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8C873FDA-424B-0647-9B08-F17238983C0A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2023" sheetId="1" r:id="rId1"/>
    <sheet name="SA2022" sheetId="2" state="hidden" r:id="rId2"/>
    <sheet name="SA2024" sheetId="3" state="hidden" r:id="rId3"/>
    <sheet name="SA2025" sheetId="4" state="hidden" r:id="rId4"/>
    <sheet name="DAM2025" sheetId="5" r:id="rId5"/>
    <sheet name="CZ" sheetId="6" state="hidden" r:id="rId6"/>
    <sheet name="DigitalMethods" sheetId="7" state="hidden" r:id="rId7"/>
    <sheet name="DM2023" sheetId="8" state="hidden" r:id="rId8"/>
    <sheet name="GODH" sheetId="9" state="hidden" r:id="rId9"/>
    <sheet name="Mie_Places" sheetId="10" state="hidden" r:id="rId10"/>
    <sheet name="Sarahs_FavoritePlacesDM2021" sheetId="11" state="hidden" r:id="rId11"/>
    <sheet name="FavoritePlacesDM2021" sheetId="12" state="hidden" r:id="rId12"/>
    <sheet name="NicePlacesinDK" sheetId="13" state="hidden" r:id="rId13"/>
    <sheet name="FavoritePlacesDK2021SA" sheetId="14" state="hidden" r:id="rId14"/>
    <sheet name="Lookup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4" l="1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7" i="10"/>
  <c r="E6" i="10"/>
  <c r="D6" i="10"/>
  <c r="E5" i="10"/>
  <c r="D5" i="10"/>
  <c r="E4" i="10"/>
  <c r="D4" i="10"/>
  <c r="E3" i="10"/>
  <c r="D3" i="10"/>
  <c r="E2" i="10"/>
  <c r="D2" i="10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E20" i="9"/>
  <c r="D20" i="9"/>
  <c r="E19" i="9"/>
  <c r="D19" i="9"/>
  <c r="E18" i="9"/>
  <c r="D18" i="9"/>
  <c r="D17" i="9"/>
  <c r="D16" i="9"/>
  <c r="D15" i="9"/>
  <c r="D14" i="9"/>
  <c r="E13" i="9"/>
  <c r="D13" i="9"/>
  <c r="E12" i="9"/>
  <c r="D12" i="9"/>
  <c r="E11" i="9"/>
  <c r="D11" i="9"/>
  <c r="E10" i="9"/>
  <c r="D10" i="9"/>
  <c r="D9" i="9"/>
  <c r="D8" i="9"/>
  <c r="D7" i="9"/>
  <c r="D6" i="9"/>
  <c r="D5" i="9"/>
  <c r="E4" i="9"/>
  <c r="D4" i="9"/>
  <c r="E3" i="9"/>
  <c r="D3" i="9"/>
  <c r="E2" i="9"/>
  <c r="D2" i="9"/>
  <c r="D129" i="8"/>
  <c r="D128" i="8"/>
  <c r="D127" i="8"/>
  <c r="D126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F104" i="8"/>
  <c r="E104" i="8"/>
  <c r="D104" i="8"/>
  <c r="E103" i="8"/>
  <c r="D103" i="8"/>
  <c r="F102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F27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24" i="5"/>
  <c r="D24" i="5"/>
  <c r="E23" i="5"/>
  <c r="D23" i="5"/>
  <c r="E22" i="5"/>
  <c r="D22" i="5"/>
  <c r="E21" i="5"/>
  <c r="D21" i="5"/>
  <c r="E20" i="5"/>
  <c r="D20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7" i="4"/>
  <c r="D7" i="4"/>
  <c r="E6" i="4"/>
  <c r="D6" i="4"/>
  <c r="E5" i="4"/>
  <c r="D5" i="4"/>
  <c r="E4" i="4"/>
  <c r="D4" i="4"/>
  <c r="E3" i="4"/>
  <c r="D3" i="4"/>
  <c r="E2" i="4"/>
  <c r="D2" i="4"/>
  <c r="D37" i="3"/>
  <c r="D36" i="3"/>
  <c r="D35" i="3"/>
  <c r="D34" i="3"/>
  <c r="D33" i="3"/>
  <c r="D32" i="3"/>
  <c r="D31" i="3"/>
  <c r="D30" i="3"/>
  <c r="D29" i="3"/>
  <c r="D28" i="3"/>
  <c r="E27" i="3"/>
  <c r="D27" i="3"/>
  <c r="E26" i="3"/>
  <c r="D26" i="3"/>
  <c r="D25" i="3"/>
  <c r="E24" i="3"/>
  <c r="D24" i="3"/>
  <c r="E23" i="3"/>
  <c r="D23" i="3"/>
  <c r="E22" i="3"/>
  <c r="D22" i="3"/>
  <c r="E21" i="3"/>
  <c r="D21" i="3"/>
  <c r="E20" i="3"/>
  <c r="D20" i="3"/>
  <c r="D19" i="3"/>
  <c r="D18" i="3"/>
  <c r="E17" i="3"/>
  <c r="D17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45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F36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<sst xmlns="http://schemas.openxmlformats.org/spreadsheetml/2006/main" count="2041" uniqueCount="1407">
  <si>
    <t>Placename</t>
  </si>
  <si>
    <t>Type</t>
  </si>
  <si>
    <t>Coordinates</t>
  </si>
  <si>
    <t>Latitude</t>
  </si>
  <si>
    <t>Longitude</t>
  </si>
  <si>
    <t>Description</t>
  </si>
  <si>
    <t>Stars1_5</t>
  </si>
  <si>
    <t>Notes</t>
  </si>
  <si>
    <t>Aalborg</t>
  </si>
  <si>
    <t>cultural moment</t>
  </si>
  <si>
    <t>57.0482555,9.913457</t>
  </si>
  <si>
    <t>Our Lady Streetart in Aalborg</t>
  </si>
  <si>
    <t>Adela's example</t>
  </si>
  <si>
    <t>Egtvedpigens grav</t>
  </si>
  <si>
    <t>55.6284615,9.2806178</t>
  </si>
  <si>
    <t>Burial site of a girl from The Bronze Age. There's a current discussion going in academia about whether she was even from the area or in fact from northern Germany.</t>
  </si>
  <si>
    <t>Den sidste</t>
  </si>
  <si>
    <t>fun</t>
  </si>
  <si>
    <t>56.1600663,10.2071595</t>
  </si>
  <si>
    <t>Bazar Vest</t>
  </si>
  <si>
    <t>56.1629429,10.13143</t>
  </si>
  <si>
    <t>Many nice foods from various origins</t>
  </si>
  <si>
    <t>Varna Palæet</t>
  </si>
  <si>
    <t>homes</t>
  </si>
  <si>
    <t>56.1247776,10.2164328</t>
  </si>
  <si>
    <t>Force Majeure</t>
  </si>
  <si>
    <t>56.1596396,10.2064371</t>
  </si>
  <si>
    <t>Great cocktails</t>
  </si>
  <si>
    <t>Vikingetræf</t>
  </si>
  <si>
    <t>56.0867844,10.2418259</t>
  </si>
  <si>
    <t>Vandtårn på Volden</t>
  </si>
  <si>
    <t>55.5685898,9.7535174</t>
  </si>
  <si>
    <t>Why its worth visiting Fredericia</t>
  </si>
  <si>
    <t>Koldkrigsmuseet REGAN Vest</t>
  </si>
  <si>
    <t>56.8208508,9.7934042</t>
  </si>
  <si>
    <t>Old bunker</t>
  </si>
  <si>
    <t>Den Genfundne Bro</t>
  </si>
  <si>
    <t>56.1854662,9.8719751</t>
  </si>
  <si>
    <t>Old bridge</t>
  </si>
  <si>
    <t>Den Permanente</t>
  </si>
  <si>
    <t>56.17672,10.2226783</t>
  </si>
  <si>
    <t>Great place to swim and enjoy the sun</t>
  </si>
  <si>
    <t>Det Ny Sletten</t>
  </si>
  <si>
    <t>nature</t>
  </si>
  <si>
    <t>56.1117879,9.6667916</t>
  </si>
  <si>
    <t>Geat place for beautiful nature views</t>
  </si>
  <si>
    <t>Bornholms ismejeri</t>
  </si>
  <si>
    <t>travel</t>
  </si>
  <si>
    <t>55.1357849,15.142311</t>
  </si>
  <si>
    <t>Very good ice cream on Bornholm</t>
  </si>
  <si>
    <t>Den Gamle by</t>
  </si>
  <si>
    <t>education</t>
  </si>
  <si>
    <t>56.1587826,10.1899265</t>
  </si>
  <si>
    <t>Museum and hygge</t>
  </si>
  <si>
    <t>Legoland</t>
  </si>
  <si>
    <t>55.7355109,9.1246159</t>
  </si>
  <si>
    <t>Amusement park with LEGO theme</t>
  </si>
  <si>
    <t>Fregatten Jylland</t>
  </si>
  <si>
    <t>56.1962066,10.6711691</t>
  </si>
  <si>
    <t>The most glorious battle vessel Denmark has ever produced, involved in The Battle of Helgoland - one of the only Danish victories during the war of 1864.</t>
  </si>
  <si>
    <t>Aleks W's example</t>
  </si>
  <si>
    <t>La Cabra Coffee</t>
  </si>
  <si>
    <t>56.1587522,10.2082123</t>
  </si>
  <si>
    <t>Best Coffee in Aarhus</t>
  </si>
  <si>
    <t>Skagen "Grenen"</t>
  </si>
  <si>
    <t>57.7430915,10.6436888</t>
  </si>
  <si>
    <t>Where two oceans met in Denmark</t>
  </si>
  <si>
    <t>Gaijin Ramen</t>
  </si>
  <si>
    <t>56.161399,10.2079132</t>
  </si>
  <si>
    <t>Good food in Aarhus</t>
  </si>
  <si>
    <t>Gudmindrup Strand</t>
  </si>
  <si>
    <t>55.9069344,11.5169013</t>
  </si>
  <si>
    <t>nice beach :-)</t>
  </si>
  <si>
    <t>Great Belt Bridge</t>
  </si>
  <si>
    <t>55.3336704,10.9717117</t>
  </si>
  <si>
    <t>A very large suspension bridge</t>
  </si>
  <si>
    <t>Christiania</t>
  </si>
  <si>
    <t>55.6738165,12.5985903</t>
  </si>
  <si>
    <t>Interesting place</t>
  </si>
  <si>
    <t>Boksen in Herning</t>
  </si>
  <si>
    <t>56.1183751,8.9501455</t>
  </si>
  <si>
    <t xml:space="preserve">Volbeat and handball </t>
  </si>
  <si>
    <t>Frederik's example</t>
  </si>
  <si>
    <t>Thy national park</t>
  </si>
  <si>
    <t>56.9584784,8.3664659</t>
  </si>
  <si>
    <t>Very pretty, lots of PFAS pollution though :((</t>
  </si>
  <si>
    <t>Ali Baba</t>
  </si>
  <si>
    <t>56.1577346,10.2038688</t>
  </si>
  <si>
    <t>slice</t>
  </si>
  <si>
    <t>Roskilde festival</t>
  </si>
  <si>
    <t>55.6700633,11.9408798</t>
  </si>
  <si>
    <t>crazy daisy haderslev</t>
  </si>
  <si>
    <t>55.2504831,9.4831714,</t>
  </si>
  <si>
    <t>place to go crazy daisy</t>
  </si>
  <si>
    <t>crazy daisy vejen</t>
  </si>
  <si>
    <t>55.474437,9.1326326</t>
  </si>
  <si>
    <t xml:space="preserve">place to go crazy daisy </t>
  </si>
  <si>
    <t>Schawarma King</t>
  </si>
  <si>
    <t>56.1574515,10.2052362</t>
  </si>
  <si>
    <t>57.6963484,10.3577893</t>
  </si>
  <si>
    <t>Blokhus</t>
  </si>
  <si>
    <t>56.4147484,9.8114913</t>
  </si>
  <si>
    <t>Furreby Kystbatteri</t>
  </si>
  <si>
    <t>57.3788604,9.720357</t>
  </si>
  <si>
    <t>Creat collection of old bunkers</t>
  </si>
  <si>
    <t>The curling hall in Esbjerg</t>
  </si>
  <si>
    <t>55.4821298,8.4343282</t>
  </si>
  <si>
    <t>A place to play curling</t>
  </si>
  <si>
    <t>Skødshoved Skrænter</t>
  </si>
  <si>
    <t>56.1735955,10.3789191</t>
  </si>
  <si>
    <t>Go for a light hike, with a beautiful view right to Aarhus</t>
  </si>
  <si>
    <t>Svendborg Harbor</t>
  </si>
  <si>
    <t>55.0575849,10.6166223</t>
  </si>
  <si>
    <t>The best spot on Svenborg harbor to look and enjoys the traffic on land and by sea</t>
  </si>
  <si>
    <t>Nikita's example</t>
  </si>
  <si>
    <t>Skødshoved havn</t>
  </si>
  <si>
    <t>56.1812218,10.3770879</t>
  </si>
  <si>
    <t>Go crabfishing for (almost tame) crabs, let them free and watch them do a crabrace back to the sea</t>
  </si>
  <si>
    <t>Alex mom</t>
  </si>
  <si>
    <t>56.1829922,10.2211167</t>
  </si>
  <si>
    <t>Go visit Alex mom, she'll probably offer you tea</t>
  </si>
  <si>
    <t>Skødshoved strands finest part</t>
  </si>
  <si>
    <t>56.1791115,10.3776511</t>
  </si>
  <si>
    <t>Lay on the beach and enjoy the finest sand, child-friendly sea and view directly to Aarhus</t>
  </si>
  <si>
    <t>Copenhagen</t>
  </si>
  <si>
    <t>55.6674960,12.5315550</t>
  </si>
  <si>
    <t>Excellent Pizza place</t>
  </si>
  <si>
    <t>Aarhus</t>
  </si>
  <si>
    <t>56.1601680, 10.2094531</t>
  </si>
  <si>
    <t>Øst for Paradis</t>
  </si>
  <si>
    <t>Mols Bjerge</t>
  </si>
  <si>
    <t>56.226767, 10.571884</t>
  </si>
  <si>
    <t>Pretty</t>
  </si>
  <si>
    <t>56.1485225,10.1946845</t>
  </si>
  <si>
    <t>Great vegan burgers</t>
  </si>
  <si>
    <t>56.1712340, 10.2003382</t>
  </si>
  <si>
    <t>Studenterhus Aarhus</t>
  </si>
  <si>
    <t>Salsa night every sunday!</t>
  </si>
  <si>
    <t>Klit Møller</t>
  </si>
  <si>
    <t>57.04422874316184, 8.481764683795328</t>
  </si>
  <si>
    <t>Surfing location</t>
  </si>
  <si>
    <t>Billund</t>
  </si>
  <si>
    <t>55.728449, 9.112366</t>
  </si>
  <si>
    <t>Dybbøl Mølle</t>
  </si>
  <si>
    <t>Historic Place</t>
  </si>
  <si>
    <t>54.909063233444954, 9.75876201265655</t>
  </si>
  <si>
    <t>One of the places, and without a doubt the most famous, Denmark was absolutly demolished by prussian forces in the 2nd Schelswig War.</t>
  </si>
  <si>
    <t>Mostly fun for historically interessed individuals.</t>
  </si>
  <si>
    <t>Hammerhus Castle Ruins</t>
  </si>
  <si>
    <t>55.27138393795272, 14.755953397685188</t>
  </si>
  <si>
    <t>The famous castle ruins on Bornholm. It was onced used as a prison to house VIP's such as Corfitz and Leonora Christina Ulfeldt.</t>
  </si>
  <si>
    <t>Randers Regnskov</t>
  </si>
  <si>
    <t xml:space="preserve">  Zoo</t>
  </si>
  <si>
    <t>56.4571231,10.0303439</t>
  </si>
  <si>
    <t>Musvitten / Thyholm</t>
  </si>
  <si>
    <t>Hygge / nature</t>
  </si>
  <si>
    <t>56.5877969,8.5213843</t>
  </si>
  <si>
    <t>Grandmother's cabin right by the Limfjord</t>
  </si>
  <si>
    <t>Private cabin but public beach - best place to calm down</t>
  </si>
  <si>
    <t>Alsik hotel</t>
  </si>
  <si>
    <t>Restaurant</t>
  </si>
  <si>
    <t>54.9143188,9.7812241</t>
  </si>
  <si>
    <t>Big tower where Jesper Koch's restaurant is located at the very top.</t>
  </si>
  <si>
    <t xml:space="preserve">I'm sure the food is great, but the tower is ugly. </t>
  </si>
  <si>
    <t>Nordborg Slot</t>
  </si>
  <si>
    <t>Culture</t>
  </si>
  <si>
    <t>55.059329,9.7471357</t>
  </si>
  <si>
    <t>Nice castle that hosts a great music festival</t>
  </si>
  <si>
    <t>Skagen (Grenen)</t>
  </si>
  <si>
    <t>Nature</t>
  </si>
  <si>
    <t>57.74599, 10.65095</t>
  </si>
  <si>
    <t>Beautiful nature.</t>
  </si>
  <si>
    <t>Samsø</t>
  </si>
  <si>
    <t>holiday island</t>
  </si>
  <si>
    <t>55.824976, 10.604435</t>
  </si>
  <si>
    <t>cozy island for vacations</t>
  </si>
  <si>
    <t>Fanø</t>
  </si>
  <si>
    <t>55.438059931811196, 8.360101998778733</t>
  </si>
  <si>
    <t>Christiansborg</t>
  </si>
  <si>
    <t>Parlament</t>
  </si>
  <si>
    <t>55.6772290735211, 12.582332747004298</t>
  </si>
  <si>
    <t>The danish parlament and seat of government. Christiansborg was the old royal palace, but after it burnt down in 1794 / 1885, it was rebuilt and instead occupied by the danish government.</t>
  </si>
  <si>
    <t>A must visit for anybody interested in danish history and politics.</t>
  </si>
  <si>
    <t>Odense</t>
  </si>
  <si>
    <t>55.3987223,10.3886106</t>
  </si>
  <si>
    <t>HC Andersen Hus</t>
  </si>
  <si>
    <t>Herning</t>
  </si>
  <si>
    <t>Art museum</t>
  </si>
  <si>
    <t>56.1321311,9.0200594</t>
  </si>
  <si>
    <t>HEART Herning Museum of Contemporary Art</t>
  </si>
  <si>
    <r>
      <rPr>
        <sz val="10"/>
        <color theme="1"/>
        <rFont val="Arial"/>
        <family val="2"/>
      </rPr>
      <t xml:space="preserve">One of the places where you can see Italian artist Piero Manzoni's piece </t>
    </r>
    <r>
      <rPr>
        <i/>
        <sz val="10"/>
        <color theme="1"/>
        <rFont val="Arial"/>
        <family val="2"/>
      </rPr>
      <t>Merda d'artista</t>
    </r>
    <r>
      <rPr>
        <sz val="10"/>
        <color theme="1"/>
        <rFont val="Arial"/>
        <family val="2"/>
      </rPr>
      <t xml:space="preserve"> (aka Artist's Shit).</t>
    </r>
  </si>
  <si>
    <t>Ejer Baunehøj</t>
  </si>
  <si>
    <t>"Mountain"</t>
  </si>
  <si>
    <t>55.9777778, 9.8330556</t>
  </si>
  <si>
    <t>Highest place in Denmark</t>
  </si>
  <si>
    <t>Hanstholm</t>
  </si>
  <si>
    <t>Nature/Cultural monument</t>
  </si>
  <si>
    <t>57.120834,8.6143056</t>
  </si>
  <si>
    <t>Bunkermuseum Hanstholm</t>
  </si>
  <si>
    <t>A beautiful area to go for a walk (you don't even have to go into the actual museum to enjoy visiting the place).</t>
  </si>
  <si>
    <t>Den Blå Planet</t>
  </si>
  <si>
    <t xml:space="preserve">Animals </t>
  </si>
  <si>
    <t>55.62818, 12.65571</t>
  </si>
  <si>
    <t xml:space="preserve">So many cool animals but there are kids absolutely everywhere </t>
  </si>
  <si>
    <t>Troldhøj</t>
  </si>
  <si>
    <t>Cabin</t>
  </si>
  <si>
    <t>55.0044807,9.8836249</t>
  </si>
  <si>
    <t>A large cabin in Nørreskoven, one of Denmarks longest forests.</t>
  </si>
  <si>
    <t xml:space="preserve">A lot of spiders in there though. </t>
  </si>
  <si>
    <t>København</t>
  </si>
  <si>
    <t>Zoo</t>
  </si>
  <si>
    <t>55.6724123,12.5191694</t>
  </si>
  <si>
    <t>København Zoo</t>
  </si>
  <si>
    <t>Skive Museum</t>
  </si>
  <si>
    <t>56.5695813,9.0344728</t>
  </si>
  <si>
    <t>A nice museum with both art and cultural history</t>
  </si>
  <si>
    <t>Nice historical exhibition for kids where they can play and have fun</t>
  </si>
  <si>
    <t>water park</t>
  </si>
  <si>
    <t>55.7331014,9.1355325</t>
  </si>
  <si>
    <t>Lalandia - huge waterpark</t>
  </si>
  <si>
    <t xml:space="preserve">very fun </t>
  </si>
  <si>
    <t>Mollerup Skov</t>
  </si>
  <si>
    <t>56.2032959,10.190962</t>
  </si>
  <si>
    <t xml:space="preserve">Small forest </t>
  </si>
  <si>
    <t>nice for walks and you might see cute highland cows</t>
  </si>
  <si>
    <t>56.1572237,10.2092291</t>
  </si>
  <si>
    <t>KØN museum</t>
  </si>
  <si>
    <t>exhibitions concerning gender</t>
  </si>
  <si>
    <t>56.1761411,10.2175407</t>
  </si>
  <si>
    <t>Riis Skov</t>
  </si>
  <si>
    <t>A nice place to go for a walk or a run. You can even pick ramson there in the spring (just be careful you don't pick the similar looking but highly poisonous lily of the valley instead).</t>
  </si>
  <si>
    <t>Koldinghus</t>
  </si>
  <si>
    <t>55.491593,9.4741576</t>
  </si>
  <si>
    <t>Beautiful castle</t>
  </si>
  <si>
    <t>Castle with cultural historic museum</t>
  </si>
  <si>
    <t xml:space="preserve">Dronningmølle </t>
  </si>
  <si>
    <t>56.0864107,12.3963899</t>
  </si>
  <si>
    <t>Rudolph Tegners Museum</t>
  </si>
  <si>
    <t xml:space="preserve">Interesting architecture and beautiful art </t>
  </si>
  <si>
    <t>Esbjerg</t>
  </si>
  <si>
    <t>Water Park</t>
  </si>
  <si>
    <t>55.4786324,8.435908</t>
  </si>
  <si>
    <t>The biggest svømmestadion in  Denmark</t>
  </si>
  <si>
    <t>Den Gamle By</t>
  </si>
  <si>
    <t>Museum</t>
  </si>
  <si>
    <t>56.15888413307946, 10.192125934604343</t>
  </si>
  <si>
    <t>Historical Amusement Park</t>
  </si>
  <si>
    <t xml:space="preserve">Himmelbjerget </t>
  </si>
  <si>
    <t xml:space="preserve">Monument </t>
  </si>
  <si>
    <t>56.1053065,9.6848622,15</t>
  </si>
  <si>
    <t>Papirtårnet</t>
  </si>
  <si>
    <t>Building</t>
  </si>
  <si>
    <t>56.17317429728296, 9.556957520183968</t>
  </si>
  <si>
    <t>Tall tower with a view over Silkeborg, and posters with historic information of nearby events and buildings.</t>
  </si>
  <si>
    <t>Trælund</t>
  </si>
  <si>
    <t>56.2010145,8.9632962</t>
  </si>
  <si>
    <t>Himmel Bjerget</t>
  </si>
  <si>
    <t>56.104165, 9.669434</t>
  </si>
  <si>
    <t>Hill that his been called tall</t>
  </si>
  <si>
    <t>Boat trip is fun if you go by boat</t>
  </si>
  <si>
    <t>Odense Domkirke</t>
  </si>
  <si>
    <t>church</t>
  </si>
  <si>
    <t>55.3953875,10.389136</t>
  </si>
  <si>
    <t xml:space="preserve">chruch with knud den helliges bones </t>
  </si>
  <si>
    <t>nobelparken</t>
  </si>
  <si>
    <t>monument to education</t>
  </si>
  <si>
    <t>56.1725556,10.205593</t>
  </si>
  <si>
    <t>Dansk stenanlæg ApS</t>
  </si>
  <si>
    <t>Business</t>
  </si>
  <si>
    <t>56.205574,8.9065236</t>
  </si>
  <si>
    <t>a place you buy rocks</t>
  </si>
  <si>
    <t>support local business</t>
  </si>
  <si>
    <t>Sommerhus</t>
  </si>
  <si>
    <t>Family house</t>
  </si>
  <si>
    <t>56.28140,10.69054</t>
  </si>
  <si>
    <t>Families holiday house</t>
  </si>
  <si>
    <t>CoordinatesFILLTHIS</t>
  </si>
  <si>
    <t>57.0782773,9.9121597</t>
  </si>
  <si>
    <t>Lindholm Høje Viking Burial Grounds</t>
  </si>
  <si>
    <t>56.1212154,10.2263854</t>
  </si>
  <si>
    <t>Ballehage Strand - great spot for bathing</t>
  </si>
  <si>
    <t>56.1604056,10.2227878</t>
  </si>
  <si>
    <t>Hobro</t>
  </si>
  <si>
    <t>Food</t>
  </si>
  <si>
    <t>56.7243699,9.8218164</t>
  </si>
  <si>
    <t>Vebbestrup icecream - very good (and cheap) softice</t>
  </si>
  <si>
    <t>Nykøbing Mors</t>
  </si>
  <si>
    <t>56.8949441,8.7517242</t>
  </si>
  <si>
    <t>Hanklit - beautiful view of Mors and Limfjorden</t>
  </si>
  <si>
    <t>Viborg</t>
  </si>
  <si>
    <t>56.4494857,9.4079267</t>
  </si>
  <si>
    <t xml:space="preserve">Viborg domkirke </t>
  </si>
  <si>
    <t>56.1724375,10.2006663</t>
  </si>
  <si>
    <t>Nobelparken</t>
  </si>
  <si>
    <t>Odder</t>
  </si>
  <si>
    <t>56.0005861,10.0823332</t>
  </si>
  <si>
    <t>Jens Henning Dahl Automobiler</t>
  </si>
  <si>
    <t>56.1373784,10.1961905</t>
  </si>
  <si>
    <t>Tivoli Friheden</t>
  </si>
  <si>
    <t>56.1825118,10.1820681</t>
  </si>
  <si>
    <t>Disc golf Vestereng, close to town but difficult terrain for throwing - dense forest!</t>
  </si>
  <si>
    <t>Sønderhav</t>
  </si>
  <si>
    <t>54.8596096,9.4962192</t>
  </si>
  <si>
    <t>Best ice cream in Denmark</t>
  </si>
  <si>
    <t>56.4793265,9.3751815</t>
  </si>
  <si>
    <t>Goat pen inside a forest. 3 goat kids!!!</t>
  </si>
  <si>
    <t>56.2024179,10.2021879</t>
  </si>
  <si>
    <t>Cute fluffy cows can be found in this forest</t>
  </si>
  <si>
    <t>55.3984075,10.3879438</t>
  </si>
  <si>
    <t>H.C. Andersen's House</t>
  </si>
  <si>
    <t>57.0515096,9.9137669</t>
  </si>
  <si>
    <t>Czech Beer</t>
  </si>
  <si>
    <t>Tune</t>
  </si>
  <si>
    <t>55.6258852,12.1728262</t>
  </si>
  <si>
    <t>Hedeland Skibakke</t>
  </si>
  <si>
    <t>56.1586863,10.2104028</t>
  </si>
  <si>
    <t>Great vegan food</t>
  </si>
  <si>
    <t>Fredericia</t>
  </si>
  <si>
    <t>55.5678293,9.7483656</t>
  </si>
  <si>
    <t>Fredericia Fortress</t>
  </si>
  <si>
    <t>Møns Klint</t>
  </si>
  <si>
    <t>54.9657332,12.5480077</t>
  </si>
  <si>
    <t>6 km stretch of chalk cliffs</t>
  </si>
  <si>
    <t>Rosenvold</t>
  </si>
  <si>
    <t>55.6784866,9.810002</t>
  </si>
  <si>
    <t xml:space="preserve">Nice place for a walk </t>
  </si>
  <si>
    <t>56.1168184, 8.8693314</t>
  </si>
  <si>
    <t>The official stadium of FC Midtjylland</t>
  </si>
  <si>
    <t>Kolding</t>
  </si>
  <si>
    <t>55.4905388,9.4799818</t>
  </si>
  <si>
    <t>A Jazz Club</t>
  </si>
  <si>
    <t>Aabenraa</t>
  </si>
  <si>
    <t>55.0375842,9.3623004</t>
  </si>
  <si>
    <t>Kongehøjen, the place where the Danish flag was presented to people for the first time</t>
  </si>
  <si>
    <t>55.673992,12.5925423</t>
  </si>
  <si>
    <t>Loppen, a music venue</t>
  </si>
  <si>
    <t>Haderslev</t>
  </si>
  <si>
    <t>55.2516569,9.485808</t>
  </si>
  <si>
    <t>Tribunen, a bar with a great pub quiz</t>
  </si>
  <si>
    <t>AU 1485-642</t>
  </si>
  <si>
    <t>56.17305,10.20657</t>
  </si>
  <si>
    <t>Our Classroom in Nobelparken</t>
  </si>
  <si>
    <t>Daniel's example</t>
  </si>
  <si>
    <t>Skagen</t>
  </si>
  <si>
    <t>57.72093,10.58394</t>
  </si>
  <si>
    <t>The most northern town in Denmark</t>
  </si>
  <si>
    <t>56.15660752806087, 10.206765257607698</t>
  </si>
  <si>
    <t>Aarhus Å</t>
  </si>
  <si>
    <t>54.964023, 12.552006</t>
  </si>
  <si>
    <t xml:space="preserve">Limestone and chalk cliffs </t>
  </si>
  <si>
    <t>Nordby</t>
  </si>
  <si>
    <t>55.9637, 10.5529</t>
  </si>
  <si>
    <t>Norby, a cute village in Samsø</t>
  </si>
  <si>
    <t>Lalandia</t>
  </si>
  <si>
    <t>55.7334143,9.1372008</t>
  </si>
  <si>
    <t>Aqua park in Billund</t>
  </si>
  <si>
    <t>le coq</t>
  </si>
  <si>
    <t>56.15869580374485, 10.21077217081422</t>
  </si>
  <si>
    <t>cheep beer and good vibes</t>
  </si>
  <si>
    <t>Anholt</t>
  </si>
  <si>
    <t>56.70294022439084, 11.567901422419755</t>
  </si>
  <si>
    <t>almind sø (silkeborg)</t>
  </si>
  <si>
    <t>56.15247452878424, 9.543441150511699</t>
  </si>
  <si>
    <t>Sheffield</t>
  </si>
  <si>
    <t>53.38297000 , -1.46590000</t>
  </si>
  <si>
    <t>Cool city in England - hometown &lt;3</t>
  </si>
  <si>
    <t>Café Kaj, Faaborg</t>
  </si>
  <si>
    <t>55.0954914602316, 10.239467788255899</t>
  </si>
  <si>
    <t>Café/bar in my hometown (which I own) :)</t>
  </si>
  <si>
    <t>Herrens mark</t>
  </si>
  <si>
    <t>55.99947640810058, 9.63429335678218</t>
  </si>
  <si>
    <t>Råbjerg Mile</t>
  </si>
  <si>
    <t>57.64987063444022, 10.409877079504557</t>
  </si>
  <si>
    <t>Råbjerg Mile, the closest to a desert Denmark will ever get</t>
  </si>
  <si>
    <t>Samsø Labyrinten</t>
  </si>
  <si>
    <t>55.9724024,10.5516869</t>
  </si>
  <si>
    <t>A big labyrinth on Samsø</t>
  </si>
  <si>
    <t>Museum Jorn</t>
  </si>
  <si>
    <t>56.161948541817274, 9.558265345916162</t>
  </si>
  <si>
    <t>A museum in Silkeborg</t>
  </si>
  <si>
    <t>Opalsøen</t>
  </si>
  <si>
    <t>55.2823169,14.7584575</t>
  </si>
  <si>
    <t>Nature area in Bornholm</t>
  </si>
  <si>
    <t>Greatness(1_ok_5_ecstatic)</t>
  </si>
  <si>
    <t>Bar Shooters</t>
  </si>
  <si>
    <t>provins bar</t>
  </si>
  <si>
    <t>56.0899076,8.2397695</t>
  </si>
  <si>
    <t>Et meget provinset sted. OK billigt. Fri fadøl i 5 timer for 150 kr</t>
  </si>
  <si>
    <t>Lidt for ung klientel</t>
  </si>
  <si>
    <t xml:space="preserve">Ridehuset </t>
  </si>
  <si>
    <t>bygning</t>
  </si>
  <si>
    <t>56.1530471,10.1992424</t>
  </si>
  <si>
    <t>Pride after party event, ambulance blev tilkaldt</t>
  </si>
  <si>
    <t>GBAR</t>
  </si>
  <si>
    <t>bar</t>
  </si>
  <si>
    <t>56.155146,10.2088994</t>
  </si>
  <si>
    <t>Pink pussies til gode penge</t>
  </si>
  <si>
    <t>Den Knæhøje</t>
  </si>
  <si>
    <t>55.7084444,9.5312104</t>
  </si>
  <si>
    <t>Rigtig gode snapseboms</t>
  </si>
  <si>
    <t>Café Skammekrogen</t>
  </si>
  <si>
    <t>værtshus</t>
  </si>
  <si>
    <t>55.6718704,12.554887</t>
  </si>
  <si>
    <t>God jukebox</t>
  </si>
  <si>
    <t>Charly's Pub</t>
  </si>
  <si>
    <t>pub</t>
  </si>
  <si>
    <t>55.7077752,9.5308505</t>
  </si>
  <si>
    <t>Dejlig stemning. Måske for det lidt ældre publikum</t>
  </si>
  <si>
    <t>Æblekage shotsne er fine</t>
  </si>
  <si>
    <t>Boogie Dance Café</t>
  </si>
  <si>
    <t>klub</t>
  </si>
  <si>
    <t>55.3978672,10.3862946</t>
  </si>
  <si>
    <t>Okay sted</t>
  </si>
  <si>
    <t>Lucky's</t>
  </si>
  <si>
    <t>sportsbar</t>
  </si>
  <si>
    <t>55.7058235,9.5324126</t>
  </si>
  <si>
    <t>Fin Sportsbar, undtaget når der er Real fans</t>
  </si>
  <si>
    <t xml:space="preserve">Alberts </t>
  </si>
  <si>
    <t>56.1570709,10.2039911</t>
  </si>
  <si>
    <t xml:space="preserve">Nogengange god standup </t>
  </si>
  <si>
    <t>Willi's</t>
  </si>
  <si>
    <t>56.1565188,10.2047256</t>
  </si>
  <si>
    <t>Rasmus was assualted by a german here once</t>
  </si>
  <si>
    <t>Toga</t>
  </si>
  <si>
    <t>55.6787703,12.577665</t>
  </si>
  <si>
    <t>Niels Wium røg 50 smøger her</t>
  </si>
  <si>
    <t xml:space="preserve">Nørre Bodega </t>
  </si>
  <si>
    <t>bodega</t>
  </si>
  <si>
    <t>55.6949702,12.5476251</t>
  </si>
  <si>
    <t>Gode vibes, okay øl</t>
  </si>
  <si>
    <t>Mig og Ølsnedkeren</t>
  </si>
  <si>
    <t>56.1578167,8.9925051</t>
  </si>
  <si>
    <t>Rigtig hygge med gode specialøl</t>
  </si>
  <si>
    <t>Vesterlauget</t>
  </si>
  <si>
    <t>bodega med mad</t>
  </si>
  <si>
    <t>56.1576075,10.1991906</t>
  </si>
  <si>
    <t>Great service</t>
  </si>
  <si>
    <t>Rasmus works here</t>
  </si>
  <si>
    <t>Vores Værtshus</t>
  </si>
  <si>
    <t>55.847387,9.587058</t>
  </si>
  <si>
    <t>Alkoholikernes mødested</t>
  </si>
  <si>
    <t>Café Vestergade</t>
  </si>
  <si>
    <t>56.1576819,10.2001311</t>
  </si>
  <si>
    <t>Too many prostitutes in this place</t>
  </si>
  <si>
    <t>TemaBar Vejle</t>
  </si>
  <si>
    <t>55.7082228,9.5334837</t>
  </si>
  <si>
    <t>Frygtelig sted med mange 18 årige</t>
  </si>
  <si>
    <t>Marys Pub</t>
  </si>
  <si>
    <t>55.7117914, 9.5278648</t>
  </si>
  <si>
    <t xml:space="preserve">Meget røget </t>
  </si>
  <si>
    <t>Le Coq</t>
  </si>
  <si>
    <t>56.158784672008, 10.210793057670351</t>
  </si>
  <si>
    <t>Godt sted at score, især om sommeren</t>
  </si>
  <si>
    <t>The Cat and Barrel</t>
  </si>
  <si>
    <t>Bar</t>
  </si>
  <si>
    <t>55.710318,9.5333791</t>
  </si>
  <si>
    <t>Dejlige øl og man kan få taget billeder bag baren</t>
  </si>
  <si>
    <t>SIGURD CPH</t>
  </si>
  <si>
    <t>55.6993136,12.5380934</t>
  </si>
  <si>
    <t>Kan ikke anbefales</t>
  </si>
  <si>
    <t>Ceres Park Vejlby</t>
  </si>
  <si>
    <t>stadion</t>
  </si>
  <si>
    <t>56.1924254,10.2077138</t>
  </si>
  <si>
    <t>World class football</t>
  </si>
  <si>
    <t xml:space="preserve">Bamserne er fine og gode som kasteskyts </t>
  </si>
  <si>
    <t>Kurts Mor</t>
  </si>
  <si>
    <t>56.1538806,10.2068557</t>
  </si>
  <si>
    <t>Very dirty place</t>
  </si>
  <si>
    <t>An adultmovie was recorded here</t>
  </si>
  <si>
    <t>German place name in book</t>
  </si>
  <si>
    <t>Czech place name today</t>
  </si>
  <si>
    <t>#lines mention</t>
  </si>
  <si>
    <t>Attraction described</t>
  </si>
  <si>
    <t>Osegg</t>
  </si>
  <si>
    <t>Osek</t>
  </si>
  <si>
    <t>Cistercian monastary</t>
  </si>
  <si>
    <t>Brüx</t>
  </si>
  <si>
    <t>Most</t>
  </si>
  <si>
    <t>Between them mineral sources</t>
  </si>
  <si>
    <t>Saatz</t>
  </si>
  <si>
    <t>Žatec</t>
  </si>
  <si>
    <t>Podersam</t>
  </si>
  <si>
    <t>Podbořany</t>
  </si>
  <si>
    <t>Liebkowitz</t>
  </si>
  <si>
    <t>Libkovice, Lubenec</t>
  </si>
  <si>
    <t>Park</t>
  </si>
  <si>
    <t>Buchau</t>
  </si>
  <si>
    <t>Bochov</t>
  </si>
  <si>
    <t>Point on route, no description</t>
  </si>
  <si>
    <t>Komotau</t>
  </si>
  <si>
    <t>Chomutov</t>
  </si>
  <si>
    <t>Rentsch</t>
  </si>
  <si>
    <t>Řevničov</t>
  </si>
  <si>
    <t>Horosedl</t>
  </si>
  <si>
    <t>?</t>
  </si>
  <si>
    <t>-</t>
  </si>
  <si>
    <t>Duschnik</t>
  </si>
  <si>
    <t>Beraun</t>
  </si>
  <si>
    <t>Beroun</t>
  </si>
  <si>
    <t>Karlstein</t>
  </si>
  <si>
    <t>Karlštejn</t>
  </si>
  <si>
    <t>Castle</t>
  </si>
  <si>
    <t>Zditz</t>
  </si>
  <si>
    <t>Zdice</t>
  </si>
  <si>
    <t>Przibram</t>
  </si>
  <si>
    <t>Příbram</t>
  </si>
  <si>
    <t>Silver mines</t>
  </si>
  <si>
    <t>Horzowitz</t>
  </si>
  <si>
    <t>Hořovice</t>
  </si>
  <si>
    <t>Jiri z Podebrad birth place</t>
  </si>
  <si>
    <t>Czerhowitz</t>
  </si>
  <si>
    <t>Mauth</t>
  </si>
  <si>
    <t>Mýto v Čechách</t>
  </si>
  <si>
    <t>Rokitzan</t>
  </si>
  <si>
    <t>Rokycany</t>
  </si>
  <si>
    <t>Pilsen</t>
  </si>
  <si>
    <t>Plzeň</t>
  </si>
  <si>
    <t>Staab an der Radbusa</t>
  </si>
  <si>
    <t>Stod</t>
  </si>
  <si>
    <t>Stankau</t>
  </si>
  <si>
    <t>Staňkov</t>
  </si>
  <si>
    <t>Bischof-Teinitz</t>
  </si>
  <si>
    <t>Horšovský Týn</t>
  </si>
  <si>
    <t>Klentsch</t>
  </si>
  <si>
    <t>Klenčí pod Čerchovem</t>
  </si>
  <si>
    <t>Haselbach</t>
  </si>
  <si>
    <t>Lísková</t>
  </si>
  <si>
    <t>Border crossing</t>
  </si>
  <si>
    <t>Jessenitz</t>
  </si>
  <si>
    <t>Jesenice</t>
  </si>
  <si>
    <t>Dnespeck</t>
  </si>
  <si>
    <t>Nespeky</t>
  </si>
  <si>
    <t>Bistritz</t>
  </si>
  <si>
    <t>Bystřice</t>
  </si>
  <si>
    <t>Wottitz</t>
  </si>
  <si>
    <t>Votice</t>
  </si>
  <si>
    <t>Sudomierzitz</t>
  </si>
  <si>
    <t>Sudoměřice u Tábora</t>
  </si>
  <si>
    <t>Tabor</t>
  </si>
  <si>
    <t>Tábor</t>
  </si>
  <si>
    <t>Raudna</t>
  </si>
  <si>
    <t>Roudná</t>
  </si>
  <si>
    <t>Kardasch-Rzeczitz</t>
  </si>
  <si>
    <t>Kardašova Řečice</t>
  </si>
  <si>
    <t>Neuhaus</t>
  </si>
  <si>
    <t>Jindřichův Hradec</t>
  </si>
  <si>
    <t>Neubistritz</t>
  </si>
  <si>
    <t>Nová Bystřice</t>
  </si>
  <si>
    <t>Last town in Bohemia</t>
  </si>
  <si>
    <t>Biechowitz</t>
  </si>
  <si>
    <t>Běchovice</t>
  </si>
  <si>
    <t>Böhmischbrod</t>
  </si>
  <si>
    <t>Český Brod</t>
  </si>
  <si>
    <t>Planian</t>
  </si>
  <si>
    <t>Plaňany</t>
  </si>
  <si>
    <t>Collin</t>
  </si>
  <si>
    <t>Kolín</t>
  </si>
  <si>
    <t>Czaslau</t>
  </si>
  <si>
    <t>Čáslav</t>
  </si>
  <si>
    <t>Jenikau</t>
  </si>
  <si>
    <t>Golčův Jeníkov</t>
  </si>
  <si>
    <t>Steinsdorf</t>
  </si>
  <si>
    <t>Kámen u Habrů</t>
  </si>
  <si>
    <t>Deutschbrod</t>
  </si>
  <si>
    <t>Havlíčkův Brod</t>
  </si>
  <si>
    <t>Stecken</t>
  </si>
  <si>
    <t>Štoky</t>
  </si>
  <si>
    <t>Iglau</t>
  </si>
  <si>
    <t>Jihlava</t>
  </si>
  <si>
    <t>Stannern</t>
  </si>
  <si>
    <t>Stonařov</t>
  </si>
  <si>
    <t>Schelletau</t>
  </si>
  <si>
    <t>Želetava</t>
  </si>
  <si>
    <t>Mährisch-Budweis</t>
  </si>
  <si>
    <t>Moravské Budějovice</t>
  </si>
  <si>
    <t>Frainersdorf</t>
  </si>
  <si>
    <t>Vranovská Ves</t>
  </si>
  <si>
    <t>Znaim</t>
  </si>
  <si>
    <t>Znojmo</t>
  </si>
  <si>
    <t>Wessely</t>
  </si>
  <si>
    <t>Veselí nad Lužnicí</t>
  </si>
  <si>
    <t>Budweis</t>
  </si>
  <si>
    <t>České Budějovice</t>
  </si>
  <si>
    <t>Kaplitz</t>
  </si>
  <si>
    <t>Kaplice</t>
  </si>
  <si>
    <t>(railline Wien-Brno listed with stops on the way)</t>
  </si>
  <si>
    <t>Brünn</t>
  </si>
  <si>
    <t>Brno</t>
  </si>
  <si>
    <t>Posorsitz</t>
  </si>
  <si>
    <t>Austerlitz</t>
  </si>
  <si>
    <t>Austerlitz battlefield</t>
  </si>
  <si>
    <t>Wischau</t>
  </si>
  <si>
    <t>Vyškov</t>
  </si>
  <si>
    <t>Prossnitz</t>
  </si>
  <si>
    <t>Prostějov</t>
  </si>
  <si>
    <t>Olmütz</t>
  </si>
  <si>
    <t>Olomouc</t>
  </si>
  <si>
    <t>Neutitschen</t>
  </si>
  <si>
    <t>Novy Jičín</t>
  </si>
  <si>
    <t>Freiberg</t>
  </si>
  <si>
    <t>Příbor</t>
  </si>
  <si>
    <t>Freideck an der Ostrowitza</t>
  </si>
  <si>
    <t>Frýdek-Místek</t>
  </si>
  <si>
    <t>Peterswalde</t>
  </si>
  <si>
    <t>Petrovice</t>
  </si>
  <si>
    <t>battle</t>
  </si>
  <si>
    <t>Arbesau</t>
  </si>
  <si>
    <t>Varvažov</t>
  </si>
  <si>
    <t>battle, monument</t>
  </si>
  <si>
    <t>Kulm</t>
  </si>
  <si>
    <t>Chlumec u Chabařovic</t>
  </si>
  <si>
    <t>chapel, battlefield</t>
  </si>
  <si>
    <t>Töplitz (Teplitz)</t>
  </si>
  <si>
    <t>Teplice</t>
  </si>
  <si>
    <t>Numerous</t>
  </si>
  <si>
    <t>Mariaschein</t>
  </si>
  <si>
    <t>Bohosudov, Krupka,</t>
  </si>
  <si>
    <t>Pilgrimage</t>
  </si>
  <si>
    <t>Milleschauer</t>
  </si>
  <si>
    <t>Milešovka</t>
  </si>
  <si>
    <t>Panorama</t>
  </si>
  <si>
    <t>Dux</t>
  </si>
  <si>
    <t>Duchov</t>
  </si>
  <si>
    <t>Castle, museum</t>
  </si>
  <si>
    <t>Aussig</t>
  </si>
  <si>
    <t>Ústí nad Labem</t>
  </si>
  <si>
    <t>traffic connections</t>
  </si>
  <si>
    <t>Tetschen</t>
  </si>
  <si>
    <t>Děčín</t>
  </si>
  <si>
    <t>lively city en route to Schandau</t>
  </si>
  <si>
    <t>Lobositz</t>
  </si>
  <si>
    <t>Lovosice</t>
  </si>
  <si>
    <t>Battle</t>
  </si>
  <si>
    <t>Leitmeritz</t>
  </si>
  <si>
    <t>Litoměřice</t>
  </si>
  <si>
    <t>Bohemian glass, wine</t>
  </si>
  <si>
    <t>Theresienstadt</t>
  </si>
  <si>
    <t>Terezín</t>
  </si>
  <si>
    <t>Festung</t>
  </si>
  <si>
    <t>Doxan</t>
  </si>
  <si>
    <t>Doksany</t>
  </si>
  <si>
    <t>Neudorf</t>
  </si>
  <si>
    <t>Nová Ves</t>
  </si>
  <si>
    <t>Weltrus</t>
  </si>
  <si>
    <t>Veltrusy</t>
  </si>
  <si>
    <t>Castle, park</t>
  </si>
  <si>
    <t>Zdibsko</t>
  </si>
  <si>
    <t>Bilin</t>
  </si>
  <si>
    <t>Bílina</t>
  </si>
  <si>
    <t>Strange minerals</t>
  </si>
  <si>
    <t>Wachholderberge</t>
  </si>
  <si>
    <t>Štěrbina</t>
  </si>
  <si>
    <t>Mireschowitz</t>
  </si>
  <si>
    <t>Hrobčice</t>
  </si>
  <si>
    <t>Mineral water</t>
  </si>
  <si>
    <t>Krzemusch</t>
  </si>
  <si>
    <t>Křemýž</t>
  </si>
  <si>
    <t>Laun an der Eger</t>
  </si>
  <si>
    <t>Louny</t>
  </si>
  <si>
    <t>annual floods, road Prague-Karlsbad</t>
  </si>
  <si>
    <t>Jungfern-Teinitz</t>
  </si>
  <si>
    <t>Panenský Týnec</t>
  </si>
  <si>
    <t>Schlan</t>
  </si>
  <si>
    <t>Slaný</t>
  </si>
  <si>
    <t>old dilapidated city</t>
  </si>
  <si>
    <t>Strzbdokluk</t>
  </si>
  <si>
    <t>Středokluky</t>
  </si>
  <si>
    <t>Prag</t>
  </si>
  <si>
    <t>Praha</t>
  </si>
  <si>
    <t>Eger</t>
  </si>
  <si>
    <t>Cheb</t>
  </si>
  <si>
    <t>Falkenau</t>
  </si>
  <si>
    <t>Sokolov</t>
  </si>
  <si>
    <t>Elbogen</t>
  </si>
  <si>
    <t>Loket</t>
  </si>
  <si>
    <t>Karlsbad</t>
  </si>
  <si>
    <t>Karlovy Vary</t>
  </si>
  <si>
    <t>Petschau</t>
  </si>
  <si>
    <t>Bečov nad Teplou</t>
  </si>
  <si>
    <t>Marienbad</t>
  </si>
  <si>
    <t>Mariánské Lázně</t>
  </si>
  <si>
    <t>Franzensbad</t>
  </si>
  <si>
    <t>Františkovy Lázně</t>
  </si>
  <si>
    <t>Maria Kulm</t>
  </si>
  <si>
    <t>Chlum Svaté Maří</t>
  </si>
  <si>
    <t>Königswart</t>
  </si>
  <si>
    <t>Kynžvart</t>
  </si>
  <si>
    <t>Place_Name</t>
  </si>
  <si>
    <t>Moesgaard Museum</t>
  </si>
  <si>
    <t>56.0887188,10.2209268</t>
  </si>
  <si>
    <t>Moesgaard museum is a museum near Aarhus</t>
  </si>
  <si>
    <t>Ribe Vikingecenter</t>
  </si>
  <si>
    <t>55.3096059,8.7624704</t>
  </si>
  <si>
    <t>A place built to seem like a town from the viking age.</t>
  </si>
  <si>
    <t>Very realistic, and a nice place to be.</t>
  </si>
  <si>
    <t>Bornholm middelalder center</t>
  </si>
  <si>
    <t>55.1763793,14.953611</t>
  </si>
  <si>
    <t>A place built to seem like a town from the middle ages.</t>
  </si>
  <si>
    <t>Dyrehaven ved Haderslev</t>
  </si>
  <si>
    <t>55.4675,9.1693567</t>
  </si>
  <si>
    <t>A large wild area where animals roam free and humans can walk around.</t>
  </si>
  <si>
    <t>A very relaxing place with wild deer,</t>
  </si>
  <si>
    <t>BRs hjem</t>
  </si>
  <si>
    <t>56.1517,10.2042896</t>
  </si>
  <si>
    <t>Benjamins hus.</t>
  </si>
  <si>
    <t>Jels Vikingespil</t>
  </si>
  <si>
    <t>55.359834,9.2108391</t>
  </si>
  <si>
    <t>A place where people do a show about viking life during the summer.</t>
  </si>
  <si>
    <t>Kalø Slotsruin</t>
  </si>
  <si>
    <t>56.2746133,10.464093</t>
  </si>
  <si>
    <t>A ruin of a castle</t>
  </si>
  <si>
    <t xml:space="preserve">Tidsvilde strand </t>
  </si>
  <si>
    <t>56.0565037,12.0587298</t>
  </si>
  <si>
    <t>A beach</t>
  </si>
  <si>
    <t>Jelling Monumenterne</t>
  </si>
  <si>
    <t>55.7565694,9.4169964</t>
  </si>
  <si>
    <t>Rune stones in Jelling that were made by Harald Bluetooth.</t>
  </si>
  <si>
    <t>Faarup Sommerland</t>
  </si>
  <si>
    <t>57.271066,9.6469198</t>
  </si>
  <si>
    <t>A theme park in north Jutland.</t>
  </si>
  <si>
    <t>Vordingborg  Gåsetårnet        55.0070976,11.9121704        55.0070976        11.9121704        Last remaining tower of the castle in Vordinborg</t>
  </si>
  <si>
    <t>55.0070976,11.9121704</t>
  </si>
  <si>
    <t>Last remaining tower of the castle in Vordinborg</t>
  </si>
  <si>
    <t>A very pretty sight</t>
  </si>
  <si>
    <t>Tivoli</t>
  </si>
  <si>
    <t>55.6736871,12.5655668</t>
  </si>
  <si>
    <t>A very old theme park in the capital, Copenhagen.</t>
  </si>
  <si>
    <t>The rides are fun, but expensive</t>
  </si>
  <si>
    <t>56.1051294,9.6851738</t>
  </si>
  <si>
    <t>The tallest point in Denmark</t>
  </si>
  <si>
    <t>It's very tall, pretty cool</t>
  </si>
  <si>
    <t>historical</t>
  </si>
  <si>
    <t>54.90694,9.7553901</t>
  </si>
  <si>
    <t>A very important place from the war of 1864</t>
  </si>
  <si>
    <t>Dybbøl Mølle is a very important historical site, and is also pretty cool</t>
  </si>
  <si>
    <t>56.0887157,10.2186308</t>
  </si>
  <si>
    <t>A museum near Aarhus where the grauballemand is.</t>
  </si>
  <si>
    <t>They have some great exhibits sometimes, and they change every now and again.</t>
  </si>
  <si>
    <t>Downtown</t>
  </si>
  <si>
    <t>56.142848,10.1946182</t>
  </si>
  <si>
    <t>Downtown Aarhus</t>
  </si>
  <si>
    <t>Education</t>
  </si>
  <si>
    <t>56.1708646,10.2040287</t>
  </si>
  <si>
    <t>Shop</t>
  </si>
  <si>
    <t>56.1529896,10.2035677</t>
  </si>
  <si>
    <t>Store in Aarhus</t>
  </si>
  <si>
    <t>Sankt Sørens Kilde</t>
  </si>
  <si>
    <t>sacred place</t>
  </si>
  <si>
    <t>56.0800343,9.6883882</t>
  </si>
  <si>
    <t xml:space="preserve">Holy </t>
  </si>
  <si>
    <t>Møns klint</t>
  </si>
  <si>
    <t>Natural wonder</t>
  </si>
  <si>
    <t>54.9646224,12.5418424</t>
  </si>
  <si>
    <t>Cliffside</t>
  </si>
  <si>
    <t>Det Kongelige Bibliotek</t>
  </si>
  <si>
    <t>Library</t>
  </si>
  <si>
    <t>56.1715151,10.1992008</t>
  </si>
  <si>
    <t>56.2097851,10.1734996</t>
  </si>
  <si>
    <t>Ikea Store</t>
  </si>
  <si>
    <t>Maribo Domkirke</t>
  </si>
  <si>
    <t>Cathedral</t>
  </si>
  <si>
    <t>54.7726278,11.4973362</t>
  </si>
  <si>
    <t>Larger former Bridgettine monastic church, including the grave of the princess Leonora Christina.</t>
  </si>
  <si>
    <t>quiet place, worth a visit</t>
  </si>
  <si>
    <t xml:space="preserve">Grenen Skagen </t>
  </si>
  <si>
    <t>57.7444016,10.6490276</t>
  </si>
  <si>
    <t>Top of Denmark</t>
  </si>
  <si>
    <t>Beautiful but very Windy</t>
  </si>
  <si>
    <t>Nordstern Arena Horsens</t>
  </si>
  <si>
    <t>Stadium</t>
  </si>
  <si>
    <t>55.8719042,9.8591218</t>
  </si>
  <si>
    <t>Local stadium of hometown</t>
  </si>
  <si>
    <t>Nysted Orgelmuseum</t>
  </si>
  <si>
    <t>54.6680611,11.7259071</t>
  </si>
  <si>
    <t>The best - and only - church organ museum in the country.</t>
  </si>
  <si>
    <t>dependent on interest, naturally</t>
  </si>
  <si>
    <t>Lighthouse</t>
  </si>
  <si>
    <t>Building Aarhus Ø</t>
  </si>
  <si>
    <t>56.1656309,10.2264851</t>
  </si>
  <si>
    <t>Ribe Domkirke</t>
  </si>
  <si>
    <t>55.3283043,8.7615532</t>
  </si>
  <si>
    <t>Cathedral (Ribe diocese)</t>
  </si>
  <si>
    <t>The most beautiful cathedral in Jutland</t>
  </si>
  <si>
    <t>Marselisborg Dyrehave</t>
  </si>
  <si>
    <t>56.1227003,10.2190643</t>
  </si>
  <si>
    <t>A park with many animals, close to Aarhus</t>
  </si>
  <si>
    <t>Fjenneslev Kirke</t>
  </si>
  <si>
    <t>Chruch</t>
  </si>
  <si>
    <t>55.4335662,11.6874908</t>
  </si>
  <si>
    <t>Church build by Asser Rig</t>
  </si>
  <si>
    <t>Øm Kloster museum</t>
  </si>
  <si>
    <t>Ruins of monastery</t>
  </si>
  <si>
    <t>56.052311,9.7474401</t>
  </si>
  <si>
    <t>Historisk Fredagsbar FRED</t>
  </si>
  <si>
    <t>Fredagsbar</t>
  </si>
  <si>
    <t>56.1728708,10.2039512</t>
  </si>
  <si>
    <t>A historical and very "hyggelig" bar, that will supply you with all your needs for the perfect night out</t>
  </si>
  <si>
    <t>Haderslev Domkirke</t>
  </si>
  <si>
    <t>55.2498626,9.4866225</t>
  </si>
  <si>
    <t>Cathedral (Haderslev biocese)</t>
  </si>
  <si>
    <t>The most beautiful cathedral in Sønderjylland</t>
  </si>
  <si>
    <t>Sankt Nikolai Kirke, Nakskov</t>
  </si>
  <si>
    <t>Church</t>
  </si>
  <si>
    <t>54.8310006,11.1320784</t>
  </si>
  <si>
    <t>Nice gothic church in the common North German school of architecture. Including an old swedish cannonball.</t>
  </si>
  <si>
    <t>Lovely brick gothic church, containing an old organ, and a swedisch cannonball (long story)</t>
  </si>
  <si>
    <t>Energi Viborg Arena</t>
  </si>
  <si>
    <t>56.4552419,9.3968526</t>
  </si>
  <si>
    <t>Easily the most beautiful stadium in all of Denmark, and home of the best team in Denmark</t>
  </si>
  <si>
    <t>Royal Danish Library, Tangen 2</t>
  </si>
  <si>
    <t>Reading room for newspapers</t>
  </si>
  <si>
    <t>56.1979752,10.1754707</t>
  </si>
  <si>
    <t>Here, you can read old danish newspapers which are not digitalized in mediestream.</t>
  </si>
  <si>
    <t>A gem!</t>
  </si>
  <si>
    <t>56.0887158,10.2209268</t>
  </si>
  <si>
    <t>Museum dedicated to archaeology and ethnography</t>
  </si>
  <si>
    <t>Conditori La Glace</t>
  </si>
  <si>
    <t>Confectionery</t>
  </si>
  <si>
    <t>55.678595,12.5687056</t>
  </si>
  <si>
    <t>Famous Danish confectionery founded in 1870</t>
  </si>
  <si>
    <t>Nyborg Slot</t>
  </si>
  <si>
    <t>55.3126452,10.7842089</t>
  </si>
  <si>
    <t>Restored medieval castle</t>
  </si>
  <si>
    <t>Gjellerup Kirke</t>
  </si>
  <si>
    <t>56.1444479,9.050002</t>
  </si>
  <si>
    <t>Denmark's oldest dated church</t>
  </si>
  <si>
    <t>Jyske Bank Boxen</t>
  </si>
  <si>
    <t>Arena</t>
  </si>
  <si>
    <t>56.1286693,8.9484227</t>
  </si>
  <si>
    <t>Denmark's best multi-arena</t>
  </si>
  <si>
    <t>Tekstilmuseet</t>
  </si>
  <si>
    <t>56.133896,8.9584724</t>
  </si>
  <si>
    <t>At the Textile Museum, the story of the flourishing and development of the textile industry is told</t>
  </si>
  <si>
    <t>A mill built on 'Dybbøl Banke', that served as a battleground during the Schleswig wars</t>
  </si>
  <si>
    <t>Løgumkloster Kirke</t>
  </si>
  <si>
    <t>Kirke</t>
  </si>
  <si>
    <t>55.0569851,8.9402638</t>
  </si>
  <si>
    <t>A monastery that also gave name to the city of Løgumkloster, which has stood for the last 850 years.</t>
  </si>
  <si>
    <t>Sønderborg Slot</t>
  </si>
  <si>
    <t>Slot</t>
  </si>
  <si>
    <t>56.1652038,10.0714847</t>
  </si>
  <si>
    <t>A castle in Sønderborg by the waterline, served as prison for Christian 2. and residence for Hans the Younger</t>
  </si>
  <si>
    <t>Vorbasse Marked</t>
  </si>
  <si>
    <t>Market</t>
  </si>
  <si>
    <t>55.627167,9.0705561</t>
  </si>
  <si>
    <t>Denmarks biggest market. Go here to get knocked out by angry Jutlanders.</t>
  </si>
  <si>
    <t>Ølgod</t>
  </si>
  <si>
    <t>Værtshus</t>
  </si>
  <si>
    <t>55.8110182,8.6216981</t>
  </si>
  <si>
    <t xml:space="preserve">Det lokale suttersted </t>
  </si>
  <si>
    <t>Horsens</t>
  </si>
  <si>
    <t>restaurant</t>
  </si>
  <si>
    <t>55.8589702,9.8604612</t>
  </si>
  <si>
    <t>A great restaurant if you want a great time with the family</t>
  </si>
  <si>
    <t>Bryghus</t>
  </si>
  <si>
    <t>55.8092246,8.620149</t>
  </si>
  <si>
    <t xml:space="preserve">Ølgods bryghus der laver middelmådig, lokal øl </t>
  </si>
  <si>
    <t xml:space="preserve">Horsens </t>
  </si>
  <si>
    <t>55.8650999,9.8610085</t>
  </si>
  <si>
    <t>A museum in Horsens that has a great variety of modern art</t>
  </si>
  <si>
    <t xml:space="preserve">Ølgod </t>
  </si>
  <si>
    <t>Plaza Pizza</t>
  </si>
  <si>
    <t>55.8065764,8.6178444</t>
  </si>
  <si>
    <t xml:space="preserve">Godt sted til tømmermændsmad efter en tur på Bryghuset og Gasolin </t>
  </si>
  <si>
    <t>55.8628992,9.8460282</t>
  </si>
  <si>
    <t xml:space="preserve">The only Catholic church in Horsens </t>
  </si>
  <si>
    <t>Rømø</t>
  </si>
  <si>
    <t>Icecream shop</t>
  </si>
  <si>
    <t>55.1460745,8.4926275</t>
  </si>
  <si>
    <t>IceCream shop on Rømø, maybe the best</t>
  </si>
  <si>
    <t xml:space="preserve">Kirke </t>
  </si>
  <si>
    <t>55.8088845,8.6096275</t>
  </si>
  <si>
    <t xml:space="preserve">Ølgod kirke - godt sted for syndsforladelse for de dumheder der blev lavet på gasolin </t>
  </si>
  <si>
    <t>Freemason Lodge</t>
  </si>
  <si>
    <t>55.8617067,9.8553656</t>
  </si>
  <si>
    <t>A cool place if you are interested in world domination</t>
  </si>
  <si>
    <t>Søndervig</t>
  </si>
  <si>
    <t>Camping</t>
  </si>
  <si>
    <t>56.1150854,8.086709</t>
  </si>
  <si>
    <t xml:space="preserve">A place to camp </t>
  </si>
  <si>
    <t>Bork</t>
  </si>
  <si>
    <t>Vikingsmuseum</t>
  </si>
  <si>
    <t>55.835484,8.2591009</t>
  </si>
  <si>
    <t>A museum in Bork with a vikings theme</t>
  </si>
  <si>
    <t>Billardklub</t>
  </si>
  <si>
    <t>55.8087882,8.6127801</t>
  </si>
  <si>
    <t>Ølgod Billardklub</t>
  </si>
  <si>
    <t>McDonalds</t>
  </si>
  <si>
    <t>55.8700845,9.8630781</t>
  </si>
  <si>
    <t>A great place for some fast food</t>
  </si>
  <si>
    <t>Sandsculpturepark</t>
  </si>
  <si>
    <t>57.2488172,9.6088532</t>
  </si>
  <si>
    <t xml:space="preserve">A great place to see sculptures made out of sand </t>
  </si>
  <si>
    <t>Løkken</t>
  </si>
  <si>
    <t>57.3715579,9.7090861</t>
  </si>
  <si>
    <t>A great place to eat icecream</t>
  </si>
  <si>
    <t>Nordborg</t>
  </si>
  <si>
    <t>55.0591176,9.7463957</t>
  </si>
  <si>
    <t>Nice castle with a pretty lake you can walk around</t>
  </si>
  <si>
    <t>Oplevelsespark</t>
  </si>
  <si>
    <t>55.0414476,9.7914973</t>
  </si>
  <si>
    <t>Oplevelses park</t>
  </si>
  <si>
    <t>A nice park to visit where you get introduced and get to interact with cool science</t>
  </si>
  <si>
    <t>Dybbøl</t>
  </si>
  <si>
    <t>54.9073486,9.7498943</t>
  </si>
  <si>
    <t>Museum for 1864</t>
  </si>
  <si>
    <t>Dyvig</t>
  </si>
  <si>
    <t>Hotel/restaurant</t>
  </si>
  <si>
    <t>55.0456173,9.683224</t>
  </si>
  <si>
    <t>Hotel/Restaurant</t>
  </si>
  <si>
    <t>Nice hotel/restaurant with good food where you can sit by the sea</t>
  </si>
  <si>
    <t>Sønderborg</t>
  </si>
  <si>
    <t>54.9082979,9.783443</t>
  </si>
  <si>
    <t>Homemade icecream shop</t>
  </si>
  <si>
    <t>A really good icecream shop that won DK's best homemade icecream a few years back</t>
  </si>
  <si>
    <t>Legeland</t>
  </si>
  <si>
    <t>56.1534338,8.9725947</t>
  </si>
  <si>
    <t xml:space="preserve">A good indoor playground with minigolf, slides and much more </t>
  </si>
  <si>
    <t>55.7352104,9.1257106</t>
  </si>
  <si>
    <t>Super cool leisure park</t>
  </si>
  <si>
    <t>Holme-Olstrup</t>
  </si>
  <si>
    <t>Forlystelsespark</t>
  </si>
  <si>
    <t>55.260873,11.8605921</t>
  </si>
  <si>
    <t>Jelling</t>
  </si>
  <si>
    <t>Jelling monuments</t>
  </si>
  <si>
    <t>55.7565664,9.4169964</t>
  </si>
  <si>
    <t>Runestone made by Harald Bluetooth</t>
  </si>
  <si>
    <t>Marselisborg lystbådehavn</t>
  </si>
  <si>
    <t>Lystbådehavn</t>
  </si>
  <si>
    <t>56.1387014,10.2152327</t>
  </si>
  <si>
    <t>Ishus på Marselisborg lystbådehavn</t>
  </si>
  <si>
    <t>Ceres Park</t>
  </si>
  <si>
    <t>56.1320428,10.1941437</t>
  </si>
  <si>
    <t xml:space="preserve">Fodboldstadion </t>
  </si>
  <si>
    <t>Aarhus C</t>
  </si>
  <si>
    <t>Cinemaxx</t>
  </si>
  <si>
    <t>56.14938,10.2015491</t>
  </si>
  <si>
    <t>Biograf</t>
  </si>
  <si>
    <t xml:space="preserve">Falling </t>
  </si>
  <si>
    <t>Falling kirke</t>
  </si>
  <si>
    <t>55.9102276,10.1338812</t>
  </si>
  <si>
    <t>Botanisk have</t>
  </si>
  <si>
    <t>56.1621745,10.186907</t>
  </si>
  <si>
    <t>Vordingborg</t>
  </si>
  <si>
    <t>Gåsetårnet</t>
  </si>
  <si>
    <t>Skarrild</t>
  </si>
  <si>
    <t>Skarrild Kirke</t>
  </si>
  <si>
    <t>55.9783371,8.8878213</t>
  </si>
  <si>
    <t>The old chirch in Skarrild</t>
  </si>
  <si>
    <t>The church was build in 1150</t>
  </si>
  <si>
    <t>Domkirken</t>
  </si>
  <si>
    <t>56.1568917,10.2083009</t>
  </si>
  <si>
    <t>Danmakrs største domkirke</t>
  </si>
  <si>
    <t>HC Andersens hus</t>
  </si>
  <si>
    <t>55.3984045,10.3879384</t>
  </si>
  <si>
    <t>Fødehjem</t>
  </si>
  <si>
    <t>Ny Carlsberg Glyptotek</t>
  </si>
  <si>
    <t>55.674491,12.5825651</t>
  </si>
  <si>
    <t>Øl</t>
  </si>
  <si>
    <t>Basis</t>
  </si>
  <si>
    <t>55.9310369,10.073121</t>
  </si>
  <si>
    <t>Jagtvej 69</t>
  </si>
  <si>
    <t>Ungdomshuset</t>
  </si>
  <si>
    <t>55.6939726,12.5475822</t>
  </si>
  <si>
    <t>Ungdomshuset Jagtvej 69, revet ned i 2007, København</t>
  </si>
  <si>
    <t>Vojens</t>
  </si>
  <si>
    <t>Congo Bar</t>
  </si>
  <si>
    <t>55.2439794,9.2969418</t>
  </si>
  <si>
    <t>Very Hyggelig pub in the greatest city in the world</t>
  </si>
  <si>
    <t>Trehøje</t>
  </si>
  <si>
    <t>56.2042748,10.5108845</t>
  </si>
  <si>
    <t>Three legendary hill tops</t>
  </si>
  <si>
    <t>Store Belt</t>
  </si>
  <si>
    <t>Østbroen</t>
  </si>
  <si>
    <t>55.341805,11.0316461</t>
  </si>
  <si>
    <t>A big bridge</t>
  </si>
  <si>
    <t>Vestbroen</t>
  </si>
  <si>
    <t>55.31057,10.8995251</t>
  </si>
  <si>
    <t>A long bridge</t>
  </si>
  <si>
    <t>Flensborg Fjord</t>
  </si>
  <si>
    <t>Store Okseø</t>
  </si>
  <si>
    <t>54.8635436,9.5023098</t>
  </si>
  <si>
    <t>Danmarks hyggeligste shelter</t>
  </si>
  <si>
    <t>Lillebælt</t>
  </si>
  <si>
    <t>Fænø Kalv</t>
  </si>
  <si>
    <t>55.4921451,9.6592057</t>
  </si>
  <si>
    <t>Hjemsted for nogle legendariske spejderture</t>
  </si>
  <si>
    <t>forlystelsespark</t>
  </si>
  <si>
    <t>Nordjyllands bedste sommerland</t>
  </si>
  <si>
    <t>Frederiksborg Slot</t>
  </si>
  <si>
    <t>Casttle</t>
  </si>
  <si>
    <t>55.926684,12.2887963,4424</t>
  </si>
  <si>
    <t>Jysk Park</t>
  </si>
  <si>
    <t>56.1799209,9.5715494</t>
  </si>
  <si>
    <t>test</t>
  </si>
  <si>
    <t>Ambolten</t>
  </si>
  <si>
    <t>56.091848,9.7588051,164</t>
  </si>
  <si>
    <t>Lumskebugten</t>
  </si>
  <si>
    <t>55.70720238197096, 9.540636176595296</t>
  </si>
  <si>
    <t>en lumsk bugt</t>
  </si>
  <si>
    <t>Vejle stadion</t>
  </si>
  <si>
    <t>55.713733661083964, 9.556286823712647</t>
  </si>
  <si>
    <t>Jyllands rubin</t>
  </si>
  <si>
    <t>Vejlefjordbroen</t>
  </si>
  <si>
    <t>bro</t>
  </si>
  <si>
    <t>55.69906262861073, 9.572703832641666</t>
  </si>
  <si>
    <t>its a bridge over a fjord</t>
  </si>
  <si>
    <t>56.457126,10.0299577</t>
  </si>
  <si>
    <t>Large indoor zoo, very hot and humid, but many interesting animals.</t>
  </si>
  <si>
    <t>Dolce Vita</t>
  </si>
  <si>
    <t>Ice Cream Shop</t>
  </si>
  <si>
    <t>56.1802838,10.199354</t>
  </si>
  <si>
    <t>Very good ice cream.</t>
  </si>
  <si>
    <t>Studenterbaren</t>
  </si>
  <si>
    <t>56.171334603595234, 10.20029366840441</t>
  </si>
  <si>
    <t>Stevnsfortet</t>
  </si>
  <si>
    <t>55.264558,12.3684984</t>
  </si>
  <si>
    <t>A museum placed at a cold war era military installation</t>
  </si>
  <si>
    <t>Bogormen</t>
  </si>
  <si>
    <t>55.46564,8.4537231</t>
  </si>
  <si>
    <t>A vendor in Esbjerg selling vintage bops and bits like records, books, boardgames, etc.</t>
  </si>
  <si>
    <t>Oyisi Sushi</t>
  </si>
  <si>
    <t>56.1943684,10.1944196</t>
  </si>
  <si>
    <t>Good sushi.</t>
  </si>
  <si>
    <t>Subhuset</t>
  </si>
  <si>
    <t>Venue</t>
  </si>
  <si>
    <t>56.367263,8.6170479</t>
  </si>
  <si>
    <t>An underground, volunteer-driven, non-profit venue located in a defunct butchery plant</t>
  </si>
  <si>
    <t>Knuds Garage</t>
  </si>
  <si>
    <t>55.4896192,9.4725834</t>
  </si>
  <si>
    <t xml:space="preserve">Frederiksborg Slot </t>
  </si>
  <si>
    <t xml:space="preserve">Museum </t>
  </si>
  <si>
    <t>55.93510339327337, 12.301272396267702</t>
  </si>
  <si>
    <t xml:space="preserve">The National Historic Museum </t>
  </si>
  <si>
    <t>Grønvang Grill</t>
  </si>
  <si>
    <t>Ice Cream</t>
  </si>
  <si>
    <t>56.44888927464187, 10.06027991555099</t>
  </si>
  <si>
    <t>Best Ice Cream in Randers</t>
  </si>
  <si>
    <t>Icehockey Arena</t>
  </si>
  <si>
    <t>55.2510706,9.3095699</t>
  </si>
  <si>
    <t>Icehockey arena in Vojens, the home of Sønderjyske</t>
  </si>
  <si>
    <t>Borre Knob</t>
  </si>
  <si>
    <t>55.831776,10.018869</t>
  </si>
  <si>
    <t>Nice place to go for a walk on the southern part of Horsens Fjord</t>
  </si>
  <si>
    <t>Baggen</t>
  </si>
  <si>
    <t>ORALE!!!!</t>
  </si>
  <si>
    <t>55.66874299594239, 12.559773205158153</t>
  </si>
  <si>
    <t>Baggen?</t>
  </si>
  <si>
    <t>GURDEN</t>
  </si>
  <si>
    <t>ER DU EN GURDENKRIGER?? JEG ER EN GURDENKRIGER!! LAD OS RAMME!! GUUUUUURRRDDDEEEEEENNNNNN!!!!</t>
  </si>
  <si>
    <t>55.70369113731087, 12.55371551806654</t>
  </si>
  <si>
    <t>The Gurt (Sigurdsgade (en Dansebar)</t>
  </si>
  <si>
    <t>Rørbæk Sø</t>
  </si>
  <si>
    <t>55.9324217,9.3441676</t>
  </si>
  <si>
    <t>Nice place to go for a walk</t>
  </si>
  <si>
    <t>Havnens Café &amp; Isbar</t>
  </si>
  <si>
    <t>Icecream</t>
  </si>
  <si>
    <t>55.7139887,10.0137133</t>
  </si>
  <si>
    <t>Delicius icecream in Juelsminde</t>
  </si>
  <si>
    <t>Fyrkat</t>
  </si>
  <si>
    <t>56.62343237703906, 9.770178069198478</t>
  </si>
  <si>
    <t>Line</t>
  </si>
  <si>
    <t>city</t>
  </si>
  <si>
    <t>57.72537656079884, 10.572369965033687</t>
  </si>
  <si>
    <t>Beskyttelsesrum Hipsterhøjen, Aarhus</t>
  </si>
  <si>
    <t>cultural monument</t>
  </si>
  <si>
    <t>56.15857,10.21044</t>
  </si>
  <si>
    <t>Pubilc shelter built during the Korean War</t>
  </si>
  <si>
    <t>Rosanna</t>
  </si>
  <si>
    <t>Beskyttelsesrum Bogtårnet, Aarhus</t>
  </si>
  <si>
    <t>56.17047,10.19937</t>
  </si>
  <si>
    <t>Cold War shelter to protect regional cultural heritage. In peacetime used for storage for the University Library</t>
  </si>
  <si>
    <t>Beskyttelsesrum Busgaden, Aarhus</t>
  </si>
  <si>
    <t>56.15605,10.20613</t>
  </si>
  <si>
    <t>Aarhus' largest public shelter, parking agarage in peacetime</t>
  </si>
  <si>
    <t>Beskyttelsesrum Otto Benzonsvej</t>
  </si>
  <si>
    <t>56.16739,10.18795</t>
  </si>
  <si>
    <t>Small public shelter (50 persons)</t>
  </si>
  <si>
    <t>Queen Mary Statue</t>
  </si>
  <si>
    <t>55.68616630991015, 12.597241097429047</t>
  </si>
  <si>
    <t>Monument commemorating Danish colonial presence in the former Danish West Indies</t>
  </si>
  <si>
    <t>5_stars</t>
  </si>
  <si>
    <t>Thea</t>
  </si>
  <si>
    <t>Nordatlantens Brygge</t>
  </si>
  <si>
    <t>55.6778364983942, 12.596582970234918</t>
  </si>
  <si>
    <t>Cultural hub focusing on North Atlantic culture</t>
  </si>
  <si>
    <t>55.407861694956466, 10.380207912747183</t>
  </si>
  <si>
    <t>Skovby Kirke</t>
  </si>
  <si>
    <t>56.1569652,9.9446105</t>
  </si>
  <si>
    <t>School</t>
  </si>
  <si>
    <t>56.155259,9.9391803</t>
  </si>
  <si>
    <t>Sisters Party</t>
  </si>
  <si>
    <t>56.149862,9.9575603</t>
  </si>
  <si>
    <t>Party place</t>
  </si>
  <si>
    <t xml:space="preserve">Moms Party </t>
  </si>
  <si>
    <t>56.1333663,9.8915517</t>
  </si>
  <si>
    <t>My Party</t>
  </si>
  <si>
    <t>56.1500468,9.9581676</t>
  </si>
  <si>
    <t>Viborg Sygehus</t>
  </si>
  <si>
    <t>56.4457328,9.4040269</t>
  </si>
  <si>
    <t>Where I was born</t>
  </si>
  <si>
    <t>Søndermarksvej 8, 8800 Viborg</t>
  </si>
  <si>
    <t>56.4448791,9.3985731</t>
  </si>
  <si>
    <t>My first home</t>
  </si>
  <si>
    <t>Baptism</t>
  </si>
  <si>
    <t>56.4482137,9.4318566</t>
  </si>
  <si>
    <t>Daycare</t>
  </si>
  <si>
    <t>56.4409738,9.3905319</t>
  </si>
  <si>
    <t>Kindergarden</t>
  </si>
  <si>
    <t>56.4438353,9.3984403</t>
  </si>
  <si>
    <t>Kindergarten</t>
  </si>
  <si>
    <t>Vestre Skole</t>
  </si>
  <si>
    <t>56.452471,9.3956203</t>
  </si>
  <si>
    <t>Elementary school</t>
  </si>
  <si>
    <t>Italy, Lago di Garda</t>
  </si>
  <si>
    <t>45.5845447,10.7185345</t>
  </si>
  <si>
    <t>First holiday in Italy</t>
  </si>
  <si>
    <t>Croatia, Lanterna Camping</t>
  </si>
  <si>
    <t>45.297046,13.5921923</t>
  </si>
  <si>
    <t>First holiday in Croatia</t>
  </si>
  <si>
    <t>Trekronervej 128, 9620 Aalestrup</t>
  </si>
  <si>
    <t>56.64414,9.5280533</t>
  </si>
  <si>
    <t xml:space="preserve">My second home </t>
  </si>
  <si>
    <t>Møldrup Skole</t>
  </si>
  <si>
    <t>56.619154,9.4987307</t>
  </si>
  <si>
    <t>Second school</t>
  </si>
  <si>
    <t>Møldrup hallen</t>
  </si>
  <si>
    <t>Playing handball</t>
  </si>
  <si>
    <t>Møldrup fodboldbaner</t>
  </si>
  <si>
    <t>56.6196115,9.499066</t>
  </si>
  <si>
    <t>Playing football</t>
  </si>
  <si>
    <t>Astrid Lindgrens Värld, Sverige</t>
  </si>
  <si>
    <t>57.6742381,15.8404989</t>
  </si>
  <si>
    <t>First time in Sweden</t>
  </si>
  <si>
    <t>Disneyland, Paris, France</t>
  </si>
  <si>
    <t>48.8673858,2.7814043</t>
  </si>
  <si>
    <t>My first time in France</t>
  </si>
  <si>
    <t>Cruise, Thera, Greece</t>
  </si>
  <si>
    <t>36.4071334,25.3505909</t>
  </si>
  <si>
    <t>My first cruise</t>
  </si>
  <si>
    <t>Egypt, Hugarda</t>
  </si>
  <si>
    <t>27.2567633,33.8282866</t>
  </si>
  <si>
    <t>First time in Egypt</t>
  </si>
  <si>
    <t>Confirmation</t>
  </si>
  <si>
    <t>56.6702803,9.4851045</t>
  </si>
  <si>
    <t>Turkey</t>
  </si>
  <si>
    <t>27.9466924,34.278713</t>
  </si>
  <si>
    <t>First time in Turkey</t>
  </si>
  <si>
    <t>Viborg Gymnasium</t>
  </si>
  <si>
    <t>56.463585,9.4487803</t>
  </si>
  <si>
    <t>High School</t>
  </si>
  <si>
    <t>Houlkær Bageri</t>
  </si>
  <si>
    <t>Memories sharing pastry</t>
  </si>
  <si>
    <t>Jyske Bank</t>
  </si>
  <si>
    <t>56.4494806,9.4032565</t>
  </si>
  <si>
    <t>My first work</t>
  </si>
  <si>
    <t>Lidl</t>
  </si>
  <si>
    <t>56.4449005,9.3891067</t>
  </si>
  <si>
    <t>Job in gap year</t>
  </si>
  <si>
    <t>Maldives</t>
  </si>
  <si>
    <t>3.1024749,68.7289458</t>
  </si>
  <si>
    <t>Gap year</t>
  </si>
  <si>
    <t>Sri Lanka</t>
  </si>
  <si>
    <t>7.8516994,78.4556509</t>
  </si>
  <si>
    <t>Thailand</t>
  </si>
  <si>
    <t>13.6111017,94.7508411</t>
  </si>
  <si>
    <t>Qatar</t>
  </si>
  <si>
    <t>25.2646811,51.5681529</t>
  </si>
  <si>
    <t>Australia, Jerrabomberra</t>
  </si>
  <si>
    <t>-35.3801497,149.202997</t>
  </si>
  <si>
    <t>Gap year / working abroad</t>
  </si>
  <si>
    <t>Perisher Valley</t>
  </si>
  <si>
    <t>-36.4052829,148.3833114</t>
  </si>
  <si>
    <t>First (and last) time snowboarding</t>
  </si>
  <si>
    <t>New Zealand</t>
  </si>
  <si>
    <t>-40.5748934,166.0173195</t>
  </si>
  <si>
    <t>56.1552965,10.1780741</t>
  </si>
  <si>
    <t>Moved out from my parents and to Aarhus</t>
  </si>
  <si>
    <t>Aarhus University</t>
  </si>
  <si>
    <t>56.1724346,10.2033485</t>
  </si>
  <si>
    <t>Started university</t>
  </si>
  <si>
    <t xml:space="preserve">Ikea </t>
  </si>
  <si>
    <t>56.2030018,10.1788538</t>
  </si>
  <si>
    <t>Started job in Ikea</t>
  </si>
  <si>
    <t>r</t>
  </si>
  <si>
    <t>Three mounds</t>
  </si>
  <si>
    <t>56.2280642,10.7174371</t>
  </si>
  <si>
    <t>Cool mounds with sea view</t>
  </si>
  <si>
    <t>56.0887158,10.221313</t>
  </si>
  <si>
    <t>Nice museum</t>
  </si>
  <si>
    <t>55.6736871,12.5659584</t>
  </si>
  <si>
    <t>Amusement Park</t>
  </si>
  <si>
    <t>Church in Skovby</t>
  </si>
  <si>
    <t>Sdr. Felding</t>
  </si>
  <si>
    <t>55.9381974,8.7300809</t>
  </si>
  <si>
    <t>Village in Midtjylland</t>
  </si>
  <si>
    <t>Købstadsmuseum</t>
  </si>
  <si>
    <t>Studenterbaren Aarhus</t>
  </si>
  <si>
    <t>56.1720435,10.2002921</t>
  </si>
  <si>
    <t>Pub</t>
  </si>
  <si>
    <t>Caspers Home</t>
  </si>
  <si>
    <t>coxyness</t>
  </si>
  <si>
    <t>56.1323273,10.1465997</t>
  </si>
  <si>
    <t>The best place on earth</t>
  </si>
  <si>
    <t>Holstebro Gymnasie &amp; HF</t>
  </si>
  <si>
    <t>prison</t>
  </si>
  <si>
    <t>56.370411,8.6048592</t>
  </si>
  <si>
    <t>Holstebro gymansie</t>
  </si>
  <si>
    <t>Stars</t>
  </si>
  <si>
    <t>Randers Stadion</t>
  </si>
  <si>
    <t>56.4657089539835, 10.009485558539799</t>
  </si>
  <si>
    <t>Holy grail of Danish football</t>
  </si>
  <si>
    <t>Broca's Bodega</t>
  </si>
  <si>
    <t>56.1727164,10.2061572</t>
  </si>
  <si>
    <t>Best friday bar at in the world, located in the Nobel Park.</t>
  </si>
  <si>
    <t>Dejbjeg Golfklub</t>
  </si>
  <si>
    <t>55.998047,8.4682353</t>
  </si>
  <si>
    <t>Vestjyllands most pristine golf course</t>
  </si>
  <si>
    <t>Kridtgraven</t>
  </si>
  <si>
    <t>57.0436161,9.8756756</t>
  </si>
  <si>
    <t xml:space="preserve">Chalk grave </t>
  </si>
  <si>
    <t>55.6779618,12.5876764</t>
  </si>
  <si>
    <t>Freetown at Christianshavn</t>
  </si>
  <si>
    <t>Slåensø</t>
  </si>
  <si>
    <t>56.1230061,9.6101629</t>
  </si>
  <si>
    <t>The most beautiful lake in the Silkeborg area</t>
  </si>
  <si>
    <t>Thy</t>
  </si>
  <si>
    <t>56.979914117853006, 8.409491731201944</t>
  </si>
  <si>
    <t xml:space="preserve">Pure wilderness </t>
  </si>
  <si>
    <t>Grenen</t>
  </si>
  <si>
    <t>57.7436103,10.6365231</t>
  </si>
  <si>
    <t>Colliding seas</t>
  </si>
  <si>
    <t>Marselisborg Dyrehave (deerpark)</t>
  </si>
  <si>
    <t>56.12041,10.2177093</t>
  </si>
  <si>
    <t>Deer Park in Aarhus</t>
  </si>
  <si>
    <t>55.68901, 12.579734</t>
  </si>
  <si>
    <t>Great climbing tree</t>
  </si>
  <si>
    <t>57.7436103,10.6365232</t>
  </si>
  <si>
    <t>Top of DK</t>
  </si>
  <si>
    <t>Snogebæk, Bornholm</t>
  </si>
  <si>
    <t>hospitality</t>
  </si>
  <si>
    <t>55.024103, 15.116195</t>
  </si>
  <si>
    <t>Best softice on Bornholm</t>
  </si>
  <si>
    <t>Silkeborg</t>
  </si>
  <si>
    <t>56.1827476, 9.4256895</t>
  </si>
  <si>
    <t>Beautiful city with a lot of nature</t>
  </si>
  <si>
    <t>Glyptoteket</t>
  </si>
  <si>
    <t>55.672983, 12.5703543</t>
  </si>
  <si>
    <t>Museum with antique sculptures</t>
  </si>
  <si>
    <t>Bissensgade 1</t>
  </si>
  <si>
    <t>56.1546656, 10.1953078</t>
  </si>
  <si>
    <t>my home</t>
  </si>
  <si>
    <t>Blidsø</t>
  </si>
  <si>
    <t>56.0485137, 9.6609709</t>
  </si>
  <si>
    <t>caught a huge great northern pike!!!!!!!!</t>
  </si>
  <si>
    <t>Roskilde Domkirke</t>
  </si>
  <si>
    <t>55.6426377,12.0782604</t>
  </si>
  <si>
    <t xml:space="preserve">The coolest church in Denmark. It has the record for most dead royals buried within a single building.  </t>
  </si>
  <si>
    <t>56.2151424,10.5368877</t>
  </si>
  <si>
    <t>Beautiful National Park great for a day-hike</t>
  </si>
  <si>
    <t>LEGOLAND</t>
  </si>
  <si>
    <t>55.7333775,9.1249593</t>
  </si>
  <si>
    <t>Where parents come to slowly die while queing with their kids for a boring ride..</t>
  </si>
  <si>
    <t>Mighty nobel park</t>
  </si>
  <si>
    <t>56.1724346,10.2033486</t>
  </si>
  <si>
    <t xml:space="preserve">Wonderful place to study - some say, the greatest in all the world </t>
  </si>
  <si>
    <t>57.6963487,10.3581323</t>
  </si>
  <si>
    <t xml:space="preserve">A place with very cute baby seals </t>
  </si>
  <si>
    <t>54.984129,12.5437017</t>
  </si>
  <si>
    <t>Cliff in the Southern part of Denmark</t>
  </si>
  <si>
    <t>ARoS</t>
  </si>
  <si>
    <t>56.153922, 10.1975273</t>
  </si>
  <si>
    <t>Hundsemyre, Bornholm</t>
  </si>
  <si>
    <t>55.0307997, 15.1000274</t>
  </si>
  <si>
    <t>Nice swamp for going for a walk (remember rubber boots)</t>
  </si>
  <si>
    <t>MCH Arena</t>
  </si>
  <si>
    <t>56.1168488,8.9495426</t>
  </si>
  <si>
    <t xml:space="preserve">Wolf habitat.. A place where dreams come true! </t>
  </si>
  <si>
    <t>Susan Himmelblå</t>
  </si>
  <si>
    <t>57.0488889,9.9136446</t>
  </si>
  <si>
    <t>A great bar in Aalborg</t>
  </si>
  <si>
    <t>56.09513063364731, 10.51281752102004</t>
  </si>
  <si>
    <t>Fields, fields, and fields</t>
  </si>
  <si>
    <t>Stændertorvet, Roskilde</t>
  </si>
  <si>
    <t>55.641487,12.0788073</t>
  </si>
  <si>
    <t>Central plaza at Roskilde city. It has many nice cafés, thoug you do not want to leave your lunch alone for more than a minute, or the seagulls from the harbor will eat it. I am deadly serious.</t>
  </si>
  <si>
    <t>Agri Bavnehøj</t>
  </si>
  <si>
    <t>56.2285446,10.5296579</t>
  </si>
  <si>
    <t>greatest view in mols mountains</t>
  </si>
  <si>
    <t>Infinite Bridge</t>
  </si>
  <si>
    <t>56.1246662, 10.2161462</t>
  </si>
  <si>
    <t>The never-ending circular bridge</t>
  </si>
  <si>
    <t>Ebeltoft Gårdbryggeri</t>
  </si>
  <si>
    <t>56.1864053,10.5658076</t>
  </si>
  <si>
    <t>Excellent brewery + bar near Ebeltoft. Beautiful view of Danish fields and sea</t>
  </si>
  <si>
    <t>Djurs Sommerland</t>
  </si>
  <si>
    <t>56.4252157,10.5487792</t>
  </si>
  <si>
    <t>Fenomenal Summer park</t>
  </si>
  <si>
    <t>Carlsens Kvarter</t>
  </si>
  <si>
    <t>55.3908292,10.3860613</t>
  </si>
  <si>
    <t>The place to be if you want a great beer in Odense</t>
  </si>
  <si>
    <t>Sjælland</t>
  </si>
  <si>
    <t>55.463252, 11.721498</t>
  </si>
  <si>
    <t>Actual Denmark</t>
  </si>
  <si>
    <t>Botanisk Have</t>
  </si>
  <si>
    <t>56.1621736,10.1872971</t>
  </si>
  <si>
    <t>The botanical garden of Aarhus. Flowers and stuff</t>
  </si>
  <si>
    <t>Matematisk Kantine</t>
  </si>
  <si>
    <t>56.1666311,10.2002604</t>
  </si>
  <si>
    <t>A canteen that understands quantity over quality</t>
  </si>
  <si>
    <t>Himmelbjerget</t>
  </si>
  <si>
    <t>56.11712176162609, 9.711611389655623</t>
  </si>
  <si>
    <t>Ideal for camping in the company of cute martens</t>
  </si>
  <si>
    <t>Fjand</t>
  </si>
  <si>
    <t>Vacation house</t>
  </si>
  <si>
    <t>56.328661,8.1523593</t>
  </si>
  <si>
    <t>Best location for zoom meetings</t>
  </si>
  <si>
    <t>Arresø</t>
  </si>
  <si>
    <t>5.9771515,12.0414168</t>
  </si>
  <si>
    <t>large lake polluted in 1900</t>
  </si>
  <si>
    <t>Molslabaratoriet</t>
  </si>
  <si>
    <t>National park</t>
  </si>
  <si>
    <t>56.2258556,10.5708117</t>
  </si>
  <si>
    <t>Nice nature, cute horses and cows, rewilding project</t>
  </si>
  <si>
    <t>Rebild Bakker</t>
  </si>
  <si>
    <t>56.831689,9.8348412</t>
  </si>
  <si>
    <t>57.7481601,10.6322525</t>
  </si>
  <si>
    <t>Northernmost point of Jutland</t>
  </si>
  <si>
    <t>Windy</t>
  </si>
  <si>
    <t>Grærup beach</t>
  </si>
  <si>
    <t>55.6485444,8.1373206</t>
  </si>
  <si>
    <t>Nice wide beach.</t>
  </si>
  <si>
    <t>55.6441794,8.0874958</t>
  </si>
  <si>
    <t xml:space="preserve"> preserved villages on military training grounds</t>
  </si>
  <si>
    <t>Ry station</t>
  </si>
  <si>
    <t>56.0925452,9.7449905</t>
  </si>
  <si>
    <t xml:space="preserve">Startpoint for a hike to Silkeborg </t>
  </si>
  <si>
    <t>Gudensø</t>
  </si>
  <si>
    <t>56.060939,9.7423903</t>
  </si>
  <si>
    <t>Quote from visitor: "I did not think there were real forrest in Denmark til I visited this place"</t>
  </si>
  <si>
    <t>Skallerup Klit</t>
  </si>
  <si>
    <t>Vacation home</t>
  </si>
  <si>
    <t>57.4872219,9.8339629</t>
  </si>
  <si>
    <t>Vacation Home</t>
  </si>
  <si>
    <t>Læsø Kur</t>
  </si>
  <si>
    <t>Spa, bathing facility</t>
  </si>
  <si>
    <t>57.2876291,10.9163443</t>
  </si>
  <si>
    <t>Nice spa, located in an old church</t>
  </si>
  <si>
    <t>Tilst Bypark</t>
  </si>
  <si>
    <t>Public park</t>
  </si>
  <si>
    <t>56.1867962,10.0937753</t>
  </si>
  <si>
    <t>Tilst Disc Golf Course</t>
  </si>
  <si>
    <t>Vosnæs Pynt</t>
  </si>
  <si>
    <t>56.2726962,10.3659959</t>
  </si>
  <si>
    <t>Sea trouts</t>
  </si>
  <si>
    <t>Svanninge Bakker</t>
  </si>
  <si>
    <t>55.3772588,9.4186468</t>
  </si>
  <si>
    <t xml:space="preserve">De Fynske Alper. The Funish Alps. </t>
  </si>
  <si>
    <t>Hjarnø</t>
  </si>
  <si>
    <t>55.8257645,10.0699034</t>
  </si>
  <si>
    <t>Small island in Horsens Fjord</t>
  </si>
  <si>
    <t>Store Økssø</t>
  </si>
  <si>
    <t>56.8049063,9.8580488</t>
  </si>
  <si>
    <t>Horndrup</t>
  </si>
  <si>
    <t>56.0167989,9.8623515</t>
  </si>
  <si>
    <t>Shelters outside Skanderborg</t>
  </si>
  <si>
    <t xml:space="preserve">Padborg </t>
  </si>
  <si>
    <t>Train station</t>
  </si>
  <si>
    <t>54.8236291,9.3573904</t>
  </si>
  <si>
    <t>The closest thing to bliss in Denmark</t>
  </si>
  <si>
    <t>Bregninge Kirke</t>
  </si>
  <si>
    <t>55.0212286,10.6097379</t>
  </si>
  <si>
    <t>One can see the entirety of Sydfyn on a good day</t>
  </si>
  <si>
    <t>Stige Ø</t>
  </si>
  <si>
    <t>55.4405113,10.3480238</t>
  </si>
  <si>
    <t>Beautiful nature on top of a big wastefield</t>
  </si>
  <si>
    <t>Jelling Monuments</t>
  </si>
  <si>
    <t>55.7565694,9.4173826</t>
  </si>
  <si>
    <t>54.9787695,12.3883748</t>
  </si>
  <si>
    <t>55.6284645,9.2806231</t>
  </si>
  <si>
    <t>Skarø</t>
  </si>
  <si>
    <t>55.0094067,10.4545604</t>
  </si>
  <si>
    <t>Lovely people, great icecream</t>
  </si>
  <si>
    <t>Skæring beach</t>
  </si>
  <si>
    <t>56.2244723,10.300058</t>
  </si>
  <si>
    <t>Nice beach</t>
  </si>
  <si>
    <t xml:space="preserve">Mariager kirke </t>
  </si>
  <si>
    <t>56.6478349,9.9760273</t>
  </si>
  <si>
    <t xml:space="preserve">A really beautiful church </t>
  </si>
  <si>
    <t>56.1576105,10.1995768</t>
  </si>
  <si>
    <t>Vesterlauget, good beer</t>
  </si>
  <si>
    <t>Aarhus Universitet</t>
  </si>
  <si>
    <t>University building</t>
  </si>
  <si>
    <t>56.1728828,10.2063215</t>
  </si>
  <si>
    <t>Vikingeborgen Fyrkat</t>
  </si>
  <si>
    <t>56.6317638,9.7675998</t>
  </si>
  <si>
    <t xml:space="preserve">Viking Fortress Fyrkat in northern jutland </t>
  </si>
  <si>
    <t>Faxe Kalkbrud</t>
  </si>
  <si>
    <t>55.218412,12.0986043</t>
  </si>
  <si>
    <t>Møn</t>
  </si>
  <si>
    <t>55.0857232,12.2669409</t>
  </si>
  <si>
    <t>Hiking</t>
  </si>
  <si>
    <t>Trøjborg</t>
  </si>
  <si>
    <t>District</t>
  </si>
  <si>
    <t>56.1716544,10.2166632</t>
  </si>
  <si>
    <t>Bjørnø</t>
  </si>
  <si>
    <t>55.062678,10.2334107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</si>
</sst>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Consolas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onsolas"/>
      <family val="2"/>
    </font>
    <font>
      <sz val="10"/>
      <color theme="1"/>
      <name val="Consolas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&quot;Arial&quot;"/>
    </font>
    <font>
      <u/>
      <sz val="11"/>
      <color rgb="FF2244DD"/>
      <name val="Arial"/>
      <family val="2"/>
    </font>
    <font>
      <u/>
      <sz val="11"/>
      <color rgb="FF2244DD"/>
      <name val="-apple-system"/>
    </font>
    <font>
      <sz val="11"/>
      <color rgb="FF333333"/>
      <name val="Arial"/>
      <family val="2"/>
    </font>
    <font>
      <sz val="9"/>
      <color rgb="FF1A73E8"/>
      <name val="Roboto"/>
    </font>
    <font>
      <sz val="11"/>
      <color rgb="FF4D5156"/>
      <name val="Arial"/>
      <family val="2"/>
    </font>
    <font>
      <sz val="10"/>
      <color rgb="FF000000"/>
      <name val="Roboto"/>
    </font>
    <font>
      <sz val="9"/>
      <color rgb="FF1F1F1F"/>
      <name val="&quot;Google Sans&quot;"/>
    </font>
    <font>
      <sz val="10"/>
      <color rgb="FF202124"/>
      <name val="&quot;Google Sans&quot;"/>
    </font>
    <font>
      <sz val="10"/>
      <color rgb="FF202124"/>
      <name val="Arial"/>
      <family val="2"/>
    </font>
    <font>
      <sz val="11"/>
      <color rgb="FF001C3B"/>
      <name val="&quot;Google Sans&quot;"/>
    </font>
    <font>
      <sz val="11"/>
      <color rgb="FF333333"/>
      <name val="Inte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1F1F1F"/>
      <name val="&quot;Google Sans&quot;"/>
    </font>
    <font>
      <sz val="10"/>
      <color rgb="FF5E5E5E"/>
      <name val="Roboto"/>
    </font>
    <font>
      <sz val="10"/>
      <color rgb="FF000000"/>
      <name val="&quot;Google Sans&quot;"/>
    </font>
    <font>
      <u/>
      <sz val="11"/>
      <color rgb="FF5E5E5E"/>
      <name val="&quot;Google Sans&quot;"/>
    </font>
    <font>
      <sz val="11"/>
      <color rgb="FF000000"/>
      <name val="Arial"/>
      <family val="2"/>
    </font>
    <font>
      <sz val="12"/>
      <color rgb="FF000000"/>
      <name val="Roboto"/>
    </font>
    <font>
      <sz val="14"/>
      <color rgb="FF000000"/>
      <name val="&quot;Google Symbols&quot;"/>
    </font>
    <font>
      <u/>
      <sz val="9"/>
      <color rgb="FF0B57D0"/>
      <name val="&quot;Google Sans&quot;"/>
    </font>
    <font>
      <sz val="11"/>
      <color rgb="FF1F1F1F"/>
      <name val="&quot;Google Sans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8"/>
      <color rgb="FF222222"/>
      <name val="Arial"/>
      <family val="2"/>
    </font>
    <font>
      <sz val="9"/>
      <color rgb="FF000000"/>
      <name val="&quot;Google Sans Mono&quot;"/>
    </font>
    <font>
      <sz val="10"/>
      <color rgb="FF0000FF"/>
      <name val="&quot;Lucida Console&quot;"/>
    </font>
    <font>
      <sz val="11"/>
      <color rgb="FF4D5156"/>
      <name val="Roboto"/>
    </font>
    <font>
      <sz val="11"/>
      <color rgb="FF000000"/>
      <name val="Inconsolata"/>
    </font>
    <font>
      <sz val="10"/>
      <color rgb="FF000000"/>
      <name val="Docs-Roboto"/>
    </font>
    <font>
      <b/>
      <sz val="10"/>
      <color rgb="FF454545"/>
      <name val="Arial"/>
      <family val="2"/>
      <scheme val="minor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3" fontId="4" fillId="0" borderId="0" xfId="0" applyNumberFormat="1" applyFont="1" applyAlignment="1">
      <alignment horizontal="left"/>
    </xf>
    <xf numFmtId="0" fontId="7" fillId="0" borderId="0" xfId="0" applyFont="1"/>
    <xf numFmtId="0" fontId="7" fillId="2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4" borderId="0" xfId="0" applyFont="1" applyFill="1"/>
    <xf numFmtId="0" fontId="8" fillId="2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5" fillId="5" borderId="0" xfId="0" applyFont="1" applyFill="1"/>
    <xf numFmtId="0" fontId="16" fillId="5" borderId="0" xfId="0" applyFont="1" applyFill="1"/>
    <xf numFmtId="0" fontId="17" fillId="0" borderId="0" xfId="0" applyFont="1" applyAlignment="1">
      <alignment horizontal="left"/>
    </xf>
    <xf numFmtId="0" fontId="18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7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  <xf numFmtId="0" fontId="21" fillId="2" borderId="0" xfId="0" applyFont="1" applyFill="1" applyAlignment="1">
      <alignment horizontal="left"/>
    </xf>
    <xf numFmtId="0" fontId="22" fillId="2" borderId="0" xfId="0" applyFont="1" applyFill="1"/>
    <xf numFmtId="0" fontId="23" fillId="0" borderId="0" xfId="0" applyFont="1" applyAlignment="1">
      <alignment horizontal="left"/>
    </xf>
    <xf numFmtId="0" fontId="15" fillId="5" borderId="0" xfId="0" applyFont="1" applyFill="1" applyAlignment="1">
      <alignment horizontal="left"/>
    </xf>
    <xf numFmtId="0" fontId="24" fillId="5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6" fillId="5" borderId="0" xfId="0" applyFont="1" applyFill="1" applyAlignment="1">
      <alignment horizontal="center"/>
    </xf>
    <xf numFmtId="0" fontId="27" fillId="2" borderId="0" xfId="0" applyFont="1" applyFill="1"/>
    <xf numFmtId="0" fontId="28" fillId="2" borderId="0" xfId="0" applyFont="1" applyFill="1" applyAlignment="1">
      <alignment horizontal="center"/>
    </xf>
    <xf numFmtId="0" fontId="29" fillId="2" borderId="0" xfId="0" applyFont="1" applyFill="1"/>
    <xf numFmtId="0" fontId="30" fillId="5" borderId="0" xfId="0" applyFont="1" applyFill="1" applyAlignment="1">
      <alignment horizontal="left"/>
    </xf>
    <xf numFmtId="0" fontId="31" fillId="5" borderId="0" xfId="0" applyFont="1" applyFill="1" applyAlignment="1">
      <alignment horizontal="left"/>
    </xf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5" borderId="0" xfId="0" applyFont="1" applyFill="1"/>
    <xf numFmtId="0" fontId="37" fillId="5" borderId="0" xfId="0" applyFont="1" applyFill="1"/>
    <xf numFmtId="0" fontId="31" fillId="5" borderId="0" xfId="0" applyFont="1" applyFill="1"/>
    <xf numFmtId="0" fontId="7" fillId="0" borderId="0" xfId="0" applyFont="1" applyAlignment="1">
      <alignment horizontal="left"/>
    </xf>
    <xf numFmtId="0" fontId="22" fillId="0" borderId="0" xfId="0" applyFont="1"/>
    <xf numFmtId="0" fontId="38" fillId="5" borderId="0" xfId="0" applyFont="1" applyFill="1" applyAlignment="1">
      <alignment horizontal="left"/>
    </xf>
    <xf numFmtId="0" fontId="4" fillId="3" borderId="0" xfId="0" applyFont="1" applyFill="1"/>
    <xf numFmtId="0" fontId="1" fillId="0" borderId="0" xfId="0" applyFont="1" applyAlignment="1">
      <alignment horizontal="left"/>
    </xf>
    <xf numFmtId="0" fontId="1" fillId="6" borderId="0" xfId="0" applyFont="1" applyFill="1"/>
    <xf numFmtId="164" fontId="1" fillId="6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0" fontId="39" fillId="5" borderId="0" xfId="0" applyFont="1" applyFill="1"/>
    <xf numFmtId="0" fontId="7" fillId="6" borderId="0" xfId="0" applyFont="1" applyFill="1"/>
    <xf numFmtId="0" fontId="39" fillId="6" borderId="0" xfId="0" applyFont="1" applyFill="1"/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4" fontId="40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penstreetmap.org/" TargetMode="External"/><Relationship Id="rId1" Type="http://schemas.openxmlformats.org/officeDocument/2006/relationships/hyperlink" Target="https://www.openstreetmap.or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%C4%8Cesk%C3%A9_Bud%C4%9Bjovice" TargetMode="External"/><Relationship Id="rId3" Type="http://schemas.openxmlformats.org/officeDocument/2006/relationships/hyperlink" Target="https://www.sudomericeutabora.cz/o-obci/" TargetMode="External"/><Relationship Id="rId7" Type="http://schemas.openxmlformats.org/officeDocument/2006/relationships/hyperlink" Target="https://de.wikipedia.org/wiki/Vranovsk%C3%A1_Ves" TargetMode="External"/><Relationship Id="rId12" Type="http://schemas.openxmlformats.org/officeDocument/2006/relationships/hyperlink" Target="https://de.wikipedia.org/wiki/Chlum_Svat%C3%A9_Ma%C5%99%C3%AD" TargetMode="External"/><Relationship Id="rId2" Type="http://schemas.openxmlformats.org/officeDocument/2006/relationships/hyperlink" Target="https://de.wikipedia.org/wiki/Hor%C5%A1ovsk%C3%BD_T%C3%BDn" TargetMode="External"/><Relationship Id="rId1" Type="http://schemas.openxmlformats.org/officeDocument/2006/relationships/hyperlink" Target="https://de.wikipedia.org/wiki/M%C3%BDto_v_%C4%8Cech%C3%A1ch" TargetMode="External"/><Relationship Id="rId6" Type="http://schemas.openxmlformats.org/officeDocument/2006/relationships/hyperlink" Target="https://de.wikipedia.org/wiki/Jihlava" TargetMode="External"/><Relationship Id="rId11" Type="http://schemas.openxmlformats.org/officeDocument/2006/relationships/hyperlink" Target="https://de.wikipedia.org/wiki/Be%C4%8Dov_nad_Teplou" TargetMode="External"/><Relationship Id="rId5" Type="http://schemas.openxmlformats.org/officeDocument/2006/relationships/hyperlink" Target="https://de.wikipedia.org/wiki/%C5%A0toky" TargetMode="External"/><Relationship Id="rId10" Type="http://schemas.openxmlformats.org/officeDocument/2006/relationships/hyperlink" Target="https://de.wikipedia.org/wiki/Karlsbad" TargetMode="External"/><Relationship Id="rId4" Type="http://schemas.openxmlformats.org/officeDocument/2006/relationships/hyperlink" Target="https://de.wikipedia.org/wiki/Havl%C3%AD%C4%8Dk%C5%AFv_Brod" TargetMode="External"/><Relationship Id="rId9" Type="http://schemas.openxmlformats.org/officeDocument/2006/relationships/hyperlink" Target="https://de.wikipedia.org/wiki/Soko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/>
  </sheetViews>
  <sheetFormatPr baseColWidth="10" defaultColWidth="12.6640625" defaultRowHeight="15.75" customHeight="1"/>
  <cols>
    <col min="1" max="1" width="15" customWidth="1"/>
    <col min="3" max="3" width="20.83203125" customWidth="1"/>
  </cols>
  <sheetData>
    <row r="1" spans="1:2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13</v>
      </c>
      <c r="B3" s="6" t="s">
        <v>9</v>
      </c>
      <c r="C3" s="12" t="s">
        <v>14</v>
      </c>
      <c r="D3" s="8">
        <f ca="1">IFERROR(__xludf.DUMMYFUNCTION("SPLIT(C3,"","")"),55.6284615)</f>
        <v>55.6284615</v>
      </c>
      <c r="E3" s="11">
        <f ca="1">IFERROR(__xludf.DUMMYFUNCTION("""COMPUTED_VALUE"""),9.2806178)</f>
        <v>9.2806177999999999</v>
      </c>
      <c r="F3" s="11" t="s">
        <v>15</v>
      </c>
      <c r="G3" s="11">
        <v>1</v>
      </c>
    </row>
    <row r="4" spans="1:26">
      <c r="A4" s="11" t="s">
        <v>16</v>
      </c>
      <c r="B4" s="6" t="s">
        <v>17</v>
      </c>
      <c r="C4" s="12" t="s">
        <v>18</v>
      </c>
      <c r="D4" s="8">
        <f ca="1">IFERROR(__xludf.DUMMYFUNCTION("SPLIT(C4,"","")"),56.1600663)</f>
        <v>56.160066299999997</v>
      </c>
      <c r="E4" s="11">
        <f ca="1">IFERROR(__xludf.DUMMYFUNCTION("""COMPUTED_VALUE"""),10.2071595)</f>
        <v>10.207159499999999</v>
      </c>
      <c r="G4" s="11">
        <v>4</v>
      </c>
    </row>
    <row r="5" spans="1:26">
      <c r="A5" s="11" t="s">
        <v>19</v>
      </c>
      <c r="B5" s="6" t="s">
        <v>17</v>
      </c>
      <c r="C5" s="12" t="s">
        <v>20</v>
      </c>
      <c r="D5" s="8">
        <f ca="1">IFERROR(__xludf.DUMMYFUNCTION("SPLIT(C5,"","")"),56.1629429)</f>
        <v>56.162942899999997</v>
      </c>
      <c r="E5" s="11">
        <f ca="1">IFERROR(__xludf.DUMMYFUNCTION("""COMPUTED_VALUE"""),10.13143)</f>
        <v>10.13143</v>
      </c>
      <c r="F5" s="11" t="s">
        <v>21</v>
      </c>
    </row>
    <row r="6" spans="1:26">
      <c r="A6" s="11" t="s">
        <v>22</v>
      </c>
      <c r="B6" s="6" t="s">
        <v>23</v>
      </c>
      <c r="C6" s="12" t="s">
        <v>24</v>
      </c>
      <c r="D6" s="8">
        <f ca="1">IFERROR(__xludf.DUMMYFUNCTION("SPLIT(C6,"","")"),56.1247776)</f>
        <v>56.124777600000002</v>
      </c>
      <c r="E6" s="11">
        <f ca="1">IFERROR(__xludf.DUMMYFUNCTION("""COMPUTED_VALUE"""),10.2164328)</f>
        <v>10.2164328</v>
      </c>
    </row>
    <row r="7" spans="1:26">
      <c r="A7" s="11" t="s">
        <v>25</v>
      </c>
      <c r="B7" s="6" t="s">
        <v>17</v>
      </c>
      <c r="C7" s="12" t="s">
        <v>26</v>
      </c>
      <c r="D7" s="8">
        <f ca="1">IFERROR(__xludf.DUMMYFUNCTION("SPLIT(C7,"","")"),56.1596396)</f>
        <v>56.159639599999998</v>
      </c>
      <c r="E7" s="11">
        <f ca="1">IFERROR(__xludf.DUMMYFUNCTION("""COMPUTED_VALUE"""),10.2064371)</f>
        <v>10.2064371</v>
      </c>
      <c r="F7" s="11" t="s">
        <v>27</v>
      </c>
    </row>
    <row r="8" spans="1:26">
      <c r="A8" s="11" t="s">
        <v>28</v>
      </c>
      <c r="B8" s="6" t="s">
        <v>9</v>
      </c>
      <c r="C8" s="12" t="s">
        <v>29</v>
      </c>
      <c r="D8" s="8">
        <f ca="1">IFERROR(__xludf.DUMMYFUNCTION("SPLIT(C8,"","")"),56.0867844)</f>
        <v>56.086784399999999</v>
      </c>
      <c r="E8" s="11">
        <f ca="1">IFERROR(__xludf.DUMMYFUNCTION("""COMPUTED_VALUE"""),10.2418259)</f>
        <v>10.2418259</v>
      </c>
    </row>
    <row r="9" spans="1:26">
      <c r="A9" s="11" t="s">
        <v>30</v>
      </c>
      <c r="B9" s="6" t="s">
        <v>9</v>
      </c>
      <c r="C9" s="12" t="s">
        <v>31</v>
      </c>
      <c r="D9" s="8">
        <f ca="1">IFERROR(__xludf.DUMMYFUNCTION("SPLIT(C9,"","")"),55.5685898)</f>
        <v>55.568589799999998</v>
      </c>
      <c r="E9" s="11">
        <f ca="1">IFERROR(__xludf.DUMMYFUNCTION("""COMPUTED_VALUE"""),9.7535174)</f>
        <v>9.7535173999999998</v>
      </c>
      <c r="F9" s="11" t="s">
        <v>32</v>
      </c>
    </row>
    <row r="10" spans="1:26">
      <c r="A10" s="11" t="s">
        <v>33</v>
      </c>
      <c r="B10" s="6" t="s">
        <v>9</v>
      </c>
      <c r="C10" s="12" t="s">
        <v>34</v>
      </c>
      <c r="D10" s="8">
        <f ca="1">IFERROR(__xludf.DUMMYFUNCTION("SPLIT(C10,"","")"),56.8208508)</f>
        <v>56.820850800000002</v>
      </c>
      <c r="E10" s="11">
        <f ca="1">IFERROR(__xludf.DUMMYFUNCTION("""COMPUTED_VALUE"""),9.7934042)</f>
        <v>9.7934041999999994</v>
      </c>
      <c r="F10" s="11" t="s">
        <v>35</v>
      </c>
    </row>
    <row r="11" spans="1:26">
      <c r="A11" s="11" t="s">
        <v>36</v>
      </c>
      <c r="B11" s="6" t="s">
        <v>9</v>
      </c>
      <c r="C11" s="12" t="s">
        <v>37</v>
      </c>
      <c r="D11" s="8">
        <f ca="1">IFERROR(__xludf.DUMMYFUNCTION("SPLIT(C11,"","")"),56.1854662)</f>
        <v>56.1854662</v>
      </c>
      <c r="E11" s="11">
        <f ca="1">IFERROR(__xludf.DUMMYFUNCTION("""COMPUTED_VALUE"""),9.8719751)</f>
        <v>9.8719751000000002</v>
      </c>
      <c r="F11" s="11" t="s">
        <v>38</v>
      </c>
    </row>
    <row r="12" spans="1:26">
      <c r="A12" s="11" t="s">
        <v>39</v>
      </c>
      <c r="B12" s="6" t="s">
        <v>17</v>
      </c>
      <c r="C12" s="12" t="s">
        <v>40</v>
      </c>
      <c r="D12" s="8">
        <f ca="1">IFERROR(__xludf.DUMMYFUNCTION("SPLIT(C12,"","")"),56.17672)</f>
        <v>56.176720000000003</v>
      </c>
      <c r="E12" s="11">
        <f ca="1">IFERROR(__xludf.DUMMYFUNCTION("""COMPUTED_VALUE"""),10.2226783)</f>
        <v>10.2226783</v>
      </c>
      <c r="F12" s="11" t="s">
        <v>41</v>
      </c>
      <c r="G12" s="11">
        <v>4</v>
      </c>
    </row>
    <row r="13" spans="1:26">
      <c r="A13" s="11" t="s">
        <v>42</v>
      </c>
      <c r="B13" s="6" t="s">
        <v>43</v>
      </c>
      <c r="C13" s="12" t="s">
        <v>44</v>
      </c>
      <c r="D13" s="8">
        <f ca="1">IFERROR(__xludf.DUMMYFUNCTION("SPLIT(C13,"","")"),56.1117879)</f>
        <v>56.111787900000003</v>
      </c>
      <c r="E13" s="11">
        <f ca="1">IFERROR(__xludf.DUMMYFUNCTION("""COMPUTED_VALUE"""),9.6667916)</f>
        <v>9.6667915999999998</v>
      </c>
      <c r="F13" s="11" t="s">
        <v>45</v>
      </c>
      <c r="G13" s="11">
        <v>4</v>
      </c>
    </row>
    <row r="14" spans="1:26">
      <c r="A14" s="11" t="s">
        <v>46</v>
      </c>
      <c r="B14" s="6" t="s">
        <v>47</v>
      </c>
      <c r="C14" s="12" t="s">
        <v>48</v>
      </c>
      <c r="D14" s="8">
        <f ca="1">IFERROR(__xludf.DUMMYFUNCTION("SPLIT(C14,"","")"),55.1357849)</f>
        <v>55.135784899999997</v>
      </c>
      <c r="E14" s="11">
        <f ca="1">IFERROR(__xludf.DUMMYFUNCTION("""COMPUTED_VALUE"""),15.142311)</f>
        <v>15.142310999999999</v>
      </c>
      <c r="F14" s="11" t="s">
        <v>49</v>
      </c>
    </row>
    <row r="15" spans="1:26">
      <c r="A15" s="11" t="s">
        <v>50</v>
      </c>
      <c r="B15" s="6" t="s">
        <v>51</v>
      </c>
      <c r="C15" s="12" t="s">
        <v>52</v>
      </c>
      <c r="D15" s="8">
        <f ca="1">IFERROR(__xludf.DUMMYFUNCTION("SPLIT(C15,"","")"),56.1587826)</f>
        <v>56.158782600000002</v>
      </c>
      <c r="E15" s="11">
        <f ca="1">IFERROR(__xludf.DUMMYFUNCTION("""COMPUTED_VALUE"""),10.1899265)</f>
        <v>10.1899265</v>
      </c>
      <c r="F15" s="11" t="s">
        <v>53</v>
      </c>
    </row>
    <row r="16" spans="1:26">
      <c r="A16" s="11" t="s">
        <v>54</v>
      </c>
      <c r="B16" s="6" t="s">
        <v>17</v>
      </c>
      <c r="C16" s="12" t="s">
        <v>55</v>
      </c>
      <c r="D16" s="8">
        <f ca="1">IFERROR(__xludf.DUMMYFUNCTION("SPLIT(C16,"","")"),55.7355109)</f>
        <v>55.735510900000001</v>
      </c>
      <c r="E16" s="11">
        <f ca="1">IFERROR(__xludf.DUMMYFUNCTION("""COMPUTED_VALUE"""),9.1246159)</f>
        <v>9.1246159000000002</v>
      </c>
      <c r="F16" s="11" t="s">
        <v>56</v>
      </c>
    </row>
    <row r="17" spans="1:8">
      <c r="A17" s="11" t="s">
        <v>57</v>
      </c>
      <c r="B17" s="6" t="s">
        <v>9</v>
      </c>
      <c r="C17" s="12" t="s">
        <v>58</v>
      </c>
      <c r="D17" s="8">
        <f ca="1">IFERROR(__xludf.DUMMYFUNCTION("SPLIT(C17,"","")"),56.1962066)</f>
        <v>56.196206599999996</v>
      </c>
      <c r="E17" s="11">
        <f ca="1">IFERROR(__xludf.DUMMYFUNCTION("""COMPUTED_VALUE"""),10.6711691)</f>
        <v>10.6711691</v>
      </c>
      <c r="F17" s="11" t="s">
        <v>59</v>
      </c>
      <c r="G17" s="11">
        <v>4</v>
      </c>
      <c r="H17" s="11" t="s">
        <v>60</v>
      </c>
    </row>
    <row r="18" spans="1:8">
      <c r="A18" s="11" t="s">
        <v>61</v>
      </c>
      <c r="B18" s="6" t="s">
        <v>9</v>
      </c>
      <c r="C18" s="12" t="s">
        <v>62</v>
      </c>
      <c r="D18" s="8">
        <f ca="1">IFERROR(__xludf.DUMMYFUNCTION("SPLIT(C18,"","")"),56.1587522)</f>
        <v>56.158752200000002</v>
      </c>
      <c r="E18" s="11">
        <f ca="1">IFERROR(__xludf.DUMMYFUNCTION("""COMPUTED_VALUE"""),10.2082123)</f>
        <v>10.2082123</v>
      </c>
      <c r="F18" s="11" t="s">
        <v>63</v>
      </c>
    </row>
    <row r="19" spans="1:8">
      <c r="A19" s="11" t="s">
        <v>64</v>
      </c>
      <c r="B19" s="6" t="s">
        <v>43</v>
      </c>
      <c r="C19" s="12" t="s">
        <v>65</v>
      </c>
      <c r="D19" s="8">
        <f ca="1">IFERROR(__xludf.DUMMYFUNCTION("SPLIT(C19,"","")"),57.7430915)</f>
        <v>57.743091499999998</v>
      </c>
      <c r="E19" s="11">
        <f ca="1">IFERROR(__xludf.DUMMYFUNCTION("""COMPUTED_VALUE"""),10.6436888)</f>
        <v>10.6436888</v>
      </c>
      <c r="F19" s="11" t="s">
        <v>66</v>
      </c>
    </row>
    <row r="20" spans="1:8">
      <c r="A20" s="11" t="s">
        <v>67</v>
      </c>
      <c r="B20" s="6" t="s">
        <v>17</v>
      </c>
      <c r="C20" s="12" t="s">
        <v>68</v>
      </c>
      <c r="D20" s="8">
        <f ca="1">IFERROR(__xludf.DUMMYFUNCTION("SPLIT(C20,"","")"),56.161399)</f>
        <v>56.161399000000003</v>
      </c>
      <c r="E20" s="11">
        <f ca="1">IFERROR(__xludf.DUMMYFUNCTION("""COMPUTED_VALUE"""),10.2079132)</f>
        <v>10.2079132</v>
      </c>
      <c r="F20" s="11" t="s">
        <v>69</v>
      </c>
    </row>
    <row r="21" spans="1:8">
      <c r="A21" s="11" t="s">
        <v>70</v>
      </c>
      <c r="B21" s="6" t="s">
        <v>43</v>
      </c>
      <c r="C21" s="12" t="s">
        <v>71</v>
      </c>
      <c r="D21" s="8">
        <f ca="1">IFERROR(__xludf.DUMMYFUNCTION("SPLIT(C21,"","")"),55.9069344)</f>
        <v>55.906934399999997</v>
      </c>
      <c r="E21" s="11">
        <f ca="1">IFERROR(__xludf.DUMMYFUNCTION("""COMPUTED_VALUE"""),11.5169013)</f>
        <v>11.516901300000001</v>
      </c>
      <c r="F21" s="11" t="s">
        <v>72</v>
      </c>
    </row>
    <row r="22" spans="1:8">
      <c r="A22" s="11" t="s">
        <v>73</v>
      </c>
      <c r="B22" s="6" t="s">
        <v>9</v>
      </c>
      <c r="C22" s="12" t="s">
        <v>74</v>
      </c>
      <c r="D22" s="8">
        <f ca="1">IFERROR(__xludf.DUMMYFUNCTION("SPLIT(C22,"","")"),55.3336704)</f>
        <v>55.333670400000003</v>
      </c>
      <c r="E22" s="11">
        <f ca="1">IFERROR(__xludf.DUMMYFUNCTION("""COMPUTED_VALUE"""),10.9717117)</f>
        <v>10.9717117</v>
      </c>
      <c r="F22" s="11" t="s">
        <v>75</v>
      </c>
      <c r="G22" s="11">
        <v>2</v>
      </c>
    </row>
    <row r="23" spans="1:8">
      <c r="A23" s="11" t="s">
        <v>76</v>
      </c>
      <c r="B23" s="6" t="s">
        <v>9</v>
      </c>
      <c r="C23" s="12" t="s">
        <v>77</v>
      </c>
      <c r="D23" s="8">
        <f ca="1">IFERROR(__xludf.DUMMYFUNCTION("SPLIT(C23,"","")"),55.6738165)</f>
        <v>55.673816500000001</v>
      </c>
      <c r="E23" s="11">
        <f ca="1">IFERROR(__xludf.DUMMYFUNCTION("""COMPUTED_VALUE"""),12.5985903)</f>
        <v>12.5985903</v>
      </c>
      <c r="F23" s="11" t="s">
        <v>78</v>
      </c>
    </row>
    <row r="24" spans="1:8">
      <c r="A24" s="11" t="s">
        <v>79</v>
      </c>
      <c r="B24" s="6" t="s">
        <v>9</v>
      </c>
      <c r="C24" s="12" t="s">
        <v>80</v>
      </c>
      <c r="D24" s="8">
        <f ca="1">IFERROR(__xludf.DUMMYFUNCTION("SPLIT(C24,"","")"),56.1183751)</f>
        <v>56.118375100000002</v>
      </c>
      <c r="E24" s="11">
        <f ca="1">IFERROR(__xludf.DUMMYFUNCTION("""COMPUTED_VALUE"""),8.9501455)</f>
        <v>8.9501454999999996</v>
      </c>
      <c r="F24" s="11" t="s">
        <v>81</v>
      </c>
      <c r="H24" s="11" t="s">
        <v>82</v>
      </c>
    </row>
    <row r="25" spans="1:8">
      <c r="A25" s="11" t="s">
        <v>83</v>
      </c>
      <c r="B25" s="6" t="s">
        <v>43</v>
      </c>
      <c r="C25" s="12" t="s">
        <v>84</v>
      </c>
      <c r="D25" s="8">
        <f ca="1">IFERROR(__xludf.DUMMYFUNCTION("SPLIT(C25,"","")"),56.9584784)</f>
        <v>56.958478399999997</v>
      </c>
      <c r="E25" s="13">
        <f ca="1">IFERROR(__xludf.DUMMYFUNCTION("""COMPUTED_VALUE"""),8.3664659)</f>
        <v>8.3664658999999997</v>
      </c>
      <c r="F25" s="11" t="s">
        <v>85</v>
      </c>
    </row>
    <row r="26" spans="1:8">
      <c r="A26" s="11" t="s">
        <v>86</v>
      </c>
      <c r="B26" s="6" t="s">
        <v>17</v>
      </c>
      <c r="C26" s="12" t="s">
        <v>87</v>
      </c>
      <c r="D26" s="8">
        <f ca="1">IFERROR(__xludf.DUMMYFUNCTION("SPLIT(C26,"","")"),56.1577346)</f>
        <v>56.157734599999998</v>
      </c>
      <c r="E26" s="11">
        <f ca="1">IFERROR(__xludf.DUMMYFUNCTION("""COMPUTED_VALUE"""),10.2038688)</f>
        <v>10.2038688</v>
      </c>
      <c r="F26" s="11" t="s">
        <v>88</v>
      </c>
    </row>
    <row r="27" spans="1:8">
      <c r="A27" s="11" t="s">
        <v>89</v>
      </c>
      <c r="B27" s="6" t="s">
        <v>9</v>
      </c>
      <c r="C27" s="12" t="s">
        <v>90</v>
      </c>
      <c r="D27" s="8">
        <f ca="1">IFERROR(__xludf.DUMMYFUNCTION("SPLIT(C27,"","")"),55.6700633)</f>
        <v>55.670063300000002</v>
      </c>
      <c r="E27" s="11">
        <f ca="1">IFERROR(__xludf.DUMMYFUNCTION("""COMPUTED_VALUE"""),11.9408798)</f>
        <v>11.940879799999999</v>
      </c>
    </row>
    <row r="28" spans="1:8">
      <c r="A28" s="11" t="s">
        <v>91</v>
      </c>
      <c r="B28" s="6" t="s">
        <v>17</v>
      </c>
      <c r="C28" s="12" t="s">
        <v>92</v>
      </c>
      <c r="D28" s="8">
        <f ca="1">IFERROR(__xludf.DUMMYFUNCTION("SPLIT(C28,"","")"),55.2504831)</f>
        <v>55.250483099999997</v>
      </c>
      <c r="E28" s="11">
        <f ca="1">IFERROR(__xludf.DUMMYFUNCTION("""COMPUTED_VALUE"""),9.4831714)</f>
        <v>9.4831713999999998</v>
      </c>
      <c r="F28" s="11" t="s">
        <v>93</v>
      </c>
    </row>
    <row r="29" spans="1:8">
      <c r="A29" s="11" t="s">
        <v>94</v>
      </c>
      <c r="B29" s="6" t="s">
        <v>17</v>
      </c>
      <c r="C29" s="12" t="s">
        <v>95</v>
      </c>
      <c r="D29" s="8">
        <f ca="1">IFERROR(__xludf.DUMMYFUNCTION("SPLIT(C29,"","")"),55.474437)</f>
        <v>55.474437000000002</v>
      </c>
      <c r="E29" s="11">
        <f ca="1">IFERROR(__xludf.DUMMYFUNCTION("""COMPUTED_VALUE"""),9.1326326)</f>
        <v>9.1326326000000009</v>
      </c>
      <c r="F29" s="11" t="s">
        <v>96</v>
      </c>
    </row>
    <row r="30" spans="1:8">
      <c r="A30" s="11" t="s">
        <v>97</v>
      </c>
      <c r="B30" s="6" t="s">
        <v>9</v>
      </c>
      <c r="C30" s="12" t="s">
        <v>98</v>
      </c>
      <c r="D30" s="8">
        <f ca="1">IFERROR(__xludf.DUMMYFUNCTION("SPLIT(C30,"","")"),56.1574515)</f>
        <v>56.157451500000001</v>
      </c>
      <c r="E30" s="11">
        <f ca="1">IFERROR(__xludf.DUMMYFUNCTION("""COMPUTED_VALUE"""),10.2052362)</f>
        <v>10.2052362</v>
      </c>
    </row>
    <row r="31" spans="1:8">
      <c r="A31" s="11" t="s">
        <v>64</v>
      </c>
      <c r="B31" s="6" t="s">
        <v>47</v>
      </c>
      <c r="C31" s="12" t="s">
        <v>99</v>
      </c>
      <c r="D31" s="8">
        <f ca="1">IFERROR(__xludf.DUMMYFUNCTION("SPLIT(C31,"","")"),57.6963484)</f>
        <v>57.696348399999998</v>
      </c>
      <c r="E31" s="11">
        <f ca="1">IFERROR(__xludf.DUMMYFUNCTION("""COMPUTED_VALUE"""),10.3577893)</f>
        <v>10.3577893</v>
      </c>
    </row>
    <row r="32" spans="1:8">
      <c r="A32" s="11" t="s">
        <v>100</v>
      </c>
      <c r="B32" s="6" t="s">
        <v>17</v>
      </c>
      <c r="C32" s="12" t="s">
        <v>101</v>
      </c>
      <c r="D32" s="8">
        <f ca="1">IFERROR(__xludf.DUMMYFUNCTION("SPLIT(C32,"","")"),56.4147484)</f>
        <v>56.414748400000001</v>
      </c>
      <c r="E32" s="11">
        <f ca="1">IFERROR(__xludf.DUMMYFUNCTION("""COMPUTED_VALUE"""),9.8114913)</f>
        <v>9.8114913000000001</v>
      </c>
    </row>
    <row r="33" spans="1:8">
      <c r="A33" s="11" t="s">
        <v>102</v>
      </c>
      <c r="B33" s="6" t="s">
        <v>9</v>
      </c>
      <c r="C33" s="12" t="s">
        <v>103</v>
      </c>
      <c r="D33" s="8">
        <f ca="1">IFERROR(__xludf.DUMMYFUNCTION("SPLIT(C33,"","")"),57.3788604)</f>
        <v>57.378860400000001</v>
      </c>
      <c r="E33" s="11">
        <f ca="1">IFERROR(__xludf.DUMMYFUNCTION("""COMPUTED_VALUE"""),9.720357)</f>
        <v>9.7203569999999999</v>
      </c>
      <c r="F33" s="11" t="s">
        <v>104</v>
      </c>
      <c r="G33" s="11">
        <v>3</v>
      </c>
    </row>
    <row r="34" spans="1:8">
      <c r="A34" s="11" t="s">
        <v>105</v>
      </c>
      <c r="B34" s="6" t="s">
        <v>17</v>
      </c>
      <c r="C34" s="12" t="s">
        <v>106</v>
      </c>
      <c r="D34" s="8">
        <f ca="1">IFERROR(__xludf.DUMMYFUNCTION("SPLIT(C34,"","")"),55.4821298)</f>
        <v>55.482129800000003</v>
      </c>
      <c r="E34" s="11">
        <f ca="1">IFERROR(__xludf.DUMMYFUNCTION("""COMPUTED_VALUE"""),8.4343282)</f>
        <v>8.4343281999999995</v>
      </c>
      <c r="F34" s="11" t="s">
        <v>107</v>
      </c>
      <c r="G34" s="11">
        <v>3</v>
      </c>
    </row>
    <row r="35" spans="1:8">
      <c r="A35" s="11" t="s">
        <v>108</v>
      </c>
      <c r="B35" s="6" t="s">
        <v>43</v>
      </c>
      <c r="C35" s="12" t="s">
        <v>109</v>
      </c>
      <c r="D35" s="8">
        <f ca="1">IFERROR(__xludf.DUMMYFUNCTION("SPLIT(C35,"","")"),56.1735955)</f>
        <v>56.173595499999998</v>
      </c>
      <c r="E35" s="14">
        <f ca="1">IFERROR(__xludf.DUMMYFUNCTION("""COMPUTED_VALUE"""),10.3789191)</f>
        <v>10.378919099999999</v>
      </c>
      <c r="F35" s="11" t="s">
        <v>110</v>
      </c>
    </row>
    <row r="36" spans="1:8">
      <c r="A36" s="11" t="s">
        <v>111</v>
      </c>
      <c r="B36" s="6" t="s">
        <v>51</v>
      </c>
      <c r="C36" s="12" t="s">
        <v>112</v>
      </c>
      <c r="D36" s="8">
        <f ca="1">IFERROR(__xludf.DUMMYFUNCTION("SPLIT(C36,"","")"),55.0575849)</f>
        <v>55.057584900000002</v>
      </c>
      <c r="E36" s="11">
        <f ca="1">IFERROR(__xludf.DUMMYFUNCTION("""COMPUTED_VALUE"""),10.6166223)</f>
        <v>10.6166223</v>
      </c>
      <c r="F36" s="11" t="s">
        <v>113</v>
      </c>
      <c r="H36" s="11" t="s">
        <v>114</v>
      </c>
    </row>
    <row r="37" spans="1:8">
      <c r="A37" s="11" t="s">
        <v>115</v>
      </c>
      <c r="B37" s="6" t="s">
        <v>17</v>
      </c>
      <c r="C37" s="12" t="s">
        <v>116</v>
      </c>
      <c r="D37" s="8">
        <f ca="1">IFERROR(__xludf.DUMMYFUNCTION("SPLIT(C37,"","")"),56.1812218)</f>
        <v>56.181221800000003</v>
      </c>
      <c r="E37" s="11">
        <f ca="1">IFERROR(__xludf.DUMMYFUNCTION("""COMPUTED_VALUE"""),10.3770879)</f>
        <v>10.377087899999999</v>
      </c>
      <c r="F37" s="11" t="s">
        <v>117</v>
      </c>
      <c r="H37" s="11" t="s">
        <v>114</v>
      </c>
    </row>
    <row r="38" spans="1:8">
      <c r="A38" s="11" t="s">
        <v>118</v>
      </c>
      <c r="B38" s="6" t="s">
        <v>23</v>
      </c>
      <c r="C38" s="12" t="s">
        <v>119</v>
      </c>
      <c r="D38" s="8">
        <f ca="1">IFERROR(__xludf.DUMMYFUNCTION("SPLIT(C38,"","")"),56.1829922)</f>
        <v>56.182992200000001</v>
      </c>
      <c r="E38" s="11">
        <f ca="1">IFERROR(__xludf.DUMMYFUNCTION("""COMPUTED_VALUE"""),10.2211167)</f>
        <v>10.2211167</v>
      </c>
      <c r="F38" s="11" t="s">
        <v>120</v>
      </c>
    </row>
    <row r="39" spans="1:8">
      <c r="A39" s="11" t="s">
        <v>121</v>
      </c>
      <c r="B39" s="6" t="s">
        <v>43</v>
      </c>
      <c r="C39" s="12" t="s">
        <v>122</v>
      </c>
      <c r="D39" s="8">
        <f ca="1">IFERROR(__xludf.DUMMYFUNCTION("SPLIT(C39,"","")"),56.1791115)</f>
        <v>56.179111499999998</v>
      </c>
      <c r="E39" s="11">
        <f ca="1">IFERROR(__xludf.DUMMYFUNCTION("""COMPUTED_VALUE"""),10.3776511)</f>
        <v>10.3776511</v>
      </c>
      <c r="F39" s="11" t="s">
        <v>123</v>
      </c>
      <c r="H39" s="11" t="s">
        <v>114</v>
      </c>
    </row>
    <row r="40" spans="1:8">
      <c r="B40" s="6" t="s">
        <v>9</v>
      </c>
      <c r="C40" s="12" t="s">
        <v>122</v>
      </c>
      <c r="D40" s="8"/>
    </row>
    <row r="41" spans="1:8">
      <c r="B41" s="6" t="s">
        <v>9</v>
      </c>
      <c r="C41" s="12"/>
      <c r="D41" s="8" t="str">
        <f ca="1">IFERROR(__xludf.DUMMYFUNCTION("SPLIT(C41,"","")"),"#VALUE!")</f>
        <v>#VALUE!</v>
      </c>
    </row>
    <row r="42" spans="1:8">
      <c r="B42" s="6" t="s">
        <v>9</v>
      </c>
      <c r="C42" s="12"/>
      <c r="D42" s="8" t="str">
        <f ca="1">IFERROR(__xludf.DUMMYFUNCTION("SPLIT(C42,"","")"),"#VALUE!")</f>
        <v>#VALUE!</v>
      </c>
    </row>
    <row r="43" spans="1:8">
      <c r="B43" s="6" t="s">
        <v>9</v>
      </c>
      <c r="C43" s="12"/>
      <c r="D43" s="8" t="str">
        <f ca="1">IFERROR(__xludf.DUMMYFUNCTION("SPLIT(C43,"","")"),"#VALUE!")</f>
        <v>#VALUE!</v>
      </c>
    </row>
    <row r="44" spans="1:8">
      <c r="B44" s="6" t="s">
        <v>9</v>
      </c>
      <c r="C44" s="12"/>
      <c r="D44" s="8" t="str">
        <f ca="1">IFERROR(__xludf.DUMMYFUNCTION("SPLIT(C44,"","")"),"#VALUE!")</f>
        <v>#VALUE!</v>
      </c>
    </row>
    <row r="45" spans="1:8">
      <c r="B45" s="6" t="s">
        <v>9</v>
      </c>
      <c r="C45" s="12"/>
      <c r="D45" s="8" t="str">
        <f ca="1">IFERROR(__xludf.DUMMYFUNCTION("SPLIT(C45,"","")"),"#VALUE!")</f>
        <v>#VALUE!</v>
      </c>
    </row>
    <row r="46" spans="1:8">
      <c r="B46" s="6" t="s">
        <v>9</v>
      </c>
      <c r="C46" s="12"/>
      <c r="D46" s="8" t="str">
        <f ca="1">IFERROR(__xludf.DUMMYFUNCTION("SPLIT(C46,"","")"),"#VALUE!")</f>
        <v>#VALUE!</v>
      </c>
    </row>
    <row r="47" spans="1:8">
      <c r="B47" s="6" t="s">
        <v>9</v>
      </c>
      <c r="C47" s="12"/>
      <c r="D47" s="8" t="str">
        <f ca="1">IFERROR(__xludf.DUMMYFUNCTION("SPLIT(C47,"","")"),"#VALUE!")</f>
        <v>#VALUE!</v>
      </c>
    </row>
    <row r="48" spans="1:8">
      <c r="B48" s="6" t="s">
        <v>9</v>
      </c>
      <c r="C48" s="12"/>
      <c r="D48" s="8" t="str">
        <f ca="1">IFERROR(__xludf.DUMMYFUNCTION("SPLIT(C48,"","")"),"#VALUE!")</f>
        <v>#VALUE!</v>
      </c>
    </row>
    <row r="49" spans="2:4">
      <c r="B49" s="6" t="s">
        <v>9</v>
      </c>
      <c r="C49" s="12"/>
      <c r="D49" s="8" t="str">
        <f ca="1">IFERROR(__xludf.DUMMYFUNCTION("SPLIT(C49,"","")"),"#VALUE!")</f>
        <v>#VALUE!</v>
      </c>
    </row>
    <row r="50" spans="2:4">
      <c r="B50" s="6" t="s">
        <v>9</v>
      </c>
      <c r="C50" s="12"/>
      <c r="D50" s="8" t="str">
        <f ca="1">IFERROR(__xludf.DUMMYFUNCTION("SPLIT(C50,"","")"),"#VALUE!")</f>
        <v>#VALUE!</v>
      </c>
    </row>
    <row r="51" spans="2:4">
      <c r="B51" s="6" t="s">
        <v>9</v>
      </c>
      <c r="C51" s="12"/>
      <c r="D51" s="8" t="str">
        <f ca="1">IFERROR(__xludf.DUMMYFUNCTION("SPLIT(C51,"","")"),"#VALUE!")</f>
        <v>#VALUE!</v>
      </c>
    </row>
    <row r="52" spans="2:4">
      <c r="B52" s="6" t="s">
        <v>9</v>
      </c>
      <c r="C52" s="12"/>
      <c r="D52" s="8" t="str">
        <f ca="1">IFERROR(__xludf.DUMMYFUNCTION("SPLIT(C52,"","")"),"#VALUE!")</f>
        <v>#VALUE!</v>
      </c>
    </row>
    <row r="53" spans="2:4">
      <c r="B53" s="6" t="s">
        <v>9</v>
      </c>
      <c r="C53" s="12"/>
      <c r="D53" s="8" t="str">
        <f ca="1">IFERROR(__xludf.DUMMYFUNCTION("SPLIT(C53,"","")"),"#VALUE!")</f>
        <v>#VALUE!</v>
      </c>
    </row>
    <row r="54" spans="2:4">
      <c r="B54" s="6" t="s">
        <v>9</v>
      </c>
      <c r="C54" s="12"/>
      <c r="D54" s="8" t="str">
        <f ca="1">IFERROR(__xludf.DUMMYFUNCTION("SPLIT(C54,"","")"),"#VALUE!")</f>
        <v>#VALUE!</v>
      </c>
    </row>
    <row r="55" spans="2:4">
      <c r="B55" s="6" t="s">
        <v>9</v>
      </c>
      <c r="C55" s="12"/>
      <c r="D55" s="8" t="str">
        <f ca="1">IFERROR(__xludf.DUMMYFUNCTION("SPLIT(C55,"","")"),"#VALUE!")</f>
        <v>#VALUE!</v>
      </c>
    </row>
    <row r="56" spans="2:4">
      <c r="B56" s="6" t="s">
        <v>9</v>
      </c>
      <c r="C56" s="12"/>
      <c r="D56" s="8" t="str">
        <f ca="1">IFERROR(__xludf.DUMMYFUNCTION("SPLIT(C56,"","")"),"#VALUE!")</f>
        <v>#VALUE!</v>
      </c>
    </row>
    <row r="57" spans="2:4">
      <c r="B57" s="6" t="s">
        <v>9</v>
      </c>
      <c r="C57" s="12"/>
      <c r="D57" s="8" t="str">
        <f ca="1">IFERROR(__xludf.DUMMYFUNCTION("SPLIT(C57,"","")"),"#VALUE!")</f>
        <v>#VALUE!</v>
      </c>
    </row>
    <row r="58" spans="2:4" ht="15.75" customHeight="1">
      <c r="B58" s="6" t="s">
        <v>9</v>
      </c>
      <c r="C58" s="12"/>
    </row>
    <row r="59" spans="2:4" ht="15.75" customHeight="1">
      <c r="B59" s="6" t="s">
        <v>9</v>
      </c>
      <c r="C59" s="12"/>
    </row>
    <row r="60" spans="2:4" ht="15.75" customHeight="1">
      <c r="B60" s="6" t="s">
        <v>9</v>
      </c>
      <c r="C60" s="12"/>
    </row>
    <row r="61" spans="2:4" ht="15.75" customHeight="1">
      <c r="B61" s="6" t="s">
        <v>9</v>
      </c>
      <c r="C61" s="12"/>
    </row>
    <row r="62" spans="2:4" ht="15.75" customHeight="1">
      <c r="C62" s="12"/>
    </row>
    <row r="63" spans="2:4" ht="15.75" customHeight="1">
      <c r="C63" s="12"/>
    </row>
    <row r="64" spans="2:4" ht="15.75" customHeight="1">
      <c r="C64" s="12"/>
    </row>
    <row r="65" spans="3:3" ht="15.75" customHeight="1">
      <c r="C65" s="12"/>
    </row>
    <row r="66" spans="3:3" ht="15.75" customHeight="1">
      <c r="C66" s="12"/>
    </row>
    <row r="67" spans="3:3" ht="15.75" customHeight="1">
      <c r="C67" s="12"/>
    </row>
    <row r="68" spans="3:3" ht="15.75" customHeight="1">
      <c r="C68" s="12"/>
    </row>
    <row r="69" spans="3:3" ht="15.75" customHeight="1">
      <c r="C69" s="12"/>
    </row>
    <row r="70" spans="3:3" ht="15.75" customHeight="1">
      <c r="C70" s="12"/>
    </row>
    <row r="71" spans="3:3" ht="15.75" customHeight="1">
      <c r="C71" s="12"/>
    </row>
    <row r="72" spans="3:3" ht="15.75" customHeight="1">
      <c r="C72" s="12"/>
    </row>
    <row r="73" spans="3:3" ht="15.75" customHeight="1">
      <c r="C73" s="12"/>
    </row>
    <row r="74" spans="3:3" ht="15.75" customHeight="1">
      <c r="C74" s="12"/>
    </row>
    <row r="75" spans="3:3" ht="15.75" customHeight="1">
      <c r="C75" s="12"/>
    </row>
    <row r="76" spans="3:3" ht="15.75" customHeight="1">
      <c r="C76" s="12"/>
    </row>
    <row r="77" spans="3:3" ht="15.75" customHeight="1">
      <c r="C77" s="12"/>
    </row>
    <row r="78" spans="3:3" ht="15.75" customHeight="1">
      <c r="C78" s="12"/>
    </row>
    <row r="79" spans="3:3" ht="15.75" customHeight="1">
      <c r="C79" s="12"/>
    </row>
    <row r="80" spans="3:3" ht="15.75" customHeight="1">
      <c r="C80" s="12"/>
    </row>
    <row r="81" spans="3:3" ht="15.75" customHeight="1">
      <c r="C81" s="12"/>
    </row>
    <row r="82" spans="3:3" ht="15.75" customHeight="1">
      <c r="C82" s="12"/>
    </row>
    <row r="83" spans="3:3" ht="15.75" customHeight="1">
      <c r="C83" s="12"/>
    </row>
    <row r="84" spans="3:3" ht="15.75" customHeight="1">
      <c r="C84" s="12"/>
    </row>
    <row r="85" spans="3:3" ht="15.75" customHeight="1">
      <c r="C85" s="12"/>
    </row>
    <row r="86" spans="3:3" ht="15.75" customHeight="1">
      <c r="C86" s="12"/>
    </row>
    <row r="87" spans="3:3" ht="15.75" customHeight="1">
      <c r="C87" s="12"/>
    </row>
    <row r="88" spans="3:3" ht="15.75" customHeight="1">
      <c r="C88" s="12"/>
    </row>
    <row r="89" spans="3:3" ht="15.75" customHeight="1">
      <c r="C89" s="12"/>
    </row>
    <row r="90" spans="3:3" ht="15.75" customHeight="1">
      <c r="C90" s="12"/>
    </row>
    <row r="91" spans="3:3" ht="15.75" customHeight="1">
      <c r="C91" s="12"/>
    </row>
    <row r="92" spans="3:3" ht="15.75" customHeight="1">
      <c r="C92" s="12"/>
    </row>
    <row r="93" spans="3:3" ht="15.75" customHeight="1">
      <c r="C93" s="12"/>
    </row>
    <row r="94" spans="3:3" ht="15.75" customHeight="1">
      <c r="C94" s="12"/>
    </row>
    <row r="95" spans="3:3" ht="15.75" customHeight="1">
      <c r="C95" s="12"/>
    </row>
    <row r="96" spans="3:3" ht="15.75" customHeight="1">
      <c r="C96" s="12"/>
    </row>
    <row r="97" spans="3:3" ht="15.75" customHeight="1">
      <c r="C97" s="12"/>
    </row>
    <row r="98" spans="3:3" ht="15.75" customHeight="1">
      <c r="C98" s="12"/>
    </row>
    <row r="99" spans="3:3" ht="15.75" customHeight="1">
      <c r="C99" s="12"/>
    </row>
    <row r="100" spans="3:3" ht="15.75" customHeight="1">
      <c r="C100" s="12"/>
    </row>
    <row r="101" spans="3:3" ht="15.75" customHeight="1">
      <c r="C101" s="12"/>
    </row>
    <row r="102" spans="3:3" ht="15.75" customHeight="1">
      <c r="C102" s="12"/>
    </row>
    <row r="103" spans="3:3" ht="15.75" customHeight="1">
      <c r="C103" s="12"/>
    </row>
    <row r="104" spans="3:3" ht="15.75" customHeight="1">
      <c r="C104" s="12"/>
    </row>
    <row r="105" spans="3:3" ht="15.75" customHeight="1">
      <c r="C105" s="12"/>
    </row>
    <row r="106" spans="3:3" ht="15.75" customHeight="1">
      <c r="C106" s="12"/>
    </row>
    <row r="107" spans="3:3" ht="15.75" customHeight="1">
      <c r="C107" s="12"/>
    </row>
    <row r="108" spans="3:3" ht="15.75" customHeight="1">
      <c r="C108" s="12"/>
    </row>
    <row r="109" spans="3:3" ht="15.75" customHeight="1">
      <c r="C109" s="12"/>
    </row>
    <row r="110" spans="3:3" ht="15.75" customHeight="1">
      <c r="C110" s="12"/>
    </row>
    <row r="111" spans="3:3" ht="15.75" customHeight="1">
      <c r="C111" s="12"/>
    </row>
    <row r="112" spans="3:3" ht="15.75" customHeight="1">
      <c r="C112" s="12"/>
    </row>
    <row r="113" spans="3:3" ht="15.75" customHeight="1">
      <c r="C113" s="12"/>
    </row>
    <row r="114" spans="3:3" ht="15.75" customHeight="1">
      <c r="C114" s="12"/>
    </row>
    <row r="115" spans="3:3" ht="15.75" customHeight="1">
      <c r="C115" s="12"/>
    </row>
    <row r="116" spans="3:3" ht="15.75" customHeight="1">
      <c r="C116" s="12"/>
    </row>
    <row r="117" spans="3:3" ht="15.75" customHeight="1">
      <c r="C117" s="12"/>
    </row>
    <row r="118" spans="3:3" ht="15.75" customHeight="1">
      <c r="C118" s="12"/>
    </row>
    <row r="119" spans="3:3" ht="15.75" customHeight="1">
      <c r="C119" s="12"/>
    </row>
    <row r="120" spans="3:3" ht="15.75" customHeight="1">
      <c r="C120" s="12"/>
    </row>
    <row r="121" spans="3:3" ht="15.75" customHeight="1">
      <c r="C121" s="12"/>
    </row>
    <row r="122" spans="3:3" ht="15.75" customHeight="1">
      <c r="C122" s="12"/>
    </row>
    <row r="123" spans="3:3" ht="15.75" customHeight="1">
      <c r="C123" s="12"/>
    </row>
    <row r="124" spans="3:3" ht="15.75" customHeight="1">
      <c r="C124" s="12"/>
    </row>
    <row r="125" spans="3:3" ht="15.75" customHeight="1">
      <c r="C125" s="12"/>
    </row>
    <row r="126" spans="3:3" ht="15.75" customHeight="1">
      <c r="C126" s="12"/>
    </row>
    <row r="127" spans="3:3" ht="15.75" customHeight="1">
      <c r="C127" s="12"/>
    </row>
    <row r="128" spans="3:3" ht="15.75" customHeight="1">
      <c r="C128" s="12"/>
    </row>
    <row r="129" spans="3:3" ht="15.75" customHeight="1">
      <c r="C129" s="12"/>
    </row>
    <row r="130" spans="3:3" ht="15.75" customHeight="1">
      <c r="C130" s="12"/>
    </row>
    <row r="131" spans="3:3" ht="15.75" customHeight="1">
      <c r="C131" s="12"/>
    </row>
    <row r="132" spans="3:3" ht="15.75" customHeight="1">
      <c r="C132" s="12"/>
    </row>
    <row r="133" spans="3:3" ht="15.75" customHeight="1">
      <c r="C133" s="12"/>
    </row>
    <row r="134" spans="3:3" ht="15.75" customHeight="1">
      <c r="C134" s="12"/>
    </row>
    <row r="135" spans="3:3" ht="15.75" customHeight="1">
      <c r="C135" s="12"/>
    </row>
    <row r="136" spans="3:3" ht="15.75" customHeight="1">
      <c r="C136" s="12"/>
    </row>
    <row r="137" spans="3:3" ht="15.75" customHeight="1">
      <c r="C137" s="12"/>
    </row>
    <row r="138" spans="3:3" ht="15.75" customHeight="1">
      <c r="C138" s="12"/>
    </row>
    <row r="139" spans="3:3" ht="15.75" customHeight="1">
      <c r="C139" s="12"/>
    </row>
    <row r="140" spans="3:3" ht="15.75" customHeight="1">
      <c r="C140" s="12"/>
    </row>
    <row r="141" spans="3:3" ht="15.75" customHeight="1">
      <c r="C141" s="12"/>
    </row>
    <row r="142" spans="3:3" ht="15.75" customHeight="1">
      <c r="C142" s="12"/>
    </row>
    <row r="143" spans="3:3" ht="15.75" customHeight="1">
      <c r="C143" s="12"/>
    </row>
    <row r="144" spans="3:3" ht="15.75" customHeight="1">
      <c r="C144" s="12"/>
    </row>
    <row r="145" spans="3:3" ht="15.75" customHeight="1">
      <c r="C145" s="12"/>
    </row>
    <row r="146" spans="3:3" ht="15.75" customHeight="1">
      <c r="C146" s="12"/>
    </row>
    <row r="147" spans="3:3" ht="15.75" customHeight="1">
      <c r="C147" s="12"/>
    </row>
    <row r="148" spans="3:3" ht="15.75" customHeight="1">
      <c r="C148" s="12"/>
    </row>
    <row r="149" spans="3:3" ht="15.75" customHeight="1">
      <c r="C149" s="12"/>
    </row>
    <row r="150" spans="3:3" ht="15.75" customHeight="1">
      <c r="C150" s="12"/>
    </row>
    <row r="151" spans="3:3" ht="15.75" customHeight="1">
      <c r="C151" s="12"/>
    </row>
    <row r="152" spans="3:3" ht="15.75" customHeight="1">
      <c r="C152" s="12"/>
    </row>
    <row r="153" spans="3:3" ht="15.75" customHeight="1">
      <c r="C153" s="12"/>
    </row>
    <row r="154" spans="3:3" ht="15.75" customHeight="1">
      <c r="C154" s="12"/>
    </row>
    <row r="155" spans="3:3" ht="15.75" customHeight="1">
      <c r="C155" s="12"/>
    </row>
    <row r="156" spans="3:3" ht="15.75" customHeight="1">
      <c r="C156" s="12"/>
    </row>
    <row r="157" spans="3:3" ht="15.75" customHeight="1">
      <c r="C157" s="12"/>
    </row>
    <row r="158" spans="3:3" ht="15.75" customHeight="1">
      <c r="C158" s="12"/>
    </row>
    <row r="159" spans="3:3" ht="15.75" customHeight="1">
      <c r="C159" s="12"/>
    </row>
    <row r="160" spans="3:3" ht="15.75" customHeight="1">
      <c r="C160" s="12"/>
    </row>
    <row r="161" spans="3:3" ht="15.75" customHeight="1">
      <c r="C161" s="12"/>
    </row>
    <row r="162" spans="3:3" ht="15.75" customHeight="1">
      <c r="C162" s="12"/>
    </row>
    <row r="163" spans="3:3" ht="15.75" customHeight="1">
      <c r="C163" s="12"/>
    </row>
    <row r="164" spans="3:3" ht="15.75" customHeight="1">
      <c r="C164" s="12"/>
    </row>
    <row r="165" spans="3:3" ht="15.75" customHeight="1">
      <c r="C165" s="12"/>
    </row>
    <row r="166" spans="3:3" ht="15.75" customHeight="1">
      <c r="C166" s="12"/>
    </row>
    <row r="167" spans="3:3" ht="15.75" customHeight="1">
      <c r="C167" s="12"/>
    </row>
    <row r="168" spans="3:3" ht="15.75" customHeight="1">
      <c r="C168" s="12"/>
    </row>
    <row r="169" spans="3:3" ht="15.75" customHeight="1">
      <c r="C169" s="12"/>
    </row>
    <row r="170" spans="3:3" ht="15.75" customHeight="1">
      <c r="C170" s="12"/>
    </row>
    <row r="171" spans="3:3" ht="15.75" customHeight="1">
      <c r="C171" s="12"/>
    </row>
    <row r="172" spans="3:3" ht="15.75" customHeight="1">
      <c r="C172" s="12"/>
    </row>
    <row r="173" spans="3:3" ht="15.75" customHeight="1">
      <c r="C173" s="12"/>
    </row>
    <row r="174" spans="3:3" ht="15.75" customHeight="1">
      <c r="C174" s="12"/>
    </row>
    <row r="175" spans="3:3" ht="15.75" customHeight="1">
      <c r="C175" s="12"/>
    </row>
    <row r="176" spans="3:3" ht="15.75" customHeight="1">
      <c r="C176" s="12"/>
    </row>
    <row r="177" spans="3:3" ht="15.75" customHeight="1">
      <c r="C177" s="12"/>
    </row>
    <row r="178" spans="3:3" ht="15.75" customHeight="1">
      <c r="C178" s="12"/>
    </row>
    <row r="179" spans="3:3" ht="15.75" customHeight="1">
      <c r="C179" s="12"/>
    </row>
    <row r="180" spans="3:3" ht="15.75" customHeight="1">
      <c r="C180" s="12"/>
    </row>
    <row r="181" spans="3:3" ht="15.75" customHeight="1">
      <c r="C181" s="12"/>
    </row>
    <row r="182" spans="3:3" ht="15.75" customHeight="1">
      <c r="C182" s="12"/>
    </row>
    <row r="183" spans="3:3" ht="15.75" customHeight="1">
      <c r="C183" s="12"/>
    </row>
    <row r="184" spans="3:3" ht="15.75" customHeight="1">
      <c r="C184" s="12"/>
    </row>
    <row r="185" spans="3:3" ht="15.75" customHeight="1">
      <c r="C185" s="12"/>
    </row>
    <row r="186" spans="3:3" ht="15.75" customHeight="1">
      <c r="C186" s="12"/>
    </row>
    <row r="187" spans="3:3" ht="15.75" customHeight="1">
      <c r="C187" s="12"/>
    </row>
    <row r="188" spans="3:3" ht="15.75" customHeight="1">
      <c r="C188" s="12"/>
    </row>
    <row r="189" spans="3:3" ht="15.75" customHeight="1">
      <c r="C189" s="12"/>
    </row>
    <row r="190" spans="3:3" ht="15.75" customHeight="1">
      <c r="C190" s="12"/>
    </row>
    <row r="191" spans="3:3" ht="15.75" customHeight="1">
      <c r="C191" s="12"/>
    </row>
    <row r="192" spans="3:3" ht="15.75" customHeight="1">
      <c r="C192" s="12"/>
    </row>
    <row r="193" spans="3:3" ht="15.75" customHeight="1">
      <c r="C193" s="12"/>
    </row>
    <row r="194" spans="3:3" ht="15.75" customHeight="1">
      <c r="C194" s="12"/>
    </row>
    <row r="195" spans="3:3" ht="15.75" customHeight="1">
      <c r="C195" s="12"/>
    </row>
    <row r="196" spans="3:3" ht="15.75" customHeight="1">
      <c r="C196" s="12"/>
    </row>
    <row r="197" spans="3:3" ht="15.75" customHeight="1">
      <c r="C197" s="12"/>
    </row>
    <row r="198" spans="3:3" ht="15.75" customHeight="1">
      <c r="C198" s="12"/>
    </row>
    <row r="199" spans="3:3" ht="15.75" customHeight="1">
      <c r="C199" s="12"/>
    </row>
    <row r="200" spans="3:3" ht="15.75" customHeight="1">
      <c r="C200" s="12"/>
    </row>
    <row r="201" spans="3:3" ht="15.75" customHeight="1">
      <c r="C201" s="12"/>
    </row>
    <row r="202" spans="3:3" ht="15.75" customHeight="1">
      <c r="C202" s="12"/>
    </row>
    <row r="203" spans="3:3" ht="15.75" customHeight="1">
      <c r="C203" s="12"/>
    </row>
    <row r="204" spans="3:3" ht="15.75" customHeight="1">
      <c r="C204" s="12"/>
    </row>
    <row r="205" spans="3:3" ht="15.75" customHeight="1">
      <c r="C205" s="12"/>
    </row>
    <row r="206" spans="3:3" ht="15.75" customHeight="1">
      <c r="C206" s="12"/>
    </row>
    <row r="207" spans="3:3" ht="15.75" customHeight="1">
      <c r="C207" s="12"/>
    </row>
    <row r="208" spans="3:3" ht="15.75" customHeight="1">
      <c r="C208" s="12"/>
    </row>
    <row r="209" spans="3:3" ht="15.75" customHeight="1">
      <c r="C209" s="12"/>
    </row>
    <row r="210" spans="3:3" ht="15.75" customHeight="1">
      <c r="C210" s="12"/>
    </row>
    <row r="211" spans="3:3" ht="15.75" customHeight="1">
      <c r="C211" s="12"/>
    </row>
    <row r="212" spans="3:3" ht="15.75" customHeight="1">
      <c r="C212" s="12"/>
    </row>
    <row r="213" spans="3:3" ht="15.75" customHeight="1">
      <c r="C213" s="12"/>
    </row>
    <row r="214" spans="3:3" ht="15.75" customHeight="1">
      <c r="C214" s="12"/>
    </row>
    <row r="215" spans="3:3" ht="15.75" customHeight="1">
      <c r="C215" s="12"/>
    </row>
    <row r="216" spans="3:3" ht="15.75" customHeight="1">
      <c r="C216" s="12"/>
    </row>
    <row r="217" spans="3:3" ht="15.75" customHeight="1">
      <c r="C217" s="12"/>
    </row>
    <row r="218" spans="3:3" ht="15.75" customHeight="1">
      <c r="C218" s="12"/>
    </row>
    <row r="219" spans="3:3" ht="15.75" customHeight="1">
      <c r="C219" s="12"/>
    </row>
    <row r="220" spans="3:3" ht="15.75" customHeight="1">
      <c r="C220" s="12"/>
    </row>
    <row r="221" spans="3:3" ht="15.75" customHeight="1">
      <c r="C221" s="12"/>
    </row>
    <row r="222" spans="3:3" ht="15.75" customHeight="1">
      <c r="C222" s="12"/>
    </row>
    <row r="223" spans="3:3" ht="15.75" customHeight="1">
      <c r="C223" s="12"/>
    </row>
    <row r="224" spans="3:3" ht="15.75" customHeight="1">
      <c r="C224" s="12"/>
    </row>
    <row r="225" spans="3:3" ht="15.75" customHeight="1">
      <c r="C225" s="12"/>
    </row>
    <row r="226" spans="3:3" ht="15.75" customHeight="1">
      <c r="C226" s="12"/>
    </row>
    <row r="227" spans="3:3" ht="15.75" customHeight="1">
      <c r="C227" s="12"/>
    </row>
    <row r="228" spans="3:3" ht="15.75" customHeight="1">
      <c r="C228" s="12"/>
    </row>
    <row r="229" spans="3:3" ht="15.75" customHeight="1">
      <c r="C229" s="12"/>
    </row>
    <row r="230" spans="3:3" ht="15.75" customHeight="1">
      <c r="C230" s="12"/>
    </row>
    <row r="231" spans="3:3" ht="15.75" customHeight="1">
      <c r="C231" s="12"/>
    </row>
    <row r="232" spans="3:3" ht="15.75" customHeight="1">
      <c r="C232" s="12"/>
    </row>
    <row r="233" spans="3:3" ht="15.75" customHeight="1">
      <c r="C233" s="12"/>
    </row>
    <row r="234" spans="3:3" ht="15.75" customHeight="1">
      <c r="C234" s="12"/>
    </row>
    <row r="235" spans="3:3" ht="15.75" customHeight="1">
      <c r="C235" s="12"/>
    </row>
    <row r="236" spans="3:3" ht="15.75" customHeight="1">
      <c r="C236" s="12"/>
    </row>
    <row r="237" spans="3:3" ht="15.75" customHeight="1">
      <c r="C237" s="12"/>
    </row>
    <row r="238" spans="3:3" ht="15.75" customHeight="1">
      <c r="C238" s="12"/>
    </row>
    <row r="239" spans="3:3" ht="15.75" customHeight="1">
      <c r="C239" s="12"/>
    </row>
    <row r="240" spans="3:3" ht="15.75" customHeight="1">
      <c r="C240" s="12"/>
    </row>
    <row r="241" spans="3:3" ht="15.75" customHeight="1">
      <c r="C241" s="12"/>
    </row>
    <row r="242" spans="3:3" ht="15.75" customHeight="1">
      <c r="C242" s="12"/>
    </row>
    <row r="243" spans="3:3" ht="15.75" customHeight="1">
      <c r="C243" s="12"/>
    </row>
    <row r="244" spans="3:3" ht="15.75" customHeight="1">
      <c r="C244" s="12"/>
    </row>
    <row r="245" spans="3:3" ht="15.75" customHeight="1">
      <c r="C245" s="12"/>
    </row>
    <row r="246" spans="3:3" ht="15.75" customHeight="1">
      <c r="C246" s="12"/>
    </row>
    <row r="247" spans="3:3" ht="15.75" customHeight="1">
      <c r="C247" s="12"/>
    </row>
    <row r="248" spans="3:3" ht="15.75" customHeight="1">
      <c r="C248" s="12"/>
    </row>
    <row r="249" spans="3:3" ht="15.75" customHeight="1">
      <c r="C249" s="12"/>
    </row>
    <row r="250" spans="3:3" ht="15.75" customHeight="1">
      <c r="C250" s="12"/>
    </row>
    <row r="251" spans="3:3" ht="15.75" customHeight="1">
      <c r="C251" s="12"/>
    </row>
    <row r="252" spans="3:3" ht="15.75" customHeight="1">
      <c r="C252" s="12"/>
    </row>
    <row r="253" spans="3:3" ht="15.75" customHeight="1">
      <c r="C253" s="12"/>
    </row>
    <row r="254" spans="3:3" ht="15.75" customHeight="1">
      <c r="C254" s="12"/>
    </row>
    <row r="255" spans="3:3" ht="15.75" customHeight="1">
      <c r="C255" s="12"/>
    </row>
    <row r="256" spans="3:3" ht="15.75" customHeight="1">
      <c r="C256" s="12"/>
    </row>
    <row r="257" spans="3:3" ht="15.75" customHeight="1">
      <c r="C257" s="12"/>
    </row>
    <row r="258" spans="3:3" ht="15.75" customHeight="1">
      <c r="C258" s="12"/>
    </row>
    <row r="259" spans="3:3" ht="15.75" customHeight="1">
      <c r="C259" s="12"/>
    </row>
    <row r="260" spans="3:3" ht="15.75" customHeight="1">
      <c r="C260" s="12"/>
    </row>
    <row r="261" spans="3:3" ht="15.75" customHeight="1">
      <c r="C261" s="12"/>
    </row>
    <row r="262" spans="3:3" ht="15.75" customHeight="1">
      <c r="C262" s="12"/>
    </row>
    <row r="263" spans="3:3" ht="15.75" customHeight="1">
      <c r="C263" s="12"/>
    </row>
    <row r="264" spans="3:3" ht="15.75" customHeight="1">
      <c r="C264" s="12"/>
    </row>
    <row r="265" spans="3:3" ht="15.75" customHeight="1">
      <c r="C265" s="12"/>
    </row>
    <row r="266" spans="3:3" ht="15.75" customHeight="1">
      <c r="C266" s="12"/>
    </row>
    <row r="267" spans="3:3" ht="15.75" customHeight="1">
      <c r="C267" s="12"/>
    </row>
    <row r="268" spans="3:3" ht="15.75" customHeight="1">
      <c r="C268" s="12"/>
    </row>
    <row r="269" spans="3:3" ht="15.75" customHeight="1">
      <c r="C269" s="12"/>
    </row>
    <row r="270" spans="3:3" ht="15.75" customHeight="1">
      <c r="C270" s="12"/>
    </row>
    <row r="271" spans="3:3" ht="15.75" customHeight="1">
      <c r="C271" s="12"/>
    </row>
    <row r="272" spans="3:3" ht="15.75" customHeight="1">
      <c r="C272" s="12"/>
    </row>
    <row r="273" spans="3:3" ht="15.75" customHeight="1">
      <c r="C273" s="12"/>
    </row>
    <row r="274" spans="3:3" ht="15.75" customHeight="1">
      <c r="C274" s="12"/>
    </row>
    <row r="275" spans="3:3" ht="15.75" customHeight="1">
      <c r="C275" s="12"/>
    </row>
    <row r="276" spans="3:3" ht="15.75" customHeight="1">
      <c r="C276" s="12"/>
    </row>
    <row r="277" spans="3:3" ht="15.75" customHeight="1">
      <c r="C277" s="12"/>
    </row>
    <row r="278" spans="3:3" ht="15.75" customHeight="1">
      <c r="C278" s="12"/>
    </row>
    <row r="279" spans="3:3" ht="15.75" customHeight="1">
      <c r="C279" s="12"/>
    </row>
    <row r="280" spans="3:3" ht="15.75" customHeight="1">
      <c r="C280" s="12"/>
    </row>
    <row r="281" spans="3:3" ht="15.75" customHeight="1">
      <c r="C281" s="12"/>
    </row>
    <row r="282" spans="3:3" ht="15.75" customHeight="1">
      <c r="C282" s="12"/>
    </row>
    <row r="283" spans="3:3" ht="15.75" customHeight="1">
      <c r="C283" s="12"/>
    </row>
    <row r="284" spans="3:3" ht="15.75" customHeight="1">
      <c r="C284" s="12"/>
    </row>
    <row r="285" spans="3:3" ht="15.75" customHeight="1">
      <c r="C285" s="12"/>
    </row>
    <row r="286" spans="3:3" ht="15.75" customHeight="1">
      <c r="C286" s="12"/>
    </row>
    <row r="287" spans="3:3" ht="15.75" customHeight="1">
      <c r="C287" s="12"/>
    </row>
    <row r="288" spans="3:3" ht="15.75" customHeight="1">
      <c r="C288" s="12"/>
    </row>
    <row r="289" spans="3:3" ht="15.75" customHeight="1">
      <c r="C289" s="12"/>
    </row>
    <row r="290" spans="3:3" ht="15.75" customHeight="1">
      <c r="C290" s="12"/>
    </row>
    <row r="291" spans="3:3" ht="15.75" customHeight="1">
      <c r="C291" s="12"/>
    </row>
    <row r="292" spans="3:3" ht="15.75" customHeight="1">
      <c r="C292" s="12"/>
    </row>
    <row r="293" spans="3:3" ht="15.75" customHeight="1">
      <c r="C293" s="12"/>
    </row>
    <row r="294" spans="3:3" ht="15.75" customHeight="1">
      <c r="C294" s="12"/>
    </row>
    <row r="295" spans="3:3" ht="15.75" customHeight="1">
      <c r="C295" s="12"/>
    </row>
    <row r="296" spans="3:3" ht="15.75" customHeight="1">
      <c r="C296" s="12"/>
    </row>
    <row r="297" spans="3:3" ht="15.75" customHeight="1">
      <c r="C297" s="12"/>
    </row>
    <row r="298" spans="3:3" ht="15.75" customHeight="1">
      <c r="C298" s="12"/>
    </row>
    <row r="299" spans="3:3" ht="15.75" customHeight="1">
      <c r="C299" s="12"/>
    </row>
    <row r="300" spans="3:3" ht="15.75" customHeight="1">
      <c r="C300" s="12"/>
    </row>
    <row r="301" spans="3:3" ht="15.75" customHeight="1">
      <c r="C301" s="12"/>
    </row>
    <row r="302" spans="3:3" ht="15.75" customHeight="1">
      <c r="C302" s="12"/>
    </row>
    <row r="303" spans="3:3" ht="15.75" customHeight="1">
      <c r="C303" s="12"/>
    </row>
    <row r="304" spans="3:3" ht="15.75" customHeight="1">
      <c r="C304" s="12"/>
    </row>
    <row r="305" spans="3:3" ht="15.75" customHeight="1">
      <c r="C305" s="12"/>
    </row>
    <row r="306" spans="3:3" ht="15.75" customHeight="1">
      <c r="C306" s="12"/>
    </row>
    <row r="307" spans="3:3" ht="15.75" customHeight="1">
      <c r="C307" s="12"/>
    </row>
    <row r="308" spans="3:3" ht="15.75" customHeight="1">
      <c r="C308" s="12"/>
    </row>
    <row r="309" spans="3:3" ht="15.75" customHeight="1">
      <c r="C309" s="12"/>
    </row>
    <row r="310" spans="3:3" ht="15.75" customHeight="1">
      <c r="C310" s="12"/>
    </row>
    <row r="311" spans="3:3" ht="15.75" customHeight="1">
      <c r="C311" s="12"/>
    </row>
    <row r="312" spans="3:3" ht="15.75" customHeight="1">
      <c r="C312" s="12"/>
    </row>
    <row r="313" spans="3:3" ht="15.75" customHeight="1">
      <c r="C313" s="12"/>
    </row>
    <row r="314" spans="3:3" ht="15.75" customHeight="1">
      <c r="C314" s="12"/>
    </row>
    <row r="315" spans="3:3" ht="15.75" customHeight="1">
      <c r="C315" s="12"/>
    </row>
    <row r="316" spans="3:3" ht="15.75" customHeight="1">
      <c r="C316" s="12"/>
    </row>
    <row r="317" spans="3:3" ht="15.75" customHeight="1">
      <c r="C317" s="12"/>
    </row>
    <row r="318" spans="3:3" ht="15.75" customHeight="1">
      <c r="C318" s="12"/>
    </row>
    <row r="319" spans="3:3" ht="15.75" customHeight="1">
      <c r="C319" s="12"/>
    </row>
    <row r="320" spans="3:3" ht="15.75" customHeight="1">
      <c r="C320" s="12"/>
    </row>
    <row r="321" spans="3:3" ht="15.75" customHeight="1">
      <c r="C321" s="12"/>
    </row>
    <row r="322" spans="3:3" ht="15.75" customHeight="1">
      <c r="C322" s="12"/>
    </row>
    <row r="323" spans="3:3" ht="15.75" customHeight="1">
      <c r="C323" s="12"/>
    </row>
    <row r="324" spans="3:3" ht="15.75" customHeight="1">
      <c r="C324" s="12"/>
    </row>
    <row r="325" spans="3:3" ht="15.75" customHeight="1">
      <c r="C325" s="12"/>
    </row>
    <row r="326" spans="3:3" ht="15.75" customHeight="1">
      <c r="C326" s="12"/>
    </row>
    <row r="327" spans="3:3" ht="15.75" customHeight="1">
      <c r="C327" s="12"/>
    </row>
    <row r="328" spans="3:3" ht="15.75" customHeight="1">
      <c r="C328" s="12"/>
    </row>
    <row r="329" spans="3:3" ht="15.75" customHeight="1">
      <c r="C329" s="12"/>
    </row>
    <row r="330" spans="3:3" ht="15.75" customHeight="1">
      <c r="C330" s="12"/>
    </row>
    <row r="331" spans="3:3" ht="15.75" customHeight="1">
      <c r="C331" s="12"/>
    </row>
    <row r="332" spans="3:3" ht="15.75" customHeight="1">
      <c r="C332" s="12"/>
    </row>
    <row r="333" spans="3:3" ht="15.75" customHeight="1">
      <c r="C333" s="12"/>
    </row>
    <row r="334" spans="3:3" ht="15.75" customHeight="1">
      <c r="C334" s="12"/>
    </row>
    <row r="335" spans="3:3" ht="15.75" customHeight="1">
      <c r="C335" s="12"/>
    </row>
    <row r="336" spans="3:3" ht="15.75" customHeight="1">
      <c r="C336" s="12"/>
    </row>
    <row r="337" spans="3:3" ht="15.75" customHeight="1">
      <c r="C337" s="12"/>
    </row>
    <row r="338" spans="3:3" ht="15.75" customHeight="1">
      <c r="C338" s="12"/>
    </row>
    <row r="339" spans="3:3" ht="15.75" customHeight="1">
      <c r="C339" s="12"/>
    </row>
    <row r="340" spans="3:3" ht="15.75" customHeight="1">
      <c r="C340" s="12"/>
    </row>
    <row r="341" spans="3:3" ht="15.75" customHeight="1">
      <c r="C341" s="12"/>
    </row>
    <row r="342" spans="3:3" ht="15.75" customHeight="1">
      <c r="C342" s="12"/>
    </row>
    <row r="343" spans="3:3" ht="15.75" customHeight="1">
      <c r="C343" s="12"/>
    </row>
    <row r="344" spans="3:3" ht="15.75" customHeight="1">
      <c r="C344" s="12"/>
    </row>
    <row r="345" spans="3:3" ht="15.75" customHeight="1">
      <c r="C345" s="12"/>
    </row>
    <row r="346" spans="3:3" ht="15.75" customHeight="1">
      <c r="C346" s="12"/>
    </row>
    <row r="347" spans="3:3" ht="15.75" customHeight="1">
      <c r="C347" s="12"/>
    </row>
    <row r="348" spans="3:3" ht="15.75" customHeight="1">
      <c r="C348" s="12"/>
    </row>
    <row r="349" spans="3:3" ht="15.75" customHeight="1">
      <c r="C349" s="12"/>
    </row>
    <row r="350" spans="3:3" ht="15.75" customHeight="1">
      <c r="C350" s="12"/>
    </row>
    <row r="351" spans="3:3" ht="15.75" customHeight="1">
      <c r="C351" s="12"/>
    </row>
    <row r="352" spans="3:3" ht="15.75" customHeight="1">
      <c r="C352" s="12"/>
    </row>
    <row r="353" spans="3:3" ht="15.75" customHeight="1">
      <c r="C353" s="12"/>
    </row>
    <row r="354" spans="3:3" ht="15.75" customHeight="1">
      <c r="C354" s="12"/>
    </row>
    <row r="355" spans="3:3" ht="15.75" customHeight="1">
      <c r="C355" s="12"/>
    </row>
    <row r="356" spans="3:3" ht="15.75" customHeight="1">
      <c r="C356" s="12"/>
    </row>
    <row r="357" spans="3:3" ht="15.75" customHeight="1">
      <c r="C357" s="12"/>
    </row>
    <row r="358" spans="3:3" ht="15.75" customHeight="1">
      <c r="C358" s="12"/>
    </row>
    <row r="359" spans="3:3" ht="15.75" customHeight="1">
      <c r="C359" s="12"/>
    </row>
    <row r="360" spans="3:3" ht="15.75" customHeight="1">
      <c r="C360" s="12"/>
    </row>
    <row r="361" spans="3:3" ht="15.75" customHeight="1">
      <c r="C361" s="12"/>
    </row>
    <row r="362" spans="3:3" ht="15.75" customHeight="1">
      <c r="C362" s="12"/>
    </row>
    <row r="363" spans="3:3" ht="15.75" customHeight="1">
      <c r="C363" s="12"/>
    </row>
    <row r="364" spans="3:3" ht="15.75" customHeight="1">
      <c r="C364" s="12"/>
    </row>
    <row r="365" spans="3:3" ht="15.75" customHeight="1">
      <c r="C365" s="12"/>
    </row>
    <row r="366" spans="3:3" ht="15.75" customHeight="1">
      <c r="C366" s="12"/>
    </row>
    <row r="367" spans="3:3" ht="15.75" customHeight="1">
      <c r="C367" s="12"/>
    </row>
    <row r="368" spans="3:3" ht="15.75" customHeight="1">
      <c r="C368" s="12"/>
    </row>
    <row r="369" spans="3:3" ht="15.75" customHeight="1">
      <c r="C369" s="12"/>
    </row>
    <row r="370" spans="3:3" ht="15.75" customHeight="1">
      <c r="C370" s="12"/>
    </row>
    <row r="371" spans="3:3" ht="15.75" customHeight="1">
      <c r="C371" s="12"/>
    </row>
    <row r="372" spans="3:3" ht="15.75" customHeight="1">
      <c r="C372" s="12"/>
    </row>
    <row r="373" spans="3:3" ht="15.75" customHeight="1">
      <c r="C373" s="12"/>
    </row>
    <row r="374" spans="3:3" ht="15.75" customHeight="1">
      <c r="C374" s="12"/>
    </row>
    <row r="375" spans="3:3" ht="15.75" customHeight="1">
      <c r="C375" s="12"/>
    </row>
    <row r="376" spans="3:3" ht="15.75" customHeight="1">
      <c r="C376" s="12"/>
    </row>
    <row r="377" spans="3:3" ht="15.75" customHeight="1">
      <c r="C377" s="12"/>
    </row>
    <row r="378" spans="3:3" ht="15.75" customHeight="1">
      <c r="C378" s="12"/>
    </row>
    <row r="379" spans="3:3" ht="15.75" customHeight="1">
      <c r="C379" s="12"/>
    </row>
    <row r="380" spans="3:3" ht="15.75" customHeight="1">
      <c r="C380" s="12"/>
    </row>
    <row r="381" spans="3:3" ht="15.75" customHeight="1">
      <c r="C381" s="12"/>
    </row>
    <row r="382" spans="3:3" ht="15.75" customHeight="1">
      <c r="C382" s="12"/>
    </row>
    <row r="383" spans="3:3" ht="15.75" customHeight="1">
      <c r="C383" s="12"/>
    </row>
    <row r="384" spans="3:3" ht="15.75" customHeight="1">
      <c r="C384" s="12"/>
    </row>
    <row r="385" spans="3:3" ht="15.75" customHeight="1">
      <c r="C385" s="12"/>
    </row>
    <row r="386" spans="3:3" ht="15.75" customHeight="1">
      <c r="C386" s="12"/>
    </row>
    <row r="387" spans="3:3" ht="15.75" customHeight="1">
      <c r="C387" s="12"/>
    </row>
    <row r="388" spans="3:3" ht="15.75" customHeight="1">
      <c r="C388" s="12"/>
    </row>
    <row r="389" spans="3:3" ht="15.75" customHeight="1">
      <c r="C389" s="12"/>
    </row>
    <row r="390" spans="3:3" ht="15.75" customHeight="1">
      <c r="C390" s="12"/>
    </row>
    <row r="391" spans="3:3" ht="15.75" customHeight="1">
      <c r="C391" s="12"/>
    </row>
    <row r="392" spans="3:3" ht="15.75" customHeight="1">
      <c r="C392" s="12"/>
    </row>
    <row r="393" spans="3:3" ht="15.75" customHeight="1">
      <c r="C393" s="12"/>
    </row>
    <row r="394" spans="3:3" ht="15.75" customHeight="1">
      <c r="C394" s="12"/>
    </row>
    <row r="395" spans="3:3" ht="15.75" customHeight="1">
      <c r="C395" s="12"/>
    </row>
    <row r="396" spans="3:3" ht="15.75" customHeight="1">
      <c r="C396" s="12"/>
    </row>
    <row r="397" spans="3:3" ht="15.75" customHeight="1">
      <c r="C397" s="12"/>
    </row>
    <row r="398" spans="3:3" ht="15.75" customHeight="1">
      <c r="C398" s="12"/>
    </row>
    <row r="399" spans="3:3" ht="15.75" customHeight="1">
      <c r="C399" s="12"/>
    </row>
    <row r="400" spans="3:3" ht="15.75" customHeight="1">
      <c r="C400" s="12"/>
    </row>
    <row r="401" spans="3:3" ht="15.75" customHeight="1">
      <c r="C401" s="12"/>
    </row>
    <row r="402" spans="3:3" ht="15.75" customHeight="1">
      <c r="C402" s="12"/>
    </row>
    <row r="403" spans="3:3" ht="15.75" customHeight="1">
      <c r="C403" s="12"/>
    </row>
    <row r="404" spans="3:3" ht="15.75" customHeight="1">
      <c r="C404" s="12"/>
    </row>
    <row r="405" spans="3:3" ht="15.75" customHeight="1">
      <c r="C405" s="12"/>
    </row>
    <row r="406" spans="3:3" ht="15.75" customHeight="1">
      <c r="C406" s="12"/>
    </row>
    <row r="407" spans="3:3" ht="15.75" customHeight="1">
      <c r="C407" s="12"/>
    </row>
    <row r="408" spans="3:3" ht="15.75" customHeight="1">
      <c r="C408" s="12"/>
    </row>
    <row r="409" spans="3:3" ht="15.75" customHeight="1">
      <c r="C409" s="12"/>
    </row>
    <row r="410" spans="3:3" ht="15.75" customHeight="1">
      <c r="C410" s="12"/>
    </row>
    <row r="411" spans="3:3" ht="15.75" customHeight="1">
      <c r="C411" s="12"/>
    </row>
    <row r="412" spans="3:3" ht="15.75" customHeight="1">
      <c r="C412" s="12"/>
    </row>
    <row r="413" spans="3:3" ht="15.75" customHeight="1">
      <c r="C413" s="12"/>
    </row>
    <row r="414" spans="3:3" ht="15.75" customHeight="1">
      <c r="C414" s="12"/>
    </row>
    <row r="415" spans="3:3" ht="15.75" customHeight="1">
      <c r="C415" s="12"/>
    </row>
    <row r="416" spans="3:3" ht="15.75" customHeight="1">
      <c r="C416" s="12"/>
    </row>
    <row r="417" spans="3:3" ht="15.75" customHeight="1">
      <c r="C417" s="12"/>
    </row>
    <row r="418" spans="3:3" ht="15.75" customHeight="1">
      <c r="C418" s="12"/>
    </row>
    <row r="419" spans="3:3" ht="15.75" customHeight="1">
      <c r="C419" s="12"/>
    </row>
    <row r="420" spans="3:3" ht="15.75" customHeight="1">
      <c r="C420" s="12"/>
    </row>
    <row r="421" spans="3:3" ht="15.75" customHeight="1">
      <c r="C421" s="12"/>
    </row>
    <row r="422" spans="3:3" ht="15.75" customHeight="1">
      <c r="C422" s="12"/>
    </row>
    <row r="423" spans="3:3" ht="15.75" customHeight="1">
      <c r="C423" s="12"/>
    </row>
    <row r="424" spans="3:3" ht="15.75" customHeight="1">
      <c r="C424" s="12"/>
    </row>
    <row r="425" spans="3:3" ht="15.75" customHeight="1">
      <c r="C425" s="12"/>
    </row>
    <row r="426" spans="3:3" ht="15.75" customHeight="1">
      <c r="C426" s="12"/>
    </row>
    <row r="427" spans="3:3" ht="15.75" customHeight="1">
      <c r="C427" s="12"/>
    </row>
    <row r="428" spans="3:3" ht="15.75" customHeight="1">
      <c r="C428" s="12"/>
    </row>
    <row r="429" spans="3:3" ht="15.75" customHeight="1">
      <c r="C429" s="12"/>
    </row>
    <row r="430" spans="3:3" ht="15.75" customHeight="1">
      <c r="C430" s="12"/>
    </row>
    <row r="431" spans="3:3" ht="15.75" customHeight="1">
      <c r="C431" s="12"/>
    </row>
    <row r="432" spans="3:3" ht="15.75" customHeight="1">
      <c r="C432" s="12"/>
    </row>
    <row r="433" spans="3:3" ht="15.75" customHeight="1">
      <c r="C433" s="12"/>
    </row>
    <row r="434" spans="3:3" ht="15.75" customHeight="1">
      <c r="C434" s="12"/>
    </row>
    <row r="435" spans="3:3" ht="15.75" customHeight="1">
      <c r="C435" s="12"/>
    </row>
    <row r="436" spans="3:3" ht="15.75" customHeight="1">
      <c r="C436" s="12"/>
    </row>
    <row r="437" spans="3:3" ht="15.75" customHeight="1">
      <c r="C437" s="12"/>
    </row>
    <row r="438" spans="3:3" ht="15.75" customHeight="1">
      <c r="C438" s="12"/>
    </row>
    <row r="439" spans="3:3" ht="15.75" customHeight="1">
      <c r="C439" s="12"/>
    </row>
    <row r="440" spans="3:3" ht="15.75" customHeight="1">
      <c r="C440" s="12"/>
    </row>
    <row r="441" spans="3:3" ht="15.75" customHeight="1">
      <c r="C441" s="12"/>
    </row>
    <row r="442" spans="3:3" ht="15.75" customHeight="1">
      <c r="C442" s="12"/>
    </row>
    <row r="443" spans="3:3" ht="15.75" customHeight="1">
      <c r="C443" s="12"/>
    </row>
    <row r="444" spans="3:3" ht="15.75" customHeight="1">
      <c r="C444" s="12"/>
    </row>
    <row r="445" spans="3:3" ht="15.75" customHeight="1">
      <c r="C445" s="12"/>
    </row>
    <row r="446" spans="3:3" ht="15.75" customHeight="1">
      <c r="C446" s="12"/>
    </row>
    <row r="447" spans="3:3" ht="15.75" customHeight="1">
      <c r="C447" s="12"/>
    </row>
    <row r="448" spans="3:3" ht="15.75" customHeight="1">
      <c r="C448" s="12"/>
    </row>
    <row r="449" spans="3:3" ht="15.75" customHeight="1">
      <c r="C449" s="12"/>
    </row>
    <row r="450" spans="3:3" ht="15.75" customHeight="1">
      <c r="C450" s="12"/>
    </row>
    <row r="451" spans="3:3" ht="15.75" customHeight="1">
      <c r="C451" s="12"/>
    </row>
    <row r="452" spans="3:3" ht="15.75" customHeight="1">
      <c r="C452" s="12"/>
    </row>
    <row r="453" spans="3:3" ht="15.75" customHeight="1">
      <c r="C453" s="12"/>
    </row>
    <row r="454" spans="3:3" ht="15.75" customHeight="1">
      <c r="C454" s="12"/>
    </row>
    <row r="455" spans="3:3" ht="15.75" customHeight="1">
      <c r="C455" s="12"/>
    </row>
    <row r="456" spans="3:3" ht="15.75" customHeight="1">
      <c r="C456" s="12"/>
    </row>
    <row r="457" spans="3:3" ht="15.75" customHeight="1">
      <c r="C457" s="12"/>
    </row>
    <row r="458" spans="3:3" ht="15.75" customHeight="1">
      <c r="C458" s="12"/>
    </row>
    <row r="459" spans="3:3" ht="15.75" customHeight="1">
      <c r="C459" s="12"/>
    </row>
    <row r="460" spans="3:3" ht="15.75" customHeight="1">
      <c r="C460" s="12"/>
    </row>
    <row r="461" spans="3:3" ht="15.75" customHeight="1">
      <c r="C461" s="12"/>
    </row>
    <row r="462" spans="3:3" ht="15.75" customHeight="1">
      <c r="C462" s="12"/>
    </row>
    <row r="463" spans="3:3" ht="15.75" customHeight="1">
      <c r="C463" s="12"/>
    </row>
    <row r="464" spans="3:3" ht="15.75" customHeight="1">
      <c r="C464" s="12"/>
    </row>
    <row r="465" spans="3:3" ht="15.75" customHeight="1">
      <c r="C465" s="12"/>
    </row>
    <row r="466" spans="3:3" ht="15.75" customHeight="1">
      <c r="C466" s="12"/>
    </row>
    <row r="467" spans="3:3" ht="15.75" customHeight="1">
      <c r="C467" s="12"/>
    </row>
    <row r="468" spans="3:3" ht="15.75" customHeight="1">
      <c r="C468" s="12"/>
    </row>
    <row r="469" spans="3:3" ht="15.75" customHeight="1">
      <c r="C469" s="12"/>
    </row>
    <row r="470" spans="3:3" ht="15.75" customHeight="1">
      <c r="C470" s="12"/>
    </row>
    <row r="471" spans="3:3" ht="15.75" customHeight="1">
      <c r="C471" s="12"/>
    </row>
    <row r="472" spans="3:3" ht="15.75" customHeight="1">
      <c r="C472" s="12"/>
    </row>
    <row r="473" spans="3:3" ht="15.75" customHeight="1">
      <c r="C473" s="12"/>
    </row>
    <row r="474" spans="3:3" ht="15.75" customHeight="1">
      <c r="C474" s="12"/>
    </row>
    <row r="475" spans="3:3" ht="15.75" customHeight="1">
      <c r="C475" s="12"/>
    </row>
    <row r="476" spans="3:3" ht="15.75" customHeight="1">
      <c r="C476" s="12"/>
    </row>
    <row r="477" spans="3:3" ht="15.75" customHeight="1">
      <c r="C477" s="12"/>
    </row>
    <row r="478" spans="3:3" ht="15.75" customHeight="1">
      <c r="C478" s="12"/>
    </row>
    <row r="479" spans="3:3" ht="15.75" customHeight="1">
      <c r="C479" s="12"/>
    </row>
    <row r="480" spans="3:3" ht="15.75" customHeight="1">
      <c r="C480" s="12"/>
    </row>
    <row r="481" spans="3:3" ht="15.75" customHeight="1">
      <c r="C481" s="12"/>
    </row>
    <row r="482" spans="3:3" ht="15.75" customHeight="1">
      <c r="C482" s="12"/>
    </row>
    <row r="483" spans="3:3" ht="15.75" customHeight="1">
      <c r="C483" s="12"/>
    </row>
    <row r="484" spans="3:3" ht="15.75" customHeight="1">
      <c r="C484" s="12"/>
    </row>
    <row r="485" spans="3:3" ht="15.75" customHeight="1">
      <c r="C485" s="12"/>
    </row>
    <row r="486" spans="3:3" ht="15.75" customHeight="1">
      <c r="C486" s="12"/>
    </row>
    <row r="487" spans="3:3" ht="15.75" customHeight="1">
      <c r="C487" s="12"/>
    </row>
    <row r="488" spans="3:3" ht="15.75" customHeight="1">
      <c r="C488" s="12"/>
    </row>
    <row r="489" spans="3:3" ht="15.75" customHeight="1">
      <c r="C489" s="12"/>
    </row>
    <row r="490" spans="3:3" ht="15.75" customHeight="1">
      <c r="C490" s="12"/>
    </row>
    <row r="491" spans="3:3" ht="15.75" customHeight="1">
      <c r="C491" s="12"/>
    </row>
    <row r="492" spans="3:3" ht="15.75" customHeight="1">
      <c r="C492" s="12"/>
    </row>
    <row r="493" spans="3:3" ht="15.75" customHeight="1">
      <c r="C493" s="12"/>
    </row>
    <row r="494" spans="3:3" ht="15.75" customHeight="1">
      <c r="C494" s="12"/>
    </row>
    <row r="495" spans="3:3" ht="15.75" customHeight="1">
      <c r="C495" s="12"/>
    </row>
    <row r="496" spans="3:3" ht="15.75" customHeight="1">
      <c r="C496" s="12"/>
    </row>
    <row r="497" spans="3:3" ht="15.75" customHeight="1">
      <c r="C497" s="12"/>
    </row>
    <row r="498" spans="3:3" ht="15.75" customHeight="1">
      <c r="C498" s="12"/>
    </row>
    <row r="499" spans="3:3" ht="15.75" customHeight="1">
      <c r="C499" s="12"/>
    </row>
    <row r="500" spans="3:3" ht="15.75" customHeight="1">
      <c r="C500" s="12"/>
    </row>
    <row r="501" spans="3:3" ht="15.75" customHeight="1">
      <c r="C501" s="12"/>
    </row>
    <row r="502" spans="3:3" ht="15.75" customHeight="1">
      <c r="C502" s="12"/>
    </row>
    <row r="503" spans="3:3" ht="15.75" customHeight="1">
      <c r="C503" s="12"/>
    </row>
    <row r="504" spans="3:3" ht="15.75" customHeight="1">
      <c r="C504" s="12"/>
    </row>
    <row r="505" spans="3:3" ht="15.75" customHeight="1">
      <c r="C505" s="12"/>
    </row>
    <row r="506" spans="3:3" ht="15.75" customHeight="1">
      <c r="C506" s="12"/>
    </row>
    <row r="507" spans="3:3" ht="15.75" customHeight="1">
      <c r="C507" s="12"/>
    </row>
    <row r="508" spans="3:3" ht="15.75" customHeight="1">
      <c r="C508" s="12"/>
    </row>
    <row r="509" spans="3:3" ht="15.75" customHeight="1">
      <c r="C509" s="12"/>
    </row>
    <row r="510" spans="3:3" ht="15.75" customHeight="1">
      <c r="C510" s="12"/>
    </row>
    <row r="511" spans="3:3" ht="15.75" customHeight="1">
      <c r="C511" s="12"/>
    </row>
    <row r="512" spans="3:3" ht="15.75" customHeight="1">
      <c r="C512" s="12"/>
    </row>
    <row r="513" spans="3:3" ht="15.75" customHeight="1">
      <c r="C513" s="12"/>
    </row>
    <row r="514" spans="3:3" ht="15.75" customHeight="1">
      <c r="C514" s="12"/>
    </row>
    <row r="515" spans="3:3" ht="15.75" customHeight="1">
      <c r="C515" s="12"/>
    </row>
    <row r="516" spans="3:3" ht="15.75" customHeight="1">
      <c r="C516" s="12"/>
    </row>
    <row r="517" spans="3:3" ht="15.75" customHeight="1">
      <c r="C517" s="12"/>
    </row>
    <row r="518" spans="3:3" ht="15.75" customHeight="1">
      <c r="C518" s="12"/>
    </row>
    <row r="519" spans="3:3" ht="15.75" customHeight="1">
      <c r="C519" s="12"/>
    </row>
    <row r="520" spans="3:3" ht="15.75" customHeight="1">
      <c r="C520" s="12"/>
    </row>
    <row r="521" spans="3:3" ht="15.75" customHeight="1">
      <c r="C521" s="12"/>
    </row>
    <row r="522" spans="3:3" ht="15.75" customHeight="1">
      <c r="C522" s="12"/>
    </row>
    <row r="523" spans="3:3" ht="15.75" customHeight="1">
      <c r="C523" s="12"/>
    </row>
    <row r="524" spans="3:3" ht="15.75" customHeight="1">
      <c r="C524" s="12"/>
    </row>
    <row r="525" spans="3:3" ht="15.75" customHeight="1">
      <c r="C525" s="12"/>
    </row>
    <row r="526" spans="3:3" ht="15.75" customHeight="1">
      <c r="C526" s="12"/>
    </row>
    <row r="527" spans="3:3" ht="15.75" customHeight="1">
      <c r="C527" s="12"/>
    </row>
    <row r="528" spans="3:3" ht="15.75" customHeight="1">
      <c r="C528" s="12"/>
    </row>
    <row r="529" spans="3:3" ht="15.75" customHeight="1">
      <c r="C529" s="12"/>
    </row>
    <row r="530" spans="3:3" ht="15.75" customHeight="1">
      <c r="C530" s="12"/>
    </row>
    <row r="531" spans="3:3" ht="15.75" customHeight="1">
      <c r="C531" s="12"/>
    </row>
    <row r="532" spans="3:3" ht="15.75" customHeight="1">
      <c r="C532" s="12"/>
    </row>
    <row r="533" spans="3:3" ht="15.75" customHeight="1">
      <c r="C533" s="12"/>
    </row>
    <row r="534" spans="3:3" ht="15.75" customHeight="1">
      <c r="C534" s="12"/>
    </row>
    <row r="535" spans="3:3" ht="15.75" customHeight="1">
      <c r="C535" s="12"/>
    </row>
    <row r="536" spans="3:3" ht="15.75" customHeight="1">
      <c r="C536" s="12"/>
    </row>
    <row r="537" spans="3:3" ht="15.75" customHeight="1">
      <c r="C537" s="12"/>
    </row>
    <row r="538" spans="3:3" ht="15.75" customHeight="1">
      <c r="C538" s="12"/>
    </row>
    <row r="539" spans="3:3" ht="15.75" customHeight="1">
      <c r="C539" s="12"/>
    </row>
    <row r="540" spans="3:3" ht="15.75" customHeight="1">
      <c r="C540" s="12"/>
    </row>
    <row r="541" spans="3:3" ht="15.75" customHeight="1">
      <c r="C541" s="12"/>
    </row>
    <row r="542" spans="3:3" ht="15.75" customHeight="1">
      <c r="C542" s="12"/>
    </row>
    <row r="543" spans="3:3" ht="15.75" customHeight="1">
      <c r="C543" s="12"/>
    </row>
    <row r="544" spans="3:3" ht="15.75" customHeight="1">
      <c r="C544" s="12"/>
    </row>
    <row r="545" spans="3:3" ht="15.75" customHeight="1">
      <c r="C545" s="12"/>
    </row>
    <row r="546" spans="3:3" ht="15.75" customHeight="1">
      <c r="C546" s="12"/>
    </row>
    <row r="547" spans="3:3" ht="15.75" customHeight="1">
      <c r="C547" s="12"/>
    </row>
    <row r="548" spans="3:3" ht="15.75" customHeight="1">
      <c r="C548" s="12"/>
    </row>
    <row r="549" spans="3:3" ht="15.75" customHeight="1">
      <c r="C549" s="12"/>
    </row>
    <row r="550" spans="3:3" ht="15.75" customHeight="1">
      <c r="C550" s="12"/>
    </row>
    <row r="551" spans="3:3" ht="15.75" customHeight="1">
      <c r="C551" s="12"/>
    </row>
    <row r="552" spans="3:3" ht="15.75" customHeight="1">
      <c r="C552" s="12"/>
    </row>
    <row r="553" spans="3:3" ht="15.75" customHeight="1">
      <c r="C553" s="12"/>
    </row>
    <row r="554" spans="3:3" ht="15.75" customHeight="1">
      <c r="C554" s="12"/>
    </row>
    <row r="555" spans="3:3" ht="15.75" customHeight="1">
      <c r="C555" s="12"/>
    </row>
    <row r="556" spans="3:3" ht="15.75" customHeight="1">
      <c r="C556" s="12"/>
    </row>
    <row r="557" spans="3:3" ht="15.75" customHeight="1">
      <c r="C557" s="12"/>
    </row>
    <row r="558" spans="3:3" ht="15.75" customHeight="1">
      <c r="C558" s="12"/>
    </row>
    <row r="559" spans="3:3" ht="15.75" customHeight="1">
      <c r="C559" s="12"/>
    </row>
    <row r="560" spans="3:3" ht="15.75" customHeight="1">
      <c r="C560" s="12"/>
    </row>
    <row r="561" spans="3:3" ht="15.75" customHeight="1">
      <c r="C561" s="12"/>
    </row>
    <row r="562" spans="3:3" ht="15.75" customHeight="1">
      <c r="C562" s="12"/>
    </row>
    <row r="563" spans="3:3" ht="15.75" customHeight="1">
      <c r="C563" s="12"/>
    </row>
    <row r="564" spans="3:3" ht="15.75" customHeight="1">
      <c r="C564" s="12"/>
    </row>
    <row r="565" spans="3:3" ht="15.75" customHeight="1">
      <c r="C565" s="12"/>
    </row>
    <row r="566" spans="3:3" ht="15.75" customHeight="1">
      <c r="C566" s="12"/>
    </row>
    <row r="567" spans="3:3" ht="15.75" customHeight="1">
      <c r="C567" s="12"/>
    </row>
    <row r="568" spans="3:3" ht="15.75" customHeight="1">
      <c r="C568" s="12"/>
    </row>
    <row r="569" spans="3:3" ht="15.75" customHeight="1">
      <c r="C569" s="12"/>
    </row>
    <row r="570" spans="3:3" ht="15.75" customHeight="1">
      <c r="C570" s="12"/>
    </row>
    <row r="571" spans="3:3" ht="15.75" customHeight="1">
      <c r="C571" s="12"/>
    </row>
    <row r="572" spans="3:3" ht="15.75" customHeight="1">
      <c r="C572" s="12"/>
    </row>
    <row r="573" spans="3:3" ht="15.75" customHeight="1">
      <c r="C573" s="12"/>
    </row>
    <row r="574" spans="3:3" ht="15.75" customHeight="1">
      <c r="C574" s="12"/>
    </row>
    <row r="575" spans="3:3" ht="15.75" customHeight="1">
      <c r="C575" s="12"/>
    </row>
    <row r="576" spans="3:3" ht="15.75" customHeight="1">
      <c r="C576" s="12"/>
    </row>
    <row r="577" spans="3:3" ht="15.75" customHeight="1">
      <c r="C577" s="12"/>
    </row>
    <row r="578" spans="3:3" ht="15.75" customHeight="1">
      <c r="C578" s="12"/>
    </row>
    <row r="579" spans="3:3" ht="15.75" customHeight="1">
      <c r="C579" s="12"/>
    </row>
    <row r="580" spans="3:3" ht="15.75" customHeight="1">
      <c r="C580" s="12"/>
    </row>
    <row r="581" spans="3:3" ht="15.75" customHeight="1">
      <c r="C581" s="12"/>
    </row>
    <row r="582" spans="3:3" ht="15.75" customHeight="1">
      <c r="C582" s="12"/>
    </row>
    <row r="583" spans="3:3" ht="15.75" customHeight="1">
      <c r="C583" s="12"/>
    </row>
    <row r="584" spans="3:3" ht="15.75" customHeight="1">
      <c r="C584" s="12"/>
    </row>
    <row r="585" spans="3:3" ht="15.75" customHeight="1">
      <c r="C585" s="12"/>
    </row>
    <row r="586" spans="3:3" ht="15.75" customHeight="1">
      <c r="C586" s="12"/>
    </row>
    <row r="587" spans="3:3" ht="15.75" customHeight="1">
      <c r="C587" s="12"/>
    </row>
    <row r="588" spans="3:3" ht="15.75" customHeight="1">
      <c r="C588" s="12"/>
    </row>
    <row r="589" spans="3:3" ht="15.75" customHeight="1">
      <c r="C589" s="12"/>
    </row>
    <row r="590" spans="3:3" ht="15.75" customHeight="1">
      <c r="C590" s="12"/>
    </row>
    <row r="591" spans="3:3" ht="15.75" customHeight="1">
      <c r="C591" s="12"/>
    </row>
    <row r="592" spans="3:3" ht="15.75" customHeight="1">
      <c r="C592" s="12"/>
    </row>
    <row r="593" spans="3:3" ht="15.75" customHeight="1">
      <c r="C593" s="12"/>
    </row>
    <row r="594" spans="3:3" ht="15.75" customHeight="1">
      <c r="C594" s="12"/>
    </row>
    <row r="595" spans="3:3" ht="15.75" customHeight="1">
      <c r="C595" s="12"/>
    </row>
    <row r="596" spans="3:3" ht="15.75" customHeight="1">
      <c r="C596" s="12"/>
    </row>
    <row r="597" spans="3:3" ht="15.75" customHeight="1">
      <c r="C597" s="12"/>
    </row>
    <row r="598" spans="3:3" ht="15.75" customHeight="1">
      <c r="C598" s="12"/>
    </row>
    <row r="599" spans="3:3" ht="15.75" customHeight="1">
      <c r="C599" s="12"/>
    </row>
    <row r="600" spans="3:3" ht="15.75" customHeight="1">
      <c r="C600" s="12"/>
    </row>
    <row r="601" spans="3:3" ht="15.75" customHeight="1">
      <c r="C601" s="12"/>
    </row>
    <row r="602" spans="3:3" ht="15.75" customHeight="1">
      <c r="C602" s="12"/>
    </row>
    <row r="603" spans="3:3" ht="15.75" customHeight="1">
      <c r="C603" s="12"/>
    </row>
    <row r="604" spans="3:3" ht="15.75" customHeight="1">
      <c r="C604" s="12"/>
    </row>
    <row r="605" spans="3:3" ht="15.75" customHeight="1">
      <c r="C605" s="12"/>
    </row>
    <row r="606" spans="3:3" ht="15.75" customHeight="1">
      <c r="C606" s="12"/>
    </row>
    <row r="607" spans="3:3" ht="15.75" customHeight="1">
      <c r="C607" s="12"/>
    </row>
    <row r="608" spans="3:3" ht="15.75" customHeight="1">
      <c r="C608" s="12"/>
    </row>
    <row r="609" spans="3:3" ht="15.75" customHeight="1">
      <c r="C609" s="12"/>
    </row>
    <row r="610" spans="3:3" ht="15.75" customHeight="1">
      <c r="C610" s="12"/>
    </row>
    <row r="611" spans="3:3" ht="15.75" customHeight="1">
      <c r="C611" s="12"/>
    </row>
    <row r="612" spans="3:3" ht="15.75" customHeight="1">
      <c r="C612" s="12"/>
    </row>
    <row r="613" spans="3:3" ht="15.75" customHeight="1">
      <c r="C613" s="12"/>
    </row>
    <row r="614" spans="3:3" ht="15.75" customHeight="1">
      <c r="C614" s="12"/>
    </row>
    <row r="615" spans="3:3" ht="15.75" customHeight="1">
      <c r="C615" s="12"/>
    </row>
    <row r="616" spans="3:3" ht="15.75" customHeight="1">
      <c r="C616" s="12"/>
    </row>
    <row r="617" spans="3:3" ht="15.75" customHeight="1">
      <c r="C617" s="12"/>
    </row>
    <row r="618" spans="3:3" ht="15.75" customHeight="1">
      <c r="C618" s="12"/>
    </row>
    <row r="619" spans="3:3" ht="15.75" customHeight="1">
      <c r="C619" s="12"/>
    </row>
    <row r="620" spans="3:3" ht="15.75" customHeight="1">
      <c r="C620" s="12"/>
    </row>
    <row r="621" spans="3:3" ht="15.75" customHeight="1">
      <c r="C621" s="12"/>
    </row>
    <row r="622" spans="3:3" ht="15.75" customHeight="1">
      <c r="C622" s="12"/>
    </row>
    <row r="623" spans="3:3" ht="15.75" customHeight="1">
      <c r="C623" s="12"/>
    </row>
    <row r="624" spans="3:3" ht="15.75" customHeight="1">
      <c r="C624" s="12"/>
    </row>
    <row r="625" spans="3:3" ht="15.75" customHeight="1">
      <c r="C625" s="12"/>
    </row>
    <row r="626" spans="3:3" ht="15.75" customHeight="1">
      <c r="C626" s="12"/>
    </row>
    <row r="627" spans="3:3" ht="15.75" customHeight="1">
      <c r="C627" s="12"/>
    </row>
    <row r="628" spans="3:3" ht="15.75" customHeight="1">
      <c r="C628" s="12"/>
    </row>
    <row r="629" spans="3:3" ht="15.75" customHeight="1">
      <c r="C629" s="12"/>
    </row>
    <row r="630" spans="3:3" ht="15.75" customHeight="1">
      <c r="C630" s="12"/>
    </row>
    <row r="631" spans="3:3" ht="15.75" customHeight="1">
      <c r="C631" s="12"/>
    </row>
    <row r="632" spans="3:3" ht="15.75" customHeight="1">
      <c r="C632" s="12"/>
    </row>
    <row r="633" spans="3:3" ht="15.75" customHeight="1">
      <c r="C633" s="12"/>
    </row>
    <row r="634" spans="3:3" ht="15.75" customHeight="1">
      <c r="C634" s="12"/>
    </row>
    <row r="635" spans="3:3" ht="15.75" customHeight="1">
      <c r="C635" s="12"/>
    </row>
    <row r="636" spans="3:3" ht="15.75" customHeight="1">
      <c r="C636" s="12"/>
    </row>
    <row r="637" spans="3:3" ht="15.75" customHeight="1">
      <c r="C637" s="12"/>
    </row>
    <row r="638" spans="3:3" ht="15.75" customHeight="1">
      <c r="C638" s="12"/>
    </row>
    <row r="639" spans="3:3" ht="15.75" customHeight="1">
      <c r="C639" s="12"/>
    </row>
    <row r="640" spans="3:3" ht="15.75" customHeight="1">
      <c r="C640" s="12"/>
    </row>
    <row r="641" spans="3:3" ht="15.75" customHeight="1">
      <c r="C641" s="12"/>
    </row>
    <row r="642" spans="3:3" ht="15.75" customHeight="1">
      <c r="C642" s="12"/>
    </row>
    <row r="643" spans="3:3" ht="15.75" customHeight="1">
      <c r="C643" s="12"/>
    </row>
    <row r="644" spans="3:3" ht="15.75" customHeight="1">
      <c r="C644" s="12"/>
    </row>
    <row r="645" spans="3:3" ht="15.75" customHeight="1">
      <c r="C645" s="12"/>
    </row>
    <row r="646" spans="3:3" ht="15.75" customHeight="1">
      <c r="C646" s="12"/>
    </row>
    <row r="647" spans="3:3" ht="15.75" customHeight="1">
      <c r="C647" s="12"/>
    </row>
    <row r="648" spans="3:3" ht="15.75" customHeight="1">
      <c r="C648" s="12"/>
    </row>
    <row r="649" spans="3:3" ht="15.75" customHeight="1">
      <c r="C649" s="12"/>
    </row>
    <row r="650" spans="3:3" ht="15.75" customHeight="1">
      <c r="C650" s="12"/>
    </row>
    <row r="651" spans="3:3" ht="15.75" customHeight="1">
      <c r="C651" s="12"/>
    </row>
    <row r="652" spans="3:3" ht="15.75" customHeight="1">
      <c r="C652" s="12"/>
    </row>
    <row r="653" spans="3:3" ht="15.75" customHeight="1">
      <c r="C653" s="12"/>
    </row>
    <row r="654" spans="3:3" ht="15.75" customHeight="1">
      <c r="C654" s="12"/>
    </row>
    <row r="655" spans="3:3" ht="15.75" customHeight="1">
      <c r="C655" s="12"/>
    </row>
    <row r="656" spans="3:3" ht="15.75" customHeight="1">
      <c r="C656" s="12"/>
    </row>
    <row r="657" spans="3:3" ht="15.75" customHeight="1">
      <c r="C657" s="12"/>
    </row>
    <row r="658" spans="3:3" ht="15.75" customHeight="1">
      <c r="C658" s="12"/>
    </row>
    <row r="659" spans="3:3" ht="15.75" customHeight="1">
      <c r="C659" s="12"/>
    </row>
    <row r="660" spans="3:3" ht="15.75" customHeight="1">
      <c r="C660" s="12"/>
    </row>
    <row r="661" spans="3:3" ht="15.75" customHeight="1">
      <c r="C661" s="12"/>
    </row>
    <row r="662" spans="3:3" ht="15.75" customHeight="1">
      <c r="C662" s="12"/>
    </row>
    <row r="663" spans="3:3" ht="15.75" customHeight="1">
      <c r="C663" s="12"/>
    </row>
    <row r="664" spans="3:3" ht="15.75" customHeight="1">
      <c r="C664" s="12"/>
    </row>
    <row r="665" spans="3:3" ht="15.75" customHeight="1">
      <c r="C665" s="12"/>
    </row>
    <row r="666" spans="3:3" ht="15.75" customHeight="1">
      <c r="C666" s="12"/>
    </row>
    <row r="667" spans="3:3" ht="15.75" customHeight="1">
      <c r="C667" s="12"/>
    </row>
    <row r="668" spans="3:3" ht="15.75" customHeight="1">
      <c r="C668" s="12"/>
    </row>
    <row r="669" spans="3:3" ht="15.75" customHeight="1">
      <c r="C669" s="12"/>
    </row>
    <row r="670" spans="3:3" ht="15.75" customHeight="1">
      <c r="C670" s="12"/>
    </row>
    <row r="671" spans="3:3" ht="15.75" customHeight="1">
      <c r="C671" s="12"/>
    </row>
    <row r="672" spans="3:3" ht="15.75" customHeight="1">
      <c r="C672" s="12"/>
    </row>
    <row r="673" spans="3:3" ht="15.75" customHeight="1">
      <c r="C673" s="12"/>
    </row>
    <row r="674" spans="3:3" ht="15.75" customHeight="1">
      <c r="C674" s="12"/>
    </row>
    <row r="675" spans="3:3" ht="15.75" customHeight="1">
      <c r="C675" s="12"/>
    </row>
    <row r="676" spans="3:3" ht="15.75" customHeight="1">
      <c r="C676" s="12"/>
    </row>
    <row r="677" spans="3:3" ht="15.75" customHeight="1">
      <c r="C677" s="12"/>
    </row>
    <row r="678" spans="3:3" ht="15.75" customHeight="1">
      <c r="C678" s="12"/>
    </row>
    <row r="679" spans="3:3" ht="15.75" customHeight="1">
      <c r="C679" s="12"/>
    </row>
    <row r="680" spans="3:3" ht="15.75" customHeight="1">
      <c r="C680" s="12"/>
    </row>
    <row r="681" spans="3:3" ht="15.75" customHeight="1">
      <c r="C681" s="12"/>
    </row>
    <row r="682" spans="3:3" ht="15.75" customHeight="1">
      <c r="C682" s="12"/>
    </row>
    <row r="683" spans="3:3" ht="15.75" customHeight="1">
      <c r="C683" s="12"/>
    </row>
    <row r="684" spans="3:3" ht="15.75" customHeight="1">
      <c r="C684" s="12"/>
    </row>
    <row r="685" spans="3:3" ht="15.75" customHeight="1">
      <c r="C685" s="12"/>
    </row>
    <row r="686" spans="3:3" ht="15.75" customHeight="1">
      <c r="C686" s="12"/>
    </row>
    <row r="687" spans="3:3" ht="15.75" customHeight="1">
      <c r="C687" s="12"/>
    </row>
    <row r="688" spans="3:3" ht="15.75" customHeight="1">
      <c r="C688" s="12"/>
    </row>
    <row r="689" spans="3:3" ht="15.75" customHeight="1">
      <c r="C689" s="12"/>
    </row>
    <row r="690" spans="3:3" ht="15.75" customHeight="1">
      <c r="C690" s="12"/>
    </row>
    <row r="691" spans="3:3" ht="15.75" customHeight="1">
      <c r="C691" s="12"/>
    </row>
    <row r="692" spans="3:3" ht="15.75" customHeight="1">
      <c r="C692" s="12"/>
    </row>
    <row r="693" spans="3:3" ht="15.75" customHeight="1">
      <c r="C693" s="12"/>
    </row>
    <row r="694" spans="3:3" ht="15.75" customHeight="1">
      <c r="C694" s="12"/>
    </row>
    <row r="695" spans="3:3" ht="15.75" customHeight="1">
      <c r="C695" s="12"/>
    </row>
    <row r="696" spans="3:3" ht="15.75" customHeight="1">
      <c r="C696" s="12"/>
    </row>
    <row r="697" spans="3:3" ht="15.75" customHeight="1">
      <c r="C697" s="12"/>
    </row>
    <row r="698" spans="3:3" ht="15.75" customHeight="1">
      <c r="C698" s="12"/>
    </row>
    <row r="699" spans="3:3" ht="15.75" customHeight="1">
      <c r="C699" s="12"/>
    </row>
    <row r="700" spans="3:3" ht="15.75" customHeight="1">
      <c r="C700" s="12"/>
    </row>
    <row r="701" spans="3:3" ht="15.75" customHeight="1">
      <c r="C701" s="12"/>
    </row>
    <row r="702" spans="3:3" ht="15.75" customHeight="1">
      <c r="C702" s="12"/>
    </row>
    <row r="703" spans="3:3" ht="15.75" customHeight="1">
      <c r="C703" s="12"/>
    </row>
    <row r="704" spans="3:3" ht="15.75" customHeight="1">
      <c r="C704" s="12"/>
    </row>
    <row r="705" spans="3:3" ht="15.75" customHeight="1">
      <c r="C705" s="12"/>
    </row>
    <row r="706" spans="3:3" ht="15.75" customHeight="1">
      <c r="C706" s="12"/>
    </row>
    <row r="707" spans="3:3" ht="15.75" customHeight="1">
      <c r="C707" s="12"/>
    </row>
    <row r="708" spans="3:3" ht="15.75" customHeight="1">
      <c r="C708" s="12"/>
    </row>
    <row r="709" spans="3:3" ht="15.75" customHeight="1">
      <c r="C709" s="12"/>
    </row>
    <row r="710" spans="3:3" ht="15.75" customHeight="1">
      <c r="C710" s="12"/>
    </row>
    <row r="711" spans="3:3" ht="15.75" customHeight="1">
      <c r="C711" s="12"/>
    </row>
    <row r="712" spans="3:3" ht="15.75" customHeight="1">
      <c r="C712" s="12"/>
    </row>
    <row r="713" spans="3:3" ht="15.75" customHeight="1">
      <c r="C713" s="12"/>
    </row>
    <row r="714" spans="3:3" ht="15.75" customHeight="1">
      <c r="C714" s="12"/>
    </row>
    <row r="715" spans="3:3" ht="15.75" customHeight="1">
      <c r="C715" s="12"/>
    </row>
    <row r="716" spans="3:3" ht="15.75" customHeight="1">
      <c r="C716" s="12"/>
    </row>
    <row r="717" spans="3:3" ht="15.75" customHeight="1">
      <c r="C717" s="12"/>
    </row>
    <row r="718" spans="3:3" ht="15.75" customHeight="1">
      <c r="C718" s="12"/>
    </row>
    <row r="719" spans="3:3" ht="15.75" customHeight="1">
      <c r="C719" s="12"/>
    </row>
    <row r="720" spans="3:3" ht="15.75" customHeight="1">
      <c r="C720" s="12"/>
    </row>
    <row r="721" spans="3:3" ht="15.75" customHeight="1">
      <c r="C721" s="12"/>
    </row>
    <row r="722" spans="3:3" ht="15.75" customHeight="1">
      <c r="C722" s="12"/>
    </row>
    <row r="723" spans="3:3" ht="15.75" customHeight="1">
      <c r="C723" s="12"/>
    </row>
    <row r="724" spans="3:3" ht="15.75" customHeight="1">
      <c r="C724" s="12"/>
    </row>
    <row r="725" spans="3:3" ht="15.75" customHeight="1">
      <c r="C725" s="12"/>
    </row>
    <row r="726" spans="3:3" ht="15.75" customHeight="1">
      <c r="C726" s="12"/>
    </row>
    <row r="727" spans="3:3" ht="15.75" customHeight="1">
      <c r="C727" s="12"/>
    </row>
    <row r="728" spans="3:3" ht="15.75" customHeight="1">
      <c r="C728" s="12"/>
    </row>
    <row r="729" spans="3:3" ht="15.75" customHeight="1">
      <c r="C729" s="12"/>
    </row>
    <row r="730" spans="3:3" ht="15.75" customHeight="1">
      <c r="C730" s="12"/>
    </row>
    <row r="731" spans="3:3" ht="15.75" customHeight="1">
      <c r="C731" s="12"/>
    </row>
    <row r="732" spans="3:3" ht="15.75" customHeight="1">
      <c r="C732" s="12"/>
    </row>
    <row r="733" spans="3:3" ht="15.75" customHeight="1">
      <c r="C733" s="12"/>
    </row>
    <row r="734" spans="3:3" ht="15.75" customHeight="1">
      <c r="C734" s="12"/>
    </row>
    <row r="735" spans="3:3" ht="15.75" customHeight="1">
      <c r="C735" s="12"/>
    </row>
    <row r="736" spans="3:3" ht="15.75" customHeight="1">
      <c r="C736" s="12"/>
    </row>
    <row r="737" spans="3:3" ht="15.75" customHeight="1">
      <c r="C737" s="12"/>
    </row>
    <row r="738" spans="3:3" ht="15.75" customHeight="1">
      <c r="C738" s="12"/>
    </row>
    <row r="739" spans="3:3" ht="15.75" customHeight="1">
      <c r="C739" s="12"/>
    </row>
    <row r="740" spans="3:3" ht="15.75" customHeight="1">
      <c r="C740" s="12"/>
    </row>
    <row r="741" spans="3:3" ht="15.75" customHeight="1">
      <c r="C741" s="12"/>
    </row>
    <row r="742" spans="3:3" ht="15.75" customHeight="1">
      <c r="C742" s="12"/>
    </row>
    <row r="743" spans="3:3" ht="15.75" customHeight="1">
      <c r="C743" s="12"/>
    </row>
    <row r="744" spans="3:3" ht="15.75" customHeight="1">
      <c r="C744" s="12"/>
    </row>
    <row r="745" spans="3:3" ht="15.75" customHeight="1">
      <c r="C745" s="12"/>
    </row>
    <row r="746" spans="3:3" ht="15.75" customHeight="1">
      <c r="C746" s="12"/>
    </row>
    <row r="747" spans="3:3" ht="15.75" customHeight="1">
      <c r="C747" s="12"/>
    </row>
    <row r="748" spans="3:3" ht="15.75" customHeight="1">
      <c r="C748" s="12"/>
    </row>
    <row r="749" spans="3:3" ht="15.75" customHeight="1">
      <c r="C749" s="12"/>
    </row>
    <row r="750" spans="3:3" ht="15.75" customHeight="1">
      <c r="C750" s="12"/>
    </row>
    <row r="751" spans="3:3" ht="15.75" customHeight="1">
      <c r="C751" s="12"/>
    </row>
    <row r="752" spans="3:3" ht="15.75" customHeight="1">
      <c r="C752" s="12"/>
    </row>
    <row r="753" spans="3:3" ht="15.75" customHeight="1">
      <c r="C753" s="12"/>
    </row>
    <row r="754" spans="3:3" ht="15.75" customHeight="1">
      <c r="C754" s="12"/>
    </row>
    <row r="755" spans="3:3" ht="15.75" customHeight="1">
      <c r="C755" s="12"/>
    </row>
    <row r="756" spans="3:3" ht="15.75" customHeight="1">
      <c r="C756" s="12"/>
    </row>
    <row r="757" spans="3:3" ht="15.75" customHeight="1">
      <c r="C757" s="12"/>
    </row>
    <row r="758" spans="3:3" ht="15.75" customHeight="1">
      <c r="C758" s="12"/>
    </row>
    <row r="759" spans="3:3" ht="15.75" customHeight="1">
      <c r="C759" s="12"/>
    </row>
    <row r="760" spans="3:3" ht="15.75" customHeight="1">
      <c r="C760" s="12"/>
    </row>
    <row r="761" spans="3:3" ht="15.75" customHeight="1">
      <c r="C761" s="12"/>
    </row>
    <row r="762" spans="3:3" ht="15.75" customHeight="1">
      <c r="C762" s="12"/>
    </row>
    <row r="763" spans="3:3" ht="15.75" customHeight="1">
      <c r="C763" s="12"/>
    </row>
    <row r="764" spans="3:3" ht="15.75" customHeight="1">
      <c r="C764" s="12"/>
    </row>
    <row r="765" spans="3:3" ht="15.75" customHeight="1">
      <c r="C765" s="12"/>
    </row>
    <row r="766" spans="3:3" ht="15.75" customHeight="1">
      <c r="C766" s="12"/>
    </row>
    <row r="767" spans="3:3" ht="15.75" customHeight="1">
      <c r="C767" s="12"/>
    </row>
    <row r="768" spans="3:3" ht="15.75" customHeight="1">
      <c r="C768" s="12"/>
    </row>
    <row r="769" spans="3:3" ht="15.75" customHeight="1">
      <c r="C769" s="12"/>
    </row>
    <row r="770" spans="3:3" ht="15.75" customHeight="1">
      <c r="C770" s="12"/>
    </row>
    <row r="771" spans="3:3" ht="15.75" customHeight="1">
      <c r="C771" s="12"/>
    </row>
    <row r="772" spans="3:3" ht="15.75" customHeight="1">
      <c r="C772" s="12"/>
    </row>
    <row r="773" spans="3:3" ht="15.75" customHeight="1">
      <c r="C773" s="12"/>
    </row>
    <row r="774" spans="3:3" ht="15.75" customHeight="1">
      <c r="C774" s="12"/>
    </row>
    <row r="775" spans="3:3" ht="15.75" customHeight="1">
      <c r="C775" s="12"/>
    </row>
    <row r="776" spans="3:3" ht="15.75" customHeight="1">
      <c r="C776" s="12"/>
    </row>
    <row r="777" spans="3:3" ht="15.75" customHeight="1">
      <c r="C777" s="12"/>
    </row>
    <row r="778" spans="3:3" ht="15.75" customHeight="1">
      <c r="C778" s="12"/>
    </row>
    <row r="779" spans="3:3" ht="15.75" customHeight="1">
      <c r="C779" s="12"/>
    </row>
    <row r="780" spans="3:3" ht="15.75" customHeight="1">
      <c r="C780" s="12"/>
    </row>
    <row r="781" spans="3:3" ht="15.75" customHeight="1">
      <c r="C781" s="12"/>
    </row>
    <row r="782" spans="3:3" ht="15.75" customHeight="1">
      <c r="C782" s="12"/>
    </row>
    <row r="783" spans="3:3" ht="15.75" customHeight="1">
      <c r="C783" s="12"/>
    </row>
    <row r="784" spans="3:3" ht="15.75" customHeight="1">
      <c r="C784" s="12"/>
    </row>
    <row r="785" spans="3:3" ht="15.75" customHeight="1">
      <c r="C785" s="12"/>
    </row>
    <row r="786" spans="3:3" ht="15.75" customHeight="1">
      <c r="C786" s="12"/>
    </row>
    <row r="787" spans="3:3" ht="15.75" customHeight="1">
      <c r="C787" s="12"/>
    </row>
    <row r="788" spans="3:3" ht="15.75" customHeight="1">
      <c r="C788" s="12"/>
    </row>
    <row r="789" spans="3:3" ht="15.75" customHeight="1">
      <c r="C789" s="12"/>
    </row>
    <row r="790" spans="3:3" ht="15.75" customHeight="1">
      <c r="C790" s="12"/>
    </row>
    <row r="791" spans="3:3" ht="15.75" customHeight="1">
      <c r="C791" s="12"/>
    </row>
    <row r="792" spans="3:3" ht="15.75" customHeight="1">
      <c r="C792" s="12"/>
    </row>
    <row r="793" spans="3:3" ht="15.75" customHeight="1">
      <c r="C793" s="12"/>
    </row>
    <row r="794" spans="3:3" ht="15.75" customHeight="1">
      <c r="C794" s="12"/>
    </row>
    <row r="795" spans="3:3" ht="15.75" customHeight="1">
      <c r="C795" s="12"/>
    </row>
    <row r="796" spans="3:3" ht="15.75" customHeight="1">
      <c r="C796" s="12"/>
    </row>
    <row r="797" spans="3:3" ht="15.75" customHeight="1">
      <c r="C797" s="12"/>
    </row>
    <row r="798" spans="3:3" ht="15.75" customHeight="1">
      <c r="C798" s="12"/>
    </row>
    <row r="799" spans="3:3" ht="15.75" customHeight="1">
      <c r="C799" s="12"/>
    </row>
    <row r="800" spans="3:3" ht="15.75" customHeight="1">
      <c r="C800" s="12"/>
    </row>
    <row r="801" spans="3:3" ht="15.75" customHeight="1">
      <c r="C801" s="12"/>
    </row>
    <row r="802" spans="3:3" ht="15.75" customHeight="1">
      <c r="C802" s="12"/>
    </row>
    <row r="803" spans="3:3" ht="15.75" customHeight="1">
      <c r="C803" s="12"/>
    </row>
    <row r="804" spans="3:3" ht="15.75" customHeight="1">
      <c r="C804" s="12"/>
    </row>
    <row r="805" spans="3:3" ht="15.75" customHeight="1">
      <c r="C805" s="12"/>
    </row>
    <row r="806" spans="3:3" ht="15.75" customHeight="1">
      <c r="C806" s="12"/>
    </row>
    <row r="807" spans="3:3" ht="15.75" customHeight="1">
      <c r="C807" s="12"/>
    </row>
    <row r="808" spans="3:3" ht="15.75" customHeight="1">
      <c r="C808" s="12"/>
    </row>
    <row r="809" spans="3:3" ht="15.75" customHeight="1">
      <c r="C809" s="12"/>
    </row>
    <row r="810" spans="3:3" ht="15.75" customHeight="1">
      <c r="C810" s="12"/>
    </row>
    <row r="811" spans="3:3" ht="15.75" customHeight="1">
      <c r="C811" s="12"/>
    </row>
    <row r="812" spans="3:3" ht="15.75" customHeight="1">
      <c r="C812" s="12"/>
    </row>
    <row r="813" spans="3:3" ht="15.75" customHeight="1">
      <c r="C813" s="12"/>
    </row>
    <row r="814" spans="3:3" ht="15.75" customHeight="1">
      <c r="C814" s="12"/>
    </row>
    <row r="815" spans="3:3" ht="15.75" customHeight="1">
      <c r="C815" s="12"/>
    </row>
    <row r="816" spans="3:3" ht="15.75" customHeight="1">
      <c r="C816" s="12"/>
    </row>
    <row r="817" spans="3:3" ht="15.75" customHeight="1">
      <c r="C817" s="12"/>
    </row>
    <row r="818" spans="3:3" ht="15.75" customHeight="1">
      <c r="C818" s="12"/>
    </row>
    <row r="819" spans="3:3" ht="15.75" customHeight="1">
      <c r="C819" s="12"/>
    </row>
    <row r="820" spans="3:3" ht="15.75" customHeight="1">
      <c r="C820" s="12"/>
    </row>
    <row r="821" spans="3:3" ht="15.75" customHeight="1">
      <c r="C821" s="12"/>
    </row>
    <row r="822" spans="3:3" ht="15.75" customHeight="1">
      <c r="C822" s="12"/>
    </row>
    <row r="823" spans="3:3" ht="15.75" customHeight="1">
      <c r="C823" s="12"/>
    </row>
    <row r="824" spans="3:3" ht="15.75" customHeight="1">
      <c r="C824" s="12"/>
    </row>
    <row r="825" spans="3:3" ht="15.75" customHeight="1">
      <c r="C825" s="12"/>
    </row>
    <row r="826" spans="3:3" ht="15.75" customHeight="1">
      <c r="C826" s="12"/>
    </row>
    <row r="827" spans="3:3" ht="15.75" customHeight="1">
      <c r="C827" s="12"/>
    </row>
    <row r="828" spans="3:3" ht="15.75" customHeight="1">
      <c r="C828" s="12"/>
    </row>
    <row r="829" spans="3:3" ht="15.75" customHeight="1">
      <c r="C829" s="12"/>
    </row>
    <row r="830" spans="3:3" ht="15.75" customHeight="1">
      <c r="C830" s="12"/>
    </row>
    <row r="831" spans="3:3" ht="15.75" customHeight="1">
      <c r="C831" s="12"/>
    </row>
    <row r="832" spans="3:3" ht="15.75" customHeight="1">
      <c r="C832" s="12"/>
    </row>
    <row r="833" spans="3:3" ht="15.75" customHeight="1">
      <c r="C833" s="12"/>
    </row>
    <row r="834" spans="3:3" ht="15.75" customHeight="1">
      <c r="C834" s="12"/>
    </row>
    <row r="835" spans="3:3" ht="15.75" customHeight="1">
      <c r="C835" s="12"/>
    </row>
    <row r="836" spans="3:3" ht="15.75" customHeight="1">
      <c r="C836" s="12"/>
    </row>
    <row r="837" spans="3:3" ht="15.75" customHeight="1">
      <c r="C837" s="12"/>
    </row>
    <row r="838" spans="3:3" ht="15.75" customHeight="1">
      <c r="C838" s="12"/>
    </row>
    <row r="839" spans="3:3" ht="15.75" customHeight="1">
      <c r="C839" s="12"/>
    </row>
    <row r="840" spans="3:3" ht="15.75" customHeight="1">
      <c r="C840" s="12"/>
    </row>
    <row r="841" spans="3:3" ht="15.75" customHeight="1">
      <c r="C841" s="12"/>
    </row>
    <row r="842" spans="3:3" ht="15.75" customHeight="1">
      <c r="C842" s="12"/>
    </row>
    <row r="843" spans="3:3" ht="15.75" customHeight="1">
      <c r="C843" s="12"/>
    </row>
    <row r="844" spans="3:3" ht="15.75" customHeight="1">
      <c r="C844" s="12"/>
    </row>
    <row r="845" spans="3:3" ht="15.75" customHeight="1">
      <c r="C845" s="12"/>
    </row>
    <row r="846" spans="3:3" ht="15.75" customHeight="1">
      <c r="C846" s="12"/>
    </row>
    <row r="847" spans="3:3" ht="15.75" customHeight="1">
      <c r="C847" s="12"/>
    </row>
    <row r="848" spans="3:3" ht="15.75" customHeight="1">
      <c r="C848" s="12"/>
    </row>
    <row r="849" spans="3:3" ht="15.75" customHeight="1">
      <c r="C849" s="12"/>
    </row>
    <row r="850" spans="3:3" ht="15.75" customHeight="1">
      <c r="C850" s="12"/>
    </row>
    <row r="851" spans="3:3" ht="15.75" customHeight="1">
      <c r="C851" s="12"/>
    </row>
    <row r="852" spans="3:3" ht="15.75" customHeight="1">
      <c r="C852" s="12"/>
    </row>
    <row r="853" spans="3:3" ht="15.75" customHeight="1">
      <c r="C853" s="12"/>
    </row>
    <row r="854" spans="3:3" ht="15.75" customHeight="1">
      <c r="C854" s="12"/>
    </row>
    <row r="855" spans="3:3" ht="15.75" customHeight="1">
      <c r="C855" s="12"/>
    </row>
    <row r="856" spans="3:3" ht="15.75" customHeight="1">
      <c r="C856" s="12"/>
    </row>
    <row r="857" spans="3:3" ht="15.75" customHeight="1">
      <c r="C857" s="12"/>
    </row>
    <row r="858" spans="3:3" ht="15.75" customHeight="1">
      <c r="C858" s="12"/>
    </row>
    <row r="859" spans="3:3" ht="15.75" customHeight="1">
      <c r="C859" s="12"/>
    </row>
    <row r="860" spans="3:3" ht="15.75" customHeight="1">
      <c r="C860" s="12"/>
    </row>
    <row r="861" spans="3:3" ht="15.75" customHeight="1">
      <c r="C861" s="12"/>
    </row>
    <row r="862" spans="3:3" ht="15.75" customHeight="1">
      <c r="C862" s="12"/>
    </row>
    <row r="863" spans="3:3" ht="15.75" customHeight="1">
      <c r="C863" s="12"/>
    </row>
    <row r="864" spans="3:3" ht="15.75" customHeight="1">
      <c r="C864" s="12"/>
    </row>
    <row r="865" spans="3:3" ht="15.75" customHeight="1">
      <c r="C865" s="12"/>
    </row>
    <row r="866" spans="3:3" ht="15.75" customHeight="1">
      <c r="C866" s="12"/>
    </row>
    <row r="867" spans="3:3" ht="15.75" customHeight="1">
      <c r="C867" s="12"/>
    </row>
    <row r="868" spans="3:3" ht="15.75" customHeight="1">
      <c r="C868" s="12"/>
    </row>
    <row r="869" spans="3:3" ht="15.75" customHeight="1">
      <c r="C869" s="12"/>
    </row>
    <row r="870" spans="3:3" ht="15.75" customHeight="1">
      <c r="C870" s="12"/>
    </row>
    <row r="871" spans="3:3" ht="15.75" customHeight="1">
      <c r="C871" s="12"/>
    </row>
    <row r="872" spans="3:3" ht="15.75" customHeight="1">
      <c r="C872" s="12"/>
    </row>
    <row r="873" spans="3:3" ht="15.75" customHeight="1">
      <c r="C873" s="12"/>
    </row>
    <row r="874" spans="3:3" ht="15.75" customHeight="1">
      <c r="C874" s="12"/>
    </row>
    <row r="875" spans="3:3" ht="15.75" customHeight="1">
      <c r="C875" s="12"/>
    </row>
    <row r="876" spans="3:3" ht="15.75" customHeight="1">
      <c r="C876" s="12"/>
    </row>
    <row r="877" spans="3:3" ht="15.75" customHeight="1">
      <c r="C877" s="12"/>
    </row>
    <row r="878" spans="3:3" ht="15.75" customHeight="1">
      <c r="C878" s="12"/>
    </row>
    <row r="879" spans="3:3" ht="15.75" customHeight="1">
      <c r="C879" s="12"/>
    </row>
    <row r="880" spans="3:3" ht="15.75" customHeight="1">
      <c r="C880" s="12"/>
    </row>
    <row r="881" spans="3:3" ht="15.75" customHeight="1">
      <c r="C881" s="12"/>
    </row>
    <row r="882" spans="3:3" ht="15.75" customHeight="1">
      <c r="C882" s="12"/>
    </row>
    <row r="883" spans="3:3" ht="15.75" customHeight="1">
      <c r="C883" s="12"/>
    </row>
    <row r="884" spans="3:3" ht="15.75" customHeight="1">
      <c r="C884" s="12"/>
    </row>
    <row r="885" spans="3:3" ht="15.75" customHeight="1">
      <c r="C885" s="12"/>
    </row>
    <row r="886" spans="3:3" ht="15.75" customHeight="1">
      <c r="C886" s="12"/>
    </row>
    <row r="887" spans="3:3" ht="15.75" customHeight="1">
      <c r="C887" s="12"/>
    </row>
    <row r="888" spans="3:3" ht="15.75" customHeight="1">
      <c r="C888" s="12"/>
    </row>
    <row r="889" spans="3:3" ht="15.75" customHeight="1">
      <c r="C889" s="12"/>
    </row>
    <row r="890" spans="3:3" ht="15.75" customHeight="1">
      <c r="C890" s="12"/>
    </row>
    <row r="891" spans="3:3" ht="15.75" customHeight="1">
      <c r="C891" s="12"/>
    </row>
    <row r="892" spans="3:3" ht="15.75" customHeight="1">
      <c r="C892" s="12"/>
    </row>
    <row r="893" spans="3:3" ht="15.75" customHeight="1">
      <c r="C893" s="12"/>
    </row>
    <row r="894" spans="3:3" ht="15.75" customHeight="1">
      <c r="C894" s="12"/>
    </row>
    <row r="895" spans="3:3" ht="15.75" customHeight="1">
      <c r="C895" s="12"/>
    </row>
    <row r="896" spans="3:3" ht="15.75" customHeight="1">
      <c r="C896" s="12"/>
    </row>
    <row r="897" spans="3:3" ht="15.75" customHeight="1">
      <c r="C897" s="12"/>
    </row>
    <row r="898" spans="3:3" ht="15.75" customHeight="1">
      <c r="C898" s="12"/>
    </row>
    <row r="899" spans="3:3" ht="15.75" customHeight="1">
      <c r="C899" s="12"/>
    </row>
    <row r="900" spans="3:3" ht="15.75" customHeight="1">
      <c r="C900" s="12"/>
    </row>
    <row r="901" spans="3:3" ht="15.75" customHeight="1">
      <c r="C901" s="12"/>
    </row>
    <row r="902" spans="3:3" ht="15.75" customHeight="1">
      <c r="C902" s="12"/>
    </row>
    <row r="903" spans="3:3" ht="15.75" customHeight="1">
      <c r="C903" s="12"/>
    </row>
    <row r="904" spans="3:3" ht="15.75" customHeight="1">
      <c r="C904" s="12"/>
    </row>
    <row r="905" spans="3:3" ht="15.75" customHeight="1">
      <c r="C905" s="12"/>
    </row>
    <row r="906" spans="3:3" ht="15.75" customHeight="1">
      <c r="C906" s="12"/>
    </row>
    <row r="907" spans="3:3" ht="15.75" customHeight="1">
      <c r="C907" s="12"/>
    </row>
    <row r="908" spans="3:3" ht="15.75" customHeight="1">
      <c r="C908" s="12"/>
    </row>
    <row r="909" spans="3:3" ht="15.75" customHeight="1">
      <c r="C909" s="12"/>
    </row>
    <row r="910" spans="3:3" ht="15.75" customHeight="1">
      <c r="C910" s="12"/>
    </row>
    <row r="911" spans="3:3" ht="15.75" customHeight="1">
      <c r="C911" s="12"/>
    </row>
    <row r="912" spans="3:3" ht="15.75" customHeight="1">
      <c r="C912" s="12"/>
    </row>
    <row r="913" spans="3:3" ht="15.75" customHeight="1">
      <c r="C913" s="12"/>
    </row>
    <row r="914" spans="3:3" ht="15.75" customHeight="1">
      <c r="C914" s="12"/>
    </row>
    <row r="915" spans="3:3" ht="15.75" customHeight="1">
      <c r="C915" s="12"/>
    </row>
    <row r="916" spans="3:3" ht="15.75" customHeight="1">
      <c r="C916" s="12"/>
    </row>
    <row r="917" spans="3:3" ht="15.75" customHeight="1">
      <c r="C917" s="12"/>
    </row>
    <row r="918" spans="3:3" ht="15.75" customHeight="1">
      <c r="C918" s="12"/>
    </row>
    <row r="919" spans="3:3" ht="15.75" customHeight="1">
      <c r="C919" s="12"/>
    </row>
    <row r="920" spans="3:3" ht="15.75" customHeight="1">
      <c r="C920" s="12"/>
    </row>
    <row r="921" spans="3:3" ht="15.75" customHeight="1">
      <c r="C921" s="12"/>
    </row>
    <row r="922" spans="3:3" ht="15.75" customHeight="1">
      <c r="C922" s="12"/>
    </row>
    <row r="923" spans="3:3" ht="15.75" customHeight="1">
      <c r="C923" s="12"/>
    </row>
    <row r="924" spans="3:3" ht="15.75" customHeight="1">
      <c r="C924" s="12"/>
    </row>
    <row r="925" spans="3:3" ht="15.75" customHeight="1">
      <c r="C925" s="12"/>
    </row>
    <row r="926" spans="3:3" ht="15.75" customHeight="1">
      <c r="C926" s="12"/>
    </row>
    <row r="927" spans="3:3" ht="15.75" customHeight="1">
      <c r="C927" s="12"/>
    </row>
    <row r="928" spans="3:3" ht="15.75" customHeight="1">
      <c r="C928" s="12"/>
    </row>
    <row r="929" spans="3:3" ht="15.75" customHeight="1">
      <c r="C929" s="12"/>
    </row>
    <row r="930" spans="3:3" ht="15.75" customHeight="1">
      <c r="C930" s="12"/>
    </row>
    <row r="931" spans="3:3" ht="15.75" customHeight="1">
      <c r="C931" s="12"/>
    </row>
    <row r="932" spans="3:3" ht="15.75" customHeight="1">
      <c r="C932" s="12"/>
    </row>
    <row r="933" spans="3:3" ht="15.75" customHeight="1">
      <c r="C933" s="12"/>
    </row>
    <row r="934" spans="3:3" ht="15.75" customHeight="1">
      <c r="C934" s="12"/>
    </row>
    <row r="935" spans="3:3" ht="15.75" customHeight="1">
      <c r="C935" s="12"/>
    </row>
    <row r="936" spans="3:3" ht="15.75" customHeight="1">
      <c r="C936" s="12"/>
    </row>
    <row r="937" spans="3:3" ht="15.75" customHeight="1">
      <c r="C937" s="12"/>
    </row>
    <row r="938" spans="3:3" ht="15.75" customHeight="1">
      <c r="C938" s="12"/>
    </row>
    <row r="939" spans="3:3" ht="15.75" customHeight="1">
      <c r="C939" s="12"/>
    </row>
    <row r="940" spans="3:3" ht="15.75" customHeight="1">
      <c r="C940" s="12"/>
    </row>
    <row r="941" spans="3:3" ht="15.75" customHeight="1">
      <c r="C941" s="12"/>
    </row>
    <row r="942" spans="3:3" ht="15.75" customHeight="1">
      <c r="C942" s="12"/>
    </row>
    <row r="943" spans="3:3" ht="15.75" customHeight="1">
      <c r="C943" s="12"/>
    </row>
    <row r="944" spans="3:3" ht="15.75" customHeight="1">
      <c r="C944" s="12"/>
    </row>
    <row r="945" spans="3:3" ht="15.75" customHeight="1">
      <c r="C945" s="12"/>
    </row>
    <row r="946" spans="3:3" ht="15.75" customHeight="1">
      <c r="C946" s="12"/>
    </row>
    <row r="947" spans="3:3" ht="15.75" customHeight="1">
      <c r="C947" s="12"/>
    </row>
    <row r="948" spans="3:3" ht="15.75" customHeight="1">
      <c r="C948" s="12"/>
    </row>
    <row r="949" spans="3:3" ht="15.75" customHeight="1">
      <c r="C949" s="12"/>
    </row>
    <row r="950" spans="3:3" ht="15.75" customHeight="1">
      <c r="C950" s="12"/>
    </row>
    <row r="951" spans="3:3" ht="15.75" customHeight="1">
      <c r="C951" s="12"/>
    </row>
    <row r="952" spans="3:3" ht="15.75" customHeight="1">
      <c r="C952" s="12"/>
    </row>
    <row r="953" spans="3:3" ht="15.75" customHeight="1">
      <c r="C953" s="12"/>
    </row>
    <row r="954" spans="3:3" ht="15.75" customHeight="1">
      <c r="C954" s="12"/>
    </row>
    <row r="955" spans="3:3" ht="15.75" customHeight="1">
      <c r="C955" s="12"/>
    </row>
    <row r="956" spans="3:3" ht="15.75" customHeight="1">
      <c r="C956" s="12"/>
    </row>
    <row r="957" spans="3:3" ht="15.75" customHeight="1">
      <c r="C957" s="12"/>
    </row>
    <row r="958" spans="3:3" ht="15.75" customHeight="1">
      <c r="C958" s="12"/>
    </row>
    <row r="959" spans="3:3" ht="15.75" customHeight="1">
      <c r="C959" s="12"/>
    </row>
    <row r="960" spans="3:3" ht="15.75" customHeight="1">
      <c r="C960" s="12"/>
    </row>
    <row r="961" spans="3:3" ht="15.75" customHeight="1">
      <c r="C961" s="12"/>
    </row>
    <row r="962" spans="3:3" ht="15.75" customHeight="1">
      <c r="C962" s="12"/>
    </row>
    <row r="963" spans="3:3" ht="15.75" customHeight="1">
      <c r="C963" s="12"/>
    </row>
    <row r="964" spans="3:3" ht="15.75" customHeight="1">
      <c r="C964" s="12"/>
    </row>
    <row r="965" spans="3:3" ht="15.75" customHeight="1">
      <c r="C965" s="12"/>
    </row>
    <row r="966" spans="3:3" ht="15.75" customHeight="1">
      <c r="C966" s="12"/>
    </row>
    <row r="967" spans="3:3" ht="15.75" customHeight="1">
      <c r="C967" s="12"/>
    </row>
    <row r="968" spans="3:3" ht="15.75" customHeight="1">
      <c r="C968" s="12"/>
    </row>
    <row r="969" spans="3:3" ht="15.75" customHeight="1">
      <c r="C969" s="12"/>
    </row>
    <row r="970" spans="3:3" ht="15.75" customHeight="1">
      <c r="C970" s="12"/>
    </row>
    <row r="971" spans="3:3" ht="15.75" customHeight="1">
      <c r="C971" s="12"/>
    </row>
    <row r="972" spans="3:3" ht="15.75" customHeight="1">
      <c r="C972" s="12"/>
    </row>
    <row r="973" spans="3:3" ht="15.75" customHeight="1">
      <c r="C973" s="12"/>
    </row>
    <row r="974" spans="3:3" ht="15.75" customHeight="1">
      <c r="C974" s="12"/>
    </row>
    <row r="975" spans="3:3" ht="15.75" customHeight="1">
      <c r="C975" s="12"/>
    </row>
    <row r="976" spans="3:3" ht="15.75" customHeight="1">
      <c r="C976" s="12"/>
    </row>
    <row r="977" spans="3:3" ht="15.75" customHeight="1">
      <c r="C977" s="12"/>
    </row>
    <row r="978" spans="3:3" ht="15.75" customHeight="1">
      <c r="C978" s="12"/>
    </row>
    <row r="979" spans="3:3" ht="15.75" customHeight="1">
      <c r="C979" s="12"/>
    </row>
    <row r="980" spans="3:3" ht="15.75" customHeight="1">
      <c r="C980" s="12"/>
    </row>
    <row r="981" spans="3:3" ht="15.75" customHeight="1">
      <c r="C981" s="12"/>
    </row>
    <row r="982" spans="3:3" ht="15.75" customHeight="1">
      <c r="C982" s="12"/>
    </row>
    <row r="983" spans="3:3" ht="15.75" customHeight="1">
      <c r="C983" s="12"/>
    </row>
    <row r="984" spans="3:3" ht="15.75" customHeight="1">
      <c r="C984" s="12"/>
    </row>
    <row r="985" spans="3:3" ht="15.75" customHeight="1">
      <c r="C985" s="12"/>
    </row>
    <row r="986" spans="3:3" ht="15.75" customHeight="1">
      <c r="C986" s="12"/>
    </row>
    <row r="987" spans="3:3" ht="15.75" customHeight="1">
      <c r="C987" s="12"/>
    </row>
    <row r="988" spans="3:3" ht="15.75" customHeight="1">
      <c r="C988" s="12"/>
    </row>
    <row r="989" spans="3:3" ht="15.75" customHeight="1">
      <c r="C989" s="12"/>
    </row>
    <row r="990" spans="3:3" ht="15.75" customHeight="1">
      <c r="C990" s="12"/>
    </row>
    <row r="991" spans="3:3" ht="15.75" customHeight="1">
      <c r="C991" s="12"/>
    </row>
    <row r="992" spans="3:3" ht="15.75" customHeight="1">
      <c r="C992" s="12"/>
    </row>
    <row r="993" spans="3:3" ht="15.75" customHeight="1">
      <c r="C993" s="12"/>
    </row>
    <row r="994" spans="3:3" ht="15.75" customHeight="1">
      <c r="C994" s="12"/>
    </row>
    <row r="995" spans="3:3" ht="15.75" customHeight="1">
      <c r="C995" s="12"/>
    </row>
    <row r="996" spans="3:3" ht="15.75" customHeight="1">
      <c r="C996" s="12"/>
    </row>
    <row r="997" spans="3:3" ht="15.75" customHeight="1">
      <c r="C997" s="12"/>
    </row>
    <row r="998" spans="3:3" ht="15.75" customHeight="1">
      <c r="C998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Lookups!$A$1:$A$6</xm:f>
          </x14:formula1>
          <xm:sqref>B2:B61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8"/>
  <sheetViews>
    <sheetView workbookViewId="0"/>
  </sheetViews>
  <sheetFormatPr baseColWidth="10" defaultColWidth="12.6640625" defaultRowHeight="15.75" customHeight="1"/>
  <cols>
    <col min="1" max="1" width="9.83203125" customWidth="1"/>
    <col min="2" max="2" width="14.6640625" customWidth="1"/>
    <col min="3" max="3" width="35.6640625" customWidth="1"/>
    <col min="4" max="4" width="8.6640625" customWidth="1"/>
    <col min="5" max="5" width="8.5" customWidth="1"/>
    <col min="6" max="6" width="31.6640625" customWidth="1"/>
    <col min="7" max="7" width="8.1640625" customWidth="1"/>
  </cols>
  <sheetData>
    <row r="1" spans="1:26" ht="13">
      <c r="A1" s="1" t="s">
        <v>0</v>
      </c>
      <c r="B1" s="1" t="s">
        <v>1</v>
      </c>
      <c r="C1" s="57" t="s">
        <v>2</v>
      </c>
      <c r="D1" s="58" t="s">
        <v>3</v>
      </c>
      <c r="E1" s="59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6" t="s">
        <v>1087</v>
      </c>
      <c r="B2" s="6" t="s">
        <v>9</v>
      </c>
      <c r="C2" s="60" t="s">
        <v>1088</v>
      </c>
      <c r="D2" s="61">
        <f ca="1">IFERROR(__xludf.DUMMYFUNCTION("SPLIT(C2,"","")"),56.1569652)</f>
        <v>56.156965200000002</v>
      </c>
      <c r="E2" s="62">
        <f ca="1">IFERROR(__xludf.DUMMYFUNCTION("""COMPUTED_VALUE"""),9.9446105)</f>
        <v>9.9446104999999996</v>
      </c>
      <c r="F2" s="10" t="s">
        <v>802</v>
      </c>
      <c r="G2" s="6"/>
    </row>
    <row r="3" spans="1:26" ht="13">
      <c r="A3" s="11" t="s">
        <v>1089</v>
      </c>
      <c r="B3" s="11" t="s">
        <v>51</v>
      </c>
      <c r="C3" s="11" t="s">
        <v>1090</v>
      </c>
      <c r="D3" s="61">
        <f ca="1">IFERROR(__xludf.DUMMYFUNCTION("SPLIT(C3,"","")"),56.155259)</f>
        <v>56.155259000000001</v>
      </c>
      <c r="E3" s="62">
        <f ca="1">IFERROR(__xludf.DUMMYFUNCTION("""COMPUTED_VALUE"""),9.9391803)</f>
        <v>9.9391803000000003</v>
      </c>
      <c r="F3" s="11" t="s">
        <v>1089</v>
      </c>
    </row>
    <row r="4" spans="1:26" ht="13">
      <c r="A4" s="11" t="s">
        <v>1091</v>
      </c>
      <c r="B4" s="11" t="s">
        <v>17</v>
      </c>
      <c r="C4" s="11" t="s">
        <v>1092</v>
      </c>
      <c r="D4" s="61">
        <f ca="1">IFERROR(__xludf.DUMMYFUNCTION("SPLIT(C4,"","")"),56.149862)</f>
        <v>56.149861999999999</v>
      </c>
      <c r="E4" s="62">
        <f ca="1">IFERROR(__xludf.DUMMYFUNCTION("""COMPUTED_VALUE"""),9.9575603)</f>
        <v>9.9575603000000008</v>
      </c>
      <c r="F4" s="11" t="s">
        <v>1093</v>
      </c>
    </row>
    <row r="5" spans="1:26" ht="13">
      <c r="A5" s="11" t="s">
        <v>1094</v>
      </c>
      <c r="B5" s="11" t="s">
        <v>17</v>
      </c>
      <c r="C5" s="11" t="s">
        <v>1095</v>
      </c>
      <c r="D5" s="61">
        <f ca="1">IFERROR(__xludf.DUMMYFUNCTION("SPLIT(C5,"","")"),56.1333663)</f>
        <v>56.133366299999999</v>
      </c>
      <c r="E5" s="62">
        <f ca="1">IFERROR(__xludf.DUMMYFUNCTION("""COMPUTED_VALUE"""),9.8915517)</f>
        <v>9.8915517000000008</v>
      </c>
      <c r="F5" s="11" t="s">
        <v>1093</v>
      </c>
    </row>
    <row r="6" spans="1:26" ht="13">
      <c r="A6" s="11" t="s">
        <v>1096</v>
      </c>
      <c r="B6" s="11" t="s">
        <v>17</v>
      </c>
      <c r="C6" s="11" t="s">
        <v>1097</v>
      </c>
      <c r="D6" s="61">
        <f ca="1">IFERROR(__xludf.DUMMYFUNCTION("SPLIT(C6,"","")"),56.1500468)</f>
        <v>56.150046799999998</v>
      </c>
      <c r="E6" s="62">
        <f ca="1">IFERROR(__xludf.DUMMYFUNCTION("""COMPUTED_VALUE"""),9.9581676)</f>
        <v>9.9581675999999995</v>
      </c>
      <c r="F6" s="11" t="s">
        <v>1093</v>
      </c>
    </row>
    <row r="7" spans="1:26" ht="13">
      <c r="B7" s="11"/>
      <c r="D7" s="61" t="str">
        <f ca="1">IFERROR(__xludf.DUMMYFUNCTION("SPLIT(C7,"","")"),"#VALUE!")</f>
        <v>#VALUE!</v>
      </c>
      <c r="E7" s="62"/>
    </row>
    <row r="8" spans="1:26" ht="13">
      <c r="B8" s="11"/>
      <c r="D8" s="63">
        <v>55.938293600000002</v>
      </c>
      <c r="E8" s="62">
        <v>8.7300804000000003</v>
      </c>
    </row>
    <row r="9" spans="1:26" ht="13">
      <c r="B9" s="11"/>
      <c r="D9" s="63"/>
      <c r="E9" s="62"/>
    </row>
    <row r="10" spans="1:26" ht="13">
      <c r="B10" s="11"/>
      <c r="D10" s="63"/>
      <c r="E10" s="62"/>
    </row>
    <row r="11" spans="1:26" ht="13">
      <c r="B11" s="11"/>
      <c r="D11" s="63"/>
      <c r="E11" s="62"/>
    </row>
    <row r="12" spans="1:26" ht="13">
      <c r="B12" s="11"/>
      <c r="D12" s="63"/>
      <c r="E12" s="62"/>
    </row>
    <row r="13" spans="1:26" ht="13">
      <c r="B13" s="11"/>
      <c r="D13" s="63"/>
      <c r="E13" s="62"/>
    </row>
    <row r="14" spans="1:26" ht="13">
      <c r="B14" s="11"/>
      <c r="D14" s="63"/>
      <c r="E14" s="62"/>
    </row>
    <row r="15" spans="1:26" ht="13">
      <c r="B15" s="11"/>
      <c r="D15" s="63"/>
      <c r="E15" s="62"/>
    </row>
    <row r="16" spans="1:26" ht="13">
      <c r="B16" s="11"/>
      <c r="D16" s="63"/>
      <c r="E16" s="62"/>
    </row>
    <row r="17" spans="2:5" ht="13">
      <c r="B17" s="11"/>
      <c r="D17" s="63"/>
      <c r="E17" s="62"/>
    </row>
    <row r="18" spans="2:5" ht="13">
      <c r="B18" s="11"/>
      <c r="D18" s="63"/>
      <c r="E18" s="62"/>
    </row>
    <row r="19" spans="2:5" ht="13">
      <c r="B19" s="11"/>
      <c r="D19" s="63"/>
      <c r="E19" s="62"/>
    </row>
    <row r="20" spans="2:5" ht="13">
      <c r="B20" s="11"/>
      <c r="D20" s="63"/>
      <c r="E20" s="62"/>
    </row>
    <row r="21" spans="2:5" ht="13">
      <c r="B21" s="11"/>
      <c r="D21" s="63"/>
      <c r="E21" s="62"/>
    </row>
    <row r="22" spans="2:5" ht="13">
      <c r="B22" s="11"/>
      <c r="D22" s="63"/>
      <c r="E22" s="62"/>
    </row>
    <row r="23" spans="2:5" ht="13">
      <c r="B23" s="11"/>
      <c r="D23" s="63"/>
      <c r="E23" s="62"/>
    </row>
    <row r="24" spans="2:5" ht="13">
      <c r="B24" s="11"/>
      <c r="D24" s="63"/>
      <c r="E24" s="62"/>
    </row>
    <row r="25" spans="2:5" ht="13">
      <c r="B25" s="11"/>
      <c r="D25" s="63"/>
      <c r="E25" s="62"/>
    </row>
    <row r="26" spans="2:5" ht="13">
      <c r="B26" s="11"/>
      <c r="D26" s="63"/>
      <c r="E26" s="62"/>
    </row>
    <row r="27" spans="2:5" ht="13">
      <c r="B27" s="11"/>
      <c r="D27" s="63"/>
      <c r="E27" s="62"/>
    </row>
    <row r="28" spans="2:5" ht="13">
      <c r="B28" s="11"/>
      <c r="D28" s="63"/>
      <c r="E28" s="62"/>
    </row>
    <row r="29" spans="2:5" ht="13">
      <c r="B29" s="11"/>
      <c r="D29" s="63"/>
      <c r="E29" s="62"/>
    </row>
    <row r="30" spans="2:5" ht="13">
      <c r="B30" s="11"/>
      <c r="D30" s="63"/>
      <c r="E30" s="62"/>
    </row>
    <row r="31" spans="2:5" ht="13">
      <c r="B31" s="11"/>
      <c r="D31" s="63"/>
      <c r="E31" s="62"/>
    </row>
    <row r="32" spans="2:5" ht="13">
      <c r="B32" s="11"/>
      <c r="D32" s="63"/>
      <c r="E32" s="62"/>
    </row>
    <row r="33" spans="2:5" ht="13">
      <c r="B33" s="11"/>
      <c r="D33" s="63"/>
      <c r="E33" s="62"/>
    </row>
    <row r="34" spans="2:5" ht="13">
      <c r="B34" s="11"/>
      <c r="D34" s="63"/>
      <c r="E34" s="62"/>
    </row>
    <row r="35" spans="2:5" ht="13">
      <c r="B35" s="11"/>
      <c r="D35" s="63"/>
      <c r="E35" s="62"/>
    </row>
    <row r="36" spans="2:5" ht="13">
      <c r="B36" s="11"/>
      <c r="D36" s="63" t="str">
        <f ca="1">IFERROR(__xludf.DUMMYFUNCTION("SPLIT(C36,"","")"),"#VALUE!")</f>
        <v>#VALUE!</v>
      </c>
      <c r="E36" s="62"/>
    </row>
    <row r="37" spans="2:5" ht="13">
      <c r="B37" s="11"/>
      <c r="D37" s="63" t="str">
        <f ca="1">IFERROR(__xludf.DUMMYFUNCTION("SPLIT(C37,"","")"),"#VALUE!")</f>
        <v>#VALUE!</v>
      </c>
      <c r="E37" s="62"/>
    </row>
    <row r="38" spans="2:5" ht="13">
      <c r="B38" s="11"/>
      <c r="D38" s="63" t="str">
        <f ca="1">IFERROR(__xludf.DUMMYFUNCTION("SPLIT(C38,"","")"),"#VALUE!")</f>
        <v>#VALUE!</v>
      </c>
      <c r="E38" s="62"/>
    </row>
    <row r="39" spans="2:5" ht="13">
      <c r="B39" s="11"/>
      <c r="D39" s="63" t="str">
        <f ca="1">IFERROR(__xludf.DUMMYFUNCTION("SPLIT(C39,"","")"),"#VALUE!")</f>
        <v>#VALUE!</v>
      </c>
      <c r="E39" s="62"/>
    </row>
    <row r="40" spans="2:5" ht="13">
      <c r="B40" s="11"/>
      <c r="D40" s="63" t="str">
        <f ca="1">IFERROR(__xludf.DUMMYFUNCTION("SPLIT(C40,"","")"),"#VALUE!")</f>
        <v>#VALUE!</v>
      </c>
      <c r="E40" s="62"/>
    </row>
    <row r="41" spans="2:5" ht="13">
      <c r="B41" s="11"/>
      <c r="D41" s="63" t="str">
        <f ca="1">IFERROR(__xludf.DUMMYFUNCTION("SPLIT(C41,"","")"),"#VALUE!")</f>
        <v>#VALUE!</v>
      </c>
      <c r="E41" s="62"/>
    </row>
    <row r="42" spans="2:5" ht="13">
      <c r="B42" s="11"/>
      <c r="D42" s="63" t="str">
        <f ca="1">IFERROR(__xludf.DUMMYFUNCTION("SPLIT(C42,"","")"),"#VALUE!")</f>
        <v>#VALUE!</v>
      </c>
      <c r="E42" s="62"/>
    </row>
    <row r="43" spans="2:5" ht="13">
      <c r="B43" s="11"/>
      <c r="D43" s="63" t="str">
        <f ca="1">IFERROR(__xludf.DUMMYFUNCTION("SPLIT(C43,"","")"),"#VALUE!")</f>
        <v>#VALUE!</v>
      </c>
      <c r="E43" s="62"/>
    </row>
    <row r="44" spans="2:5" ht="13">
      <c r="B44" s="11"/>
      <c r="D44" s="63" t="str">
        <f ca="1">IFERROR(__xludf.DUMMYFUNCTION("SPLIT(C44,"","")"),"#VALUE!")</f>
        <v>#VALUE!</v>
      </c>
      <c r="E44" s="62"/>
    </row>
    <row r="45" spans="2:5" ht="13">
      <c r="B45" s="11"/>
      <c r="D45" s="63" t="str">
        <f ca="1">IFERROR(__xludf.DUMMYFUNCTION("SPLIT(C45,"","")"),"#VALUE!")</f>
        <v>#VALUE!</v>
      </c>
      <c r="E45" s="62"/>
    </row>
    <row r="46" spans="2:5" ht="13">
      <c r="B46" s="11"/>
      <c r="D46" s="63" t="str">
        <f ca="1">IFERROR(__xludf.DUMMYFUNCTION("SPLIT(C46,"","")"),"#VALUE!")</f>
        <v>#VALUE!</v>
      </c>
      <c r="E46" s="62"/>
    </row>
    <row r="47" spans="2:5" ht="13">
      <c r="B47" s="11"/>
      <c r="D47" s="63" t="str">
        <f ca="1">IFERROR(__xludf.DUMMYFUNCTION("SPLIT(C47,"","")"),"#VALUE!")</f>
        <v>#VALUE!</v>
      </c>
      <c r="E47" s="62"/>
    </row>
    <row r="48" spans="2:5" ht="13">
      <c r="B48" s="11"/>
      <c r="D48" s="63" t="str">
        <f ca="1">IFERROR(__xludf.DUMMYFUNCTION("SPLIT(C48,"","")"),"#VALUE!")</f>
        <v>#VALUE!</v>
      </c>
      <c r="E48" s="62"/>
    </row>
    <row r="49" spans="2:5" ht="13">
      <c r="B49" s="11"/>
      <c r="D49" s="63" t="str">
        <f ca="1">IFERROR(__xludf.DUMMYFUNCTION("SPLIT(C49,"","")"),"#VALUE!")</f>
        <v>#VALUE!</v>
      </c>
      <c r="E49" s="62"/>
    </row>
    <row r="50" spans="2:5" ht="13">
      <c r="B50" s="11"/>
      <c r="D50" s="63" t="str">
        <f ca="1">IFERROR(__xludf.DUMMYFUNCTION("SPLIT(C50,"","")"),"#VALUE!")</f>
        <v>#VALUE!</v>
      </c>
      <c r="E50" s="62"/>
    </row>
    <row r="51" spans="2:5" ht="13">
      <c r="B51" s="11"/>
      <c r="D51" s="63" t="str">
        <f ca="1">IFERROR(__xludf.DUMMYFUNCTION("SPLIT(C51,"","")"),"#VALUE!")</f>
        <v>#VALUE!</v>
      </c>
      <c r="E51" s="62"/>
    </row>
    <row r="52" spans="2:5" ht="13">
      <c r="B52" s="11"/>
      <c r="D52" s="63" t="str">
        <f ca="1">IFERROR(__xludf.DUMMYFUNCTION("SPLIT(C52,"","")"),"#VALUE!")</f>
        <v>#VALUE!</v>
      </c>
      <c r="E52" s="62"/>
    </row>
    <row r="53" spans="2:5" ht="13">
      <c r="B53" s="11"/>
      <c r="D53" s="63" t="str">
        <f ca="1">IFERROR(__xludf.DUMMYFUNCTION("SPLIT(C53,"","")"),"#VALUE!")</f>
        <v>#VALUE!</v>
      </c>
      <c r="E53" s="62"/>
    </row>
    <row r="54" spans="2:5" ht="13">
      <c r="B54" s="11"/>
      <c r="D54" s="63" t="str">
        <f ca="1">IFERROR(__xludf.DUMMYFUNCTION("SPLIT(C54,"","")"),"#VALUE!")</f>
        <v>#VALUE!</v>
      </c>
      <c r="E54" s="62"/>
    </row>
    <row r="55" spans="2:5" ht="13">
      <c r="B55" s="11"/>
      <c r="D55" s="63" t="str">
        <f ca="1">IFERROR(__xludf.DUMMYFUNCTION("SPLIT(C55,"","")"),"#VALUE!")</f>
        <v>#VALUE!</v>
      </c>
      <c r="E55" s="62"/>
    </row>
    <row r="56" spans="2:5" ht="13">
      <c r="B56" s="11"/>
      <c r="D56" s="63" t="str">
        <f ca="1">IFERROR(__xludf.DUMMYFUNCTION("SPLIT(C56,"","")"),"#VALUE!")</f>
        <v>#VALUE!</v>
      </c>
      <c r="E56" s="62"/>
    </row>
    <row r="57" spans="2:5" ht="13">
      <c r="B57" s="11"/>
      <c r="D57" s="63" t="str">
        <f ca="1">IFERROR(__xludf.DUMMYFUNCTION("SPLIT(C57,"","")"),"#VALUE!")</f>
        <v>#VALUE!</v>
      </c>
      <c r="E57" s="62"/>
    </row>
    <row r="58" spans="2:5" ht="13">
      <c r="B58" s="11"/>
      <c r="D58" s="63" t="str">
        <f ca="1">IFERROR(__xludf.DUMMYFUNCTION("SPLIT(C58,"","")"),"#VALUE!")</f>
        <v>#VALUE!</v>
      </c>
      <c r="E58" s="62"/>
    </row>
    <row r="59" spans="2:5" ht="13">
      <c r="B59" s="11"/>
      <c r="D59" s="63" t="str">
        <f ca="1">IFERROR(__xludf.DUMMYFUNCTION("SPLIT(C59,"","")"),"#VALUE!")</f>
        <v>#VALUE!</v>
      </c>
      <c r="E59" s="62"/>
    </row>
    <row r="60" spans="2:5" ht="13">
      <c r="B60" s="11"/>
      <c r="D60" s="63" t="str">
        <f ca="1">IFERROR(__xludf.DUMMYFUNCTION("SPLIT(C60,"","")"),"#VALUE!")</f>
        <v>#VALUE!</v>
      </c>
      <c r="E60" s="62"/>
    </row>
    <row r="61" spans="2:5" ht="13">
      <c r="B61" s="11"/>
      <c r="D61" s="63" t="str">
        <f ca="1">IFERROR(__xludf.DUMMYFUNCTION("SPLIT(C61,"","")"),"#VALUE!")</f>
        <v>#VALUE!</v>
      </c>
      <c r="E61" s="62"/>
    </row>
    <row r="62" spans="2:5" ht="13">
      <c r="B62" s="11"/>
      <c r="D62" s="63" t="str">
        <f ca="1">IFERROR(__xludf.DUMMYFUNCTION("SPLIT(C62,"","")"),"#VALUE!")</f>
        <v>#VALUE!</v>
      </c>
      <c r="E62" s="62"/>
    </row>
    <row r="63" spans="2:5" ht="13">
      <c r="B63" s="11"/>
      <c r="D63" s="63" t="str">
        <f ca="1">IFERROR(__xludf.DUMMYFUNCTION("SPLIT(C63,"","")"),"#VALUE!")</f>
        <v>#VALUE!</v>
      </c>
      <c r="E63" s="62"/>
    </row>
    <row r="64" spans="2:5" ht="13">
      <c r="B64" s="11"/>
      <c r="D64" s="63" t="str">
        <f ca="1">IFERROR(__xludf.DUMMYFUNCTION("SPLIT(C64,"","")"),"#VALUE!")</f>
        <v>#VALUE!</v>
      </c>
      <c r="E64" s="62"/>
    </row>
    <row r="65" spans="2:5" ht="13">
      <c r="B65" s="11"/>
      <c r="D65" s="62"/>
      <c r="E65" s="62"/>
    </row>
    <row r="66" spans="2:5" ht="13">
      <c r="B66" s="11"/>
      <c r="D66" s="62"/>
      <c r="E66" s="62"/>
    </row>
    <row r="67" spans="2:5" ht="13">
      <c r="B67" s="11"/>
      <c r="D67" s="62"/>
      <c r="E67" s="62"/>
    </row>
    <row r="68" spans="2:5" ht="13">
      <c r="B68" s="11"/>
      <c r="D68" s="62"/>
      <c r="E68" s="62"/>
    </row>
    <row r="69" spans="2:5" ht="13">
      <c r="B69" s="11"/>
      <c r="D69" s="62"/>
      <c r="E69" s="62"/>
    </row>
    <row r="70" spans="2:5" ht="13">
      <c r="B70" s="11"/>
      <c r="D70" s="62"/>
      <c r="E70" s="62"/>
    </row>
    <row r="71" spans="2:5" ht="13">
      <c r="B71" s="11"/>
      <c r="D71" s="62"/>
      <c r="E71" s="62"/>
    </row>
    <row r="72" spans="2:5" ht="13">
      <c r="B72" s="11"/>
      <c r="D72" s="62"/>
      <c r="E72" s="62"/>
    </row>
    <row r="73" spans="2:5" ht="13">
      <c r="B73" s="11"/>
      <c r="D73" s="62"/>
      <c r="E73" s="62"/>
    </row>
    <row r="74" spans="2:5" ht="13">
      <c r="B74" s="11"/>
      <c r="D74" s="62"/>
      <c r="E74" s="62"/>
    </row>
    <row r="75" spans="2:5" ht="13">
      <c r="B75" s="11"/>
      <c r="D75" s="62"/>
      <c r="E75" s="62"/>
    </row>
    <row r="76" spans="2:5" ht="13">
      <c r="B76" s="11"/>
      <c r="D76" s="62"/>
      <c r="E76" s="62"/>
    </row>
    <row r="77" spans="2:5" ht="13">
      <c r="B77" s="11"/>
      <c r="D77" s="62"/>
      <c r="E77" s="62"/>
    </row>
    <row r="78" spans="2:5" ht="13">
      <c r="B78" s="11"/>
      <c r="D78" s="62"/>
      <c r="E78" s="62"/>
    </row>
    <row r="79" spans="2:5" ht="13">
      <c r="B79" s="11"/>
      <c r="D79" s="62"/>
      <c r="E79" s="62"/>
    </row>
    <row r="80" spans="2:5" ht="13">
      <c r="B80" s="11"/>
      <c r="D80" s="62"/>
      <c r="E80" s="62"/>
    </row>
    <row r="81" spans="2:5" ht="13">
      <c r="B81" s="11"/>
      <c r="D81" s="62"/>
      <c r="E81" s="62"/>
    </row>
    <row r="82" spans="2:5" ht="13">
      <c r="B82" s="11"/>
      <c r="D82" s="62"/>
      <c r="E82" s="62"/>
    </row>
    <row r="83" spans="2:5" ht="13">
      <c r="B83" s="11"/>
      <c r="D83" s="62"/>
      <c r="E83" s="62"/>
    </row>
    <row r="84" spans="2:5" ht="13">
      <c r="B84" s="11"/>
      <c r="D84" s="62"/>
      <c r="E84" s="62"/>
    </row>
    <row r="85" spans="2:5" ht="13">
      <c r="B85" s="11"/>
      <c r="D85" s="62"/>
      <c r="E85" s="62"/>
    </row>
    <row r="86" spans="2:5" ht="13">
      <c r="B86" s="11"/>
      <c r="D86" s="62"/>
      <c r="E86" s="62"/>
    </row>
    <row r="87" spans="2:5" ht="13">
      <c r="B87" s="11"/>
      <c r="D87" s="62"/>
      <c r="E87" s="62"/>
    </row>
    <row r="88" spans="2:5" ht="13">
      <c r="B88" s="11"/>
      <c r="D88" s="62"/>
      <c r="E88" s="62"/>
    </row>
    <row r="89" spans="2:5" ht="13">
      <c r="B89" s="11"/>
      <c r="D89" s="62"/>
      <c r="E89" s="62"/>
    </row>
    <row r="90" spans="2:5" ht="13">
      <c r="B90" s="11"/>
      <c r="D90" s="62"/>
      <c r="E90" s="62"/>
    </row>
    <row r="91" spans="2:5" ht="13">
      <c r="B91" s="11"/>
      <c r="D91" s="62"/>
      <c r="E91" s="62"/>
    </row>
    <row r="92" spans="2:5" ht="13">
      <c r="B92" s="11"/>
      <c r="D92" s="62"/>
      <c r="E92" s="62"/>
    </row>
    <row r="93" spans="2:5" ht="13">
      <c r="B93" s="11"/>
      <c r="D93" s="62"/>
      <c r="E93" s="62"/>
    </row>
    <row r="94" spans="2:5" ht="13">
      <c r="B94" s="11"/>
      <c r="D94" s="62"/>
      <c r="E94" s="62"/>
    </row>
    <row r="95" spans="2:5" ht="13">
      <c r="B95" s="11"/>
      <c r="D95" s="62"/>
      <c r="E95" s="62"/>
    </row>
    <row r="96" spans="2:5" ht="13">
      <c r="B96" s="11"/>
      <c r="D96" s="62"/>
      <c r="E96" s="62"/>
    </row>
    <row r="97" spans="2:5" ht="13">
      <c r="B97" s="11"/>
      <c r="D97" s="62"/>
      <c r="E97" s="62"/>
    </row>
    <row r="98" spans="2:5" ht="13">
      <c r="B98" s="11"/>
      <c r="D98" s="62"/>
      <c r="E98" s="62"/>
    </row>
    <row r="99" spans="2:5" ht="13">
      <c r="B99" s="11"/>
      <c r="D99" s="62"/>
      <c r="E99" s="62"/>
    </row>
    <row r="100" spans="2:5" ht="13">
      <c r="B100" s="11"/>
      <c r="D100" s="62"/>
      <c r="E100" s="62"/>
    </row>
    <row r="101" spans="2:5" ht="13">
      <c r="B101" s="11"/>
      <c r="D101" s="62"/>
      <c r="E101" s="62"/>
    </row>
    <row r="102" spans="2:5" ht="13">
      <c r="B102" s="11"/>
      <c r="D102" s="62"/>
      <c r="E102" s="62"/>
    </row>
    <row r="103" spans="2:5" ht="13">
      <c r="B103" s="11"/>
      <c r="D103" s="62"/>
      <c r="E103" s="62"/>
    </row>
    <row r="104" spans="2:5" ht="13">
      <c r="B104" s="11"/>
      <c r="D104" s="62"/>
      <c r="E104" s="62"/>
    </row>
    <row r="105" spans="2:5" ht="13">
      <c r="B105" s="11"/>
      <c r="D105" s="62"/>
      <c r="E105" s="62"/>
    </row>
    <row r="106" spans="2:5" ht="13">
      <c r="B106" s="11"/>
      <c r="D106" s="62"/>
      <c r="E106" s="62"/>
    </row>
    <row r="107" spans="2:5" ht="13">
      <c r="B107" s="11"/>
      <c r="D107" s="62"/>
      <c r="E107" s="62"/>
    </row>
    <row r="108" spans="2:5" ht="13">
      <c r="B108" s="11"/>
      <c r="D108" s="62"/>
      <c r="E108" s="62"/>
    </row>
    <row r="109" spans="2:5" ht="13">
      <c r="B109" s="11"/>
      <c r="D109" s="62"/>
      <c r="E109" s="62"/>
    </row>
    <row r="110" spans="2:5" ht="13">
      <c r="B110" s="11"/>
      <c r="D110" s="62"/>
      <c r="E110" s="62"/>
    </row>
    <row r="111" spans="2:5" ht="13">
      <c r="B111" s="11"/>
      <c r="D111" s="62"/>
      <c r="E111" s="62"/>
    </row>
    <row r="112" spans="2:5" ht="13">
      <c r="B112" s="11"/>
      <c r="D112" s="62"/>
      <c r="E112" s="62"/>
    </row>
    <row r="113" spans="2:5" ht="13">
      <c r="B113" s="11"/>
      <c r="D113" s="62"/>
      <c r="E113" s="62"/>
    </row>
    <row r="114" spans="2:5" ht="13">
      <c r="B114" s="11"/>
      <c r="D114" s="62"/>
      <c r="E114" s="62"/>
    </row>
    <row r="115" spans="2:5" ht="13">
      <c r="B115" s="11"/>
      <c r="D115" s="62"/>
      <c r="E115" s="62"/>
    </row>
    <row r="116" spans="2:5" ht="13">
      <c r="B116" s="11"/>
      <c r="D116" s="62"/>
      <c r="E116" s="62"/>
    </row>
    <row r="117" spans="2:5" ht="13">
      <c r="B117" s="11"/>
      <c r="D117" s="62"/>
      <c r="E117" s="62"/>
    </row>
    <row r="118" spans="2:5" ht="13">
      <c r="B118" s="11"/>
      <c r="D118" s="62"/>
      <c r="E118" s="62"/>
    </row>
    <row r="119" spans="2:5" ht="13">
      <c r="B119" s="11"/>
      <c r="D119" s="62"/>
      <c r="E119" s="62"/>
    </row>
    <row r="120" spans="2:5" ht="13">
      <c r="B120" s="11"/>
      <c r="D120" s="62"/>
      <c r="E120" s="62"/>
    </row>
    <row r="121" spans="2:5" ht="13">
      <c r="B121" s="11"/>
      <c r="D121" s="62"/>
      <c r="E121" s="62"/>
    </row>
    <row r="122" spans="2:5" ht="13">
      <c r="B122" s="11"/>
      <c r="D122" s="62"/>
      <c r="E122" s="62"/>
    </row>
    <row r="123" spans="2:5" ht="13">
      <c r="B123" s="11"/>
      <c r="D123" s="62"/>
      <c r="E123" s="62"/>
    </row>
    <row r="124" spans="2:5" ht="13">
      <c r="B124" s="11"/>
      <c r="D124" s="62"/>
      <c r="E124" s="62"/>
    </row>
    <row r="125" spans="2:5" ht="13">
      <c r="B125" s="11"/>
      <c r="D125" s="62"/>
      <c r="E125" s="62"/>
    </row>
    <row r="126" spans="2:5" ht="13">
      <c r="B126" s="11"/>
      <c r="D126" s="62"/>
      <c r="E126" s="62"/>
    </row>
    <row r="127" spans="2:5" ht="13">
      <c r="B127" s="11"/>
      <c r="D127" s="62"/>
      <c r="E127" s="62"/>
    </row>
    <row r="128" spans="2:5" ht="13">
      <c r="B128" s="11"/>
      <c r="D128" s="62"/>
      <c r="E128" s="62"/>
    </row>
    <row r="129" spans="2:5" ht="13">
      <c r="B129" s="11"/>
      <c r="D129" s="62"/>
      <c r="E129" s="62"/>
    </row>
    <row r="130" spans="2:5" ht="13">
      <c r="B130" s="11"/>
      <c r="D130" s="62"/>
      <c r="E130" s="62"/>
    </row>
    <row r="131" spans="2:5" ht="13">
      <c r="B131" s="11"/>
      <c r="D131" s="62"/>
      <c r="E131" s="62"/>
    </row>
    <row r="132" spans="2:5" ht="13">
      <c r="B132" s="11"/>
      <c r="D132" s="62"/>
      <c r="E132" s="62"/>
    </row>
    <row r="133" spans="2:5" ht="13">
      <c r="B133" s="11"/>
      <c r="D133" s="62"/>
      <c r="E133" s="62"/>
    </row>
    <row r="134" spans="2:5" ht="13">
      <c r="B134" s="11"/>
      <c r="D134" s="62"/>
      <c r="E134" s="62"/>
    </row>
    <row r="135" spans="2:5" ht="13">
      <c r="B135" s="11"/>
      <c r="D135" s="62"/>
      <c r="E135" s="62"/>
    </row>
    <row r="136" spans="2:5" ht="13">
      <c r="B136" s="11"/>
      <c r="D136" s="62"/>
      <c r="E136" s="62"/>
    </row>
    <row r="137" spans="2:5" ht="13">
      <c r="B137" s="11"/>
      <c r="D137" s="62"/>
      <c r="E137" s="62"/>
    </row>
    <row r="138" spans="2:5" ht="13">
      <c r="B138" s="11"/>
      <c r="D138" s="62"/>
      <c r="E138" s="62"/>
    </row>
    <row r="139" spans="2:5" ht="13">
      <c r="B139" s="11"/>
      <c r="D139" s="62"/>
      <c r="E139" s="62"/>
    </row>
    <row r="140" spans="2:5" ht="13">
      <c r="B140" s="11"/>
      <c r="D140" s="62"/>
      <c r="E140" s="62"/>
    </row>
    <row r="141" spans="2:5" ht="13">
      <c r="B141" s="11"/>
      <c r="D141" s="62"/>
      <c r="E141" s="62"/>
    </row>
    <row r="142" spans="2:5" ht="13">
      <c r="B142" s="11"/>
      <c r="D142" s="62"/>
      <c r="E142" s="62"/>
    </row>
    <row r="143" spans="2:5" ht="13">
      <c r="B143" s="11"/>
      <c r="D143" s="62"/>
      <c r="E143" s="62"/>
    </row>
    <row r="144" spans="2:5" ht="13">
      <c r="B144" s="11"/>
      <c r="D144" s="62"/>
      <c r="E144" s="62"/>
    </row>
    <row r="145" spans="2:5" ht="13">
      <c r="B145" s="11"/>
      <c r="D145" s="62"/>
      <c r="E145" s="62"/>
    </row>
    <row r="146" spans="2:5" ht="13">
      <c r="B146" s="11"/>
      <c r="D146" s="62"/>
      <c r="E146" s="62"/>
    </row>
    <row r="147" spans="2:5" ht="13">
      <c r="B147" s="11"/>
      <c r="D147" s="62"/>
      <c r="E147" s="62"/>
    </row>
    <row r="148" spans="2:5" ht="13">
      <c r="B148" s="11"/>
      <c r="D148" s="62"/>
      <c r="E148" s="62"/>
    </row>
    <row r="149" spans="2:5" ht="13">
      <c r="B149" s="11"/>
      <c r="D149" s="62"/>
      <c r="E149" s="62"/>
    </row>
    <row r="150" spans="2:5" ht="13">
      <c r="B150" s="11"/>
      <c r="D150" s="62"/>
      <c r="E150" s="62"/>
    </row>
    <row r="151" spans="2:5" ht="13">
      <c r="B151" s="11"/>
      <c r="D151" s="62"/>
      <c r="E151" s="62"/>
    </row>
    <row r="152" spans="2:5" ht="13">
      <c r="B152" s="11"/>
      <c r="D152" s="62"/>
      <c r="E152" s="62"/>
    </row>
    <row r="153" spans="2:5" ht="13">
      <c r="B153" s="11"/>
      <c r="D153" s="62"/>
      <c r="E153" s="62"/>
    </row>
    <row r="154" spans="2:5" ht="13">
      <c r="B154" s="11"/>
      <c r="D154" s="62"/>
      <c r="E154" s="62"/>
    </row>
    <row r="155" spans="2:5" ht="13">
      <c r="B155" s="11"/>
      <c r="D155" s="62"/>
      <c r="E155" s="62"/>
    </row>
    <row r="156" spans="2:5" ht="13">
      <c r="B156" s="11"/>
      <c r="D156" s="62"/>
      <c r="E156" s="62"/>
    </row>
    <row r="157" spans="2:5" ht="13">
      <c r="B157" s="11"/>
      <c r="D157" s="62"/>
      <c r="E157" s="62"/>
    </row>
    <row r="158" spans="2:5" ht="13">
      <c r="B158" s="11"/>
      <c r="D158" s="62"/>
      <c r="E158" s="62"/>
    </row>
    <row r="159" spans="2:5" ht="13">
      <c r="B159" s="11"/>
      <c r="D159" s="62"/>
      <c r="E159" s="62"/>
    </row>
    <row r="160" spans="2:5" ht="13">
      <c r="B160" s="11"/>
      <c r="D160" s="62"/>
      <c r="E160" s="62"/>
    </row>
    <row r="161" spans="2:5" ht="13">
      <c r="B161" s="11"/>
      <c r="D161" s="62"/>
      <c r="E161" s="62"/>
    </row>
    <row r="162" spans="2:5" ht="13">
      <c r="B162" s="11"/>
      <c r="D162" s="62"/>
      <c r="E162" s="62"/>
    </row>
    <row r="163" spans="2:5" ht="13">
      <c r="B163" s="11"/>
      <c r="D163" s="62"/>
      <c r="E163" s="62"/>
    </row>
    <row r="164" spans="2:5" ht="13">
      <c r="B164" s="11"/>
      <c r="D164" s="62"/>
      <c r="E164" s="62"/>
    </row>
    <row r="165" spans="2:5" ht="13">
      <c r="B165" s="11"/>
      <c r="D165" s="62"/>
      <c r="E165" s="62"/>
    </row>
    <row r="166" spans="2:5" ht="13">
      <c r="B166" s="11"/>
      <c r="D166" s="62"/>
      <c r="E166" s="62"/>
    </row>
    <row r="167" spans="2:5" ht="13">
      <c r="B167" s="11"/>
      <c r="D167" s="62"/>
      <c r="E167" s="62"/>
    </row>
    <row r="168" spans="2:5" ht="13">
      <c r="B168" s="11"/>
      <c r="D168" s="62"/>
      <c r="E168" s="62"/>
    </row>
    <row r="169" spans="2:5" ht="13">
      <c r="B169" s="11"/>
      <c r="D169" s="62"/>
      <c r="E169" s="62"/>
    </row>
    <row r="170" spans="2:5" ht="13">
      <c r="B170" s="11"/>
      <c r="D170" s="62"/>
      <c r="E170" s="62"/>
    </row>
    <row r="171" spans="2:5" ht="13">
      <c r="B171" s="11"/>
      <c r="D171" s="62"/>
      <c r="E171" s="62"/>
    </row>
    <row r="172" spans="2:5" ht="13">
      <c r="B172" s="11"/>
      <c r="D172" s="62"/>
      <c r="E172" s="62"/>
    </row>
    <row r="173" spans="2:5" ht="13">
      <c r="B173" s="11"/>
      <c r="D173" s="62"/>
      <c r="E173" s="62"/>
    </row>
    <row r="174" spans="2:5" ht="13">
      <c r="B174" s="11"/>
      <c r="D174" s="62"/>
      <c r="E174" s="62"/>
    </row>
    <row r="175" spans="2:5" ht="13">
      <c r="B175" s="11"/>
      <c r="D175" s="62"/>
      <c r="E175" s="62"/>
    </row>
    <row r="176" spans="2:5" ht="13">
      <c r="B176" s="11"/>
      <c r="D176" s="62"/>
      <c r="E176" s="62"/>
    </row>
    <row r="177" spans="2:5" ht="13">
      <c r="B177" s="11"/>
      <c r="D177" s="62"/>
      <c r="E177" s="62"/>
    </row>
    <row r="178" spans="2:5" ht="13">
      <c r="B178" s="11"/>
      <c r="D178" s="62"/>
      <c r="E178" s="62"/>
    </row>
    <row r="179" spans="2:5" ht="13">
      <c r="B179" s="11"/>
      <c r="D179" s="62"/>
      <c r="E179" s="62"/>
    </row>
    <row r="180" spans="2:5" ht="13">
      <c r="B180" s="11"/>
      <c r="D180" s="62"/>
      <c r="E180" s="62"/>
    </row>
    <row r="181" spans="2:5" ht="13">
      <c r="B181" s="11"/>
      <c r="D181" s="62"/>
      <c r="E181" s="62"/>
    </row>
    <row r="182" spans="2:5" ht="13">
      <c r="B182" s="11"/>
      <c r="D182" s="62"/>
      <c r="E182" s="62"/>
    </row>
    <row r="183" spans="2:5" ht="13">
      <c r="B183" s="11"/>
      <c r="D183" s="62"/>
      <c r="E183" s="62"/>
    </row>
    <row r="184" spans="2:5" ht="13">
      <c r="B184" s="11"/>
      <c r="D184" s="62"/>
      <c r="E184" s="62"/>
    </row>
    <row r="185" spans="2:5" ht="13">
      <c r="B185" s="11"/>
      <c r="D185" s="62"/>
      <c r="E185" s="62"/>
    </row>
    <row r="186" spans="2:5" ht="13">
      <c r="B186" s="11"/>
      <c r="D186" s="62"/>
      <c r="E186" s="62"/>
    </row>
    <row r="187" spans="2:5" ht="13">
      <c r="B187" s="11"/>
      <c r="D187" s="62"/>
      <c r="E187" s="62"/>
    </row>
    <row r="188" spans="2:5" ht="13">
      <c r="B188" s="11"/>
      <c r="D188" s="62"/>
      <c r="E188" s="62"/>
    </row>
    <row r="189" spans="2:5" ht="13">
      <c r="B189" s="11"/>
      <c r="D189" s="62"/>
      <c r="E189" s="62"/>
    </row>
    <row r="190" spans="2:5" ht="13">
      <c r="B190" s="11"/>
      <c r="D190" s="62"/>
      <c r="E190" s="62"/>
    </row>
    <row r="191" spans="2:5" ht="13">
      <c r="B191" s="11"/>
      <c r="D191" s="62"/>
      <c r="E191" s="62"/>
    </row>
    <row r="192" spans="2:5" ht="13">
      <c r="B192" s="11"/>
      <c r="D192" s="62"/>
      <c r="E192" s="62"/>
    </row>
    <row r="193" spans="2:5" ht="13">
      <c r="B193" s="11"/>
      <c r="D193" s="62"/>
      <c r="E193" s="62"/>
    </row>
    <row r="194" spans="2:5" ht="13">
      <c r="B194" s="11"/>
      <c r="D194" s="62"/>
      <c r="E194" s="62"/>
    </row>
    <row r="195" spans="2:5" ht="13">
      <c r="B195" s="11"/>
      <c r="D195" s="62"/>
      <c r="E195" s="62"/>
    </row>
    <row r="196" spans="2:5" ht="13">
      <c r="B196" s="11"/>
      <c r="D196" s="62"/>
      <c r="E196" s="62"/>
    </row>
    <row r="197" spans="2:5" ht="13">
      <c r="B197" s="11"/>
      <c r="D197" s="62"/>
      <c r="E197" s="62"/>
    </row>
    <row r="198" spans="2:5" ht="13">
      <c r="B198" s="11"/>
      <c r="D198" s="62"/>
      <c r="E198" s="62"/>
    </row>
    <row r="199" spans="2:5" ht="13">
      <c r="D199" s="62"/>
      <c r="E199" s="62"/>
    </row>
    <row r="200" spans="2:5" ht="13">
      <c r="D200" s="62"/>
      <c r="E200" s="62"/>
    </row>
    <row r="201" spans="2:5" ht="13">
      <c r="D201" s="62"/>
      <c r="E201" s="62"/>
    </row>
    <row r="202" spans="2:5" ht="13">
      <c r="D202" s="62"/>
      <c r="E202" s="62"/>
    </row>
    <row r="203" spans="2:5" ht="13">
      <c r="D203" s="62"/>
      <c r="E203" s="62"/>
    </row>
    <row r="204" spans="2:5" ht="13">
      <c r="D204" s="62"/>
      <c r="E204" s="62"/>
    </row>
    <row r="205" spans="2:5" ht="13">
      <c r="D205" s="62"/>
      <c r="E205" s="62"/>
    </row>
    <row r="206" spans="2:5" ht="13">
      <c r="D206" s="62"/>
      <c r="E206" s="62"/>
    </row>
    <row r="207" spans="2:5" ht="13">
      <c r="D207" s="62"/>
      <c r="E207" s="62"/>
    </row>
    <row r="208" spans="2:5" ht="13">
      <c r="D208" s="62"/>
      <c r="E208" s="62"/>
    </row>
    <row r="209" spans="4:5" ht="13">
      <c r="D209" s="62"/>
      <c r="E209" s="62"/>
    </row>
    <row r="210" spans="4:5" ht="13">
      <c r="D210" s="62"/>
      <c r="E210" s="62"/>
    </row>
    <row r="211" spans="4:5" ht="13">
      <c r="D211" s="62"/>
      <c r="E211" s="62"/>
    </row>
    <row r="212" spans="4:5" ht="13">
      <c r="D212" s="62"/>
      <c r="E212" s="62"/>
    </row>
    <row r="213" spans="4:5" ht="13">
      <c r="D213" s="62"/>
      <c r="E213" s="62"/>
    </row>
    <row r="214" spans="4:5" ht="13">
      <c r="D214" s="62"/>
      <c r="E214" s="62"/>
    </row>
    <row r="215" spans="4:5" ht="13">
      <c r="D215" s="62"/>
      <c r="E215" s="62"/>
    </row>
    <row r="216" spans="4:5" ht="13">
      <c r="D216" s="62"/>
      <c r="E216" s="62"/>
    </row>
    <row r="217" spans="4:5" ht="13">
      <c r="D217" s="62"/>
      <c r="E217" s="62"/>
    </row>
    <row r="218" spans="4:5" ht="13">
      <c r="D218" s="62"/>
      <c r="E218" s="62"/>
    </row>
    <row r="219" spans="4:5" ht="13">
      <c r="D219" s="62"/>
      <c r="E219" s="62"/>
    </row>
    <row r="220" spans="4:5" ht="13">
      <c r="D220" s="62"/>
      <c r="E220" s="62"/>
    </row>
    <row r="221" spans="4:5" ht="13">
      <c r="D221" s="62"/>
      <c r="E221" s="62"/>
    </row>
    <row r="222" spans="4:5" ht="13">
      <c r="D222" s="62"/>
      <c r="E222" s="62"/>
    </row>
    <row r="223" spans="4:5" ht="13">
      <c r="D223" s="62"/>
      <c r="E223" s="62"/>
    </row>
    <row r="224" spans="4:5" ht="13">
      <c r="D224" s="62"/>
      <c r="E224" s="62"/>
    </row>
    <row r="225" spans="4:5" ht="13">
      <c r="D225" s="62"/>
      <c r="E225" s="62"/>
    </row>
    <row r="226" spans="4:5" ht="13">
      <c r="D226" s="62"/>
      <c r="E226" s="62"/>
    </row>
    <row r="227" spans="4:5" ht="13">
      <c r="D227" s="62"/>
      <c r="E227" s="62"/>
    </row>
    <row r="228" spans="4:5" ht="13">
      <c r="D228" s="62"/>
      <c r="E228" s="62"/>
    </row>
    <row r="229" spans="4:5" ht="13">
      <c r="D229" s="62"/>
      <c r="E229" s="62"/>
    </row>
    <row r="230" spans="4:5" ht="13">
      <c r="D230" s="62"/>
      <c r="E230" s="62"/>
    </row>
    <row r="231" spans="4:5" ht="13">
      <c r="D231" s="62"/>
      <c r="E231" s="62"/>
    </row>
    <row r="232" spans="4:5" ht="13">
      <c r="D232" s="62"/>
      <c r="E232" s="62"/>
    </row>
    <row r="233" spans="4:5" ht="13">
      <c r="D233" s="62"/>
      <c r="E233" s="62"/>
    </row>
    <row r="234" spans="4:5" ht="13">
      <c r="D234" s="62"/>
      <c r="E234" s="62"/>
    </row>
    <row r="235" spans="4:5" ht="13">
      <c r="D235" s="62"/>
      <c r="E235" s="62"/>
    </row>
    <row r="236" spans="4:5" ht="13">
      <c r="D236" s="62"/>
      <c r="E236" s="62"/>
    </row>
    <row r="237" spans="4:5" ht="13">
      <c r="D237" s="62"/>
      <c r="E237" s="62"/>
    </row>
    <row r="238" spans="4:5" ht="13">
      <c r="D238" s="62"/>
      <c r="E238" s="62"/>
    </row>
    <row r="239" spans="4:5" ht="13">
      <c r="D239" s="62"/>
      <c r="E239" s="62"/>
    </row>
    <row r="240" spans="4:5" ht="13">
      <c r="D240" s="62"/>
      <c r="E240" s="62"/>
    </row>
    <row r="241" spans="4:5" ht="13">
      <c r="D241" s="62"/>
      <c r="E241" s="62"/>
    </row>
    <row r="242" spans="4:5" ht="13">
      <c r="D242" s="62"/>
      <c r="E242" s="62"/>
    </row>
    <row r="243" spans="4:5" ht="13">
      <c r="D243" s="62"/>
      <c r="E243" s="62"/>
    </row>
    <row r="244" spans="4:5" ht="13">
      <c r="D244" s="62"/>
      <c r="E244" s="62"/>
    </row>
    <row r="245" spans="4:5" ht="13">
      <c r="D245" s="62"/>
      <c r="E245" s="62"/>
    </row>
    <row r="246" spans="4:5" ht="13">
      <c r="D246" s="62"/>
      <c r="E246" s="62"/>
    </row>
    <row r="247" spans="4:5" ht="13">
      <c r="D247" s="62"/>
      <c r="E247" s="62"/>
    </row>
    <row r="248" spans="4:5" ht="13">
      <c r="D248" s="62"/>
      <c r="E248" s="62"/>
    </row>
    <row r="249" spans="4:5" ht="13">
      <c r="D249" s="62"/>
      <c r="E249" s="62"/>
    </row>
    <row r="250" spans="4:5" ht="13">
      <c r="D250" s="62"/>
      <c r="E250" s="62"/>
    </row>
    <row r="251" spans="4:5" ht="13">
      <c r="D251" s="62"/>
      <c r="E251" s="62"/>
    </row>
    <row r="252" spans="4:5" ht="13">
      <c r="D252" s="62"/>
      <c r="E252" s="62"/>
    </row>
    <row r="253" spans="4:5" ht="13">
      <c r="D253" s="62"/>
      <c r="E253" s="62"/>
    </row>
    <row r="254" spans="4:5" ht="13">
      <c r="D254" s="62"/>
      <c r="E254" s="62"/>
    </row>
    <row r="255" spans="4:5" ht="13">
      <c r="D255" s="62"/>
      <c r="E255" s="62"/>
    </row>
    <row r="256" spans="4:5" ht="13">
      <c r="D256" s="62"/>
      <c r="E256" s="62"/>
    </row>
    <row r="257" spans="4:5" ht="13">
      <c r="D257" s="62"/>
      <c r="E257" s="62"/>
    </row>
    <row r="258" spans="4:5" ht="13">
      <c r="D258" s="62"/>
      <c r="E258" s="62"/>
    </row>
    <row r="259" spans="4:5" ht="13">
      <c r="D259" s="62"/>
      <c r="E259" s="62"/>
    </row>
    <row r="260" spans="4:5" ht="13">
      <c r="D260" s="62"/>
      <c r="E260" s="62"/>
    </row>
    <row r="261" spans="4:5" ht="13">
      <c r="D261" s="62"/>
      <c r="E261" s="62"/>
    </row>
    <row r="262" spans="4:5" ht="13">
      <c r="D262" s="62"/>
      <c r="E262" s="62"/>
    </row>
    <row r="263" spans="4:5" ht="13">
      <c r="D263" s="62"/>
      <c r="E263" s="62"/>
    </row>
    <row r="264" spans="4:5" ht="13">
      <c r="D264" s="62"/>
      <c r="E264" s="62"/>
    </row>
    <row r="265" spans="4:5" ht="13">
      <c r="D265" s="62"/>
      <c r="E265" s="62"/>
    </row>
    <row r="266" spans="4:5" ht="13">
      <c r="D266" s="62"/>
      <c r="E266" s="62"/>
    </row>
    <row r="267" spans="4:5" ht="13">
      <c r="D267" s="62"/>
      <c r="E267" s="62"/>
    </row>
    <row r="268" spans="4:5" ht="13">
      <c r="D268" s="62"/>
      <c r="E268" s="62"/>
    </row>
    <row r="269" spans="4:5" ht="13">
      <c r="D269" s="62"/>
      <c r="E269" s="62"/>
    </row>
    <row r="270" spans="4:5" ht="13">
      <c r="D270" s="62"/>
      <c r="E270" s="62"/>
    </row>
    <row r="271" spans="4:5" ht="13">
      <c r="D271" s="62"/>
      <c r="E271" s="62"/>
    </row>
    <row r="272" spans="4:5" ht="13">
      <c r="D272" s="62"/>
      <c r="E272" s="62"/>
    </row>
    <row r="273" spans="4:5" ht="13">
      <c r="D273" s="62"/>
      <c r="E273" s="62"/>
    </row>
    <row r="274" spans="4:5" ht="13">
      <c r="D274" s="62"/>
      <c r="E274" s="62"/>
    </row>
    <row r="275" spans="4:5" ht="13">
      <c r="D275" s="62"/>
      <c r="E275" s="62"/>
    </row>
    <row r="276" spans="4:5" ht="13">
      <c r="D276" s="62"/>
      <c r="E276" s="62"/>
    </row>
    <row r="277" spans="4:5" ht="13">
      <c r="D277" s="62"/>
      <c r="E277" s="62"/>
    </row>
    <row r="278" spans="4:5" ht="13">
      <c r="D278" s="62"/>
      <c r="E278" s="62"/>
    </row>
    <row r="279" spans="4:5" ht="13">
      <c r="D279" s="62"/>
      <c r="E279" s="62"/>
    </row>
    <row r="280" spans="4:5" ht="13">
      <c r="D280" s="62"/>
      <c r="E280" s="62"/>
    </row>
    <row r="281" spans="4:5" ht="13">
      <c r="D281" s="62"/>
      <c r="E281" s="62"/>
    </row>
    <row r="282" spans="4:5" ht="13">
      <c r="D282" s="62"/>
      <c r="E282" s="62"/>
    </row>
    <row r="283" spans="4:5" ht="13">
      <c r="D283" s="62"/>
      <c r="E283" s="62"/>
    </row>
    <row r="284" spans="4:5" ht="13">
      <c r="D284" s="62"/>
      <c r="E284" s="62"/>
    </row>
    <row r="285" spans="4:5" ht="13">
      <c r="D285" s="62"/>
      <c r="E285" s="62"/>
    </row>
    <row r="286" spans="4:5" ht="13">
      <c r="D286" s="62"/>
      <c r="E286" s="62"/>
    </row>
    <row r="287" spans="4:5" ht="13">
      <c r="D287" s="62"/>
      <c r="E287" s="62"/>
    </row>
    <row r="288" spans="4:5" ht="13">
      <c r="D288" s="62"/>
      <c r="E288" s="62"/>
    </row>
    <row r="289" spans="4:5" ht="13">
      <c r="D289" s="62"/>
      <c r="E289" s="62"/>
    </row>
    <row r="290" spans="4:5" ht="13">
      <c r="D290" s="62"/>
      <c r="E290" s="62"/>
    </row>
    <row r="291" spans="4:5" ht="13">
      <c r="D291" s="62"/>
      <c r="E291" s="62"/>
    </row>
    <row r="292" spans="4:5" ht="13">
      <c r="D292" s="62"/>
      <c r="E292" s="62"/>
    </row>
    <row r="293" spans="4:5" ht="13">
      <c r="D293" s="62"/>
      <c r="E293" s="62"/>
    </row>
    <row r="294" spans="4:5" ht="13">
      <c r="D294" s="62"/>
      <c r="E294" s="62"/>
    </row>
    <row r="295" spans="4:5" ht="13">
      <c r="D295" s="62"/>
      <c r="E295" s="62"/>
    </row>
    <row r="296" spans="4:5" ht="13">
      <c r="D296" s="62"/>
      <c r="E296" s="62"/>
    </row>
    <row r="297" spans="4:5" ht="13">
      <c r="D297" s="62"/>
      <c r="E297" s="62"/>
    </row>
    <row r="298" spans="4:5" ht="13">
      <c r="D298" s="62"/>
      <c r="E298" s="62"/>
    </row>
    <row r="299" spans="4:5" ht="13">
      <c r="D299" s="62"/>
      <c r="E299" s="62"/>
    </row>
    <row r="300" spans="4:5" ht="13">
      <c r="D300" s="62"/>
      <c r="E300" s="62"/>
    </row>
    <row r="301" spans="4:5" ht="13">
      <c r="D301" s="62"/>
      <c r="E301" s="62"/>
    </row>
    <row r="302" spans="4:5" ht="13">
      <c r="D302" s="62"/>
      <c r="E302" s="62"/>
    </row>
    <row r="303" spans="4:5" ht="13">
      <c r="D303" s="62"/>
      <c r="E303" s="62"/>
    </row>
    <row r="304" spans="4:5" ht="13">
      <c r="D304" s="62"/>
      <c r="E304" s="62"/>
    </row>
    <row r="305" spans="4:5" ht="13">
      <c r="D305" s="62"/>
      <c r="E305" s="62"/>
    </row>
    <row r="306" spans="4:5" ht="13">
      <c r="D306" s="62"/>
      <c r="E306" s="62"/>
    </row>
    <row r="307" spans="4:5" ht="13">
      <c r="D307" s="62"/>
      <c r="E307" s="62"/>
    </row>
    <row r="308" spans="4:5" ht="13">
      <c r="D308" s="62"/>
      <c r="E308" s="62"/>
    </row>
    <row r="309" spans="4:5" ht="13">
      <c r="D309" s="62"/>
      <c r="E309" s="62"/>
    </row>
    <row r="310" spans="4:5" ht="13">
      <c r="D310" s="62"/>
      <c r="E310" s="62"/>
    </row>
    <row r="311" spans="4:5" ht="13">
      <c r="D311" s="62"/>
      <c r="E311" s="62"/>
    </row>
    <row r="312" spans="4:5" ht="13">
      <c r="D312" s="62"/>
      <c r="E312" s="62"/>
    </row>
    <row r="313" spans="4:5" ht="13">
      <c r="D313" s="62"/>
      <c r="E313" s="62"/>
    </row>
    <row r="314" spans="4:5" ht="13">
      <c r="D314" s="62"/>
      <c r="E314" s="62"/>
    </row>
    <row r="315" spans="4:5" ht="13">
      <c r="D315" s="62"/>
      <c r="E315" s="62"/>
    </row>
    <row r="316" spans="4:5" ht="13">
      <c r="D316" s="62"/>
      <c r="E316" s="62"/>
    </row>
    <row r="317" spans="4:5" ht="13">
      <c r="D317" s="62"/>
      <c r="E317" s="62"/>
    </row>
    <row r="318" spans="4:5" ht="13">
      <c r="D318" s="62"/>
      <c r="E318" s="62"/>
    </row>
    <row r="319" spans="4:5" ht="13">
      <c r="D319" s="62"/>
      <c r="E319" s="62"/>
    </row>
    <row r="320" spans="4:5" ht="13">
      <c r="D320" s="62"/>
      <c r="E320" s="62"/>
    </row>
    <row r="321" spans="4:5" ht="13">
      <c r="D321" s="62"/>
      <c r="E321" s="62"/>
    </row>
    <row r="322" spans="4:5" ht="13">
      <c r="D322" s="62"/>
      <c r="E322" s="62"/>
    </row>
    <row r="323" spans="4:5" ht="13">
      <c r="D323" s="62"/>
      <c r="E323" s="62"/>
    </row>
    <row r="324" spans="4:5" ht="13">
      <c r="D324" s="62"/>
      <c r="E324" s="62"/>
    </row>
    <row r="325" spans="4:5" ht="13">
      <c r="D325" s="62"/>
      <c r="E325" s="62"/>
    </row>
    <row r="326" spans="4:5" ht="13">
      <c r="D326" s="62"/>
      <c r="E326" s="62"/>
    </row>
    <row r="327" spans="4:5" ht="13">
      <c r="D327" s="62"/>
      <c r="E327" s="62"/>
    </row>
    <row r="328" spans="4:5" ht="13">
      <c r="D328" s="62"/>
      <c r="E328" s="62"/>
    </row>
    <row r="329" spans="4:5" ht="13">
      <c r="D329" s="62"/>
      <c r="E329" s="62"/>
    </row>
    <row r="330" spans="4:5" ht="13">
      <c r="D330" s="62"/>
      <c r="E330" s="62"/>
    </row>
    <row r="331" spans="4:5" ht="13">
      <c r="D331" s="62"/>
      <c r="E331" s="62"/>
    </row>
    <row r="332" spans="4:5" ht="13">
      <c r="D332" s="62"/>
      <c r="E332" s="62"/>
    </row>
    <row r="333" spans="4:5" ht="13">
      <c r="D333" s="62"/>
      <c r="E333" s="62"/>
    </row>
    <row r="334" spans="4:5" ht="13">
      <c r="D334" s="62"/>
      <c r="E334" s="62"/>
    </row>
    <row r="335" spans="4:5" ht="13">
      <c r="D335" s="62"/>
      <c r="E335" s="62"/>
    </row>
    <row r="336" spans="4:5" ht="13">
      <c r="D336" s="62"/>
      <c r="E336" s="62"/>
    </row>
    <row r="337" spans="4:5" ht="13">
      <c r="D337" s="62"/>
      <c r="E337" s="62"/>
    </row>
    <row r="338" spans="4:5" ht="13">
      <c r="D338" s="62"/>
      <c r="E338" s="62"/>
    </row>
    <row r="339" spans="4:5" ht="13">
      <c r="D339" s="62"/>
      <c r="E339" s="62"/>
    </row>
    <row r="340" spans="4:5" ht="13">
      <c r="D340" s="62"/>
      <c r="E340" s="62"/>
    </row>
    <row r="341" spans="4:5" ht="13">
      <c r="D341" s="62"/>
      <c r="E341" s="62"/>
    </row>
    <row r="342" spans="4:5" ht="13">
      <c r="D342" s="62"/>
      <c r="E342" s="62"/>
    </row>
    <row r="343" spans="4:5" ht="13">
      <c r="D343" s="62"/>
      <c r="E343" s="62"/>
    </row>
    <row r="344" spans="4:5" ht="13">
      <c r="D344" s="62"/>
      <c r="E344" s="62"/>
    </row>
    <row r="345" spans="4:5" ht="13">
      <c r="D345" s="62"/>
      <c r="E345" s="62"/>
    </row>
    <row r="346" spans="4:5" ht="13">
      <c r="D346" s="62"/>
      <c r="E346" s="62"/>
    </row>
    <row r="347" spans="4:5" ht="13">
      <c r="D347" s="62"/>
      <c r="E347" s="62"/>
    </row>
    <row r="348" spans="4:5" ht="13">
      <c r="D348" s="62"/>
      <c r="E348" s="62"/>
    </row>
    <row r="349" spans="4:5" ht="13">
      <c r="D349" s="62"/>
      <c r="E349" s="62"/>
    </row>
    <row r="350" spans="4:5" ht="13">
      <c r="D350" s="62"/>
      <c r="E350" s="62"/>
    </row>
    <row r="351" spans="4:5" ht="13">
      <c r="D351" s="62"/>
      <c r="E351" s="62"/>
    </row>
    <row r="352" spans="4:5" ht="13">
      <c r="D352" s="62"/>
      <c r="E352" s="62"/>
    </row>
    <row r="353" spans="4:5" ht="13">
      <c r="D353" s="62"/>
      <c r="E353" s="62"/>
    </row>
    <row r="354" spans="4:5" ht="13">
      <c r="D354" s="62"/>
      <c r="E354" s="62"/>
    </row>
    <row r="355" spans="4:5" ht="13">
      <c r="D355" s="62"/>
      <c r="E355" s="62"/>
    </row>
    <row r="356" spans="4:5" ht="13">
      <c r="D356" s="62"/>
      <c r="E356" s="62"/>
    </row>
    <row r="357" spans="4:5" ht="13">
      <c r="D357" s="62"/>
      <c r="E357" s="62"/>
    </row>
    <row r="358" spans="4:5" ht="13">
      <c r="D358" s="62"/>
      <c r="E358" s="62"/>
    </row>
    <row r="359" spans="4:5" ht="13">
      <c r="D359" s="62"/>
      <c r="E359" s="62"/>
    </row>
    <row r="360" spans="4:5" ht="13">
      <c r="D360" s="62"/>
      <c r="E360" s="62"/>
    </row>
    <row r="361" spans="4:5" ht="13">
      <c r="D361" s="62"/>
      <c r="E361" s="62"/>
    </row>
    <row r="362" spans="4:5" ht="13">
      <c r="D362" s="62"/>
      <c r="E362" s="62"/>
    </row>
    <row r="363" spans="4:5" ht="13">
      <c r="D363" s="62"/>
      <c r="E363" s="62"/>
    </row>
    <row r="364" spans="4:5" ht="13">
      <c r="D364" s="62"/>
      <c r="E364" s="62"/>
    </row>
    <row r="365" spans="4:5" ht="13">
      <c r="D365" s="62"/>
      <c r="E365" s="62"/>
    </row>
    <row r="366" spans="4:5" ht="13">
      <c r="D366" s="62"/>
      <c r="E366" s="62"/>
    </row>
    <row r="367" spans="4:5" ht="13">
      <c r="D367" s="62"/>
      <c r="E367" s="62"/>
    </row>
    <row r="368" spans="4:5" ht="13">
      <c r="D368" s="62"/>
      <c r="E368" s="62"/>
    </row>
    <row r="369" spans="4:5" ht="13">
      <c r="D369" s="62"/>
      <c r="E369" s="62"/>
    </row>
    <row r="370" spans="4:5" ht="13">
      <c r="D370" s="62"/>
      <c r="E370" s="62"/>
    </row>
    <row r="371" spans="4:5" ht="13">
      <c r="D371" s="62"/>
      <c r="E371" s="62"/>
    </row>
    <row r="372" spans="4:5" ht="13">
      <c r="D372" s="62"/>
      <c r="E372" s="62"/>
    </row>
    <row r="373" spans="4:5" ht="13">
      <c r="D373" s="62"/>
      <c r="E373" s="62"/>
    </row>
    <row r="374" spans="4:5" ht="13">
      <c r="D374" s="62"/>
      <c r="E374" s="62"/>
    </row>
    <row r="375" spans="4:5" ht="13">
      <c r="D375" s="62"/>
      <c r="E375" s="62"/>
    </row>
    <row r="376" spans="4:5" ht="13">
      <c r="D376" s="62"/>
      <c r="E376" s="62"/>
    </row>
    <row r="377" spans="4:5" ht="13">
      <c r="D377" s="62"/>
      <c r="E377" s="62"/>
    </row>
    <row r="378" spans="4:5" ht="13">
      <c r="D378" s="62"/>
      <c r="E378" s="62"/>
    </row>
    <row r="379" spans="4:5" ht="13">
      <c r="D379" s="62"/>
      <c r="E379" s="62"/>
    </row>
    <row r="380" spans="4:5" ht="13">
      <c r="D380" s="62"/>
      <c r="E380" s="62"/>
    </row>
    <row r="381" spans="4:5" ht="13">
      <c r="D381" s="62"/>
      <c r="E381" s="62"/>
    </row>
    <row r="382" spans="4:5" ht="13">
      <c r="D382" s="62"/>
      <c r="E382" s="62"/>
    </row>
    <row r="383" spans="4:5" ht="13">
      <c r="D383" s="62"/>
      <c r="E383" s="62"/>
    </row>
    <row r="384" spans="4:5" ht="13">
      <c r="D384" s="62"/>
      <c r="E384" s="62"/>
    </row>
    <row r="385" spans="4:5" ht="13">
      <c r="D385" s="62"/>
      <c r="E385" s="62"/>
    </row>
    <row r="386" spans="4:5" ht="13">
      <c r="D386" s="62"/>
      <c r="E386" s="62"/>
    </row>
    <row r="387" spans="4:5" ht="13">
      <c r="D387" s="62"/>
      <c r="E387" s="62"/>
    </row>
    <row r="388" spans="4:5" ht="13">
      <c r="D388" s="62"/>
      <c r="E388" s="62"/>
    </row>
    <row r="389" spans="4:5" ht="13">
      <c r="D389" s="62"/>
      <c r="E389" s="62"/>
    </row>
    <row r="390" spans="4:5" ht="13">
      <c r="D390" s="62"/>
      <c r="E390" s="62"/>
    </row>
    <row r="391" spans="4:5" ht="13">
      <c r="D391" s="62"/>
      <c r="E391" s="62"/>
    </row>
    <row r="392" spans="4:5" ht="13">
      <c r="D392" s="62"/>
      <c r="E392" s="62"/>
    </row>
    <row r="393" spans="4:5" ht="13">
      <c r="D393" s="62"/>
      <c r="E393" s="62"/>
    </row>
    <row r="394" spans="4:5" ht="13">
      <c r="D394" s="62"/>
      <c r="E394" s="62"/>
    </row>
    <row r="395" spans="4:5" ht="13">
      <c r="D395" s="62"/>
      <c r="E395" s="62"/>
    </row>
    <row r="396" spans="4:5" ht="13">
      <c r="D396" s="62"/>
      <c r="E396" s="62"/>
    </row>
    <row r="397" spans="4:5" ht="13">
      <c r="D397" s="62"/>
      <c r="E397" s="62"/>
    </row>
    <row r="398" spans="4:5" ht="13">
      <c r="D398" s="62"/>
      <c r="E398" s="62"/>
    </row>
    <row r="399" spans="4:5" ht="13">
      <c r="D399" s="62"/>
      <c r="E399" s="62"/>
    </row>
    <row r="400" spans="4:5" ht="13">
      <c r="D400" s="62"/>
      <c r="E400" s="62"/>
    </row>
    <row r="401" spans="4:5" ht="13">
      <c r="D401" s="62"/>
      <c r="E401" s="62"/>
    </row>
    <row r="402" spans="4:5" ht="13">
      <c r="D402" s="62"/>
      <c r="E402" s="62"/>
    </row>
    <row r="403" spans="4:5" ht="13">
      <c r="D403" s="62"/>
      <c r="E403" s="62"/>
    </row>
    <row r="404" spans="4:5" ht="13">
      <c r="D404" s="62"/>
      <c r="E404" s="62"/>
    </row>
    <row r="405" spans="4:5" ht="13">
      <c r="D405" s="62"/>
      <c r="E405" s="62"/>
    </row>
    <row r="406" spans="4:5" ht="13">
      <c r="D406" s="62"/>
      <c r="E406" s="62"/>
    </row>
    <row r="407" spans="4:5" ht="13">
      <c r="D407" s="62"/>
      <c r="E407" s="62"/>
    </row>
    <row r="408" spans="4:5" ht="13">
      <c r="D408" s="62"/>
      <c r="E408" s="62"/>
    </row>
    <row r="409" spans="4:5" ht="13">
      <c r="D409" s="62"/>
      <c r="E409" s="62"/>
    </row>
    <row r="410" spans="4:5" ht="13">
      <c r="D410" s="62"/>
      <c r="E410" s="62"/>
    </row>
    <row r="411" spans="4:5" ht="13">
      <c r="D411" s="62"/>
      <c r="E411" s="62"/>
    </row>
    <row r="412" spans="4:5" ht="13">
      <c r="D412" s="62"/>
      <c r="E412" s="62"/>
    </row>
    <row r="413" spans="4:5" ht="13">
      <c r="D413" s="62"/>
      <c r="E413" s="62"/>
    </row>
    <row r="414" spans="4:5" ht="13">
      <c r="D414" s="62"/>
      <c r="E414" s="62"/>
    </row>
    <row r="415" spans="4:5" ht="13">
      <c r="D415" s="62"/>
      <c r="E415" s="62"/>
    </row>
    <row r="416" spans="4:5" ht="13">
      <c r="D416" s="62"/>
      <c r="E416" s="62"/>
    </row>
    <row r="417" spans="4:5" ht="13">
      <c r="D417" s="62"/>
      <c r="E417" s="62"/>
    </row>
    <row r="418" spans="4:5" ht="13">
      <c r="D418" s="62"/>
      <c r="E418" s="62"/>
    </row>
    <row r="419" spans="4:5" ht="13">
      <c r="D419" s="62"/>
      <c r="E419" s="62"/>
    </row>
    <row r="420" spans="4:5" ht="13">
      <c r="D420" s="62"/>
      <c r="E420" s="62"/>
    </row>
    <row r="421" spans="4:5" ht="13">
      <c r="D421" s="62"/>
      <c r="E421" s="62"/>
    </row>
    <row r="422" spans="4:5" ht="13">
      <c r="D422" s="62"/>
      <c r="E422" s="62"/>
    </row>
    <row r="423" spans="4:5" ht="13">
      <c r="D423" s="62"/>
      <c r="E423" s="62"/>
    </row>
    <row r="424" spans="4:5" ht="13">
      <c r="D424" s="62"/>
      <c r="E424" s="62"/>
    </row>
    <row r="425" spans="4:5" ht="13">
      <c r="D425" s="62"/>
      <c r="E425" s="62"/>
    </row>
    <row r="426" spans="4:5" ht="13">
      <c r="D426" s="62"/>
      <c r="E426" s="62"/>
    </row>
    <row r="427" spans="4:5" ht="13">
      <c r="D427" s="62"/>
      <c r="E427" s="62"/>
    </row>
    <row r="428" spans="4:5" ht="13">
      <c r="D428" s="62"/>
      <c r="E428" s="62"/>
    </row>
    <row r="429" spans="4:5" ht="13">
      <c r="D429" s="62"/>
      <c r="E429" s="62"/>
    </row>
    <row r="430" spans="4:5" ht="13">
      <c r="D430" s="62"/>
      <c r="E430" s="62"/>
    </row>
    <row r="431" spans="4:5" ht="13">
      <c r="D431" s="62"/>
      <c r="E431" s="62"/>
    </row>
    <row r="432" spans="4:5" ht="13">
      <c r="D432" s="62"/>
      <c r="E432" s="62"/>
    </row>
    <row r="433" spans="4:5" ht="13">
      <c r="D433" s="62"/>
      <c r="E433" s="62"/>
    </row>
    <row r="434" spans="4:5" ht="13">
      <c r="D434" s="62"/>
      <c r="E434" s="62"/>
    </row>
    <row r="435" spans="4:5" ht="13">
      <c r="D435" s="62"/>
      <c r="E435" s="62"/>
    </row>
    <row r="436" spans="4:5" ht="13">
      <c r="D436" s="62"/>
      <c r="E436" s="62"/>
    </row>
    <row r="437" spans="4:5" ht="13">
      <c r="D437" s="62"/>
      <c r="E437" s="62"/>
    </row>
    <row r="438" spans="4:5" ht="13">
      <c r="D438" s="62"/>
      <c r="E438" s="62"/>
    </row>
    <row r="439" spans="4:5" ht="13">
      <c r="D439" s="62"/>
      <c r="E439" s="62"/>
    </row>
    <row r="440" spans="4:5" ht="13">
      <c r="D440" s="62"/>
      <c r="E440" s="62"/>
    </row>
    <row r="441" spans="4:5" ht="13">
      <c r="D441" s="62"/>
      <c r="E441" s="62"/>
    </row>
    <row r="442" spans="4:5" ht="13">
      <c r="D442" s="62"/>
      <c r="E442" s="62"/>
    </row>
    <row r="443" spans="4:5" ht="13">
      <c r="D443" s="62"/>
      <c r="E443" s="62"/>
    </row>
    <row r="444" spans="4:5" ht="13">
      <c r="D444" s="62"/>
      <c r="E444" s="62"/>
    </row>
    <row r="445" spans="4:5" ht="13">
      <c r="D445" s="62"/>
      <c r="E445" s="62"/>
    </row>
    <row r="446" spans="4:5" ht="13">
      <c r="D446" s="62"/>
      <c r="E446" s="62"/>
    </row>
    <row r="447" spans="4:5" ht="13">
      <c r="D447" s="62"/>
      <c r="E447" s="62"/>
    </row>
    <row r="448" spans="4:5" ht="13">
      <c r="D448" s="62"/>
      <c r="E448" s="62"/>
    </row>
    <row r="449" spans="4:5" ht="13">
      <c r="D449" s="62"/>
      <c r="E449" s="62"/>
    </row>
    <row r="450" spans="4:5" ht="13">
      <c r="D450" s="62"/>
      <c r="E450" s="62"/>
    </row>
    <row r="451" spans="4:5" ht="13">
      <c r="D451" s="62"/>
      <c r="E451" s="62"/>
    </row>
    <row r="452" spans="4:5" ht="13">
      <c r="D452" s="62"/>
      <c r="E452" s="62"/>
    </row>
    <row r="453" spans="4:5" ht="13">
      <c r="D453" s="62"/>
      <c r="E453" s="62"/>
    </row>
    <row r="454" spans="4:5" ht="13">
      <c r="D454" s="62"/>
      <c r="E454" s="62"/>
    </row>
    <row r="455" spans="4:5" ht="13">
      <c r="D455" s="62"/>
      <c r="E455" s="62"/>
    </row>
    <row r="456" spans="4:5" ht="13">
      <c r="D456" s="62"/>
      <c r="E456" s="62"/>
    </row>
    <row r="457" spans="4:5" ht="13">
      <c r="D457" s="62"/>
      <c r="E457" s="62"/>
    </row>
    <row r="458" spans="4:5" ht="13">
      <c r="D458" s="62"/>
      <c r="E458" s="62"/>
    </row>
    <row r="459" spans="4:5" ht="13">
      <c r="D459" s="62"/>
      <c r="E459" s="62"/>
    </row>
    <row r="460" spans="4:5" ht="13">
      <c r="D460" s="62"/>
      <c r="E460" s="62"/>
    </row>
    <row r="461" spans="4:5" ht="13">
      <c r="D461" s="62"/>
      <c r="E461" s="62"/>
    </row>
    <row r="462" spans="4:5" ht="13">
      <c r="D462" s="62"/>
      <c r="E462" s="62"/>
    </row>
    <row r="463" spans="4:5" ht="13">
      <c r="D463" s="62"/>
      <c r="E463" s="62"/>
    </row>
    <row r="464" spans="4:5" ht="13">
      <c r="D464" s="62"/>
      <c r="E464" s="62"/>
    </row>
    <row r="465" spans="4:5" ht="13">
      <c r="D465" s="62"/>
      <c r="E465" s="62"/>
    </row>
    <row r="466" spans="4:5" ht="13">
      <c r="D466" s="62"/>
      <c r="E466" s="62"/>
    </row>
    <row r="467" spans="4:5" ht="13">
      <c r="D467" s="62"/>
      <c r="E467" s="62"/>
    </row>
    <row r="468" spans="4:5" ht="13">
      <c r="D468" s="62"/>
      <c r="E468" s="62"/>
    </row>
    <row r="469" spans="4:5" ht="13">
      <c r="D469" s="62"/>
      <c r="E469" s="62"/>
    </row>
    <row r="470" spans="4:5" ht="13">
      <c r="D470" s="62"/>
      <c r="E470" s="62"/>
    </row>
    <row r="471" spans="4:5" ht="13">
      <c r="D471" s="62"/>
      <c r="E471" s="62"/>
    </row>
    <row r="472" spans="4:5" ht="13">
      <c r="D472" s="62"/>
      <c r="E472" s="62"/>
    </row>
    <row r="473" spans="4:5" ht="13">
      <c r="D473" s="62"/>
      <c r="E473" s="62"/>
    </row>
    <row r="474" spans="4:5" ht="13">
      <c r="D474" s="62"/>
      <c r="E474" s="62"/>
    </row>
    <row r="475" spans="4:5" ht="13">
      <c r="D475" s="62"/>
      <c r="E475" s="62"/>
    </row>
    <row r="476" spans="4:5" ht="13">
      <c r="D476" s="62"/>
      <c r="E476" s="62"/>
    </row>
    <row r="477" spans="4:5" ht="13">
      <c r="D477" s="62"/>
      <c r="E477" s="62"/>
    </row>
    <row r="478" spans="4:5" ht="13">
      <c r="D478" s="62"/>
      <c r="E478" s="62"/>
    </row>
    <row r="479" spans="4:5" ht="13">
      <c r="D479" s="62"/>
      <c r="E479" s="62"/>
    </row>
    <row r="480" spans="4:5" ht="13">
      <c r="D480" s="62"/>
      <c r="E480" s="62"/>
    </row>
    <row r="481" spans="4:5" ht="13">
      <c r="D481" s="62"/>
      <c r="E481" s="62"/>
    </row>
    <row r="482" spans="4:5" ht="13">
      <c r="D482" s="62"/>
      <c r="E482" s="62"/>
    </row>
    <row r="483" spans="4:5" ht="13">
      <c r="D483" s="62"/>
      <c r="E483" s="62"/>
    </row>
    <row r="484" spans="4:5" ht="13">
      <c r="D484" s="62"/>
      <c r="E484" s="62"/>
    </row>
    <row r="485" spans="4:5" ht="13">
      <c r="D485" s="62"/>
      <c r="E485" s="62"/>
    </row>
    <row r="486" spans="4:5" ht="13">
      <c r="D486" s="62"/>
      <c r="E486" s="62"/>
    </row>
    <row r="487" spans="4:5" ht="13">
      <c r="D487" s="62"/>
      <c r="E487" s="62"/>
    </row>
    <row r="488" spans="4:5" ht="13">
      <c r="D488" s="62"/>
      <c r="E488" s="62"/>
    </row>
    <row r="489" spans="4:5" ht="13">
      <c r="D489" s="62"/>
      <c r="E489" s="62"/>
    </row>
    <row r="490" spans="4:5" ht="13">
      <c r="D490" s="62"/>
      <c r="E490" s="62"/>
    </row>
    <row r="491" spans="4:5" ht="13">
      <c r="D491" s="62"/>
      <c r="E491" s="62"/>
    </row>
    <row r="492" spans="4:5" ht="13">
      <c r="D492" s="62"/>
      <c r="E492" s="62"/>
    </row>
    <row r="493" spans="4:5" ht="13">
      <c r="D493" s="62"/>
      <c r="E493" s="62"/>
    </row>
    <row r="494" spans="4:5" ht="13">
      <c r="D494" s="62"/>
      <c r="E494" s="62"/>
    </row>
    <row r="495" spans="4:5" ht="13">
      <c r="D495" s="62"/>
      <c r="E495" s="62"/>
    </row>
    <row r="496" spans="4:5" ht="13">
      <c r="D496" s="62"/>
      <c r="E496" s="62"/>
    </row>
    <row r="497" spans="4:5" ht="13">
      <c r="D497" s="62"/>
      <c r="E497" s="62"/>
    </row>
    <row r="498" spans="4:5" ht="13">
      <c r="D498" s="62"/>
      <c r="E498" s="62"/>
    </row>
    <row r="499" spans="4:5" ht="13">
      <c r="D499" s="62"/>
      <c r="E499" s="62"/>
    </row>
    <row r="500" spans="4:5" ht="13">
      <c r="D500" s="62"/>
      <c r="E500" s="62"/>
    </row>
    <row r="501" spans="4:5" ht="13">
      <c r="D501" s="62"/>
      <c r="E501" s="62"/>
    </row>
    <row r="502" spans="4:5" ht="13">
      <c r="D502" s="62"/>
      <c r="E502" s="62"/>
    </row>
    <row r="503" spans="4:5" ht="13">
      <c r="D503" s="62"/>
      <c r="E503" s="62"/>
    </row>
    <row r="504" spans="4:5" ht="13">
      <c r="D504" s="62"/>
      <c r="E504" s="62"/>
    </row>
    <row r="505" spans="4:5" ht="13">
      <c r="D505" s="62"/>
      <c r="E505" s="62"/>
    </row>
    <row r="506" spans="4:5" ht="13">
      <c r="D506" s="62"/>
      <c r="E506" s="62"/>
    </row>
    <row r="507" spans="4:5" ht="13">
      <c r="D507" s="62"/>
      <c r="E507" s="62"/>
    </row>
    <row r="508" spans="4:5" ht="13">
      <c r="D508" s="62"/>
      <c r="E508" s="62"/>
    </row>
    <row r="509" spans="4:5" ht="13">
      <c r="D509" s="62"/>
      <c r="E509" s="62"/>
    </row>
    <row r="510" spans="4:5" ht="13">
      <c r="D510" s="62"/>
      <c r="E510" s="62"/>
    </row>
    <row r="511" spans="4:5" ht="13">
      <c r="D511" s="62"/>
      <c r="E511" s="62"/>
    </row>
    <row r="512" spans="4:5" ht="13">
      <c r="D512" s="62"/>
      <c r="E512" s="62"/>
    </row>
    <row r="513" spans="4:5" ht="13">
      <c r="D513" s="62"/>
      <c r="E513" s="62"/>
    </row>
    <row r="514" spans="4:5" ht="13">
      <c r="D514" s="62"/>
      <c r="E514" s="62"/>
    </row>
    <row r="515" spans="4:5" ht="13">
      <c r="D515" s="62"/>
      <c r="E515" s="62"/>
    </row>
    <row r="516" spans="4:5" ht="13">
      <c r="D516" s="62"/>
      <c r="E516" s="62"/>
    </row>
    <row r="517" spans="4:5" ht="13">
      <c r="D517" s="62"/>
      <c r="E517" s="62"/>
    </row>
    <row r="518" spans="4:5" ht="13">
      <c r="D518" s="62"/>
      <c r="E518" s="62"/>
    </row>
    <row r="519" spans="4:5" ht="13">
      <c r="D519" s="62"/>
      <c r="E519" s="62"/>
    </row>
    <row r="520" spans="4:5" ht="13">
      <c r="D520" s="62"/>
      <c r="E520" s="62"/>
    </row>
    <row r="521" spans="4:5" ht="13">
      <c r="D521" s="62"/>
      <c r="E521" s="62"/>
    </row>
    <row r="522" spans="4:5" ht="13">
      <c r="D522" s="62"/>
      <c r="E522" s="62"/>
    </row>
    <row r="523" spans="4:5" ht="13">
      <c r="D523" s="62"/>
      <c r="E523" s="62"/>
    </row>
    <row r="524" spans="4:5" ht="13">
      <c r="D524" s="62"/>
      <c r="E524" s="62"/>
    </row>
    <row r="525" spans="4:5" ht="13">
      <c r="D525" s="62"/>
      <c r="E525" s="62"/>
    </row>
    <row r="526" spans="4:5" ht="13">
      <c r="D526" s="62"/>
      <c r="E526" s="62"/>
    </row>
    <row r="527" spans="4:5" ht="13">
      <c r="D527" s="62"/>
      <c r="E527" s="62"/>
    </row>
    <row r="528" spans="4:5" ht="13">
      <c r="D528" s="62"/>
      <c r="E528" s="62"/>
    </row>
    <row r="529" spans="4:5" ht="13">
      <c r="D529" s="62"/>
      <c r="E529" s="62"/>
    </row>
    <row r="530" spans="4:5" ht="13">
      <c r="D530" s="62"/>
      <c r="E530" s="62"/>
    </row>
    <row r="531" spans="4:5" ht="13">
      <c r="D531" s="62"/>
      <c r="E531" s="62"/>
    </row>
    <row r="532" spans="4:5" ht="13">
      <c r="D532" s="62"/>
      <c r="E532" s="62"/>
    </row>
    <row r="533" spans="4:5" ht="13">
      <c r="D533" s="62"/>
      <c r="E533" s="62"/>
    </row>
    <row r="534" spans="4:5" ht="13">
      <c r="D534" s="62"/>
      <c r="E534" s="62"/>
    </row>
    <row r="535" spans="4:5" ht="13">
      <c r="D535" s="62"/>
      <c r="E535" s="62"/>
    </row>
    <row r="536" spans="4:5" ht="13">
      <c r="D536" s="62"/>
      <c r="E536" s="62"/>
    </row>
    <row r="537" spans="4:5" ht="13">
      <c r="D537" s="62"/>
      <c r="E537" s="62"/>
    </row>
    <row r="538" spans="4:5" ht="13">
      <c r="D538" s="62"/>
      <c r="E538" s="62"/>
    </row>
    <row r="539" spans="4:5" ht="13">
      <c r="D539" s="62"/>
      <c r="E539" s="62"/>
    </row>
    <row r="540" spans="4:5" ht="13">
      <c r="D540" s="62"/>
      <c r="E540" s="62"/>
    </row>
    <row r="541" spans="4:5" ht="13">
      <c r="D541" s="62"/>
      <c r="E541" s="62"/>
    </row>
    <row r="542" spans="4:5" ht="13">
      <c r="D542" s="62"/>
      <c r="E542" s="62"/>
    </row>
    <row r="543" spans="4:5" ht="13">
      <c r="D543" s="62"/>
      <c r="E543" s="62"/>
    </row>
    <row r="544" spans="4:5" ht="13">
      <c r="D544" s="62"/>
      <c r="E544" s="62"/>
    </row>
    <row r="545" spans="4:5" ht="13">
      <c r="D545" s="62"/>
      <c r="E545" s="62"/>
    </row>
    <row r="546" spans="4:5" ht="13">
      <c r="D546" s="62"/>
      <c r="E546" s="62"/>
    </row>
    <row r="547" spans="4:5" ht="13">
      <c r="D547" s="62"/>
      <c r="E547" s="62"/>
    </row>
    <row r="548" spans="4:5" ht="13">
      <c r="D548" s="62"/>
      <c r="E548" s="62"/>
    </row>
    <row r="549" spans="4:5" ht="13">
      <c r="D549" s="62"/>
      <c r="E549" s="62"/>
    </row>
    <row r="550" spans="4:5" ht="13">
      <c r="D550" s="62"/>
      <c r="E550" s="62"/>
    </row>
    <row r="551" spans="4:5" ht="13">
      <c r="D551" s="62"/>
      <c r="E551" s="62"/>
    </row>
    <row r="552" spans="4:5" ht="13">
      <c r="D552" s="62"/>
      <c r="E552" s="62"/>
    </row>
    <row r="553" spans="4:5" ht="13">
      <c r="D553" s="62"/>
      <c r="E553" s="62"/>
    </row>
    <row r="554" spans="4:5" ht="13">
      <c r="D554" s="62"/>
      <c r="E554" s="62"/>
    </row>
    <row r="555" spans="4:5" ht="13">
      <c r="D555" s="62"/>
      <c r="E555" s="62"/>
    </row>
    <row r="556" spans="4:5" ht="13">
      <c r="D556" s="62"/>
      <c r="E556" s="62"/>
    </row>
    <row r="557" spans="4:5" ht="13">
      <c r="D557" s="62"/>
      <c r="E557" s="62"/>
    </row>
    <row r="558" spans="4:5" ht="13">
      <c r="D558" s="62"/>
      <c r="E558" s="62"/>
    </row>
    <row r="559" spans="4:5" ht="13">
      <c r="D559" s="62"/>
      <c r="E559" s="62"/>
    </row>
    <row r="560" spans="4:5" ht="13">
      <c r="D560" s="62"/>
      <c r="E560" s="62"/>
    </row>
    <row r="561" spans="4:5" ht="13">
      <c r="D561" s="62"/>
      <c r="E561" s="62"/>
    </row>
    <row r="562" spans="4:5" ht="13">
      <c r="D562" s="62"/>
      <c r="E562" s="62"/>
    </row>
    <row r="563" spans="4:5" ht="13">
      <c r="D563" s="62"/>
      <c r="E563" s="62"/>
    </row>
    <row r="564" spans="4:5" ht="13">
      <c r="D564" s="62"/>
      <c r="E564" s="62"/>
    </row>
    <row r="565" spans="4:5" ht="13">
      <c r="D565" s="62"/>
      <c r="E565" s="62"/>
    </row>
    <row r="566" spans="4:5" ht="13">
      <c r="D566" s="62"/>
      <c r="E566" s="62"/>
    </row>
    <row r="567" spans="4:5" ht="13">
      <c r="D567" s="62"/>
      <c r="E567" s="62"/>
    </row>
    <row r="568" spans="4:5" ht="13">
      <c r="D568" s="62"/>
      <c r="E568" s="62"/>
    </row>
    <row r="569" spans="4:5" ht="13">
      <c r="D569" s="62"/>
      <c r="E569" s="62"/>
    </row>
    <row r="570" spans="4:5" ht="13">
      <c r="D570" s="62"/>
      <c r="E570" s="62"/>
    </row>
    <row r="571" spans="4:5" ht="13">
      <c r="D571" s="62"/>
      <c r="E571" s="62"/>
    </row>
    <row r="572" spans="4:5" ht="13">
      <c r="D572" s="62"/>
      <c r="E572" s="62"/>
    </row>
    <row r="573" spans="4:5" ht="13">
      <c r="D573" s="62"/>
      <c r="E573" s="62"/>
    </row>
    <row r="574" spans="4:5" ht="13">
      <c r="D574" s="62"/>
      <c r="E574" s="62"/>
    </row>
    <row r="575" spans="4:5" ht="13">
      <c r="D575" s="62"/>
      <c r="E575" s="62"/>
    </row>
    <row r="576" spans="4:5" ht="13">
      <c r="D576" s="62"/>
      <c r="E576" s="62"/>
    </row>
    <row r="577" spans="4:5" ht="13">
      <c r="D577" s="62"/>
      <c r="E577" s="62"/>
    </row>
    <row r="578" spans="4:5" ht="13">
      <c r="D578" s="62"/>
      <c r="E578" s="62"/>
    </row>
    <row r="579" spans="4:5" ht="13">
      <c r="D579" s="62"/>
      <c r="E579" s="62"/>
    </row>
    <row r="580" spans="4:5" ht="13">
      <c r="D580" s="62"/>
      <c r="E580" s="62"/>
    </row>
    <row r="581" spans="4:5" ht="13">
      <c r="D581" s="62"/>
      <c r="E581" s="62"/>
    </row>
    <row r="582" spans="4:5" ht="13">
      <c r="D582" s="62"/>
      <c r="E582" s="62"/>
    </row>
    <row r="583" spans="4:5" ht="13">
      <c r="D583" s="62"/>
      <c r="E583" s="62"/>
    </row>
    <row r="584" spans="4:5" ht="13">
      <c r="D584" s="62"/>
      <c r="E584" s="62"/>
    </row>
    <row r="585" spans="4:5" ht="13">
      <c r="D585" s="62"/>
      <c r="E585" s="62"/>
    </row>
    <row r="586" spans="4:5" ht="13">
      <c r="D586" s="62"/>
      <c r="E586" s="62"/>
    </row>
    <row r="587" spans="4:5" ht="13">
      <c r="D587" s="62"/>
      <c r="E587" s="62"/>
    </row>
    <row r="588" spans="4:5" ht="13">
      <c r="D588" s="62"/>
      <c r="E588" s="62"/>
    </row>
    <row r="589" spans="4:5" ht="13">
      <c r="D589" s="62"/>
      <c r="E589" s="62"/>
    </row>
    <row r="590" spans="4:5" ht="13">
      <c r="D590" s="62"/>
      <c r="E590" s="62"/>
    </row>
    <row r="591" spans="4:5" ht="13">
      <c r="D591" s="62"/>
      <c r="E591" s="62"/>
    </row>
    <row r="592" spans="4:5" ht="13">
      <c r="D592" s="62"/>
      <c r="E592" s="62"/>
    </row>
    <row r="593" spans="4:5" ht="13">
      <c r="D593" s="62"/>
      <c r="E593" s="62"/>
    </row>
    <row r="594" spans="4:5" ht="13">
      <c r="D594" s="62"/>
      <c r="E594" s="62"/>
    </row>
    <row r="595" spans="4:5" ht="13">
      <c r="D595" s="62"/>
      <c r="E595" s="62"/>
    </row>
    <row r="596" spans="4:5" ht="13">
      <c r="D596" s="62"/>
      <c r="E596" s="62"/>
    </row>
    <row r="597" spans="4:5" ht="13">
      <c r="D597" s="62"/>
      <c r="E597" s="62"/>
    </row>
    <row r="598" spans="4:5" ht="13">
      <c r="D598" s="62"/>
      <c r="E598" s="62"/>
    </row>
    <row r="599" spans="4:5" ht="13">
      <c r="D599" s="62"/>
      <c r="E599" s="62"/>
    </row>
    <row r="600" spans="4:5" ht="13">
      <c r="D600" s="62"/>
      <c r="E600" s="62"/>
    </row>
    <row r="601" spans="4:5" ht="13">
      <c r="D601" s="62"/>
      <c r="E601" s="62"/>
    </row>
    <row r="602" spans="4:5" ht="13">
      <c r="D602" s="62"/>
      <c r="E602" s="62"/>
    </row>
    <row r="603" spans="4:5" ht="13">
      <c r="D603" s="62"/>
      <c r="E603" s="62"/>
    </row>
    <row r="604" spans="4:5" ht="13">
      <c r="D604" s="62"/>
      <c r="E604" s="62"/>
    </row>
    <row r="605" spans="4:5" ht="13">
      <c r="D605" s="62"/>
      <c r="E605" s="62"/>
    </row>
    <row r="606" spans="4:5" ht="13">
      <c r="D606" s="62"/>
      <c r="E606" s="62"/>
    </row>
    <row r="607" spans="4:5" ht="13">
      <c r="D607" s="62"/>
      <c r="E607" s="62"/>
    </row>
    <row r="608" spans="4:5" ht="13">
      <c r="D608" s="62"/>
      <c r="E608" s="62"/>
    </row>
    <row r="609" spans="4:5" ht="13">
      <c r="D609" s="62"/>
      <c r="E609" s="62"/>
    </row>
    <row r="610" spans="4:5" ht="13">
      <c r="D610" s="62"/>
      <c r="E610" s="62"/>
    </row>
    <row r="611" spans="4:5" ht="13">
      <c r="D611" s="62"/>
      <c r="E611" s="62"/>
    </row>
    <row r="612" spans="4:5" ht="13">
      <c r="D612" s="62"/>
      <c r="E612" s="62"/>
    </row>
    <row r="613" spans="4:5" ht="13">
      <c r="D613" s="62"/>
      <c r="E613" s="62"/>
    </row>
    <row r="614" spans="4:5" ht="13">
      <c r="D614" s="62"/>
      <c r="E614" s="62"/>
    </row>
    <row r="615" spans="4:5" ht="13">
      <c r="D615" s="62"/>
      <c r="E615" s="62"/>
    </row>
    <row r="616" spans="4:5" ht="13">
      <c r="D616" s="62"/>
      <c r="E616" s="62"/>
    </row>
    <row r="617" spans="4:5" ht="13">
      <c r="D617" s="62"/>
      <c r="E617" s="62"/>
    </row>
    <row r="618" spans="4:5" ht="13">
      <c r="D618" s="62"/>
      <c r="E618" s="62"/>
    </row>
    <row r="619" spans="4:5" ht="13">
      <c r="D619" s="62"/>
      <c r="E619" s="62"/>
    </row>
    <row r="620" spans="4:5" ht="13">
      <c r="D620" s="62"/>
      <c r="E620" s="62"/>
    </row>
    <row r="621" spans="4:5" ht="13">
      <c r="D621" s="62"/>
      <c r="E621" s="62"/>
    </row>
    <row r="622" spans="4:5" ht="13">
      <c r="D622" s="62"/>
      <c r="E622" s="62"/>
    </row>
    <row r="623" spans="4:5" ht="13">
      <c r="D623" s="62"/>
      <c r="E623" s="62"/>
    </row>
    <row r="624" spans="4:5" ht="13">
      <c r="D624" s="62"/>
      <c r="E624" s="62"/>
    </row>
    <row r="625" spans="4:5" ht="13">
      <c r="D625" s="62"/>
      <c r="E625" s="62"/>
    </row>
    <row r="626" spans="4:5" ht="13">
      <c r="D626" s="62"/>
      <c r="E626" s="62"/>
    </row>
    <row r="627" spans="4:5" ht="13">
      <c r="D627" s="62"/>
      <c r="E627" s="62"/>
    </row>
    <row r="628" spans="4:5" ht="13">
      <c r="D628" s="62"/>
      <c r="E628" s="62"/>
    </row>
    <row r="629" spans="4:5" ht="13">
      <c r="D629" s="62"/>
      <c r="E629" s="62"/>
    </row>
    <row r="630" spans="4:5" ht="13">
      <c r="D630" s="62"/>
      <c r="E630" s="62"/>
    </row>
    <row r="631" spans="4:5" ht="13">
      <c r="D631" s="62"/>
      <c r="E631" s="62"/>
    </row>
    <row r="632" spans="4:5" ht="13">
      <c r="D632" s="62"/>
      <c r="E632" s="62"/>
    </row>
    <row r="633" spans="4:5" ht="13">
      <c r="D633" s="62"/>
      <c r="E633" s="62"/>
    </row>
    <row r="634" spans="4:5" ht="13">
      <c r="D634" s="62"/>
      <c r="E634" s="62"/>
    </row>
    <row r="635" spans="4:5" ht="13">
      <c r="D635" s="62"/>
      <c r="E635" s="62"/>
    </row>
    <row r="636" spans="4:5" ht="13">
      <c r="D636" s="62"/>
      <c r="E636" s="62"/>
    </row>
    <row r="637" spans="4:5" ht="13">
      <c r="D637" s="62"/>
      <c r="E637" s="62"/>
    </row>
    <row r="638" spans="4:5" ht="13">
      <c r="D638" s="62"/>
      <c r="E638" s="62"/>
    </row>
    <row r="639" spans="4:5" ht="13">
      <c r="D639" s="62"/>
      <c r="E639" s="62"/>
    </row>
    <row r="640" spans="4:5" ht="13">
      <c r="D640" s="62"/>
      <c r="E640" s="62"/>
    </row>
    <row r="641" spans="4:5" ht="13">
      <c r="D641" s="62"/>
      <c r="E641" s="62"/>
    </row>
    <row r="642" spans="4:5" ht="13">
      <c r="D642" s="62"/>
      <c r="E642" s="62"/>
    </row>
    <row r="643" spans="4:5" ht="13">
      <c r="D643" s="62"/>
      <c r="E643" s="62"/>
    </row>
    <row r="644" spans="4:5" ht="13">
      <c r="D644" s="62"/>
      <c r="E644" s="62"/>
    </row>
    <row r="645" spans="4:5" ht="13">
      <c r="D645" s="62"/>
      <c r="E645" s="62"/>
    </row>
    <row r="646" spans="4:5" ht="13">
      <c r="D646" s="62"/>
      <c r="E646" s="62"/>
    </row>
    <row r="647" spans="4:5" ht="13">
      <c r="D647" s="62"/>
      <c r="E647" s="62"/>
    </row>
    <row r="648" spans="4:5" ht="13">
      <c r="D648" s="62"/>
      <c r="E648" s="62"/>
    </row>
    <row r="649" spans="4:5" ht="13">
      <c r="D649" s="62"/>
      <c r="E649" s="62"/>
    </row>
    <row r="650" spans="4:5" ht="13">
      <c r="D650" s="62"/>
      <c r="E650" s="62"/>
    </row>
    <row r="651" spans="4:5" ht="13">
      <c r="D651" s="62"/>
      <c r="E651" s="62"/>
    </row>
    <row r="652" spans="4:5" ht="13">
      <c r="D652" s="62"/>
      <c r="E652" s="62"/>
    </row>
    <row r="653" spans="4:5" ht="13">
      <c r="D653" s="62"/>
      <c r="E653" s="62"/>
    </row>
    <row r="654" spans="4:5" ht="13">
      <c r="D654" s="62"/>
      <c r="E654" s="62"/>
    </row>
    <row r="655" spans="4:5" ht="13">
      <c r="D655" s="62"/>
      <c r="E655" s="62"/>
    </row>
    <row r="656" spans="4:5" ht="13">
      <c r="D656" s="62"/>
      <c r="E656" s="62"/>
    </row>
    <row r="657" spans="4:5" ht="13">
      <c r="D657" s="62"/>
      <c r="E657" s="62"/>
    </row>
    <row r="658" spans="4:5" ht="13">
      <c r="D658" s="62"/>
      <c r="E658" s="62"/>
    </row>
    <row r="659" spans="4:5" ht="13">
      <c r="D659" s="62"/>
      <c r="E659" s="62"/>
    </row>
    <row r="660" spans="4:5" ht="13">
      <c r="D660" s="62"/>
      <c r="E660" s="62"/>
    </row>
    <row r="661" spans="4:5" ht="13">
      <c r="D661" s="62"/>
      <c r="E661" s="62"/>
    </row>
    <row r="662" spans="4:5" ht="13">
      <c r="D662" s="62"/>
      <c r="E662" s="62"/>
    </row>
    <row r="663" spans="4:5" ht="13">
      <c r="D663" s="62"/>
      <c r="E663" s="62"/>
    </row>
    <row r="664" spans="4:5" ht="13">
      <c r="D664" s="62"/>
      <c r="E664" s="62"/>
    </row>
    <row r="665" spans="4:5" ht="13">
      <c r="D665" s="62"/>
      <c r="E665" s="62"/>
    </row>
    <row r="666" spans="4:5" ht="13">
      <c r="D666" s="62"/>
      <c r="E666" s="62"/>
    </row>
    <row r="667" spans="4:5" ht="13">
      <c r="D667" s="62"/>
      <c r="E667" s="62"/>
    </row>
    <row r="668" spans="4:5" ht="13">
      <c r="D668" s="62"/>
      <c r="E668" s="62"/>
    </row>
    <row r="669" spans="4:5" ht="13">
      <c r="D669" s="62"/>
      <c r="E669" s="62"/>
    </row>
    <row r="670" spans="4:5" ht="13">
      <c r="D670" s="62"/>
      <c r="E670" s="62"/>
    </row>
    <row r="671" spans="4:5" ht="13">
      <c r="D671" s="62"/>
      <c r="E671" s="62"/>
    </row>
    <row r="672" spans="4:5" ht="13">
      <c r="D672" s="62"/>
      <c r="E672" s="62"/>
    </row>
    <row r="673" spans="4:5" ht="13">
      <c r="D673" s="62"/>
      <c r="E673" s="62"/>
    </row>
    <row r="674" spans="4:5" ht="13">
      <c r="D674" s="62"/>
      <c r="E674" s="62"/>
    </row>
    <row r="675" spans="4:5" ht="13">
      <c r="D675" s="62"/>
      <c r="E675" s="62"/>
    </row>
    <row r="676" spans="4:5" ht="13">
      <c r="D676" s="62"/>
      <c r="E676" s="62"/>
    </row>
    <row r="677" spans="4:5" ht="13">
      <c r="D677" s="62"/>
      <c r="E677" s="62"/>
    </row>
    <row r="678" spans="4:5" ht="13">
      <c r="D678" s="62"/>
      <c r="E678" s="62"/>
    </row>
    <row r="679" spans="4:5" ht="13">
      <c r="D679" s="62"/>
      <c r="E679" s="62"/>
    </row>
    <row r="680" spans="4:5" ht="13">
      <c r="D680" s="62"/>
      <c r="E680" s="62"/>
    </row>
    <row r="681" spans="4:5" ht="13">
      <c r="D681" s="62"/>
      <c r="E681" s="62"/>
    </row>
    <row r="682" spans="4:5" ht="13">
      <c r="D682" s="62"/>
      <c r="E682" s="62"/>
    </row>
    <row r="683" spans="4:5" ht="13">
      <c r="D683" s="62"/>
      <c r="E683" s="62"/>
    </row>
    <row r="684" spans="4:5" ht="13">
      <c r="D684" s="62"/>
      <c r="E684" s="62"/>
    </row>
    <row r="685" spans="4:5" ht="13">
      <c r="D685" s="62"/>
      <c r="E685" s="62"/>
    </row>
    <row r="686" spans="4:5" ht="13">
      <c r="D686" s="62"/>
      <c r="E686" s="62"/>
    </row>
    <row r="687" spans="4:5" ht="13">
      <c r="D687" s="62"/>
      <c r="E687" s="62"/>
    </row>
    <row r="688" spans="4:5" ht="13">
      <c r="D688" s="62"/>
      <c r="E688" s="62"/>
    </row>
    <row r="689" spans="4:5" ht="13">
      <c r="D689" s="62"/>
      <c r="E689" s="62"/>
    </row>
    <row r="690" spans="4:5" ht="13">
      <c r="D690" s="62"/>
      <c r="E690" s="62"/>
    </row>
    <row r="691" spans="4:5" ht="13">
      <c r="D691" s="62"/>
      <c r="E691" s="62"/>
    </row>
    <row r="692" spans="4:5" ht="13">
      <c r="D692" s="62"/>
      <c r="E692" s="62"/>
    </row>
    <row r="693" spans="4:5" ht="13">
      <c r="D693" s="62"/>
      <c r="E693" s="62"/>
    </row>
    <row r="694" spans="4:5" ht="13">
      <c r="D694" s="62"/>
      <c r="E694" s="62"/>
    </row>
    <row r="695" spans="4:5" ht="13">
      <c r="D695" s="62"/>
      <c r="E695" s="62"/>
    </row>
    <row r="696" spans="4:5" ht="13">
      <c r="D696" s="62"/>
      <c r="E696" s="62"/>
    </row>
    <row r="697" spans="4:5" ht="13">
      <c r="D697" s="62"/>
      <c r="E697" s="62"/>
    </row>
    <row r="698" spans="4:5" ht="13">
      <c r="D698" s="62"/>
      <c r="E698" s="62"/>
    </row>
    <row r="699" spans="4:5" ht="13">
      <c r="D699" s="62"/>
      <c r="E699" s="62"/>
    </row>
    <row r="700" spans="4:5" ht="13">
      <c r="D700" s="62"/>
      <c r="E700" s="62"/>
    </row>
    <row r="701" spans="4:5" ht="13">
      <c r="D701" s="62"/>
      <c r="E701" s="62"/>
    </row>
    <row r="702" spans="4:5" ht="13">
      <c r="D702" s="62"/>
      <c r="E702" s="62"/>
    </row>
    <row r="703" spans="4:5" ht="13">
      <c r="D703" s="62"/>
      <c r="E703" s="62"/>
    </row>
    <row r="704" spans="4:5" ht="13">
      <c r="D704" s="62"/>
      <c r="E704" s="62"/>
    </row>
    <row r="705" spans="4:5" ht="13">
      <c r="D705" s="62"/>
      <c r="E705" s="62"/>
    </row>
    <row r="706" spans="4:5" ht="13">
      <c r="D706" s="62"/>
      <c r="E706" s="62"/>
    </row>
    <row r="707" spans="4:5" ht="13">
      <c r="D707" s="62"/>
      <c r="E707" s="62"/>
    </row>
    <row r="708" spans="4:5" ht="13">
      <c r="D708" s="62"/>
      <c r="E708" s="62"/>
    </row>
    <row r="709" spans="4:5" ht="13">
      <c r="D709" s="62"/>
      <c r="E709" s="62"/>
    </row>
    <row r="710" spans="4:5" ht="13">
      <c r="D710" s="62"/>
      <c r="E710" s="62"/>
    </row>
    <row r="711" spans="4:5" ht="13">
      <c r="D711" s="62"/>
      <c r="E711" s="62"/>
    </row>
    <row r="712" spans="4:5" ht="13">
      <c r="D712" s="62"/>
      <c r="E712" s="62"/>
    </row>
    <row r="713" spans="4:5" ht="13">
      <c r="D713" s="62"/>
      <c r="E713" s="62"/>
    </row>
    <row r="714" spans="4:5" ht="13">
      <c r="D714" s="62"/>
      <c r="E714" s="62"/>
    </row>
    <row r="715" spans="4:5" ht="13">
      <c r="D715" s="62"/>
      <c r="E715" s="62"/>
    </row>
    <row r="716" spans="4:5" ht="13">
      <c r="D716" s="62"/>
      <c r="E716" s="62"/>
    </row>
    <row r="717" spans="4:5" ht="13">
      <c r="D717" s="62"/>
      <c r="E717" s="62"/>
    </row>
    <row r="718" spans="4:5" ht="13">
      <c r="D718" s="62"/>
      <c r="E718" s="62"/>
    </row>
    <row r="719" spans="4:5" ht="13">
      <c r="D719" s="62"/>
      <c r="E719" s="62"/>
    </row>
    <row r="720" spans="4:5" ht="13">
      <c r="D720" s="62"/>
      <c r="E720" s="62"/>
    </row>
    <row r="721" spans="4:5" ht="13">
      <c r="D721" s="62"/>
      <c r="E721" s="62"/>
    </row>
    <row r="722" spans="4:5" ht="13">
      <c r="D722" s="62"/>
      <c r="E722" s="62"/>
    </row>
    <row r="723" spans="4:5" ht="13">
      <c r="D723" s="62"/>
      <c r="E723" s="62"/>
    </row>
    <row r="724" spans="4:5" ht="13">
      <c r="D724" s="62"/>
      <c r="E724" s="62"/>
    </row>
    <row r="725" spans="4:5" ht="13">
      <c r="D725" s="62"/>
      <c r="E725" s="62"/>
    </row>
    <row r="726" spans="4:5" ht="13">
      <c r="D726" s="62"/>
      <c r="E726" s="62"/>
    </row>
    <row r="727" spans="4:5" ht="13">
      <c r="D727" s="62"/>
      <c r="E727" s="62"/>
    </row>
    <row r="728" spans="4:5" ht="13">
      <c r="D728" s="62"/>
      <c r="E728" s="62"/>
    </row>
    <row r="729" spans="4:5" ht="13">
      <c r="D729" s="62"/>
      <c r="E729" s="62"/>
    </row>
    <row r="730" spans="4:5" ht="13">
      <c r="D730" s="62"/>
      <c r="E730" s="62"/>
    </row>
    <row r="731" spans="4:5" ht="13">
      <c r="D731" s="62"/>
      <c r="E731" s="62"/>
    </row>
    <row r="732" spans="4:5" ht="13">
      <c r="D732" s="62"/>
      <c r="E732" s="62"/>
    </row>
    <row r="733" spans="4:5" ht="13">
      <c r="D733" s="62"/>
      <c r="E733" s="62"/>
    </row>
    <row r="734" spans="4:5" ht="13">
      <c r="D734" s="62"/>
      <c r="E734" s="62"/>
    </row>
    <row r="735" spans="4:5" ht="13">
      <c r="D735" s="62"/>
      <c r="E735" s="62"/>
    </row>
    <row r="736" spans="4:5" ht="13">
      <c r="D736" s="62"/>
      <c r="E736" s="62"/>
    </row>
    <row r="737" spans="4:5" ht="13">
      <c r="D737" s="62"/>
      <c r="E737" s="62"/>
    </row>
    <row r="738" spans="4:5" ht="13">
      <c r="D738" s="62"/>
      <c r="E738" s="62"/>
    </row>
    <row r="739" spans="4:5" ht="13">
      <c r="D739" s="62"/>
      <c r="E739" s="62"/>
    </row>
    <row r="740" spans="4:5" ht="13">
      <c r="D740" s="62"/>
      <c r="E740" s="62"/>
    </row>
    <row r="741" spans="4:5" ht="13">
      <c r="D741" s="62"/>
      <c r="E741" s="62"/>
    </row>
    <row r="742" spans="4:5" ht="13">
      <c r="D742" s="62"/>
      <c r="E742" s="62"/>
    </row>
    <row r="743" spans="4:5" ht="13">
      <c r="D743" s="62"/>
      <c r="E743" s="62"/>
    </row>
    <row r="744" spans="4:5" ht="13">
      <c r="D744" s="62"/>
      <c r="E744" s="62"/>
    </row>
    <row r="745" spans="4:5" ht="13">
      <c r="D745" s="62"/>
      <c r="E745" s="62"/>
    </row>
    <row r="746" spans="4:5" ht="13">
      <c r="D746" s="62"/>
      <c r="E746" s="62"/>
    </row>
    <row r="747" spans="4:5" ht="13">
      <c r="D747" s="62"/>
      <c r="E747" s="62"/>
    </row>
    <row r="748" spans="4:5" ht="13">
      <c r="D748" s="62"/>
      <c r="E748" s="62"/>
    </row>
    <row r="749" spans="4:5" ht="13">
      <c r="D749" s="62"/>
      <c r="E749" s="62"/>
    </row>
    <row r="750" spans="4:5" ht="13">
      <c r="D750" s="62"/>
      <c r="E750" s="62"/>
    </row>
    <row r="751" spans="4:5" ht="13">
      <c r="D751" s="62"/>
      <c r="E751" s="62"/>
    </row>
    <row r="752" spans="4:5" ht="13">
      <c r="D752" s="62"/>
      <c r="E752" s="62"/>
    </row>
    <row r="753" spans="4:5" ht="13">
      <c r="D753" s="62"/>
      <c r="E753" s="62"/>
    </row>
    <row r="754" spans="4:5" ht="13">
      <c r="D754" s="62"/>
      <c r="E754" s="62"/>
    </row>
    <row r="755" spans="4:5" ht="13">
      <c r="D755" s="62"/>
      <c r="E755" s="62"/>
    </row>
    <row r="756" spans="4:5" ht="13">
      <c r="D756" s="62"/>
      <c r="E756" s="62"/>
    </row>
    <row r="757" spans="4:5" ht="13">
      <c r="D757" s="62"/>
      <c r="E757" s="62"/>
    </row>
    <row r="758" spans="4:5" ht="13">
      <c r="D758" s="62"/>
      <c r="E758" s="62"/>
    </row>
    <row r="759" spans="4:5" ht="13">
      <c r="D759" s="62"/>
      <c r="E759" s="62"/>
    </row>
    <row r="760" spans="4:5" ht="13">
      <c r="D760" s="62"/>
      <c r="E760" s="62"/>
    </row>
    <row r="761" spans="4:5" ht="13">
      <c r="D761" s="62"/>
      <c r="E761" s="62"/>
    </row>
    <row r="762" spans="4:5" ht="13">
      <c r="D762" s="62"/>
      <c r="E762" s="62"/>
    </row>
    <row r="763" spans="4:5" ht="13">
      <c r="D763" s="62"/>
      <c r="E763" s="62"/>
    </row>
    <row r="764" spans="4:5" ht="13">
      <c r="D764" s="62"/>
      <c r="E764" s="62"/>
    </row>
    <row r="765" spans="4:5" ht="13">
      <c r="D765" s="62"/>
      <c r="E765" s="62"/>
    </row>
    <row r="766" spans="4:5" ht="13">
      <c r="D766" s="62"/>
      <c r="E766" s="62"/>
    </row>
    <row r="767" spans="4:5" ht="13">
      <c r="D767" s="62"/>
      <c r="E767" s="62"/>
    </row>
    <row r="768" spans="4:5" ht="13">
      <c r="D768" s="62"/>
      <c r="E768" s="62"/>
    </row>
    <row r="769" spans="4:5" ht="13">
      <c r="D769" s="62"/>
      <c r="E769" s="62"/>
    </row>
    <row r="770" spans="4:5" ht="13">
      <c r="D770" s="62"/>
      <c r="E770" s="62"/>
    </row>
    <row r="771" spans="4:5" ht="13">
      <c r="D771" s="62"/>
      <c r="E771" s="62"/>
    </row>
    <row r="772" spans="4:5" ht="13">
      <c r="D772" s="62"/>
      <c r="E772" s="62"/>
    </row>
    <row r="773" spans="4:5" ht="13">
      <c r="D773" s="62"/>
      <c r="E773" s="62"/>
    </row>
    <row r="774" spans="4:5" ht="13">
      <c r="D774" s="62"/>
      <c r="E774" s="62"/>
    </row>
    <row r="775" spans="4:5" ht="13">
      <c r="D775" s="62"/>
      <c r="E775" s="62"/>
    </row>
    <row r="776" spans="4:5" ht="13">
      <c r="D776" s="62"/>
      <c r="E776" s="62"/>
    </row>
    <row r="777" spans="4:5" ht="13">
      <c r="D777" s="62"/>
      <c r="E777" s="62"/>
    </row>
    <row r="778" spans="4:5" ht="13">
      <c r="D778" s="62"/>
      <c r="E778" s="62"/>
    </row>
    <row r="779" spans="4:5" ht="13">
      <c r="D779" s="62"/>
      <c r="E779" s="62"/>
    </row>
    <row r="780" spans="4:5" ht="13">
      <c r="D780" s="62"/>
      <c r="E780" s="62"/>
    </row>
    <row r="781" spans="4:5" ht="13">
      <c r="D781" s="62"/>
      <c r="E781" s="62"/>
    </row>
    <row r="782" spans="4:5" ht="13">
      <c r="D782" s="62"/>
      <c r="E782" s="62"/>
    </row>
    <row r="783" spans="4:5" ht="13">
      <c r="D783" s="62"/>
      <c r="E783" s="62"/>
    </row>
    <row r="784" spans="4:5" ht="13">
      <c r="D784" s="62"/>
      <c r="E784" s="62"/>
    </row>
    <row r="785" spans="4:5" ht="13">
      <c r="D785" s="62"/>
      <c r="E785" s="62"/>
    </row>
    <row r="786" spans="4:5" ht="13">
      <c r="D786" s="62"/>
      <c r="E786" s="62"/>
    </row>
    <row r="787" spans="4:5" ht="13">
      <c r="D787" s="62"/>
      <c r="E787" s="62"/>
    </row>
    <row r="788" spans="4:5" ht="13">
      <c r="D788" s="62"/>
      <c r="E788" s="62"/>
    </row>
    <row r="789" spans="4:5" ht="13">
      <c r="D789" s="62"/>
      <c r="E789" s="62"/>
    </row>
    <row r="790" spans="4:5" ht="13">
      <c r="D790" s="62"/>
      <c r="E790" s="62"/>
    </row>
    <row r="791" spans="4:5" ht="13">
      <c r="D791" s="62"/>
      <c r="E791" s="62"/>
    </row>
    <row r="792" spans="4:5" ht="13">
      <c r="D792" s="62"/>
      <c r="E792" s="62"/>
    </row>
    <row r="793" spans="4:5" ht="13">
      <c r="D793" s="62"/>
      <c r="E793" s="62"/>
    </row>
    <row r="794" spans="4:5" ht="13">
      <c r="D794" s="62"/>
      <c r="E794" s="62"/>
    </row>
    <row r="795" spans="4:5" ht="13">
      <c r="D795" s="62"/>
      <c r="E795" s="62"/>
    </row>
    <row r="796" spans="4:5" ht="13">
      <c r="D796" s="62"/>
      <c r="E796" s="62"/>
    </row>
    <row r="797" spans="4:5" ht="13">
      <c r="D797" s="62"/>
      <c r="E797" s="62"/>
    </row>
    <row r="798" spans="4:5" ht="13">
      <c r="D798" s="62"/>
      <c r="E798" s="62"/>
    </row>
    <row r="799" spans="4:5" ht="13">
      <c r="D799" s="62"/>
      <c r="E799" s="62"/>
    </row>
    <row r="800" spans="4:5" ht="13">
      <c r="D800" s="62"/>
      <c r="E800" s="62"/>
    </row>
    <row r="801" spans="4:5" ht="13">
      <c r="D801" s="62"/>
      <c r="E801" s="62"/>
    </row>
    <row r="802" spans="4:5" ht="13">
      <c r="D802" s="62"/>
      <c r="E802" s="62"/>
    </row>
    <row r="803" spans="4:5" ht="13">
      <c r="D803" s="62"/>
      <c r="E803" s="62"/>
    </row>
    <row r="804" spans="4:5" ht="13">
      <c r="D804" s="62"/>
      <c r="E804" s="62"/>
    </row>
    <row r="805" spans="4:5" ht="13">
      <c r="D805" s="62"/>
      <c r="E805" s="62"/>
    </row>
    <row r="806" spans="4:5" ht="13">
      <c r="D806" s="62"/>
      <c r="E806" s="62"/>
    </row>
    <row r="807" spans="4:5" ht="13">
      <c r="D807" s="62"/>
      <c r="E807" s="62"/>
    </row>
    <row r="808" spans="4:5" ht="13">
      <c r="D808" s="62"/>
      <c r="E808" s="62"/>
    </row>
    <row r="809" spans="4:5" ht="13">
      <c r="D809" s="62"/>
      <c r="E809" s="62"/>
    </row>
    <row r="810" spans="4:5" ht="13">
      <c r="D810" s="62"/>
      <c r="E810" s="62"/>
    </row>
    <row r="811" spans="4:5" ht="13">
      <c r="D811" s="62"/>
      <c r="E811" s="62"/>
    </row>
    <row r="812" spans="4:5" ht="13">
      <c r="D812" s="62"/>
      <c r="E812" s="62"/>
    </row>
    <row r="813" spans="4:5" ht="13">
      <c r="D813" s="62"/>
      <c r="E813" s="62"/>
    </row>
    <row r="814" spans="4:5" ht="13">
      <c r="D814" s="62"/>
      <c r="E814" s="62"/>
    </row>
    <row r="815" spans="4:5" ht="13">
      <c r="D815" s="62"/>
      <c r="E815" s="62"/>
    </row>
    <row r="816" spans="4:5" ht="13">
      <c r="D816" s="62"/>
      <c r="E816" s="62"/>
    </row>
    <row r="817" spans="4:5" ht="13">
      <c r="D817" s="62"/>
      <c r="E817" s="62"/>
    </row>
    <row r="818" spans="4:5" ht="13">
      <c r="D818" s="62"/>
      <c r="E818" s="62"/>
    </row>
    <row r="819" spans="4:5" ht="13">
      <c r="D819" s="62"/>
      <c r="E819" s="62"/>
    </row>
    <row r="820" spans="4:5" ht="13">
      <c r="D820" s="62"/>
      <c r="E820" s="62"/>
    </row>
    <row r="821" spans="4:5" ht="13">
      <c r="D821" s="62"/>
      <c r="E821" s="62"/>
    </row>
    <row r="822" spans="4:5" ht="13">
      <c r="D822" s="62"/>
      <c r="E822" s="62"/>
    </row>
    <row r="823" spans="4:5" ht="13">
      <c r="D823" s="62"/>
      <c r="E823" s="62"/>
    </row>
    <row r="824" spans="4:5" ht="13">
      <c r="D824" s="62"/>
      <c r="E824" s="62"/>
    </row>
    <row r="825" spans="4:5" ht="13">
      <c r="D825" s="62"/>
      <c r="E825" s="62"/>
    </row>
    <row r="826" spans="4:5" ht="13">
      <c r="D826" s="62"/>
      <c r="E826" s="62"/>
    </row>
    <row r="827" spans="4:5" ht="13">
      <c r="D827" s="62"/>
      <c r="E827" s="62"/>
    </row>
    <row r="828" spans="4:5" ht="13">
      <c r="D828" s="62"/>
      <c r="E828" s="62"/>
    </row>
    <row r="829" spans="4:5" ht="13">
      <c r="D829" s="62"/>
      <c r="E829" s="62"/>
    </row>
    <row r="830" spans="4:5" ht="13">
      <c r="D830" s="62"/>
      <c r="E830" s="62"/>
    </row>
    <row r="831" spans="4:5" ht="13">
      <c r="D831" s="62"/>
      <c r="E831" s="62"/>
    </row>
    <row r="832" spans="4:5" ht="13">
      <c r="D832" s="62"/>
      <c r="E832" s="62"/>
    </row>
    <row r="833" spans="4:5" ht="13">
      <c r="D833" s="62"/>
      <c r="E833" s="62"/>
    </row>
    <row r="834" spans="4:5" ht="13">
      <c r="D834" s="62"/>
      <c r="E834" s="62"/>
    </row>
    <row r="835" spans="4:5" ht="13">
      <c r="D835" s="62"/>
      <c r="E835" s="62"/>
    </row>
    <row r="836" spans="4:5" ht="13">
      <c r="D836" s="62"/>
      <c r="E836" s="62"/>
    </row>
    <row r="837" spans="4:5" ht="13">
      <c r="D837" s="62"/>
      <c r="E837" s="62"/>
    </row>
    <row r="838" spans="4:5" ht="13">
      <c r="D838" s="62"/>
      <c r="E838" s="62"/>
    </row>
    <row r="839" spans="4:5" ht="13">
      <c r="D839" s="62"/>
      <c r="E839" s="62"/>
    </row>
    <row r="840" spans="4:5" ht="13">
      <c r="D840" s="62"/>
      <c r="E840" s="62"/>
    </row>
    <row r="841" spans="4:5" ht="13">
      <c r="D841" s="62"/>
      <c r="E841" s="62"/>
    </row>
    <row r="842" spans="4:5" ht="13">
      <c r="D842" s="62"/>
      <c r="E842" s="62"/>
    </row>
    <row r="843" spans="4:5" ht="13">
      <c r="D843" s="62"/>
      <c r="E843" s="62"/>
    </row>
    <row r="844" spans="4:5" ht="13">
      <c r="D844" s="62"/>
      <c r="E844" s="62"/>
    </row>
    <row r="845" spans="4:5" ht="13">
      <c r="D845" s="62"/>
      <c r="E845" s="62"/>
    </row>
    <row r="846" spans="4:5" ht="13">
      <c r="D846" s="62"/>
      <c r="E846" s="62"/>
    </row>
    <row r="847" spans="4:5" ht="13">
      <c r="D847" s="62"/>
      <c r="E847" s="62"/>
    </row>
    <row r="848" spans="4:5" ht="13">
      <c r="D848" s="62"/>
      <c r="E848" s="62"/>
    </row>
    <row r="849" spans="4:5" ht="13">
      <c r="D849" s="62"/>
      <c r="E849" s="62"/>
    </row>
    <row r="850" spans="4:5" ht="13">
      <c r="D850" s="62"/>
      <c r="E850" s="62"/>
    </row>
    <row r="851" spans="4:5" ht="13">
      <c r="D851" s="62"/>
      <c r="E851" s="62"/>
    </row>
    <row r="852" spans="4:5" ht="13">
      <c r="D852" s="62"/>
      <c r="E852" s="62"/>
    </row>
    <row r="853" spans="4:5" ht="13">
      <c r="D853" s="62"/>
      <c r="E853" s="62"/>
    </row>
    <row r="854" spans="4:5" ht="13">
      <c r="D854" s="62"/>
      <c r="E854" s="62"/>
    </row>
    <row r="855" spans="4:5" ht="13">
      <c r="D855" s="62"/>
      <c r="E855" s="62"/>
    </row>
    <row r="856" spans="4:5" ht="13">
      <c r="D856" s="62"/>
      <c r="E856" s="62"/>
    </row>
    <row r="857" spans="4:5" ht="13">
      <c r="D857" s="62"/>
      <c r="E857" s="62"/>
    </row>
    <row r="858" spans="4:5" ht="13">
      <c r="D858" s="62"/>
      <c r="E858" s="62"/>
    </row>
    <row r="859" spans="4:5" ht="13">
      <c r="D859" s="62"/>
      <c r="E859" s="62"/>
    </row>
    <row r="860" spans="4:5" ht="13">
      <c r="D860" s="62"/>
      <c r="E860" s="62"/>
    </row>
    <row r="861" spans="4:5" ht="13">
      <c r="D861" s="62"/>
      <c r="E861" s="62"/>
    </row>
    <row r="862" spans="4:5" ht="13">
      <c r="D862" s="62"/>
      <c r="E862" s="62"/>
    </row>
    <row r="863" spans="4:5" ht="13">
      <c r="D863" s="62"/>
      <c r="E863" s="62"/>
    </row>
    <row r="864" spans="4:5" ht="13">
      <c r="D864" s="62"/>
      <c r="E864" s="62"/>
    </row>
    <row r="865" spans="4:5" ht="13">
      <c r="D865" s="62"/>
      <c r="E865" s="62"/>
    </row>
    <row r="866" spans="4:5" ht="13">
      <c r="D866" s="62"/>
      <c r="E866" s="62"/>
    </row>
    <row r="867" spans="4:5" ht="13">
      <c r="D867" s="62"/>
      <c r="E867" s="62"/>
    </row>
    <row r="868" spans="4:5" ht="13">
      <c r="D868" s="62"/>
      <c r="E868" s="62"/>
    </row>
    <row r="869" spans="4:5" ht="13">
      <c r="D869" s="62"/>
      <c r="E869" s="62"/>
    </row>
    <row r="870" spans="4:5" ht="13">
      <c r="D870" s="62"/>
      <c r="E870" s="62"/>
    </row>
    <row r="871" spans="4:5" ht="13">
      <c r="D871" s="62"/>
      <c r="E871" s="62"/>
    </row>
    <row r="872" spans="4:5" ht="13">
      <c r="D872" s="62"/>
      <c r="E872" s="62"/>
    </row>
    <row r="873" spans="4:5" ht="13">
      <c r="D873" s="62"/>
      <c r="E873" s="62"/>
    </row>
    <row r="874" spans="4:5" ht="13">
      <c r="D874" s="62"/>
      <c r="E874" s="62"/>
    </row>
    <row r="875" spans="4:5" ht="13">
      <c r="D875" s="62"/>
      <c r="E875" s="62"/>
    </row>
    <row r="876" spans="4:5" ht="13">
      <c r="D876" s="62"/>
      <c r="E876" s="62"/>
    </row>
    <row r="877" spans="4:5" ht="13">
      <c r="D877" s="62"/>
      <c r="E877" s="62"/>
    </row>
    <row r="878" spans="4:5" ht="13">
      <c r="D878" s="62"/>
      <c r="E878" s="62"/>
    </row>
    <row r="879" spans="4:5" ht="13">
      <c r="D879" s="62"/>
      <c r="E879" s="62"/>
    </row>
    <row r="880" spans="4:5" ht="13">
      <c r="D880" s="62"/>
      <c r="E880" s="62"/>
    </row>
    <row r="881" spans="4:5" ht="13">
      <c r="D881" s="62"/>
      <c r="E881" s="62"/>
    </row>
    <row r="882" spans="4:5" ht="13">
      <c r="D882" s="62"/>
      <c r="E882" s="62"/>
    </row>
    <row r="883" spans="4:5" ht="13">
      <c r="D883" s="62"/>
      <c r="E883" s="62"/>
    </row>
    <row r="884" spans="4:5" ht="13">
      <c r="D884" s="62"/>
      <c r="E884" s="62"/>
    </row>
    <row r="885" spans="4:5" ht="13">
      <c r="D885" s="62"/>
      <c r="E885" s="62"/>
    </row>
    <row r="886" spans="4:5" ht="13">
      <c r="D886" s="62"/>
      <c r="E886" s="62"/>
    </row>
    <row r="887" spans="4:5" ht="13">
      <c r="D887" s="62"/>
      <c r="E887" s="62"/>
    </row>
    <row r="888" spans="4:5" ht="13">
      <c r="D888" s="62"/>
      <c r="E888" s="62"/>
    </row>
    <row r="889" spans="4:5" ht="13">
      <c r="D889" s="62"/>
      <c r="E889" s="62"/>
    </row>
    <row r="890" spans="4:5" ht="13">
      <c r="D890" s="62"/>
      <c r="E890" s="62"/>
    </row>
    <row r="891" spans="4:5" ht="13">
      <c r="D891" s="62"/>
      <c r="E891" s="62"/>
    </row>
    <row r="892" spans="4:5" ht="13">
      <c r="D892" s="62"/>
      <c r="E892" s="62"/>
    </row>
    <row r="893" spans="4:5" ht="13">
      <c r="D893" s="62"/>
      <c r="E893" s="62"/>
    </row>
    <row r="894" spans="4:5" ht="13">
      <c r="D894" s="62"/>
      <c r="E894" s="62"/>
    </row>
    <row r="895" spans="4:5" ht="13">
      <c r="D895" s="62"/>
      <c r="E895" s="62"/>
    </row>
    <row r="896" spans="4:5" ht="13">
      <c r="D896" s="62"/>
      <c r="E896" s="62"/>
    </row>
    <row r="897" spans="4:5" ht="13">
      <c r="D897" s="62"/>
      <c r="E897" s="62"/>
    </row>
    <row r="898" spans="4:5" ht="13">
      <c r="D898" s="62"/>
      <c r="E898" s="62"/>
    </row>
    <row r="899" spans="4:5" ht="13">
      <c r="D899" s="62"/>
      <c r="E899" s="62"/>
    </row>
    <row r="900" spans="4:5" ht="13">
      <c r="D900" s="62"/>
      <c r="E900" s="62"/>
    </row>
    <row r="901" spans="4:5" ht="13">
      <c r="D901" s="62"/>
      <c r="E901" s="62"/>
    </row>
    <row r="902" spans="4:5" ht="13">
      <c r="D902" s="62"/>
      <c r="E902" s="62"/>
    </row>
    <row r="903" spans="4:5" ht="13">
      <c r="D903" s="62"/>
      <c r="E903" s="62"/>
    </row>
    <row r="904" spans="4:5" ht="13">
      <c r="D904" s="62"/>
      <c r="E904" s="62"/>
    </row>
    <row r="905" spans="4:5" ht="13">
      <c r="D905" s="62"/>
      <c r="E905" s="62"/>
    </row>
    <row r="906" spans="4:5" ht="13">
      <c r="D906" s="62"/>
      <c r="E906" s="62"/>
    </row>
    <row r="907" spans="4:5" ht="13">
      <c r="D907" s="62"/>
      <c r="E907" s="62"/>
    </row>
    <row r="908" spans="4:5" ht="13">
      <c r="D908" s="62"/>
      <c r="E908" s="62"/>
    </row>
    <row r="909" spans="4:5" ht="13">
      <c r="D909" s="62"/>
      <c r="E909" s="62"/>
    </row>
    <row r="910" spans="4:5" ht="13">
      <c r="D910" s="62"/>
      <c r="E910" s="62"/>
    </row>
    <row r="911" spans="4:5" ht="13">
      <c r="D911" s="62"/>
      <c r="E911" s="62"/>
    </row>
    <row r="912" spans="4:5" ht="13">
      <c r="D912" s="62"/>
      <c r="E912" s="62"/>
    </row>
    <row r="913" spans="4:5" ht="13">
      <c r="D913" s="62"/>
      <c r="E913" s="62"/>
    </row>
    <row r="914" spans="4:5" ht="13">
      <c r="D914" s="62"/>
      <c r="E914" s="62"/>
    </row>
    <row r="915" spans="4:5" ht="13">
      <c r="D915" s="62"/>
      <c r="E915" s="62"/>
    </row>
    <row r="916" spans="4:5" ht="13">
      <c r="D916" s="62"/>
      <c r="E916" s="62"/>
    </row>
    <row r="917" spans="4:5" ht="13">
      <c r="D917" s="62"/>
      <c r="E917" s="62"/>
    </row>
    <row r="918" spans="4:5" ht="13">
      <c r="D918" s="62"/>
      <c r="E918" s="62"/>
    </row>
    <row r="919" spans="4:5" ht="13">
      <c r="D919" s="62"/>
      <c r="E919" s="62"/>
    </row>
    <row r="920" spans="4:5" ht="13">
      <c r="D920" s="62"/>
      <c r="E920" s="62"/>
    </row>
    <row r="921" spans="4:5" ht="13">
      <c r="D921" s="62"/>
      <c r="E921" s="62"/>
    </row>
    <row r="922" spans="4:5" ht="13">
      <c r="D922" s="62"/>
      <c r="E922" s="62"/>
    </row>
    <row r="923" spans="4:5" ht="13">
      <c r="D923" s="62"/>
      <c r="E923" s="62"/>
    </row>
    <row r="924" spans="4:5" ht="13">
      <c r="D924" s="62"/>
      <c r="E924" s="62"/>
    </row>
    <row r="925" spans="4:5" ht="13">
      <c r="D925" s="62"/>
      <c r="E925" s="62"/>
    </row>
    <row r="926" spans="4:5" ht="13">
      <c r="D926" s="62"/>
      <c r="E926" s="62"/>
    </row>
    <row r="927" spans="4:5" ht="13">
      <c r="D927" s="62"/>
      <c r="E927" s="62"/>
    </row>
    <row r="928" spans="4:5" ht="13">
      <c r="D928" s="62"/>
      <c r="E928" s="62"/>
    </row>
    <row r="929" spans="4:5" ht="13">
      <c r="D929" s="62"/>
      <c r="E929" s="62"/>
    </row>
    <row r="930" spans="4:5" ht="13">
      <c r="D930" s="62"/>
      <c r="E930" s="62"/>
    </row>
    <row r="931" spans="4:5" ht="13">
      <c r="D931" s="62"/>
      <c r="E931" s="62"/>
    </row>
    <row r="932" spans="4:5" ht="13">
      <c r="D932" s="62"/>
      <c r="E932" s="62"/>
    </row>
    <row r="933" spans="4:5" ht="13">
      <c r="D933" s="62"/>
      <c r="E933" s="62"/>
    </row>
    <row r="934" spans="4:5" ht="13">
      <c r="D934" s="62"/>
      <c r="E934" s="62"/>
    </row>
    <row r="935" spans="4:5" ht="13">
      <c r="D935" s="62"/>
      <c r="E935" s="62"/>
    </row>
    <row r="936" spans="4:5" ht="13">
      <c r="D936" s="62"/>
      <c r="E936" s="62"/>
    </row>
    <row r="937" spans="4:5" ht="13">
      <c r="D937" s="62"/>
      <c r="E937" s="62"/>
    </row>
    <row r="938" spans="4:5" ht="13">
      <c r="D938" s="62"/>
      <c r="E938" s="62"/>
    </row>
    <row r="939" spans="4:5" ht="13">
      <c r="D939" s="62"/>
      <c r="E939" s="62"/>
    </row>
    <row r="940" spans="4:5" ht="13">
      <c r="D940" s="62"/>
      <c r="E940" s="62"/>
    </row>
    <row r="941" spans="4:5" ht="13">
      <c r="D941" s="62"/>
      <c r="E941" s="62"/>
    </row>
    <row r="942" spans="4:5" ht="13">
      <c r="D942" s="62"/>
      <c r="E942" s="62"/>
    </row>
    <row r="943" spans="4:5" ht="13">
      <c r="D943" s="62"/>
      <c r="E943" s="62"/>
    </row>
    <row r="944" spans="4:5" ht="13">
      <c r="D944" s="62"/>
      <c r="E944" s="62"/>
    </row>
    <row r="945" spans="4:5" ht="13">
      <c r="D945" s="62"/>
      <c r="E945" s="62"/>
    </row>
    <row r="946" spans="4:5" ht="13">
      <c r="D946" s="62"/>
      <c r="E946" s="62"/>
    </row>
    <row r="947" spans="4:5" ht="13">
      <c r="D947" s="62"/>
      <c r="E947" s="62"/>
    </row>
    <row r="948" spans="4:5" ht="13">
      <c r="D948" s="62"/>
      <c r="E948" s="62"/>
    </row>
    <row r="949" spans="4:5" ht="13">
      <c r="D949" s="62"/>
      <c r="E949" s="62"/>
    </row>
    <row r="950" spans="4:5" ht="13">
      <c r="D950" s="62"/>
      <c r="E950" s="62"/>
    </row>
    <row r="951" spans="4:5" ht="13">
      <c r="D951" s="62"/>
      <c r="E951" s="62"/>
    </row>
    <row r="952" spans="4:5" ht="13">
      <c r="D952" s="62"/>
      <c r="E952" s="62"/>
    </row>
    <row r="953" spans="4:5" ht="13">
      <c r="D953" s="62"/>
      <c r="E953" s="62"/>
    </row>
    <row r="954" spans="4:5" ht="13">
      <c r="D954" s="62"/>
      <c r="E954" s="62"/>
    </row>
    <row r="955" spans="4:5" ht="13">
      <c r="D955" s="62"/>
      <c r="E955" s="62"/>
    </row>
    <row r="956" spans="4:5" ht="13">
      <c r="D956" s="62"/>
      <c r="E956" s="62"/>
    </row>
    <row r="957" spans="4:5" ht="13">
      <c r="D957" s="62"/>
      <c r="E957" s="62"/>
    </row>
    <row r="958" spans="4:5" ht="13">
      <c r="D958" s="62"/>
      <c r="E958" s="62"/>
    </row>
    <row r="959" spans="4:5" ht="13">
      <c r="D959" s="62"/>
      <c r="E959" s="62"/>
    </row>
    <row r="960" spans="4:5" ht="13">
      <c r="D960" s="62"/>
      <c r="E960" s="62"/>
    </row>
    <row r="961" spans="4:5" ht="13">
      <c r="D961" s="62"/>
      <c r="E961" s="62"/>
    </row>
    <row r="962" spans="4:5" ht="13">
      <c r="D962" s="62"/>
      <c r="E962" s="62"/>
    </row>
    <row r="963" spans="4:5" ht="13">
      <c r="D963" s="62"/>
      <c r="E963" s="62"/>
    </row>
    <row r="964" spans="4:5" ht="13">
      <c r="D964" s="62"/>
      <c r="E964" s="62"/>
    </row>
    <row r="965" spans="4:5" ht="13">
      <c r="D965" s="62"/>
      <c r="E965" s="62"/>
    </row>
    <row r="966" spans="4:5" ht="13">
      <c r="D966" s="62"/>
      <c r="E966" s="62"/>
    </row>
    <row r="967" spans="4:5" ht="13">
      <c r="D967" s="62"/>
      <c r="E967" s="62"/>
    </row>
    <row r="968" spans="4:5" ht="13">
      <c r="D968" s="62"/>
      <c r="E968" s="62"/>
    </row>
    <row r="969" spans="4:5" ht="13">
      <c r="D969" s="62"/>
      <c r="E969" s="62"/>
    </row>
    <row r="970" spans="4:5" ht="13">
      <c r="D970" s="62"/>
      <c r="E970" s="62"/>
    </row>
    <row r="971" spans="4:5" ht="13">
      <c r="D971" s="62"/>
      <c r="E971" s="62"/>
    </row>
    <row r="972" spans="4:5" ht="13">
      <c r="D972" s="62"/>
      <c r="E972" s="62"/>
    </row>
    <row r="973" spans="4:5" ht="13">
      <c r="D973" s="62"/>
      <c r="E973" s="62"/>
    </row>
    <row r="974" spans="4:5" ht="13">
      <c r="D974" s="62"/>
      <c r="E974" s="62"/>
    </row>
    <row r="975" spans="4:5" ht="13">
      <c r="D975" s="62"/>
      <c r="E975" s="62"/>
    </row>
    <row r="976" spans="4:5" ht="13">
      <c r="D976" s="62"/>
      <c r="E976" s="62"/>
    </row>
    <row r="977" spans="4:5" ht="13">
      <c r="D977" s="62"/>
      <c r="E977" s="62"/>
    </row>
    <row r="978" spans="4:5" ht="13">
      <c r="D978" s="62"/>
      <c r="E978" s="62"/>
    </row>
    <row r="979" spans="4:5" ht="13">
      <c r="D979" s="62"/>
      <c r="E979" s="62"/>
    </row>
    <row r="980" spans="4:5" ht="13">
      <c r="D980" s="62"/>
      <c r="E980" s="62"/>
    </row>
    <row r="981" spans="4:5" ht="13">
      <c r="D981" s="62"/>
      <c r="E981" s="62"/>
    </row>
    <row r="982" spans="4:5" ht="13">
      <c r="D982" s="62"/>
      <c r="E982" s="62"/>
    </row>
    <row r="983" spans="4:5" ht="13">
      <c r="D983" s="62"/>
      <c r="E983" s="62"/>
    </row>
    <row r="984" spans="4:5" ht="13">
      <c r="D984" s="62"/>
      <c r="E984" s="62"/>
    </row>
    <row r="985" spans="4:5" ht="13">
      <c r="D985" s="62"/>
      <c r="E985" s="62"/>
    </row>
    <row r="986" spans="4:5" ht="13">
      <c r="D986" s="62"/>
      <c r="E986" s="62"/>
    </row>
    <row r="987" spans="4:5" ht="13">
      <c r="D987" s="62"/>
      <c r="E987" s="62"/>
    </row>
    <row r="988" spans="4:5" ht="13">
      <c r="D988" s="62"/>
      <c r="E988" s="62"/>
    </row>
    <row r="989" spans="4:5" ht="13">
      <c r="D989" s="62"/>
      <c r="E989" s="62"/>
    </row>
    <row r="990" spans="4:5" ht="13">
      <c r="D990" s="62"/>
      <c r="E990" s="62"/>
    </row>
    <row r="991" spans="4:5" ht="13">
      <c r="D991" s="62"/>
      <c r="E991" s="62"/>
    </row>
    <row r="992" spans="4:5" ht="13">
      <c r="D992" s="62"/>
      <c r="E992" s="62"/>
    </row>
    <row r="993" spans="4:5" ht="13">
      <c r="D993" s="62"/>
      <c r="E993" s="62"/>
    </row>
    <row r="994" spans="4:5" ht="13">
      <c r="D994" s="62"/>
      <c r="E994" s="62"/>
    </row>
    <row r="995" spans="4:5" ht="13">
      <c r="D995" s="62"/>
      <c r="E995" s="62"/>
    </row>
    <row r="996" spans="4:5" ht="13">
      <c r="D996" s="62"/>
      <c r="E996" s="62"/>
    </row>
    <row r="997" spans="4:5" ht="13">
      <c r="D997" s="62"/>
      <c r="E997" s="62"/>
    </row>
    <row r="998" spans="4:5" ht="13">
      <c r="D998" s="62"/>
      <c r="E998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Lookups!$A$1:$A$6</xm:f>
          </x14:formula1>
          <xm:sqref>B2:B198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8"/>
  <sheetViews>
    <sheetView workbookViewId="0"/>
  </sheetViews>
  <sheetFormatPr baseColWidth="10" defaultColWidth="12.6640625" defaultRowHeight="15.75" customHeight="1"/>
  <cols>
    <col min="1" max="1" width="21.6640625" customWidth="1"/>
    <col min="2" max="2" width="14.6640625" customWidth="1"/>
    <col min="3" max="3" width="21.5" customWidth="1"/>
    <col min="4" max="4" width="11.6640625" customWidth="1"/>
    <col min="5" max="5" width="12.83203125" customWidth="1"/>
    <col min="6" max="6" width="31.6640625" customWidth="1"/>
    <col min="7" max="7" width="8.1640625" customWidth="1"/>
  </cols>
  <sheetData>
    <row r="1" spans="1:26" ht="13">
      <c r="A1" s="1" t="s">
        <v>0</v>
      </c>
      <c r="B1" s="1" t="s">
        <v>1</v>
      </c>
      <c r="C1" s="57" t="s">
        <v>2</v>
      </c>
      <c r="D1" s="58" t="s">
        <v>3</v>
      </c>
      <c r="E1" s="59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6" t="s">
        <v>1098</v>
      </c>
      <c r="B2" s="6" t="s">
        <v>9</v>
      </c>
      <c r="C2" s="60" t="s">
        <v>1099</v>
      </c>
      <c r="D2" s="63">
        <f ca="1">IFERROR(__xludf.DUMMYFUNCTION("SPLIT(C2,"","")"),56.4457328)</f>
        <v>56.445732800000002</v>
      </c>
      <c r="E2" s="62">
        <f ca="1">IFERROR(__xludf.DUMMYFUNCTION("""COMPUTED_VALUE"""),9.4040269)</f>
        <v>9.4040268999999999</v>
      </c>
      <c r="F2" s="10" t="s">
        <v>1100</v>
      </c>
      <c r="G2" s="6">
        <v>5</v>
      </c>
    </row>
    <row r="3" spans="1:26" ht="13">
      <c r="A3" s="11" t="s">
        <v>1101</v>
      </c>
      <c r="B3" s="6" t="s">
        <v>23</v>
      </c>
      <c r="C3" s="11" t="s">
        <v>1102</v>
      </c>
      <c r="D3" s="63">
        <f ca="1">IFERROR(__xludf.DUMMYFUNCTION("SPLIT(C3,"","")"),56.4448791)</f>
        <v>56.444879100000001</v>
      </c>
      <c r="E3" s="62">
        <f ca="1">IFERROR(__xludf.DUMMYFUNCTION("""COMPUTED_VALUE"""),9.3985731)</f>
        <v>9.3985731000000001</v>
      </c>
      <c r="F3" s="11" t="s">
        <v>1103</v>
      </c>
      <c r="G3" s="11">
        <v>5</v>
      </c>
    </row>
    <row r="4" spans="1:26" ht="13">
      <c r="A4" s="11" t="s">
        <v>1104</v>
      </c>
      <c r="B4" s="11" t="s">
        <v>9</v>
      </c>
      <c r="C4" s="11" t="s">
        <v>1105</v>
      </c>
      <c r="D4" s="63">
        <f ca="1">IFERROR(__xludf.DUMMYFUNCTION("SPLIT(C4,"","")"),56.4482137)</f>
        <v>56.448213699999997</v>
      </c>
      <c r="E4" s="62">
        <f ca="1">IFERROR(__xludf.DUMMYFUNCTION("""COMPUTED_VALUE"""),9.4318566)</f>
        <v>9.4318565999999997</v>
      </c>
      <c r="F4" s="11" t="s">
        <v>1104</v>
      </c>
      <c r="G4" s="11">
        <v>5</v>
      </c>
    </row>
    <row r="5" spans="1:26" ht="13">
      <c r="A5" s="11" t="s">
        <v>1106</v>
      </c>
      <c r="B5" s="6" t="s">
        <v>51</v>
      </c>
      <c r="C5" s="11" t="s">
        <v>1107</v>
      </c>
      <c r="D5" s="63">
        <f ca="1">IFERROR(__xludf.DUMMYFUNCTION("SPLIT(C5,"","")"),56.4409738)</f>
        <v>56.440973800000002</v>
      </c>
      <c r="E5" s="62">
        <f ca="1">IFERROR(__xludf.DUMMYFUNCTION("""COMPUTED_VALUE"""),9.3905319)</f>
        <v>9.3905318999999992</v>
      </c>
      <c r="F5" s="11" t="s">
        <v>1106</v>
      </c>
      <c r="G5" s="11">
        <v>5</v>
      </c>
    </row>
    <row r="6" spans="1:26" ht="13">
      <c r="A6" s="11" t="s">
        <v>1108</v>
      </c>
      <c r="B6" s="6" t="s">
        <v>51</v>
      </c>
      <c r="C6" s="11" t="s">
        <v>1109</v>
      </c>
      <c r="D6" s="63">
        <f ca="1">IFERROR(__xludf.DUMMYFUNCTION("SPLIT(C6,"","")"),56.4438353)</f>
        <v>56.443835300000003</v>
      </c>
      <c r="E6" s="62">
        <f ca="1">IFERROR(__xludf.DUMMYFUNCTION("""COMPUTED_VALUE"""),9.3984403)</f>
        <v>9.3984403000000007</v>
      </c>
      <c r="F6" s="11" t="s">
        <v>1110</v>
      </c>
      <c r="G6" s="11">
        <v>5</v>
      </c>
    </row>
    <row r="7" spans="1:26" ht="13">
      <c r="A7" s="11" t="s">
        <v>1111</v>
      </c>
      <c r="B7" s="11" t="s">
        <v>51</v>
      </c>
      <c r="C7" s="11" t="s">
        <v>1112</v>
      </c>
      <c r="D7" s="63">
        <f ca="1">IFERROR(__xludf.DUMMYFUNCTION("SPLIT(C7,"","")"),56.452471)</f>
        <v>56.452471000000003</v>
      </c>
      <c r="E7" s="62">
        <f ca="1">IFERROR(__xludf.DUMMYFUNCTION("""COMPUTED_VALUE"""),9.3956203)</f>
        <v>9.3956202999999991</v>
      </c>
      <c r="F7" s="11" t="s">
        <v>1113</v>
      </c>
      <c r="G7" s="11">
        <v>2</v>
      </c>
    </row>
    <row r="8" spans="1:26" ht="13">
      <c r="A8" s="11" t="s">
        <v>1114</v>
      </c>
      <c r="B8" s="11" t="s">
        <v>47</v>
      </c>
      <c r="C8" s="11" t="s">
        <v>1115</v>
      </c>
      <c r="D8" s="63">
        <f ca="1">IFERROR(__xludf.DUMMYFUNCTION("SPLIT(C8,"","")"),45.5845447)</f>
        <v>45.584544700000002</v>
      </c>
      <c r="E8" s="62">
        <f ca="1">IFERROR(__xludf.DUMMYFUNCTION("""COMPUTED_VALUE"""),10.7185345)</f>
        <v>10.718534500000001</v>
      </c>
      <c r="F8" s="11" t="s">
        <v>1116</v>
      </c>
      <c r="G8" s="11">
        <v>3</v>
      </c>
    </row>
    <row r="9" spans="1:26" ht="13">
      <c r="A9" s="11" t="s">
        <v>1117</v>
      </c>
      <c r="B9" s="11" t="s">
        <v>47</v>
      </c>
      <c r="C9" s="11" t="s">
        <v>1118</v>
      </c>
      <c r="D9" s="63">
        <f ca="1">IFERROR(__xludf.DUMMYFUNCTION("SPLIT(C9,"","")"),45.297046)</f>
        <v>45.297046000000002</v>
      </c>
      <c r="E9" s="62">
        <f ca="1">IFERROR(__xludf.DUMMYFUNCTION("""COMPUTED_VALUE"""),13.5921923)</f>
        <v>13.592192300000001</v>
      </c>
      <c r="F9" s="11" t="s">
        <v>1119</v>
      </c>
      <c r="G9" s="11">
        <v>5</v>
      </c>
    </row>
    <row r="10" spans="1:26" ht="13">
      <c r="A10" s="11" t="s">
        <v>1120</v>
      </c>
      <c r="B10" s="11" t="s">
        <v>23</v>
      </c>
      <c r="C10" s="11" t="s">
        <v>1121</v>
      </c>
      <c r="D10" s="63">
        <f ca="1">IFERROR(__xludf.DUMMYFUNCTION("SPLIT(C10,"","")"),56.64414)</f>
        <v>56.64414</v>
      </c>
      <c r="E10" s="62">
        <f ca="1">IFERROR(__xludf.DUMMYFUNCTION("""COMPUTED_VALUE"""),9.5280533)</f>
        <v>9.5280532999999998</v>
      </c>
      <c r="F10" s="11" t="s">
        <v>1122</v>
      </c>
      <c r="G10" s="11">
        <v>3</v>
      </c>
    </row>
    <row r="11" spans="1:26" ht="13">
      <c r="A11" s="11" t="s">
        <v>1123</v>
      </c>
      <c r="B11" s="11" t="s">
        <v>51</v>
      </c>
      <c r="C11" s="11" t="s">
        <v>1124</v>
      </c>
      <c r="D11" s="63">
        <f ca="1">IFERROR(__xludf.DUMMYFUNCTION("SPLIT(C11,"","")"),56.619154)</f>
        <v>56.619154000000002</v>
      </c>
      <c r="E11" s="62">
        <f ca="1">IFERROR(__xludf.DUMMYFUNCTION("""COMPUTED_VALUE"""),9.4987307)</f>
        <v>9.4987306999999994</v>
      </c>
      <c r="F11" s="11" t="s">
        <v>1125</v>
      </c>
      <c r="G11" s="11">
        <v>4</v>
      </c>
    </row>
    <row r="12" spans="1:26" ht="13">
      <c r="A12" s="11" t="s">
        <v>1126</v>
      </c>
      <c r="B12" s="11" t="s">
        <v>17</v>
      </c>
      <c r="C12" s="11" t="s">
        <v>1124</v>
      </c>
      <c r="D12" s="63">
        <f ca="1">IFERROR(__xludf.DUMMYFUNCTION("SPLIT(C12,"","")"),56.619154)</f>
        <v>56.619154000000002</v>
      </c>
      <c r="E12" s="62">
        <f ca="1">IFERROR(__xludf.DUMMYFUNCTION("""COMPUTED_VALUE"""),9.4987307)</f>
        <v>9.4987306999999994</v>
      </c>
      <c r="F12" s="11" t="s">
        <v>1127</v>
      </c>
      <c r="G12" s="11">
        <v>5</v>
      </c>
    </row>
    <row r="13" spans="1:26" ht="13">
      <c r="A13" s="11" t="s">
        <v>1128</v>
      </c>
      <c r="B13" s="11" t="s">
        <v>17</v>
      </c>
      <c r="C13" s="11" t="s">
        <v>1129</v>
      </c>
      <c r="D13" s="63">
        <f ca="1">IFERROR(__xludf.DUMMYFUNCTION("SPLIT(C13,"","")"),56.6196115)</f>
        <v>56.619611499999998</v>
      </c>
      <c r="E13" s="62">
        <f ca="1">IFERROR(__xludf.DUMMYFUNCTION("""COMPUTED_VALUE"""),9.499066)</f>
        <v>9.4990659999999991</v>
      </c>
      <c r="F13" s="11" t="s">
        <v>1130</v>
      </c>
      <c r="G13" s="11">
        <v>2</v>
      </c>
    </row>
    <row r="14" spans="1:26" ht="13">
      <c r="A14" s="11" t="s">
        <v>1131</v>
      </c>
      <c r="B14" s="11" t="s">
        <v>47</v>
      </c>
      <c r="C14" s="11" t="s">
        <v>1132</v>
      </c>
      <c r="D14" s="63">
        <f ca="1">IFERROR(__xludf.DUMMYFUNCTION("SPLIT(C14,"","")"),57.6742381)</f>
        <v>57.674238099999997</v>
      </c>
      <c r="E14" s="62">
        <f ca="1">IFERROR(__xludf.DUMMYFUNCTION("""COMPUTED_VALUE"""),15.8404989)</f>
        <v>15.8404989</v>
      </c>
      <c r="F14" s="11" t="s">
        <v>1133</v>
      </c>
      <c r="G14" s="11">
        <v>5</v>
      </c>
    </row>
    <row r="15" spans="1:26" ht="13">
      <c r="A15" s="11" t="s">
        <v>1134</v>
      </c>
      <c r="B15" s="11" t="s">
        <v>47</v>
      </c>
      <c r="C15" s="11" t="s">
        <v>1135</v>
      </c>
      <c r="D15" s="63">
        <f ca="1">IFERROR(__xludf.DUMMYFUNCTION("SPLIT(C15,"","")"),48.8673858)</f>
        <v>48.867385800000001</v>
      </c>
      <c r="E15" s="62">
        <f ca="1">IFERROR(__xludf.DUMMYFUNCTION("""COMPUTED_VALUE"""),2.7814043)</f>
        <v>2.7814043000000002</v>
      </c>
      <c r="F15" s="11" t="s">
        <v>1136</v>
      </c>
      <c r="G15" s="11">
        <v>5</v>
      </c>
    </row>
    <row r="16" spans="1:26" ht="13">
      <c r="A16" s="11" t="s">
        <v>1137</v>
      </c>
      <c r="B16" s="11" t="s">
        <v>47</v>
      </c>
      <c r="C16" s="11" t="s">
        <v>1138</v>
      </c>
      <c r="D16" s="63">
        <f ca="1">IFERROR(__xludf.DUMMYFUNCTION("SPLIT(C16,"","")"),36.4071334)</f>
        <v>36.407133399999999</v>
      </c>
      <c r="E16" s="62">
        <f ca="1">IFERROR(__xludf.DUMMYFUNCTION("""COMPUTED_VALUE"""),25.3505909)</f>
        <v>25.3505909</v>
      </c>
      <c r="F16" s="11" t="s">
        <v>1139</v>
      </c>
      <c r="G16" s="11">
        <v>5</v>
      </c>
    </row>
    <row r="17" spans="1:7" ht="13">
      <c r="A17" s="11" t="s">
        <v>1140</v>
      </c>
      <c r="B17" s="11" t="s">
        <v>47</v>
      </c>
      <c r="C17" s="11" t="s">
        <v>1141</v>
      </c>
      <c r="D17" s="63">
        <f ca="1">IFERROR(__xludf.DUMMYFUNCTION("SPLIT(C17,"","")"),27.2567633)</f>
        <v>27.256763299999999</v>
      </c>
      <c r="E17" s="62">
        <f ca="1">IFERROR(__xludf.DUMMYFUNCTION("""COMPUTED_VALUE"""),33.8282866)</f>
        <v>33.828286599999998</v>
      </c>
      <c r="F17" s="11" t="s">
        <v>1142</v>
      </c>
      <c r="G17" s="11">
        <v>3</v>
      </c>
    </row>
    <row r="18" spans="1:7" ht="13">
      <c r="A18" s="11" t="s">
        <v>1143</v>
      </c>
      <c r="B18" s="11" t="s">
        <v>9</v>
      </c>
      <c r="C18" s="11" t="s">
        <v>1144</v>
      </c>
      <c r="D18" s="63">
        <f ca="1">IFERROR(__xludf.DUMMYFUNCTION("SPLIT(C18,"","")"),56.6702803)</f>
        <v>56.670280300000002</v>
      </c>
      <c r="E18" s="62">
        <f ca="1">IFERROR(__xludf.DUMMYFUNCTION("""COMPUTED_VALUE"""),9.4851045)</f>
        <v>9.4851045000000003</v>
      </c>
      <c r="F18" s="11" t="s">
        <v>1143</v>
      </c>
      <c r="G18" s="11">
        <v>4</v>
      </c>
    </row>
    <row r="19" spans="1:7" ht="13">
      <c r="A19" s="11" t="s">
        <v>1145</v>
      </c>
      <c r="B19" s="11" t="s">
        <v>47</v>
      </c>
      <c r="C19" s="11" t="s">
        <v>1146</v>
      </c>
      <c r="D19" s="63">
        <f ca="1">IFERROR(__xludf.DUMMYFUNCTION("SPLIT(C19,"","")"),27.9466924)</f>
        <v>27.9466924</v>
      </c>
      <c r="E19" s="62">
        <f ca="1">IFERROR(__xludf.DUMMYFUNCTION("""COMPUTED_VALUE"""),34.278713)</f>
        <v>34.278713000000003</v>
      </c>
      <c r="F19" s="11" t="s">
        <v>1147</v>
      </c>
      <c r="G19" s="11">
        <v>5</v>
      </c>
    </row>
    <row r="20" spans="1:7" ht="13">
      <c r="A20" s="11" t="s">
        <v>1148</v>
      </c>
      <c r="B20" s="11" t="s">
        <v>51</v>
      </c>
      <c r="C20" s="11" t="s">
        <v>1149</v>
      </c>
      <c r="D20" s="63">
        <f ca="1">IFERROR(__xludf.DUMMYFUNCTION("SPLIT(C20,"","")"),56.463585)</f>
        <v>56.463585000000002</v>
      </c>
      <c r="E20" s="62">
        <f ca="1">IFERROR(__xludf.DUMMYFUNCTION("""COMPUTED_VALUE"""),9.4487803)</f>
        <v>9.4487802999999992</v>
      </c>
      <c r="F20" s="11" t="s">
        <v>1150</v>
      </c>
      <c r="G20" s="11">
        <v>5</v>
      </c>
    </row>
    <row r="21" spans="1:7" ht="13">
      <c r="A21" s="11" t="s">
        <v>1151</v>
      </c>
      <c r="B21" s="11" t="s">
        <v>17</v>
      </c>
      <c r="C21" s="11" t="s">
        <v>1149</v>
      </c>
      <c r="D21" s="63">
        <f ca="1">IFERROR(__xludf.DUMMYFUNCTION("SPLIT(C21,"","")"),56.463585)</f>
        <v>56.463585000000002</v>
      </c>
      <c r="E21" s="62">
        <f ca="1">IFERROR(__xludf.DUMMYFUNCTION("""COMPUTED_VALUE"""),9.4487803)</f>
        <v>9.4487802999999992</v>
      </c>
      <c r="F21" s="11" t="s">
        <v>1152</v>
      </c>
      <c r="G21" s="11">
        <v>5</v>
      </c>
    </row>
    <row r="22" spans="1:7" ht="13">
      <c r="A22" s="11" t="s">
        <v>1153</v>
      </c>
      <c r="B22" s="11" t="s">
        <v>17</v>
      </c>
      <c r="C22" s="11" t="s">
        <v>1154</v>
      </c>
      <c r="D22" s="63">
        <f ca="1">IFERROR(__xludf.DUMMYFUNCTION("SPLIT(C22,"","")"),56.4494806)</f>
        <v>56.449480600000001</v>
      </c>
      <c r="E22" s="62">
        <f ca="1">IFERROR(__xludf.DUMMYFUNCTION("""COMPUTED_VALUE"""),9.4032565)</f>
        <v>9.4032564999999995</v>
      </c>
      <c r="F22" s="11" t="s">
        <v>1155</v>
      </c>
      <c r="G22" s="11">
        <v>5</v>
      </c>
    </row>
    <row r="23" spans="1:7" ht="13">
      <c r="A23" s="11" t="s">
        <v>1156</v>
      </c>
      <c r="B23" s="11" t="s">
        <v>17</v>
      </c>
      <c r="C23" s="11" t="s">
        <v>1157</v>
      </c>
      <c r="D23" s="63">
        <f ca="1">IFERROR(__xludf.DUMMYFUNCTION("SPLIT(C23,"","")"),56.4449005)</f>
        <v>56.444900500000003</v>
      </c>
      <c r="E23" s="62">
        <f ca="1">IFERROR(__xludf.DUMMYFUNCTION("""COMPUTED_VALUE"""),9.3891067)</f>
        <v>9.3891066999999993</v>
      </c>
      <c r="F23" s="11" t="s">
        <v>1158</v>
      </c>
      <c r="G23" s="11">
        <v>2</v>
      </c>
    </row>
    <row r="24" spans="1:7" ht="13">
      <c r="A24" s="11" t="s">
        <v>1159</v>
      </c>
      <c r="B24" s="11" t="s">
        <v>47</v>
      </c>
      <c r="C24" s="11" t="s">
        <v>1160</v>
      </c>
      <c r="D24" s="63">
        <f ca="1">IFERROR(__xludf.DUMMYFUNCTION("SPLIT(C24,"","")"),3.1024749)</f>
        <v>3.1024748999999998</v>
      </c>
      <c r="E24" s="62">
        <f ca="1">IFERROR(__xludf.DUMMYFUNCTION("""COMPUTED_VALUE"""),68.7289458)</f>
        <v>68.728945800000005</v>
      </c>
      <c r="F24" s="11" t="s">
        <v>1161</v>
      </c>
      <c r="G24" s="11">
        <v>5</v>
      </c>
    </row>
    <row r="25" spans="1:7" ht="13">
      <c r="A25" s="11" t="s">
        <v>1162</v>
      </c>
      <c r="B25" s="11" t="s">
        <v>47</v>
      </c>
      <c r="C25" s="11" t="s">
        <v>1163</v>
      </c>
      <c r="D25" s="63">
        <f ca="1">IFERROR(__xludf.DUMMYFUNCTION("SPLIT(C25,"","")"),7.8516994)</f>
        <v>7.8516994000000002</v>
      </c>
      <c r="E25" s="62">
        <f ca="1">IFERROR(__xludf.DUMMYFUNCTION("""COMPUTED_VALUE"""),78.4556509)</f>
        <v>78.455650899999995</v>
      </c>
      <c r="F25" s="11" t="s">
        <v>1161</v>
      </c>
      <c r="G25" s="11">
        <v>5</v>
      </c>
    </row>
    <row r="26" spans="1:7" ht="13">
      <c r="A26" s="11" t="s">
        <v>1164</v>
      </c>
      <c r="B26" s="11" t="s">
        <v>47</v>
      </c>
      <c r="C26" s="11" t="s">
        <v>1165</v>
      </c>
      <c r="D26" s="63">
        <f ca="1">IFERROR(__xludf.DUMMYFUNCTION("SPLIT(C26,"","")"),13.6111017)</f>
        <v>13.611101700000001</v>
      </c>
      <c r="E26" s="62">
        <f ca="1">IFERROR(__xludf.DUMMYFUNCTION("""COMPUTED_VALUE"""),94.7508411)</f>
        <v>94.750841100000002</v>
      </c>
      <c r="F26" s="11" t="s">
        <v>1161</v>
      </c>
      <c r="G26" s="11">
        <v>4</v>
      </c>
    </row>
    <row r="27" spans="1:7" ht="13">
      <c r="A27" s="11" t="s">
        <v>1166</v>
      </c>
      <c r="B27" s="11" t="s">
        <v>47</v>
      </c>
      <c r="C27" s="11" t="s">
        <v>1167</v>
      </c>
      <c r="D27" s="63">
        <f ca="1">IFERROR(__xludf.DUMMYFUNCTION("SPLIT(C27,"","")"),25.2646811)</f>
        <v>25.264681100000001</v>
      </c>
      <c r="E27" s="62">
        <f ca="1">IFERROR(__xludf.DUMMYFUNCTION("""COMPUTED_VALUE"""),51.5681529)</f>
        <v>51.568152900000001</v>
      </c>
      <c r="F27" s="11" t="s">
        <v>1161</v>
      </c>
      <c r="G27" s="11">
        <v>5</v>
      </c>
    </row>
    <row r="28" spans="1:7" ht="13">
      <c r="A28" s="11" t="s">
        <v>1168</v>
      </c>
      <c r="B28" s="11" t="s">
        <v>23</v>
      </c>
      <c r="C28" s="11" t="s">
        <v>1169</v>
      </c>
      <c r="D28" s="63">
        <f ca="1">IFERROR(__xludf.DUMMYFUNCTION("SPLIT(C28,"","")"),-35.3801497)</f>
        <v>-35.380149699999997</v>
      </c>
      <c r="E28" s="62">
        <f ca="1">IFERROR(__xludf.DUMMYFUNCTION("""COMPUTED_VALUE"""),149.202997)</f>
        <v>149.20299700000001</v>
      </c>
      <c r="F28" s="11" t="s">
        <v>1170</v>
      </c>
      <c r="G28" s="11">
        <v>5</v>
      </c>
    </row>
    <row r="29" spans="1:7" ht="13">
      <c r="A29" s="11" t="s">
        <v>1171</v>
      </c>
      <c r="B29" s="11" t="s">
        <v>17</v>
      </c>
      <c r="C29" s="11" t="s">
        <v>1172</v>
      </c>
      <c r="D29" s="63">
        <f ca="1">IFERROR(__xludf.DUMMYFUNCTION("SPLIT(C29,"","")"),-36.4052829)</f>
        <v>-36.405282900000003</v>
      </c>
      <c r="E29" s="62">
        <f ca="1">IFERROR(__xludf.DUMMYFUNCTION("""COMPUTED_VALUE"""),148.3833114)</f>
        <v>148.3833114</v>
      </c>
      <c r="F29" s="11" t="s">
        <v>1173</v>
      </c>
      <c r="G29" s="11">
        <v>2</v>
      </c>
    </row>
    <row r="30" spans="1:7" ht="13">
      <c r="A30" s="11" t="s">
        <v>1174</v>
      </c>
      <c r="B30" s="11" t="s">
        <v>47</v>
      </c>
      <c r="C30" s="11" t="s">
        <v>1175</v>
      </c>
      <c r="D30" s="63">
        <f ca="1">IFERROR(__xludf.DUMMYFUNCTION("SPLIT(C30,"","")"),-40.5748934)</f>
        <v>-40.574893400000001</v>
      </c>
      <c r="E30" s="62">
        <f ca="1">IFERROR(__xludf.DUMMYFUNCTION("""COMPUTED_VALUE"""),166.0173195)</f>
        <v>166.01731950000001</v>
      </c>
      <c r="F30" s="11" t="s">
        <v>1161</v>
      </c>
      <c r="G30" s="11">
        <v>5</v>
      </c>
    </row>
    <row r="31" spans="1:7" ht="13">
      <c r="A31" s="11" t="s">
        <v>127</v>
      </c>
      <c r="B31" s="11" t="s">
        <v>23</v>
      </c>
      <c r="C31" s="11" t="s">
        <v>1176</v>
      </c>
      <c r="D31" s="63">
        <f ca="1">IFERROR(__xludf.DUMMYFUNCTION("SPLIT(C31,"","")"),56.1552965)</f>
        <v>56.155296499999999</v>
      </c>
      <c r="E31" s="62">
        <f ca="1">IFERROR(__xludf.DUMMYFUNCTION("""COMPUTED_VALUE"""),10.1780741)</f>
        <v>10.1780741</v>
      </c>
      <c r="F31" s="11" t="s">
        <v>1177</v>
      </c>
      <c r="G31" s="11">
        <v>5</v>
      </c>
    </row>
    <row r="32" spans="1:7" ht="13">
      <c r="A32" s="11" t="s">
        <v>1178</v>
      </c>
      <c r="B32" s="11" t="s">
        <v>51</v>
      </c>
      <c r="C32" s="11" t="s">
        <v>1179</v>
      </c>
      <c r="D32" s="63">
        <f ca="1">IFERROR(__xludf.DUMMYFUNCTION("SPLIT(C32,"","")"),56.1724346)</f>
        <v>56.172434600000003</v>
      </c>
      <c r="E32" s="62">
        <f ca="1">IFERROR(__xludf.DUMMYFUNCTION("""COMPUTED_VALUE"""),10.2033485)</f>
        <v>10.203348500000001</v>
      </c>
      <c r="F32" s="11" t="s">
        <v>1180</v>
      </c>
      <c r="G32" s="11">
        <v>4</v>
      </c>
    </row>
    <row r="33" spans="1:7" ht="13">
      <c r="A33" s="11" t="s">
        <v>1181</v>
      </c>
      <c r="B33" s="11" t="s">
        <v>17</v>
      </c>
      <c r="C33" s="11" t="s">
        <v>1182</v>
      </c>
      <c r="D33" s="63">
        <f ca="1">IFERROR(__xludf.DUMMYFUNCTION("SPLIT(C33,"","")"),56.2030018)</f>
        <v>56.203001800000003</v>
      </c>
      <c r="E33" s="62">
        <f ca="1">IFERROR(__xludf.DUMMYFUNCTION("""COMPUTED_VALUE"""),10.1788538)</f>
        <v>10.178853800000001</v>
      </c>
      <c r="F33" s="11" t="s">
        <v>1183</v>
      </c>
      <c r="G33" s="11">
        <v>5</v>
      </c>
    </row>
    <row r="34" spans="1:7" ht="13">
      <c r="B34" s="11"/>
      <c r="D34" s="63" t="str">
        <f ca="1">IFERROR(__xludf.DUMMYFUNCTION("SPLIT(C34,"","")"),"#VALUE!")</f>
        <v>#VALUE!</v>
      </c>
      <c r="E34" s="62"/>
    </row>
    <row r="35" spans="1:7" ht="13">
      <c r="B35" s="11"/>
      <c r="D35" s="63" t="str">
        <f ca="1">IFERROR(__xludf.DUMMYFUNCTION("SPLIT(C35,"","")"),"#VALUE!")</f>
        <v>#VALUE!</v>
      </c>
      <c r="E35" s="62"/>
    </row>
    <row r="36" spans="1:7" ht="13">
      <c r="B36" s="11"/>
      <c r="D36" s="63" t="str">
        <f ca="1">IFERROR(__xludf.DUMMYFUNCTION("SPLIT(C36,"","")"),"#VALUE!")</f>
        <v>#VALUE!</v>
      </c>
      <c r="E36" s="62"/>
    </row>
    <row r="37" spans="1:7" ht="13">
      <c r="B37" s="11"/>
      <c r="D37" s="63" t="str">
        <f ca="1">IFERROR(__xludf.DUMMYFUNCTION("SPLIT(C37,"","")"),"#VALUE!")</f>
        <v>#VALUE!</v>
      </c>
      <c r="E37" s="62"/>
    </row>
    <row r="38" spans="1:7" ht="13">
      <c r="B38" s="11"/>
      <c r="D38" s="63" t="str">
        <f ca="1">IFERROR(__xludf.DUMMYFUNCTION("SPLIT(C38,"","")"),"#VALUE!")</f>
        <v>#VALUE!</v>
      </c>
      <c r="E38" s="62"/>
    </row>
    <row r="39" spans="1:7" ht="13">
      <c r="B39" s="11"/>
      <c r="D39" s="63" t="str">
        <f ca="1">IFERROR(__xludf.DUMMYFUNCTION("SPLIT(C39,"","")"),"#VALUE!")</f>
        <v>#VALUE!</v>
      </c>
      <c r="E39" s="62"/>
    </row>
    <row r="40" spans="1:7" ht="13">
      <c r="B40" s="11"/>
      <c r="D40" s="63" t="str">
        <f ca="1">IFERROR(__xludf.DUMMYFUNCTION("SPLIT(C40,"","")"),"#VALUE!")</f>
        <v>#VALUE!</v>
      </c>
      <c r="E40" s="62"/>
    </row>
    <row r="41" spans="1:7" ht="13">
      <c r="B41" s="11"/>
      <c r="D41" s="63" t="str">
        <f ca="1">IFERROR(__xludf.DUMMYFUNCTION("SPLIT(C41,"","")"),"#VALUE!")</f>
        <v>#VALUE!</v>
      </c>
      <c r="E41" s="62"/>
    </row>
    <row r="42" spans="1:7" ht="13">
      <c r="B42" s="11"/>
      <c r="D42" s="63" t="str">
        <f ca="1">IFERROR(__xludf.DUMMYFUNCTION("SPLIT(C42,"","")"),"#VALUE!")</f>
        <v>#VALUE!</v>
      </c>
      <c r="E42" s="62"/>
    </row>
    <row r="43" spans="1:7" ht="13">
      <c r="B43" s="11"/>
      <c r="D43" s="63" t="str">
        <f ca="1">IFERROR(__xludf.DUMMYFUNCTION("SPLIT(C43,"","")"),"#VALUE!")</f>
        <v>#VALUE!</v>
      </c>
      <c r="E43" s="62"/>
    </row>
    <row r="44" spans="1:7" ht="13">
      <c r="B44" s="11"/>
      <c r="D44" s="63" t="str">
        <f ca="1">IFERROR(__xludf.DUMMYFUNCTION("SPLIT(C44,"","")"),"#VALUE!")</f>
        <v>#VALUE!</v>
      </c>
      <c r="E44" s="62"/>
    </row>
    <row r="45" spans="1:7" ht="13">
      <c r="B45" s="11"/>
      <c r="D45" s="63" t="str">
        <f ca="1">IFERROR(__xludf.DUMMYFUNCTION("SPLIT(C45,"","")"),"#VALUE!")</f>
        <v>#VALUE!</v>
      </c>
      <c r="E45" s="62"/>
    </row>
    <row r="46" spans="1:7" ht="13">
      <c r="B46" s="11"/>
      <c r="D46" s="63" t="str">
        <f ca="1">IFERROR(__xludf.DUMMYFUNCTION("SPLIT(C46,"","")"),"#VALUE!")</f>
        <v>#VALUE!</v>
      </c>
      <c r="E46" s="62"/>
    </row>
    <row r="47" spans="1:7" ht="13">
      <c r="B47" s="11"/>
      <c r="D47" s="63" t="str">
        <f ca="1">IFERROR(__xludf.DUMMYFUNCTION("SPLIT(C47,"","")"),"#VALUE!")</f>
        <v>#VALUE!</v>
      </c>
      <c r="E47" s="62"/>
    </row>
    <row r="48" spans="1:7" ht="13">
      <c r="B48" s="11"/>
      <c r="D48" s="63" t="str">
        <f ca="1">IFERROR(__xludf.DUMMYFUNCTION("SPLIT(C48,"","")"),"#VALUE!")</f>
        <v>#VALUE!</v>
      </c>
      <c r="E48" s="62"/>
    </row>
    <row r="49" spans="2:5" ht="13">
      <c r="B49" s="11"/>
      <c r="D49" s="63" t="str">
        <f ca="1">IFERROR(__xludf.DUMMYFUNCTION("SPLIT(C49,"","")"),"#VALUE!")</f>
        <v>#VALUE!</v>
      </c>
      <c r="E49" s="62"/>
    </row>
    <row r="50" spans="2:5" ht="13">
      <c r="B50" s="11"/>
      <c r="D50" s="63" t="str">
        <f ca="1">IFERROR(__xludf.DUMMYFUNCTION("SPLIT(C50,"","")"),"#VALUE!")</f>
        <v>#VALUE!</v>
      </c>
      <c r="E50" s="62"/>
    </row>
    <row r="51" spans="2:5" ht="13">
      <c r="B51" s="11"/>
      <c r="D51" s="63" t="str">
        <f ca="1">IFERROR(__xludf.DUMMYFUNCTION("SPLIT(C51,"","")"),"#VALUE!")</f>
        <v>#VALUE!</v>
      </c>
      <c r="E51" s="62"/>
    </row>
    <row r="52" spans="2:5" ht="13">
      <c r="B52" s="11"/>
      <c r="D52" s="63" t="str">
        <f ca="1">IFERROR(__xludf.DUMMYFUNCTION("SPLIT(C52,"","")"),"#VALUE!")</f>
        <v>#VALUE!</v>
      </c>
      <c r="E52" s="62"/>
    </row>
    <row r="53" spans="2:5" ht="13">
      <c r="B53" s="11"/>
      <c r="D53" s="63" t="str">
        <f ca="1">IFERROR(__xludf.DUMMYFUNCTION("SPLIT(C53,"","")"),"#VALUE!")</f>
        <v>#VALUE!</v>
      </c>
      <c r="E53" s="62"/>
    </row>
    <row r="54" spans="2:5" ht="13">
      <c r="B54" s="11"/>
      <c r="D54" s="63" t="str">
        <f ca="1">IFERROR(__xludf.DUMMYFUNCTION("SPLIT(C54,"","")"),"#VALUE!")</f>
        <v>#VALUE!</v>
      </c>
      <c r="E54" s="62"/>
    </row>
    <row r="55" spans="2:5" ht="13">
      <c r="B55" s="11"/>
      <c r="D55" s="63" t="str">
        <f ca="1">IFERROR(__xludf.DUMMYFUNCTION("SPLIT(C55,"","")"),"#VALUE!")</f>
        <v>#VALUE!</v>
      </c>
      <c r="E55" s="62"/>
    </row>
    <row r="56" spans="2:5" ht="13">
      <c r="B56" s="11"/>
      <c r="D56" s="63" t="str">
        <f ca="1">IFERROR(__xludf.DUMMYFUNCTION("SPLIT(C56,"","")"),"#VALUE!")</f>
        <v>#VALUE!</v>
      </c>
      <c r="E56" s="62"/>
    </row>
    <row r="57" spans="2:5" ht="13">
      <c r="B57" s="11"/>
      <c r="D57" s="63" t="str">
        <f ca="1">IFERROR(__xludf.DUMMYFUNCTION("SPLIT(C57,"","")"),"#VALUE!")</f>
        <v>#VALUE!</v>
      </c>
      <c r="E57" s="62"/>
    </row>
    <row r="58" spans="2:5" ht="13">
      <c r="B58" s="11"/>
      <c r="D58" s="63" t="str">
        <f ca="1">IFERROR(__xludf.DUMMYFUNCTION("SPLIT(C58,"","")"),"#VALUE!")</f>
        <v>#VALUE!</v>
      </c>
      <c r="E58" s="62"/>
    </row>
    <row r="59" spans="2:5" ht="13">
      <c r="B59" s="11"/>
      <c r="D59" s="63" t="str">
        <f ca="1">IFERROR(__xludf.DUMMYFUNCTION("SPLIT(C59,"","")"),"#VALUE!")</f>
        <v>#VALUE!</v>
      </c>
      <c r="E59" s="62"/>
    </row>
    <row r="60" spans="2:5" ht="13">
      <c r="B60" s="11"/>
      <c r="D60" s="63" t="str">
        <f ca="1">IFERROR(__xludf.DUMMYFUNCTION("SPLIT(C60,"","")"),"#VALUE!")</f>
        <v>#VALUE!</v>
      </c>
      <c r="E60" s="62"/>
    </row>
    <row r="61" spans="2:5" ht="13">
      <c r="B61" s="11"/>
      <c r="D61" s="63" t="str">
        <f ca="1">IFERROR(__xludf.DUMMYFUNCTION("SPLIT(C61,"","")"),"#VALUE!")</f>
        <v>#VALUE!</v>
      </c>
      <c r="E61" s="62"/>
    </row>
    <row r="62" spans="2:5" ht="13">
      <c r="B62" s="11"/>
      <c r="D62" s="63" t="str">
        <f ca="1">IFERROR(__xludf.DUMMYFUNCTION("SPLIT(C62,"","")"),"#VALUE!")</f>
        <v>#VALUE!</v>
      </c>
      <c r="E62" s="62"/>
    </row>
    <row r="63" spans="2:5" ht="13">
      <c r="B63" s="11"/>
      <c r="D63" s="63" t="str">
        <f ca="1">IFERROR(__xludf.DUMMYFUNCTION("SPLIT(C63,"","")"),"#VALUE!")</f>
        <v>#VALUE!</v>
      </c>
      <c r="E63" s="62"/>
    </row>
    <row r="64" spans="2:5" ht="13">
      <c r="B64" s="11"/>
      <c r="D64" s="63" t="str">
        <f ca="1">IFERROR(__xludf.DUMMYFUNCTION("SPLIT(C64,"","")"),"#VALUE!")</f>
        <v>#VALUE!</v>
      </c>
      <c r="E64" s="62"/>
    </row>
    <row r="65" spans="2:5" ht="13">
      <c r="B65" s="11"/>
      <c r="D65" s="62"/>
      <c r="E65" s="62"/>
    </row>
    <row r="66" spans="2:5" ht="13">
      <c r="B66" s="11"/>
      <c r="D66" s="62"/>
      <c r="E66" s="62"/>
    </row>
    <row r="67" spans="2:5" ht="13">
      <c r="B67" s="11"/>
      <c r="D67" s="62"/>
      <c r="E67" s="62"/>
    </row>
    <row r="68" spans="2:5" ht="13">
      <c r="B68" s="11"/>
      <c r="D68" s="62"/>
      <c r="E68" s="62"/>
    </row>
    <row r="69" spans="2:5" ht="13">
      <c r="B69" s="11"/>
      <c r="D69" s="62"/>
      <c r="E69" s="62"/>
    </row>
    <row r="70" spans="2:5" ht="13">
      <c r="B70" s="11"/>
      <c r="D70" s="62"/>
      <c r="E70" s="62"/>
    </row>
    <row r="71" spans="2:5" ht="13">
      <c r="B71" s="11"/>
      <c r="D71" s="62"/>
      <c r="E71" s="62"/>
    </row>
    <row r="72" spans="2:5" ht="13">
      <c r="B72" s="11"/>
      <c r="D72" s="62"/>
      <c r="E72" s="62"/>
    </row>
    <row r="73" spans="2:5" ht="13">
      <c r="B73" s="11"/>
      <c r="D73" s="62"/>
      <c r="E73" s="62"/>
    </row>
    <row r="74" spans="2:5" ht="13">
      <c r="B74" s="11"/>
      <c r="D74" s="62"/>
      <c r="E74" s="62"/>
    </row>
    <row r="75" spans="2:5" ht="13">
      <c r="B75" s="11"/>
      <c r="D75" s="62"/>
      <c r="E75" s="62"/>
    </row>
    <row r="76" spans="2:5" ht="13">
      <c r="B76" s="11"/>
      <c r="D76" s="62"/>
      <c r="E76" s="62"/>
    </row>
    <row r="77" spans="2:5" ht="13">
      <c r="B77" s="11"/>
      <c r="D77" s="62"/>
      <c r="E77" s="62"/>
    </row>
    <row r="78" spans="2:5" ht="13">
      <c r="B78" s="11"/>
      <c r="D78" s="62"/>
      <c r="E78" s="62"/>
    </row>
    <row r="79" spans="2:5" ht="13">
      <c r="B79" s="11"/>
      <c r="D79" s="62"/>
      <c r="E79" s="62"/>
    </row>
    <row r="80" spans="2:5" ht="13">
      <c r="B80" s="11"/>
      <c r="D80" s="62"/>
      <c r="E80" s="62"/>
    </row>
    <row r="81" spans="2:5" ht="13">
      <c r="B81" s="11"/>
      <c r="D81" s="62"/>
      <c r="E81" s="62"/>
    </row>
    <row r="82" spans="2:5" ht="13">
      <c r="B82" s="11"/>
      <c r="D82" s="62"/>
      <c r="E82" s="62"/>
    </row>
    <row r="83" spans="2:5" ht="13">
      <c r="B83" s="11"/>
      <c r="D83" s="62"/>
      <c r="E83" s="62"/>
    </row>
    <row r="84" spans="2:5" ht="13">
      <c r="B84" s="11"/>
      <c r="D84" s="62"/>
      <c r="E84" s="62"/>
    </row>
    <row r="85" spans="2:5" ht="13">
      <c r="B85" s="11"/>
      <c r="D85" s="62"/>
      <c r="E85" s="62"/>
    </row>
    <row r="86" spans="2:5" ht="13">
      <c r="B86" s="11"/>
      <c r="D86" s="62"/>
      <c r="E86" s="62"/>
    </row>
    <row r="87" spans="2:5" ht="13">
      <c r="B87" s="11"/>
      <c r="D87" s="62"/>
      <c r="E87" s="62"/>
    </row>
    <row r="88" spans="2:5" ht="13">
      <c r="B88" s="11"/>
      <c r="D88" s="62"/>
      <c r="E88" s="62"/>
    </row>
    <row r="89" spans="2:5" ht="13">
      <c r="B89" s="11"/>
      <c r="D89" s="62"/>
      <c r="E89" s="62"/>
    </row>
    <row r="90" spans="2:5" ht="13">
      <c r="B90" s="11"/>
      <c r="D90" s="62"/>
      <c r="E90" s="62"/>
    </row>
    <row r="91" spans="2:5" ht="13">
      <c r="B91" s="11"/>
      <c r="D91" s="62"/>
      <c r="E91" s="62"/>
    </row>
    <row r="92" spans="2:5" ht="13">
      <c r="B92" s="11"/>
      <c r="D92" s="62"/>
      <c r="E92" s="62"/>
    </row>
    <row r="93" spans="2:5" ht="13">
      <c r="B93" s="11"/>
      <c r="D93" s="62"/>
      <c r="E93" s="62"/>
    </row>
    <row r="94" spans="2:5" ht="13">
      <c r="B94" s="11"/>
      <c r="D94" s="62"/>
      <c r="E94" s="62"/>
    </row>
    <row r="95" spans="2:5" ht="13">
      <c r="B95" s="11"/>
      <c r="D95" s="62"/>
      <c r="E95" s="62"/>
    </row>
    <row r="96" spans="2:5" ht="13">
      <c r="B96" s="11"/>
      <c r="D96" s="62"/>
      <c r="E96" s="62"/>
    </row>
    <row r="97" spans="2:5" ht="13">
      <c r="B97" s="11"/>
      <c r="D97" s="62"/>
      <c r="E97" s="62"/>
    </row>
    <row r="98" spans="2:5" ht="13">
      <c r="B98" s="11"/>
      <c r="D98" s="62"/>
      <c r="E98" s="62"/>
    </row>
    <row r="99" spans="2:5" ht="13">
      <c r="B99" s="11"/>
      <c r="D99" s="62"/>
      <c r="E99" s="62"/>
    </row>
    <row r="100" spans="2:5" ht="13">
      <c r="B100" s="11"/>
      <c r="D100" s="62"/>
      <c r="E100" s="62"/>
    </row>
    <row r="101" spans="2:5" ht="13">
      <c r="B101" s="11"/>
      <c r="D101" s="62"/>
      <c r="E101" s="62"/>
    </row>
    <row r="102" spans="2:5" ht="13">
      <c r="B102" s="11"/>
      <c r="D102" s="62"/>
      <c r="E102" s="62"/>
    </row>
    <row r="103" spans="2:5" ht="13">
      <c r="B103" s="11"/>
      <c r="D103" s="62"/>
      <c r="E103" s="62"/>
    </row>
    <row r="104" spans="2:5" ht="13">
      <c r="B104" s="11"/>
      <c r="D104" s="62"/>
      <c r="E104" s="62"/>
    </row>
    <row r="105" spans="2:5" ht="13">
      <c r="B105" s="11"/>
      <c r="D105" s="62"/>
      <c r="E105" s="62"/>
    </row>
    <row r="106" spans="2:5" ht="13">
      <c r="B106" s="11"/>
      <c r="D106" s="62"/>
      <c r="E106" s="62"/>
    </row>
    <row r="107" spans="2:5" ht="13">
      <c r="B107" s="11"/>
      <c r="D107" s="62"/>
      <c r="E107" s="62"/>
    </row>
    <row r="108" spans="2:5" ht="13">
      <c r="B108" s="11"/>
      <c r="D108" s="62"/>
      <c r="E108" s="62"/>
    </row>
    <row r="109" spans="2:5" ht="13">
      <c r="B109" s="11"/>
      <c r="D109" s="62"/>
      <c r="E109" s="62"/>
    </row>
    <row r="110" spans="2:5" ht="13">
      <c r="B110" s="11"/>
      <c r="D110" s="62"/>
      <c r="E110" s="62"/>
    </row>
    <row r="111" spans="2:5" ht="13">
      <c r="B111" s="11"/>
      <c r="D111" s="62"/>
      <c r="E111" s="62"/>
    </row>
    <row r="112" spans="2:5" ht="13">
      <c r="B112" s="11"/>
      <c r="D112" s="62"/>
      <c r="E112" s="62"/>
    </row>
    <row r="113" spans="2:5" ht="13">
      <c r="B113" s="11"/>
      <c r="D113" s="62"/>
      <c r="E113" s="62"/>
    </row>
    <row r="114" spans="2:5" ht="13">
      <c r="B114" s="11"/>
      <c r="D114" s="62"/>
      <c r="E114" s="62"/>
    </row>
    <row r="115" spans="2:5" ht="13">
      <c r="B115" s="11"/>
      <c r="D115" s="62"/>
      <c r="E115" s="62"/>
    </row>
    <row r="116" spans="2:5" ht="13">
      <c r="B116" s="11"/>
      <c r="D116" s="62"/>
      <c r="E116" s="62"/>
    </row>
    <row r="117" spans="2:5" ht="13">
      <c r="B117" s="11"/>
      <c r="D117" s="62"/>
      <c r="E117" s="62"/>
    </row>
    <row r="118" spans="2:5" ht="13">
      <c r="B118" s="11"/>
      <c r="D118" s="62"/>
      <c r="E118" s="62"/>
    </row>
    <row r="119" spans="2:5" ht="13">
      <c r="B119" s="11"/>
      <c r="D119" s="62"/>
      <c r="E119" s="62"/>
    </row>
    <row r="120" spans="2:5" ht="13">
      <c r="B120" s="11"/>
      <c r="D120" s="62"/>
      <c r="E120" s="62"/>
    </row>
    <row r="121" spans="2:5" ht="13">
      <c r="B121" s="11"/>
      <c r="D121" s="62"/>
      <c r="E121" s="62"/>
    </row>
    <row r="122" spans="2:5" ht="13">
      <c r="B122" s="11"/>
      <c r="D122" s="62"/>
      <c r="E122" s="62"/>
    </row>
    <row r="123" spans="2:5" ht="13">
      <c r="B123" s="11"/>
      <c r="D123" s="62"/>
      <c r="E123" s="62"/>
    </row>
    <row r="124" spans="2:5" ht="13">
      <c r="B124" s="11"/>
      <c r="D124" s="62"/>
      <c r="E124" s="62"/>
    </row>
    <row r="125" spans="2:5" ht="13">
      <c r="B125" s="11"/>
      <c r="D125" s="62"/>
      <c r="E125" s="62"/>
    </row>
    <row r="126" spans="2:5" ht="13">
      <c r="B126" s="11"/>
      <c r="D126" s="62"/>
      <c r="E126" s="62"/>
    </row>
    <row r="127" spans="2:5" ht="13">
      <c r="B127" s="11"/>
      <c r="D127" s="62"/>
      <c r="E127" s="62"/>
    </row>
    <row r="128" spans="2:5" ht="13">
      <c r="B128" s="11"/>
      <c r="D128" s="62"/>
      <c r="E128" s="62"/>
    </row>
    <row r="129" spans="2:5" ht="13">
      <c r="B129" s="11"/>
      <c r="D129" s="62"/>
      <c r="E129" s="62"/>
    </row>
    <row r="130" spans="2:5" ht="13">
      <c r="B130" s="11"/>
      <c r="D130" s="62"/>
      <c r="E130" s="62"/>
    </row>
    <row r="131" spans="2:5" ht="13">
      <c r="B131" s="11"/>
      <c r="D131" s="62"/>
      <c r="E131" s="62"/>
    </row>
    <row r="132" spans="2:5" ht="13">
      <c r="B132" s="11"/>
      <c r="D132" s="62"/>
      <c r="E132" s="62"/>
    </row>
    <row r="133" spans="2:5" ht="13">
      <c r="B133" s="11"/>
      <c r="D133" s="62"/>
      <c r="E133" s="62"/>
    </row>
    <row r="134" spans="2:5" ht="13">
      <c r="B134" s="11"/>
      <c r="D134" s="62"/>
      <c r="E134" s="62"/>
    </row>
    <row r="135" spans="2:5" ht="13">
      <c r="B135" s="11"/>
      <c r="D135" s="62"/>
      <c r="E135" s="62"/>
    </row>
    <row r="136" spans="2:5" ht="13">
      <c r="B136" s="11"/>
      <c r="D136" s="62"/>
      <c r="E136" s="62"/>
    </row>
    <row r="137" spans="2:5" ht="13">
      <c r="B137" s="11"/>
      <c r="D137" s="62"/>
      <c r="E137" s="62"/>
    </row>
    <row r="138" spans="2:5" ht="13">
      <c r="B138" s="11"/>
      <c r="D138" s="62"/>
      <c r="E138" s="62"/>
    </row>
    <row r="139" spans="2:5" ht="13">
      <c r="B139" s="11"/>
      <c r="D139" s="62"/>
      <c r="E139" s="62"/>
    </row>
    <row r="140" spans="2:5" ht="13">
      <c r="B140" s="11"/>
      <c r="D140" s="62"/>
      <c r="E140" s="62"/>
    </row>
    <row r="141" spans="2:5" ht="13">
      <c r="B141" s="11"/>
      <c r="D141" s="62"/>
      <c r="E141" s="62"/>
    </row>
    <row r="142" spans="2:5" ht="13">
      <c r="B142" s="11"/>
      <c r="D142" s="62"/>
      <c r="E142" s="62"/>
    </row>
    <row r="143" spans="2:5" ht="13">
      <c r="B143" s="11"/>
      <c r="D143" s="62"/>
      <c r="E143" s="62"/>
    </row>
    <row r="144" spans="2:5" ht="13">
      <c r="B144" s="11"/>
      <c r="D144" s="62"/>
      <c r="E144" s="62"/>
    </row>
    <row r="145" spans="2:5" ht="13">
      <c r="B145" s="11"/>
      <c r="D145" s="62"/>
      <c r="E145" s="62"/>
    </row>
    <row r="146" spans="2:5" ht="13">
      <c r="B146" s="11"/>
      <c r="D146" s="62"/>
      <c r="E146" s="62"/>
    </row>
    <row r="147" spans="2:5" ht="13">
      <c r="B147" s="11"/>
      <c r="D147" s="62"/>
      <c r="E147" s="62"/>
    </row>
    <row r="148" spans="2:5" ht="13">
      <c r="B148" s="11"/>
      <c r="D148" s="62"/>
      <c r="E148" s="62"/>
    </row>
    <row r="149" spans="2:5" ht="13">
      <c r="B149" s="11"/>
      <c r="D149" s="62"/>
      <c r="E149" s="62"/>
    </row>
    <row r="150" spans="2:5" ht="13">
      <c r="B150" s="11"/>
      <c r="D150" s="62"/>
      <c r="E150" s="62"/>
    </row>
    <row r="151" spans="2:5" ht="13">
      <c r="B151" s="11"/>
      <c r="D151" s="62"/>
      <c r="E151" s="62"/>
    </row>
    <row r="152" spans="2:5" ht="13">
      <c r="B152" s="11"/>
      <c r="D152" s="62"/>
      <c r="E152" s="62"/>
    </row>
    <row r="153" spans="2:5" ht="13">
      <c r="B153" s="11"/>
      <c r="D153" s="62"/>
      <c r="E153" s="62"/>
    </row>
    <row r="154" spans="2:5" ht="13">
      <c r="B154" s="11"/>
      <c r="D154" s="62"/>
      <c r="E154" s="62"/>
    </row>
    <row r="155" spans="2:5" ht="13">
      <c r="B155" s="11"/>
      <c r="D155" s="62"/>
      <c r="E155" s="62"/>
    </row>
    <row r="156" spans="2:5" ht="13">
      <c r="B156" s="11"/>
      <c r="D156" s="62"/>
      <c r="E156" s="62"/>
    </row>
    <row r="157" spans="2:5" ht="13">
      <c r="B157" s="11"/>
      <c r="D157" s="62"/>
      <c r="E157" s="62"/>
    </row>
    <row r="158" spans="2:5" ht="13">
      <c r="B158" s="11"/>
      <c r="D158" s="62"/>
      <c r="E158" s="62"/>
    </row>
    <row r="159" spans="2:5" ht="13">
      <c r="B159" s="11"/>
      <c r="D159" s="62"/>
      <c r="E159" s="62"/>
    </row>
    <row r="160" spans="2:5" ht="13">
      <c r="B160" s="11"/>
      <c r="D160" s="62"/>
      <c r="E160" s="62"/>
    </row>
    <row r="161" spans="2:5" ht="13">
      <c r="B161" s="11"/>
      <c r="D161" s="62"/>
      <c r="E161" s="62"/>
    </row>
    <row r="162" spans="2:5" ht="13">
      <c r="B162" s="11"/>
      <c r="D162" s="62"/>
      <c r="E162" s="62"/>
    </row>
    <row r="163" spans="2:5" ht="13">
      <c r="B163" s="11"/>
      <c r="D163" s="62"/>
      <c r="E163" s="62"/>
    </row>
    <row r="164" spans="2:5" ht="13">
      <c r="B164" s="11"/>
      <c r="D164" s="62"/>
      <c r="E164" s="62"/>
    </row>
    <row r="165" spans="2:5" ht="13">
      <c r="B165" s="11"/>
      <c r="D165" s="62"/>
      <c r="E165" s="62"/>
    </row>
    <row r="166" spans="2:5" ht="13">
      <c r="B166" s="11"/>
      <c r="D166" s="62"/>
      <c r="E166" s="62"/>
    </row>
    <row r="167" spans="2:5" ht="13">
      <c r="B167" s="11"/>
      <c r="D167" s="62"/>
      <c r="E167" s="62"/>
    </row>
    <row r="168" spans="2:5" ht="13">
      <c r="B168" s="11"/>
      <c r="D168" s="62"/>
      <c r="E168" s="62"/>
    </row>
    <row r="169" spans="2:5" ht="13">
      <c r="B169" s="11"/>
      <c r="D169" s="62"/>
      <c r="E169" s="62"/>
    </row>
    <row r="170" spans="2:5" ht="13">
      <c r="B170" s="11"/>
      <c r="D170" s="62"/>
      <c r="E170" s="62"/>
    </row>
    <row r="171" spans="2:5" ht="13">
      <c r="B171" s="11"/>
      <c r="D171" s="62"/>
      <c r="E171" s="62"/>
    </row>
    <row r="172" spans="2:5" ht="13">
      <c r="B172" s="11"/>
      <c r="D172" s="62"/>
      <c r="E172" s="62"/>
    </row>
    <row r="173" spans="2:5" ht="13">
      <c r="B173" s="11"/>
      <c r="D173" s="62"/>
      <c r="E173" s="62"/>
    </row>
    <row r="174" spans="2:5" ht="13">
      <c r="B174" s="11"/>
      <c r="D174" s="62"/>
      <c r="E174" s="62"/>
    </row>
    <row r="175" spans="2:5" ht="13">
      <c r="B175" s="11"/>
      <c r="D175" s="62"/>
      <c r="E175" s="62"/>
    </row>
    <row r="176" spans="2:5" ht="13">
      <c r="B176" s="11"/>
      <c r="D176" s="62"/>
      <c r="E176" s="62"/>
    </row>
    <row r="177" spans="2:5" ht="13">
      <c r="B177" s="11"/>
      <c r="D177" s="62"/>
      <c r="E177" s="62"/>
    </row>
    <row r="178" spans="2:5" ht="13">
      <c r="B178" s="11"/>
      <c r="D178" s="62"/>
      <c r="E178" s="62"/>
    </row>
    <row r="179" spans="2:5" ht="13">
      <c r="B179" s="11"/>
      <c r="D179" s="62"/>
      <c r="E179" s="62"/>
    </row>
    <row r="180" spans="2:5" ht="13">
      <c r="B180" s="11"/>
      <c r="D180" s="62"/>
      <c r="E180" s="62"/>
    </row>
    <row r="181" spans="2:5" ht="13">
      <c r="B181" s="11"/>
      <c r="D181" s="62"/>
      <c r="E181" s="62"/>
    </row>
    <row r="182" spans="2:5" ht="13">
      <c r="B182" s="11"/>
      <c r="D182" s="62"/>
      <c r="E182" s="62"/>
    </row>
    <row r="183" spans="2:5" ht="13">
      <c r="B183" s="11"/>
      <c r="D183" s="62"/>
      <c r="E183" s="62"/>
    </row>
    <row r="184" spans="2:5" ht="13">
      <c r="B184" s="11"/>
      <c r="D184" s="62"/>
      <c r="E184" s="62"/>
    </row>
    <row r="185" spans="2:5" ht="13">
      <c r="B185" s="11"/>
      <c r="D185" s="62"/>
      <c r="E185" s="62"/>
    </row>
    <row r="186" spans="2:5" ht="13">
      <c r="B186" s="11"/>
      <c r="D186" s="62"/>
      <c r="E186" s="62"/>
    </row>
    <row r="187" spans="2:5" ht="13">
      <c r="B187" s="11"/>
      <c r="D187" s="62"/>
      <c r="E187" s="62"/>
    </row>
    <row r="188" spans="2:5" ht="13">
      <c r="B188" s="11"/>
      <c r="D188" s="62"/>
      <c r="E188" s="62"/>
    </row>
    <row r="189" spans="2:5" ht="13">
      <c r="B189" s="11"/>
      <c r="D189" s="62"/>
      <c r="E189" s="62"/>
    </row>
    <row r="190" spans="2:5" ht="13">
      <c r="B190" s="11"/>
      <c r="D190" s="62"/>
      <c r="E190" s="62"/>
    </row>
    <row r="191" spans="2:5" ht="13">
      <c r="B191" s="11"/>
      <c r="D191" s="62"/>
      <c r="E191" s="62"/>
    </row>
    <row r="192" spans="2:5" ht="13">
      <c r="B192" s="11"/>
      <c r="D192" s="62"/>
      <c r="E192" s="62"/>
    </row>
    <row r="193" spans="2:5" ht="13">
      <c r="B193" s="11"/>
      <c r="D193" s="62"/>
      <c r="E193" s="62"/>
    </row>
    <row r="194" spans="2:5" ht="13">
      <c r="B194" s="11"/>
      <c r="D194" s="62"/>
      <c r="E194" s="62"/>
    </row>
    <row r="195" spans="2:5" ht="13">
      <c r="B195" s="11"/>
      <c r="D195" s="62"/>
      <c r="E195" s="62"/>
    </row>
    <row r="196" spans="2:5" ht="13">
      <c r="B196" s="11"/>
      <c r="D196" s="62"/>
      <c r="E196" s="62"/>
    </row>
    <row r="197" spans="2:5" ht="13">
      <c r="B197" s="11"/>
      <c r="D197" s="62"/>
      <c r="E197" s="62"/>
    </row>
    <row r="198" spans="2:5" ht="13">
      <c r="B198" s="11"/>
      <c r="D198" s="62"/>
      <c r="E198" s="62"/>
    </row>
    <row r="199" spans="2:5" ht="13">
      <c r="D199" s="62"/>
      <c r="E199" s="62"/>
    </row>
    <row r="200" spans="2:5" ht="13">
      <c r="D200" s="62"/>
      <c r="E200" s="62"/>
    </row>
    <row r="201" spans="2:5" ht="13">
      <c r="D201" s="62"/>
      <c r="E201" s="62"/>
    </row>
    <row r="202" spans="2:5" ht="13">
      <c r="D202" s="62"/>
      <c r="E202" s="62"/>
    </row>
    <row r="203" spans="2:5" ht="13">
      <c r="D203" s="62"/>
      <c r="E203" s="62"/>
    </row>
    <row r="204" spans="2:5" ht="13">
      <c r="D204" s="62"/>
      <c r="E204" s="62"/>
    </row>
    <row r="205" spans="2:5" ht="13">
      <c r="D205" s="62"/>
      <c r="E205" s="62"/>
    </row>
    <row r="206" spans="2:5" ht="13">
      <c r="D206" s="62"/>
      <c r="E206" s="62"/>
    </row>
    <row r="207" spans="2:5" ht="13">
      <c r="D207" s="62"/>
      <c r="E207" s="62"/>
    </row>
    <row r="208" spans="2:5" ht="13">
      <c r="D208" s="62"/>
      <c r="E208" s="62"/>
    </row>
    <row r="209" spans="4:5" ht="13">
      <c r="D209" s="62"/>
      <c r="E209" s="62"/>
    </row>
    <row r="210" spans="4:5" ht="13">
      <c r="D210" s="62"/>
      <c r="E210" s="62"/>
    </row>
    <row r="211" spans="4:5" ht="13">
      <c r="D211" s="62"/>
      <c r="E211" s="62"/>
    </row>
    <row r="212" spans="4:5" ht="13">
      <c r="D212" s="62"/>
      <c r="E212" s="62"/>
    </row>
    <row r="213" spans="4:5" ht="13">
      <c r="D213" s="62"/>
      <c r="E213" s="62"/>
    </row>
    <row r="214" spans="4:5" ht="13">
      <c r="D214" s="62"/>
      <c r="E214" s="62"/>
    </row>
    <row r="215" spans="4:5" ht="13">
      <c r="D215" s="62"/>
      <c r="E215" s="62"/>
    </row>
    <row r="216" spans="4:5" ht="13">
      <c r="D216" s="62"/>
      <c r="E216" s="62"/>
    </row>
    <row r="217" spans="4:5" ht="13">
      <c r="D217" s="62"/>
      <c r="E217" s="62"/>
    </row>
    <row r="218" spans="4:5" ht="13">
      <c r="D218" s="62"/>
      <c r="E218" s="62"/>
    </row>
    <row r="219" spans="4:5" ht="13">
      <c r="D219" s="62"/>
      <c r="E219" s="62"/>
    </row>
    <row r="220" spans="4:5" ht="13">
      <c r="D220" s="62"/>
      <c r="E220" s="62"/>
    </row>
    <row r="221" spans="4:5" ht="13">
      <c r="D221" s="62"/>
      <c r="E221" s="62"/>
    </row>
    <row r="222" spans="4:5" ht="13">
      <c r="D222" s="62"/>
      <c r="E222" s="62"/>
    </row>
    <row r="223" spans="4:5" ht="13">
      <c r="D223" s="62"/>
      <c r="E223" s="62"/>
    </row>
    <row r="224" spans="4:5" ht="13">
      <c r="D224" s="62"/>
      <c r="E224" s="62"/>
    </row>
    <row r="225" spans="4:5" ht="13">
      <c r="D225" s="62"/>
      <c r="E225" s="62"/>
    </row>
    <row r="226" spans="4:5" ht="13">
      <c r="D226" s="62"/>
      <c r="E226" s="62"/>
    </row>
    <row r="227" spans="4:5" ht="13">
      <c r="D227" s="62"/>
      <c r="E227" s="62"/>
    </row>
    <row r="228" spans="4:5" ht="13">
      <c r="D228" s="62"/>
      <c r="E228" s="62"/>
    </row>
    <row r="229" spans="4:5" ht="13">
      <c r="D229" s="62"/>
      <c r="E229" s="62"/>
    </row>
    <row r="230" spans="4:5" ht="13">
      <c r="D230" s="62"/>
      <c r="E230" s="62"/>
    </row>
    <row r="231" spans="4:5" ht="13">
      <c r="D231" s="62"/>
      <c r="E231" s="62"/>
    </row>
    <row r="232" spans="4:5" ht="13">
      <c r="D232" s="62"/>
      <c r="E232" s="62"/>
    </row>
    <row r="233" spans="4:5" ht="13">
      <c r="D233" s="62"/>
      <c r="E233" s="62"/>
    </row>
    <row r="234" spans="4:5" ht="13">
      <c r="D234" s="62"/>
      <c r="E234" s="62"/>
    </row>
    <row r="235" spans="4:5" ht="13">
      <c r="D235" s="62"/>
      <c r="E235" s="62"/>
    </row>
    <row r="236" spans="4:5" ht="13">
      <c r="D236" s="62"/>
      <c r="E236" s="62"/>
    </row>
    <row r="237" spans="4:5" ht="13">
      <c r="D237" s="62"/>
      <c r="E237" s="62"/>
    </row>
    <row r="238" spans="4:5" ht="13">
      <c r="D238" s="62"/>
      <c r="E238" s="62"/>
    </row>
    <row r="239" spans="4:5" ht="13">
      <c r="D239" s="62"/>
      <c r="E239" s="62"/>
    </row>
    <row r="240" spans="4:5" ht="13">
      <c r="D240" s="62"/>
      <c r="E240" s="62"/>
    </row>
    <row r="241" spans="4:5" ht="13">
      <c r="D241" s="62"/>
      <c r="E241" s="62"/>
    </row>
    <row r="242" spans="4:5" ht="13">
      <c r="D242" s="62"/>
      <c r="E242" s="62"/>
    </row>
    <row r="243" spans="4:5" ht="13">
      <c r="D243" s="62"/>
      <c r="E243" s="62"/>
    </row>
    <row r="244" spans="4:5" ht="13">
      <c r="D244" s="62"/>
      <c r="E244" s="62"/>
    </row>
    <row r="245" spans="4:5" ht="13">
      <c r="D245" s="62"/>
      <c r="E245" s="62"/>
    </row>
    <row r="246" spans="4:5" ht="13">
      <c r="D246" s="62"/>
      <c r="E246" s="62"/>
    </row>
    <row r="247" spans="4:5" ht="13">
      <c r="D247" s="62"/>
      <c r="E247" s="62"/>
    </row>
    <row r="248" spans="4:5" ht="13">
      <c r="D248" s="62"/>
      <c r="E248" s="62"/>
    </row>
    <row r="249" spans="4:5" ht="13">
      <c r="D249" s="62"/>
      <c r="E249" s="62"/>
    </row>
    <row r="250" spans="4:5" ht="13">
      <c r="D250" s="62"/>
      <c r="E250" s="62"/>
    </row>
    <row r="251" spans="4:5" ht="13">
      <c r="D251" s="62"/>
      <c r="E251" s="62"/>
    </row>
    <row r="252" spans="4:5" ht="13">
      <c r="D252" s="62"/>
      <c r="E252" s="62"/>
    </row>
    <row r="253" spans="4:5" ht="13">
      <c r="D253" s="62"/>
      <c r="E253" s="62"/>
    </row>
    <row r="254" spans="4:5" ht="13">
      <c r="D254" s="62"/>
      <c r="E254" s="62"/>
    </row>
    <row r="255" spans="4:5" ht="13">
      <c r="D255" s="62"/>
      <c r="E255" s="62"/>
    </row>
    <row r="256" spans="4:5" ht="13">
      <c r="D256" s="62"/>
      <c r="E256" s="62"/>
    </row>
    <row r="257" spans="4:5" ht="13">
      <c r="D257" s="62"/>
      <c r="E257" s="62"/>
    </row>
    <row r="258" spans="4:5" ht="13">
      <c r="D258" s="62"/>
      <c r="E258" s="62"/>
    </row>
    <row r="259" spans="4:5" ht="13">
      <c r="D259" s="62"/>
      <c r="E259" s="62"/>
    </row>
    <row r="260" spans="4:5" ht="13">
      <c r="D260" s="62"/>
      <c r="E260" s="62"/>
    </row>
    <row r="261" spans="4:5" ht="13">
      <c r="D261" s="62"/>
      <c r="E261" s="62"/>
    </row>
    <row r="262" spans="4:5" ht="13">
      <c r="D262" s="62"/>
      <c r="E262" s="62"/>
    </row>
    <row r="263" spans="4:5" ht="13">
      <c r="D263" s="62"/>
      <c r="E263" s="62"/>
    </row>
    <row r="264" spans="4:5" ht="13">
      <c r="D264" s="62"/>
      <c r="E264" s="62"/>
    </row>
    <row r="265" spans="4:5" ht="13">
      <c r="D265" s="62"/>
      <c r="E265" s="62"/>
    </row>
    <row r="266" spans="4:5" ht="13">
      <c r="D266" s="62"/>
      <c r="E266" s="62"/>
    </row>
    <row r="267" spans="4:5" ht="13">
      <c r="D267" s="62"/>
      <c r="E267" s="62"/>
    </row>
    <row r="268" spans="4:5" ht="13">
      <c r="D268" s="62"/>
      <c r="E268" s="62"/>
    </row>
    <row r="269" spans="4:5" ht="13">
      <c r="D269" s="62"/>
      <c r="E269" s="62"/>
    </row>
    <row r="270" spans="4:5" ht="13">
      <c r="D270" s="62"/>
      <c r="E270" s="62"/>
    </row>
    <row r="271" spans="4:5" ht="13">
      <c r="D271" s="62"/>
      <c r="E271" s="62"/>
    </row>
    <row r="272" spans="4:5" ht="13">
      <c r="D272" s="62"/>
      <c r="E272" s="62"/>
    </row>
    <row r="273" spans="4:5" ht="13">
      <c r="D273" s="62"/>
      <c r="E273" s="62"/>
    </row>
    <row r="274" spans="4:5" ht="13">
      <c r="D274" s="62"/>
      <c r="E274" s="62"/>
    </row>
    <row r="275" spans="4:5" ht="13">
      <c r="D275" s="62"/>
      <c r="E275" s="62"/>
    </row>
    <row r="276" spans="4:5" ht="13">
      <c r="D276" s="62"/>
      <c r="E276" s="62"/>
    </row>
    <row r="277" spans="4:5" ht="13">
      <c r="D277" s="62"/>
      <c r="E277" s="62"/>
    </row>
    <row r="278" spans="4:5" ht="13">
      <c r="D278" s="62"/>
      <c r="E278" s="62"/>
    </row>
    <row r="279" spans="4:5" ht="13">
      <c r="D279" s="62"/>
      <c r="E279" s="62"/>
    </row>
    <row r="280" spans="4:5" ht="13">
      <c r="D280" s="62"/>
      <c r="E280" s="62"/>
    </row>
    <row r="281" spans="4:5" ht="13">
      <c r="D281" s="62"/>
      <c r="E281" s="62"/>
    </row>
    <row r="282" spans="4:5" ht="13">
      <c r="D282" s="62"/>
      <c r="E282" s="62"/>
    </row>
    <row r="283" spans="4:5" ht="13">
      <c r="D283" s="62"/>
      <c r="E283" s="62"/>
    </row>
    <row r="284" spans="4:5" ht="13">
      <c r="D284" s="62"/>
      <c r="E284" s="62"/>
    </row>
    <row r="285" spans="4:5" ht="13">
      <c r="D285" s="62"/>
      <c r="E285" s="62"/>
    </row>
    <row r="286" spans="4:5" ht="13">
      <c r="D286" s="62"/>
      <c r="E286" s="62"/>
    </row>
    <row r="287" spans="4:5" ht="13">
      <c r="D287" s="62"/>
      <c r="E287" s="62"/>
    </row>
    <row r="288" spans="4:5" ht="13">
      <c r="D288" s="62"/>
      <c r="E288" s="62"/>
    </row>
    <row r="289" spans="4:5" ht="13">
      <c r="D289" s="62"/>
      <c r="E289" s="62"/>
    </row>
    <row r="290" spans="4:5" ht="13">
      <c r="D290" s="62"/>
      <c r="E290" s="62"/>
    </row>
    <row r="291" spans="4:5" ht="13">
      <c r="D291" s="62"/>
      <c r="E291" s="62"/>
    </row>
    <row r="292" spans="4:5" ht="13">
      <c r="D292" s="62"/>
      <c r="E292" s="62"/>
    </row>
    <row r="293" spans="4:5" ht="13">
      <c r="D293" s="62"/>
      <c r="E293" s="62"/>
    </row>
    <row r="294" spans="4:5" ht="13">
      <c r="D294" s="62"/>
      <c r="E294" s="62"/>
    </row>
    <row r="295" spans="4:5" ht="13">
      <c r="D295" s="62"/>
      <c r="E295" s="62"/>
    </row>
    <row r="296" spans="4:5" ht="13">
      <c r="D296" s="62"/>
      <c r="E296" s="62"/>
    </row>
    <row r="297" spans="4:5" ht="13">
      <c r="D297" s="62"/>
      <c r="E297" s="62"/>
    </row>
    <row r="298" spans="4:5" ht="13">
      <c r="D298" s="62"/>
      <c r="E298" s="62"/>
    </row>
    <row r="299" spans="4:5" ht="13">
      <c r="D299" s="62"/>
      <c r="E299" s="62"/>
    </row>
    <row r="300" spans="4:5" ht="13">
      <c r="D300" s="62"/>
      <c r="E300" s="62"/>
    </row>
    <row r="301" spans="4:5" ht="13">
      <c r="D301" s="62"/>
      <c r="E301" s="62"/>
    </row>
    <row r="302" spans="4:5" ht="13">
      <c r="D302" s="62"/>
      <c r="E302" s="62"/>
    </row>
    <row r="303" spans="4:5" ht="13">
      <c r="D303" s="62"/>
      <c r="E303" s="62"/>
    </row>
    <row r="304" spans="4:5" ht="13">
      <c r="D304" s="62"/>
      <c r="E304" s="62"/>
    </row>
    <row r="305" spans="4:5" ht="13">
      <c r="D305" s="62"/>
      <c r="E305" s="62"/>
    </row>
    <row r="306" spans="4:5" ht="13">
      <c r="D306" s="62"/>
      <c r="E306" s="62"/>
    </row>
    <row r="307" spans="4:5" ht="13">
      <c r="D307" s="62"/>
      <c r="E307" s="62"/>
    </row>
    <row r="308" spans="4:5" ht="13">
      <c r="D308" s="62"/>
      <c r="E308" s="62"/>
    </row>
    <row r="309" spans="4:5" ht="13">
      <c r="D309" s="62"/>
      <c r="E309" s="62"/>
    </row>
    <row r="310" spans="4:5" ht="13">
      <c r="D310" s="62"/>
      <c r="E310" s="62"/>
    </row>
    <row r="311" spans="4:5" ht="13">
      <c r="D311" s="62"/>
      <c r="E311" s="62"/>
    </row>
    <row r="312" spans="4:5" ht="13">
      <c r="D312" s="62"/>
      <c r="E312" s="62"/>
    </row>
    <row r="313" spans="4:5" ht="13">
      <c r="D313" s="62"/>
      <c r="E313" s="62"/>
    </row>
    <row r="314" spans="4:5" ht="13">
      <c r="D314" s="62"/>
      <c r="E314" s="62"/>
    </row>
    <row r="315" spans="4:5" ht="13">
      <c r="D315" s="62"/>
      <c r="E315" s="62"/>
    </row>
    <row r="316" spans="4:5" ht="13">
      <c r="D316" s="62"/>
      <c r="E316" s="62"/>
    </row>
    <row r="317" spans="4:5" ht="13">
      <c r="D317" s="62"/>
      <c r="E317" s="62"/>
    </row>
    <row r="318" spans="4:5" ht="13">
      <c r="D318" s="62"/>
      <c r="E318" s="62"/>
    </row>
    <row r="319" spans="4:5" ht="13">
      <c r="D319" s="62"/>
      <c r="E319" s="62"/>
    </row>
    <row r="320" spans="4:5" ht="13">
      <c r="D320" s="62"/>
      <c r="E320" s="62"/>
    </row>
    <row r="321" spans="4:5" ht="13">
      <c r="D321" s="62"/>
      <c r="E321" s="62"/>
    </row>
    <row r="322" spans="4:5" ht="13">
      <c r="D322" s="62"/>
      <c r="E322" s="62"/>
    </row>
    <row r="323" spans="4:5" ht="13">
      <c r="D323" s="62"/>
      <c r="E323" s="62"/>
    </row>
    <row r="324" spans="4:5" ht="13">
      <c r="D324" s="62"/>
      <c r="E324" s="62"/>
    </row>
    <row r="325" spans="4:5" ht="13">
      <c r="D325" s="62"/>
      <c r="E325" s="62"/>
    </row>
    <row r="326" spans="4:5" ht="13">
      <c r="D326" s="62"/>
      <c r="E326" s="62"/>
    </row>
    <row r="327" spans="4:5" ht="13">
      <c r="D327" s="62"/>
      <c r="E327" s="62"/>
    </row>
    <row r="328" spans="4:5" ht="13">
      <c r="D328" s="62"/>
      <c r="E328" s="62"/>
    </row>
    <row r="329" spans="4:5" ht="13">
      <c r="D329" s="62"/>
      <c r="E329" s="62"/>
    </row>
    <row r="330" spans="4:5" ht="13">
      <c r="D330" s="62"/>
      <c r="E330" s="62"/>
    </row>
    <row r="331" spans="4:5" ht="13">
      <c r="D331" s="62"/>
      <c r="E331" s="62"/>
    </row>
    <row r="332" spans="4:5" ht="13">
      <c r="D332" s="62"/>
      <c r="E332" s="62"/>
    </row>
    <row r="333" spans="4:5" ht="13">
      <c r="D333" s="62"/>
      <c r="E333" s="62"/>
    </row>
    <row r="334" spans="4:5" ht="13">
      <c r="D334" s="62"/>
      <c r="E334" s="62"/>
    </row>
    <row r="335" spans="4:5" ht="13">
      <c r="D335" s="62"/>
      <c r="E335" s="62"/>
    </row>
    <row r="336" spans="4:5" ht="13">
      <c r="D336" s="62"/>
      <c r="E336" s="62"/>
    </row>
    <row r="337" spans="4:5" ht="13">
      <c r="D337" s="62"/>
      <c r="E337" s="62"/>
    </row>
    <row r="338" spans="4:5" ht="13">
      <c r="D338" s="62"/>
      <c r="E338" s="62"/>
    </row>
    <row r="339" spans="4:5" ht="13">
      <c r="D339" s="62"/>
      <c r="E339" s="62"/>
    </row>
    <row r="340" spans="4:5" ht="13">
      <c r="D340" s="62"/>
      <c r="E340" s="62"/>
    </row>
    <row r="341" spans="4:5" ht="13">
      <c r="D341" s="62"/>
      <c r="E341" s="62"/>
    </row>
    <row r="342" spans="4:5" ht="13">
      <c r="D342" s="62"/>
      <c r="E342" s="62"/>
    </row>
    <row r="343" spans="4:5" ht="13">
      <c r="D343" s="62"/>
      <c r="E343" s="62"/>
    </row>
    <row r="344" spans="4:5" ht="13">
      <c r="D344" s="62"/>
      <c r="E344" s="62"/>
    </row>
    <row r="345" spans="4:5" ht="13">
      <c r="D345" s="62"/>
      <c r="E345" s="62"/>
    </row>
    <row r="346" spans="4:5" ht="13">
      <c r="D346" s="62"/>
      <c r="E346" s="62"/>
    </row>
    <row r="347" spans="4:5" ht="13">
      <c r="D347" s="62"/>
      <c r="E347" s="62"/>
    </row>
    <row r="348" spans="4:5" ht="13">
      <c r="D348" s="62"/>
      <c r="E348" s="62"/>
    </row>
    <row r="349" spans="4:5" ht="13">
      <c r="D349" s="62"/>
      <c r="E349" s="62"/>
    </row>
    <row r="350" spans="4:5" ht="13">
      <c r="D350" s="62"/>
      <c r="E350" s="62"/>
    </row>
    <row r="351" spans="4:5" ht="13">
      <c r="D351" s="62"/>
      <c r="E351" s="62"/>
    </row>
    <row r="352" spans="4:5" ht="13">
      <c r="D352" s="62"/>
      <c r="E352" s="62"/>
    </row>
    <row r="353" spans="4:5" ht="13">
      <c r="D353" s="62"/>
      <c r="E353" s="62"/>
    </row>
    <row r="354" spans="4:5" ht="13">
      <c r="D354" s="62"/>
      <c r="E354" s="62"/>
    </row>
    <row r="355" spans="4:5" ht="13">
      <c r="D355" s="62"/>
      <c r="E355" s="62"/>
    </row>
    <row r="356" spans="4:5" ht="13">
      <c r="D356" s="62"/>
      <c r="E356" s="62"/>
    </row>
    <row r="357" spans="4:5" ht="13">
      <c r="D357" s="62"/>
      <c r="E357" s="62"/>
    </row>
    <row r="358" spans="4:5" ht="13">
      <c r="D358" s="62"/>
      <c r="E358" s="62"/>
    </row>
    <row r="359" spans="4:5" ht="13">
      <c r="D359" s="62"/>
      <c r="E359" s="62"/>
    </row>
    <row r="360" spans="4:5" ht="13">
      <c r="D360" s="62"/>
      <c r="E360" s="62"/>
    </row>
    <row r="361" spans="4:5" ht="13">
      <c r="D361" s="62"/>
      <c r="E361" s="62"/>
    </row>
    <row r="362" spans="4:5" ht="13">
      <c r="D362" s="62"/>
      <c r="E362" s="62"/>
    </row>
    <row r="363" spans="4:5" ht="13">
      <c r="D363" s="62"/>
      <c r="E363" s="62"/>
    </row>
    <row r="364" spans="4:5" ht="13">
      <c r="D364" s="62"/>
      <c r="E364" s="62"/>
    </row>
    <row r="365" spans="4:5" ht="13">
      <c r="D365" s="62"/>
      <c r="E365" s="62"/>
    </row>
    <row r="366" spans="4:5" ht="13">
      <c r="D366" s="62"/>
      <c r="E366" s="62"/>
    </row>
    <row r="367" spans="4:5" ht="13">
      <c r="D367" s="62"/>
      <c r="E367" s="62"/>
    </row>
    <row r="368" spans="4:5" ht="13">
      <c r="D368" s="62"/>
      <c r="E368" s="62"/>
    </row>
    <row r="369" spans="4:5" ht="13">
      <c r="D369" s="62"/>
      <c r="E369" s="62"/>
    </row>
    <row r="370" spans="4:5" ht="13">
      <c r="D370" s="62"/>
      <c r="E370" s="62"/>
    </row>
    <row r="371" spans="4:5" ht="13">
      <c r="D371" s="62"/>
      <c r="E371" s="62"/>
    </row>
    <row r="372" spans="4:5" ht="13">
      <c r="D372" s="62"/>
      <c r="E372" s="62"/>
    </row>
    <row r="373" spans="4:5" ht="13">
      <c r="D373" s="62"/>
      <c r="E373" s="62"/>
    </row>
    <row r="374" spans="4:5" ht="13">
      <c r="D374" s="62"/>
      <c r="E374" s="62"/>
    </row>
    <row r="375" spans="4:5" ht="13">
      <c r="D375" s="62"/>
      <c r="E375" s="62"/>
    </row>
    <row r="376" spans="4:5" ht="13">
      <c r="D376" s="62"/>
      <c r="E376" s="62"/>
    </row>
    <row r="377" spans="4:5" ht="13">
      <c r="D377" s="62"/>
      <c r="E377" s="62"/>
    </row>
    <row r="378" spans="4:5" ht="13">
      <c r="D378" s="62"/>
      <c r="E378" s="62"/>
    </row>
    <row r="379" spans="4:5" ht="13">
      <c r="D379" s="62"/>
      <c r="E379" s="62"/>
    </row>
    <row r="380" spans="4:5" ht="13">
      <c r="D380" s="62"/>
      <c r="E380" s="62"/>
    </row>
    <row r="381" spans="4:5" ht="13">
      <c r="D381" s="62"/>
      <c r="E381" s="62"/>
    </row>
    <row r="382" spans="4:5" ht="13">
      <c r="D382" s="62"/>
      <c r="E382" s="62"/>
    </row>
    <row r="383" spans="4:5" ht="13">
      <c r="D383" s="62"/>
      <c r="E383" s="62"/>
    </row>
    <row r="384" spans="4:5" ht="13">
      <c r="D384" s="62"/>
      <c r="E384" s="62"/>
    </row>
    <row r="385" spans="4:5" ht="13">
      <c r="D385" s="62"/>
      <c r="E385" s="62"/>
    </row>
    <row r="386" spans="4:5" ht="13">
      <c r="D386" s="62"/>
      <c r="E386" s="62"/>
    </row>
    <row r="387" spans="4:5" ht="13">
      <c r="D387" s="62"/>
      <c r="E387" s="62"/>
    </row>
    <row r="388" spans="4:5" ht="13">
      <c r="D388" s="62"/>
      <c r="E388" s="62"/>
    </row>
    <row r="389" spans="4:5" ht="13">
      <c r="D389" s="62"/>
      <c r="E389" s="62"/>
    </row>
    <row r="390" spans="4:5" ht="13">
      <c r="D390" s="62"/>
      <c r="E390" s="62"/>
    </row>
    <row r="391" spans="4:5" ht="13">
      <c r="D391" s="62"/>
      <c r="E391" s="62"/>
    </row>
    <row r="392" spans="4:5" ht="13">
      <c r="D392" s="62"/>
      <c r="E392" s="62"/>
    </row>
    <row r="393" spans="4:5" ht="13">
      <c r="D393" s="62"/>
      <c r="E393" s="62"/>
    </row>
    <row r="394" spans="4:5" ht="13">
      <c r="D394" s="62"/>
      <c r="E394" s="62"/>
    </row>
    <row r="395" spans="4:5" ht="13">
      <c r="D395" s="62"/>
      <c r="E395" s="62"/>
    </row>
    <row r="396" spans="4:5" ht="13">
      <c r="D396" s="62"/>
      <c r="E396" s="62"/>
    </row>
    <row r="397" spans="4:5" ht="13">
      <c r="D397" s="62"/>
      <c r="E397" s="62"/>
    </row>
    <row r="398" spans="4:5" ht="13">
      <c r="D398" s="62"/>
      <c r="E398" s="62"/>
    </row>
    <row r="399" spans="4:5" ht="13">
      <c r="D399" s="62"/>
      <c r="E399" s="62"/>
    </row>
    <row r="400" spans="4:5" ht="13">
      <c r="D400" s="62"/>
      <c r="E400" s="62"/>
    </row>
    <row r="401" spans="4:5" ht="13">
      <c r="D401" s="62"/>
      <c r="E401" s="62"/>
    </row>
    <row r="402" spans="4:5" ht="13">
      <c r="D402" s="62"/>
      <c r="E402" s="62"/>
    </row>
    <row r="403" spans="4:5" ht="13">
      <c r="D403" s="62"/>
      <c r="E403" s="62"/>
    </row>
    <row r="404" spans="4:5" ht="13">
      <c r="D404" s="62"/>
      <c r="E404" s="62"/>
    </row>
    <row r="405" spans="4:5" ht="13">
      <c r="D405" s="62"/>
      <c r="E405" s="62"/>
    </row>
    <row r="406" spans="4:5" ht="13">
      <c r="D406" s="62"/>
      <c r="E406" s="62"/>
    </row>
    <row r="407" spans="4:5" ht="13">
      <c r="D407" s="62"/>
      <c r="E407" s="62"/>
    </row>
    <row r="408" spans="4:5" ht="13">
      <c r="D408" s="62"/>
      <c r="E408" s="62"/>
    </row>
    <row r="409" spans="4:5" ht="13">
      <c r="D409" s="62"/>
      <c r="E409" s="62"/>
    </row>
    <row r="410" spans="4:5" ht="13">
      <c r="D410" s="62"/>
      <c r="E410" s="62"/>
    </row>
    <row r="411" spans="4:5" ht="13">
      <c r="D411" s="62"/>
      <c r="E411" s="62"/>
    </row>
    <row r="412" spans="4:5" ht="13">
      <c r="D412" s="62"/>
      <c r="E412" s="62"/>
    </row>
    <row r="413" spans="4:5" ht="13">
      <c r="D413" s="62"/>
      <c r="E413" s="62"/>
    </row>
    <row r="414" spans="4:5" ht="13">
      <c r="D414" s="62"/>
      <c r="E414" s="62"/>
    </row>
    <row r="415" spans="4:5" ht="13">
      <c r="D415" s="62"/>
      <c r="E415" s="62"/>
    </row>
    <row r="416" spans="4:5" ht="13">
      <c r="D416" s="62"/>
      <c r="E416" s="62"/>
    </row>
    <row r="417" spans="4:5" ht="13">
      <c r="D417" s="62"/>
      <c r="E417" s="62"/>
    </row>
    <row r="418" spans="4:5" ht="13">
      <c r="D418" s="62"/>
      <c r="E418" s="62"/>
    </row>
    <row r="419" spans="4:5" ht="13">
      <c r="D419" s="62"/>
      <c r="E419" s="62"/>
    </row>
    <row r="420" spans="4:5" ht="13">
      <c r="D420" s="62"/>
      <c r="E420" s="62"/>
    </row>
    <row r="421" spans="4:5" ht="13">
      <c r="D421" s="62"/>
      <c r="E421" s="62"/>
    </row>
    <row r="422" spans="4:5" ht="13">
      <c r="D422" s="62"/>
      <c r="E422" s="62"/>
    </row>
    <row r="423" spans="4:5" ht="13">
      <c r="D423" s="62"/>
      <c r="E423" s="62"/>
    </row>
    <row r="424" spans="4:5" ht="13">
      <c r="D424" s="62"/>
      <c r="E424" s="62"/>
    </row>
    <row r="425" spans="4:5" ht="13">
      <c r="D425" s="62"/>
      <c r="E425" s="62"/>
    </row>
    <row r="426" spans="4:5" ht="13">
      <c r="D426" s="62"/>
      <c r="E426" s="62"/>
    </row>
    <row r="427" spans="4:5" ht="13">
      <c r="D427" s="62"/>
      <c r="E427" s="62"/>
    </row>
    <row r="428" spans="4:5" ht="13">
      <c r="D428" s="62"/>
      <c r="E428" s="62"/>
    </row>
    <row r="429" spans="4:5" ht="13">
      <c r="D429" s="62"/>
      <c r="E429" s="62"/>
    </row>
    <row r="430" spans="4:5" ht="13">
      <c r="D430" s="62"/>
      <c r="E430" s="62"/>
    </row>
    <row r="431" spans="4:5" ht="13">
      <c r="D431" s="62"/>
      <c r="E431" s="62"/>
    </row>
    <row r="432" spans="4:5" ht="13">
      <c r="D432" s="62"/>
      <c r="E432" s="62"/>
    </row>
    <row r="433" spans="4:5" ht="13">
      <c r="D433" s="62"/>
      <c r="E433" s="62"/>
    </row>
    <row r="434" spans="4:5" ht="13">
      <c r="D434" s="62"/>
      <c r="E434" s="62"/>
    </row>
    <row r="435" spans="4:5" ht="13">
      <c r="D435" s="62"/>
      <c r="E435" s="62"/>
    </row>
    <row r="436" spans="4:5" ht="13">
      <c r="D436" s="62"/>
      <c r="E436" s="62"/>
    </row>
    <row r="437" spans="4:5" ht="13">
      <c r="D437" s="62"/>
      <c r="E437" s="62"/>
    </row>
    <row r="438" spans="4:5" ht="13">
      <c r="D438" s="62"/>
      <c r="E438" s="62"/>
    </row>
    <row r="439" spans="4:5" ht="13">
      <c r="D439" s="62"/>
      <c r="E439" s="62"/>
    </row>
    <row r="440" spans="4:5" ht="13">
      <c r="D440" s="62"/>
      <c r="E440" s="62"/>
    </row>
    <row r="441" spans="4:5" ht="13">
      <c r="D441" s="62"/>
      <c r="E441" s="62"/>
    </row>
    <row r="442" spans="4:5" ht="13">
      <c r="D442" s="62"/>
      <c r="E442" s="62"/>
    </row>
    <row r="443" spans="4:5" ht="13">
      <c r="D443" s="62"/>
      <c r="E443" s="62"/>
    </row>
    <row r="444" spans="4:5" ht="13">
      <c r="D444" s="62"/>
      <c r="E444" s="62"/>
    </row>
    <row r="445" spans="4:5" ht="13">
      <c r="D445" s="62"/>
      <c r="E445" s="62"/>
    </row>
    <row r="446" spans="4:5" ht="13">
      <c r="D446" s="62"/>
      <c r="E446" s="62"/>
    </row>
    <row r="447" spans="4:5" ht="13">
      <c r="D447" s="62"/>
      <c r="E447" s="62"/>
    </row>
    <row r="448" spans="4:5" ht="13">
      <c r="D448" s="62"/>
      <c r="E448" s="62"/>
    </row>
    <row r="449" spans="4:5" ht="13">
      <c r="D449" s="62"/>
      <c r="E449" s="62"/>
    </row>
    <row r="450" spans="4:5" ht="13">
      <c r="D450" s="62"/>
      <c r="E450" s="62"/>
    </row>
    <row r="451" spans="4:5" ht="13">
      <c r="D451" s="62"/>
      <c r="E451" s="62"/>
    </row>
    <row r="452" spans="4:5" ht="13">
      <c r="D452" s="62"/>
      <c r="E452" s="62"/>
    </row>
    <row r="453" spans="4:5" ht="13">
      <c r="D453" s="62"/>
      <c r="E453" s="62"/>
    </row>
    <row r="454" spans="4:5" ht="13">
      <c r="D454" s="62"/>
      <c r="E454" s="62"/>
    </row>
    <row r="455" spans="4:5" ht="13">
      <c r="D455" s="62"/>
      <c r="E455" s="62"/>
    </row>
    <row r="456" spans="4:5" ht="13">
      <c r="D456" s="62"/>
      <c r="E456" s="62"/>
    </row>
    <row r="457" spans="4:5" ht="13">
      <c r="D457" s="62"/>
      <c r="E457" s="62"/>
    </row>
    <row r="458" spans="4:5" ht="13">
      <c r="D458" s="62"/>
      <c r="E458" s="62"/>
    </row>
    <row r="459" spans="4:5" ht="13">
      <c r="D459" s="62"/>
      <c r="E459" s="62"/>
    </row>
    <row r="460" spans="4:5" ht="13">
      <c r="D460" s="62"/>
      <c r="E460" s="62"/>
    </row>
    <row r="461" spans="4:5" ht="13">
      <c r="D461" s="62"/>
      <c r="E461" s="62"/>
    </row>
    <row r="462" spans="4:5" ht="13">
      <c r="D462" s="62"/>
      <c r="E462" s="62"/>
    </row>
    <row r="463" spans="4:5" ht="13">
      <c r="D463" s="62"/>
      <c r="E463" s="62"/>
    </row>
    <row r="464" spans="4:5" ht="13">
      <c r="D464" s="62"/>
      <c r="E464" s="62"/>
    </row>
    <row r="465" spans="4:5" ht="13">
      <c r="D465" s="62"/>
      <c r="E465" s="62"/>
    </row>
    <row r="466" spans="4:5" ht="13">
      <c r="D466" s="62"/>
      <c r="E466" s="62"/>
    </row>
    <row r="467" spans="4:5" ht="13">
      <c r="D467" s="62"/>
      <c r="E467" s="62"/>
    </row>
    <row r="468" spans="4:5" ht="13">
      <c r="D468" s="62"/>
      <c r="E468" s="62"/>
    </row>
    <row r="469" spans="4:5" ht="13">
      <c r="D469" s="62"/>
      <c r="E469" s="62"/>
    </row>
    <row r="470" spans="4:5" ht="13">
      <c r="D470" s="62"/>
      <c r="E470" s="62"/>
    </row>
    <row r="471" spans="4:5" ht="13">
      <c r="D471" s="62"/>
      <c r="E471" s="62"/>
    </row>
    <row r="472" spans="4:5" ht="13">
      <c r="D472" s="62"/>
      <c r="E472" s="62"/>
    </row>
    <row r="473" spans="4:5" ht="13">
      <c r="D473" s="62"/>
      <c r="E473" s="62"/>
    </row>
    <row r="474" spans="4:5" ht="13">
      <c r="D474" s="62"/>
      <c r="E474" s="62"/>
    </row>
    <row r="475" spans="4:5" ht="13">
      <c r="D475" s="62"/>
      <c r="E475" s="62"/>
    </row>
    <row r="476" spans="4:5" ht="13">
      <c r="D476" s="62"/>
      <c r="E476" s="62"/>
    </row>
    <row r="477" spans="4:5" ht="13">
      <c r="D477" s="62"/>
      <c r="E477" s="62"/>
    </row>
    <row r="478" spans="4:5" ht="13">
      <c r="D478" s="62"/>
      <c r="E478" s="62"/>
    </row>
    <row r="479" spans="4:5" ht="13">
      <c r="D479" s="62"/>
      <c r="E479" s="62"/>
    </row>
    <row r="480" spans="4:5" ht="13">
      <c r="D480" s="62"/>
      <c r="E480" s="62"/>
    </row>
    <row r="481" spans="4:5" ht="13">
      <c r="D481" s="62"/>
      <c r="E481" s="62"/>
    </row>
    <row r="482" spans="4:5" ht="13">
      <c r="D482" s="62"/>
      <c r="E482" s="62"/>
    </row>
    <row r="483" spans="4:5" ht="13">
      <c r="D483" s="62"/>
      <c r="E483" s="62"/>
    </row>
    <row r="484" spans="4:5" ht="13">
      <c r="D484" s="62"/>
      <c r="E484" s="62"/>
    </row>
    <row r="485" spans="4:5" ht="13">
      <c r="D485" s="62"/>
      <c r="E485" s="62"/>
    </row>
    <row r="486" spans="4:5" ht="13">
      <c r="D486" s="62"/>
      <c r="E486" s="62"/>
    </row>
    <row r="487" spans="4:5" ht="13">
      <c r="D487" s="62"/>
      <c r="E487" s="62"/>
    </row>
    <row r="488" spans="4:5" ht="13">
      <c r="D488" s="62"/>
      <c r="E488" s="62"/>
    </row>
    <row r="489" spans="4:5" ht="13">
      <c r="D489" s="62"/>
      <c r="E489" s="62"/>
    </row>
    <row r="490" spans="4:5" ht="13">
      <c r="D490" s="62"/>
      <c r="E490" s="62"/>
    </row>
    <row r="491" spans="4:5" ht="13">
      <c r="D491" s="62"/>
      <c r="E491" s="62"/>
    </row>
    <row r="492" spans="4:5" ht="13">
      <c r="D492" s="62"/>
      <c r="E492" s="62"/>
    </row>
    <row r="493" spans="4:5" ht="13">
      <c r="D493" s="62"/>
      <c r="E493" s="62"/>
    </row>
    <row r="494" spans="4:5" ht="13">
      <c r="D494" s="62"/>
      <c r="E494" s="62"/>
    </row>
    <row r="495" spans="4:5" ht="13">
      <c r="D495" s="62"/>
      <c r="E495" s="62"/>
    </row>
    <row r="496" spans="4:5" ht="13">
      <c r="D496" s="62"/>
      <c r="E496" s="62"/>
    </row>
    <row r="497" spans="4:5" ht="13">
      <c r="D497" s="62"/>
      <c r="E497" s="62"/>
    </row>
    <row r="498" spans="4:5" ht="13">
      <c r="D498" s="62"/>
      <c r="E498" s="62"/>
    </row>
    <row r="499" spans="4:5" ht="13">
      <c r="D499" s="62"/>
      <c r="E499" s="62"/>
    </row>
    <row r="500" spans="4:5" ht="13">
      <c r="D500" s="62"/>
      <c r="E500" s="62"/>
    </row>
    <row r="501" spans="4:5" ht="13">
      <c r="D501" s="62"/>
      <c r="E501" s="62"/>
    </row>
    <row r="502" spans="4:5" ht="13">
      <c r="D502" s="62"/>
      <c r="E502" s="62"/>
    </row>
    <row r="503" spans="4:5" ht="13">
      <c r="D503" s="62"/>
      <c r="E503" s="62"/>
    </row>
    <row r="504" spans="4:5" ht="13">
      <c r="D504" s="62"/>
      <c r="E504" s="62"/>
    </row>
    <row r="505" spans="4:5" ht="13">
      <c r="D505" s="62"/>
      <c r="E505" s="62"/>
    </row>
    <row r="506" spans="4:5" ht="13">
      <c r="D506" s="62"/>
      <c r="E506" s="62"/>
    </row>
    <row r="507" spans="4:5" ht="13">
      <c r="D507" s="62"/>
      <c r="E507" s="62"/>
    </row>
    <row r="508" spans="4:5" ht="13">
      <c r="D508" s="62"/>
      <c r="E508" s="62"/>
    </row>
    <row r="509" spans="4:5" ht="13">
      <c r="D509" s="62"/>
      <c r="E509" s="62"/>
    </row>
    <row r="510" spans="4:5" ht="13">
      <c r="D510" s="62"/>
      <c r="E510" s="62"/>
    </row>
    <row r="511" spans="4:5" ht="13">
      <c r="D511" s="62"/>
      <c r="E511" s="62"/>
    </row>
    <row r="512" spans="4:5" ht="13">
      <c r="D512" s="62"/>
      <c r="E512" s="62"/>
    </row>
    <row r="513" spans="4:5" ht="13">
      <c r="D513" s="62"/>
      <c r="E513" s="62"/>
    </row>
    <row r="514" spans="4:5" ht="13">
      <c r="D514" s="62"/>
      <c r="E514" s="62"/>
    </row>
    <row r="515" spans="4:5" ht="13">
      <c r="D515" s="62"/>
      <c r="E515" s="62"/>
    </row>
    <row r="516" spans="4:5" ht="13">
      <c r="D516" s="62"/>
      <c r="E516" s="62"/>
    </row>
    <row r="517" spans="4:5" ht="13">
      <c r="D517" s="62"/>
      <c r="E517" s="62"/>
    </row>
    <row r="518" spans="4:5" ht="13">
      <c r="D518" s="62"/>
      <c r="E518" s="62"/>
    </row>
    <row r="519" spans="4:5" ht="13">
      <c r="D519" s="62"/>
      <c r="E519" s="62"/>
    </row>
    <row r="520" spans="4:5" ht="13">
      <c r="D520" s="62"/>
      <c r="E520" s="62"/>
    </row>
    <row r="521" spans="4:5" ht="13">
      <c r="D521" s="62"/>
      <c r="E521" s="62"/>
    </row>
    <row r="522" spans="4:5" ht="13">
      <c r="D522" s="62"/>
      <c r="E522" s="62"/>
    </row>
    <row r="523" spans="4:5" ht="13">
      <c r="D523" s="62"/>
      <c r="E523" s="62"/>
    </row>
    <row r="524" spans="4:5" ht="13">
      <c r="D524" s="62"/>
      <c r="E524" s="62"/>
    </row>
    <row r="525" spans="4:5" ht="13">
      <c r="D525" s="62"/>
      <c r="E525" s="62"/>
    </row>
    <row r="526" spans="4:5" ht="13">
      <c r="D526" s="62"/>
      <c r="E526" s="62"/>
    </row>
    <row r="527" spans="4:5" ht="13">
      <c r="D527" s="62"/>
      <c r="E527" s="62"/>
    </row>
    <row r="528" spans="4:5" ht="13">
      <c r="D528" s="62"/>
      <c r="E528" s="62"/>
    </row>
    <row r="529" spans="4:5" ht="13">
      <c r="D529" s="62"/>
      <c r="E529" s="62"/>
    </row>
    <row r="530" spans="4:5" ht="13">
      <c r="D530" s="62"/>
      <c r="E530" s="62"/>
    </row>
    <row r="531" spans="4:5" ht="13">
      <c r="D531" s="62"/>
      <c r="E531" s="62"/>
    </row>
    <row r="532" spans="4:5" ht="13">
      <c r="D532" s="62"/>
      <c r="E532" s="62"/>
    </row>
    <row r="533" spans="4:5" ht="13">
      <c r="D533" s="62"/>
      <c r="E533" s="62"/>
    </row>
    <row r="534" spans="4:5" ht="13">
      <c r="D534" s="62"/>
      <c r="E534" s="62"/>
    </row>
    <row r="535" spans="4:5" ht="13">
      <c r="D535" s="62"/>
      <c r="E535" s="62"/>
    </row>
    <row r="536" spans="4:5" ht="13">
      <c r="D536" s="62"/>
      <c r="E536" s="62"/>
    </row>
    <row r="537" spans="4:5" ht="13">
      <c r="D537" s="62"/>
      <c r="E537" s="62"/>
    </row>
    <row r="538" spans="4:5" ht="13">
      <c r="D538" s="62"/>
      <c r="E538" s="62"/>
    </row>
    <row r="539" spans="4:5" ht="13">
      <c r="D539" s="62"/>
      <c r="E539" s="62"/>
    </row>
    <row r="540" spans="4:5" ht="13">
      <c r="D540" s="62"/>
      <c r="E540" s="62"/>
    </row>
    <row r="541" spans="4:5" ht="13">
      <c r="D541" s="62"/>
      <c r="E541" s="62"/>
    </row>
    <row r="542" spans="4:5" ht="13">
      <c r="D542" s="62"/>
      <c r="E542" s="62"/>
    </row>
    <row r="543" spans="4:5" ht="13">
      <c r="D543" s="62"/>
      <c r="E543" s="62"/>
    </row>
    <row r="544" spans="4:5" ht="13">
      <c r="D544" s="62"/>
      <c r="E544" s="62"/>
    </row>
    <row r="545" spans="4:5" ht="13">
      <c r="D545" s="62"/>
      <c r="E545" s="62"/>
    </row>
    <row r="546" spans="4:5" ht="13">
      <c r="D546" s="62"/>
      <c r="E546" s="62"/>
    </row>
    <row r="547" spans="4:5" ht="13">
      <c r="D547" s="62"/>
      <c r="E547" s="62"/>
    </row>
    <row r="548" spans="4:5" ht="13">
      <c r="D548" s="62"/>
      <c r="E548" s="62"/>
    </row>
    <row r="549" spans="4:5" ht="13">
      <c r="D549" s="62"/>
      <c r="E549" s="62"/>
    </row>
    <row r="550" spans="4:5" ht="13">
      <c r="D550" s="62"/>
      <c r="E550" s="62"/>
    </row>
    <row r="551" spans="4:5" ht="13">
      <c r="D551" s="62"/>
      <c r="E551" s="62"/>
    </row>
    <row r="552" spans="4:5" ht="13">
      <c r="D552" s="62"/>
      <c r="E552" s="62"/>
    </row>
    <row r="553" spans="4:5" ht="13">
      <c r="D553" s="62"/>
      <c r="E553" s="62"/>
    </row>
    <row r="554" spans="4:5" ht="13">
      <c r="D554" s="62"/>
      <c r="E554" s="62"/>
    </row>
    <row r="555" spans="4:5" ht="13">
      <c r="D555" s="62"/>
      <c r="E555" s="62"/>
    </row>
    <row r="556" spans="4:5" ht="13">
      <c r="D556" s="62"/>
      <c r="E556" s="62"/>
    </row>
    <row r="557" spans="4:5" ht="13">
      <c r="D557" s="62"/>
      <c r="E557" s="62"/>
    </row>
    <row r="558" spans="4:5" ht="13">
      <c r="D558" s="62"/>
      <c r="E558" s="62"/>
    </row>
    <row r="559" spans="4:5" ht="13">
      <c r="D559" s="62"/>
      <c r="E559" s="62"/>
    </row>
    <row r="560" spans="4:5" ht="13">
      <c r="D560" s="62"/>
      <c r="E560" s="62"/>
    </row>
    <row r="561" spans="4:5" ht="13">
      <c r="D561" s="62"/>
      <c r="E561" s="62"/>
    </row>
    <row r="562" spans="4:5" ht="13">
      <c r="D562" s="62"/>
      <c r="E562" s="62"/>
    </row>
    <row r="563" spans="4:5" ht="13">
      <c r="D563" s="62"/>
      <c r="E563" s="62"/>
    </row>
    <row r="564" spans="4:5" ht="13">
      <c r="D564" s="62"/>
      <c r="E564" s="62"/>
    </row>
    <row r="565" spans="4:5" ht="13">
      <c r="D565" s="62"/>
      <c r="E565" s="62"/>
    </row>
    <row r="566" spans="4:5" ht="13">
      <c r="D566" s="62"/>
      <c r="E566" s="62"/>
    </row>
    <row r="567" spans="4:5" ht="13">
      <c r="D567" s="62"/>
      <c r="E567" s="62"/>
    </row>
    <row r="568" spans="4:5" ht="13">
      <c r="D568" s="62"/>
      <c r="E568" s="62"/>
    </row>
    <row r="569" spans="4:5" ht="13">
      <c r="D569" s="62"/>
      <c r="E569" s="62"/>
    </row>
    <row r="570" spans="4:5" ht="13">
      <c r="D570" s="62"/>
      <c r="E570" s="62"/>
    </row>
    <row r="571" spans="4:5" ht="13">
      <c r="D571" s="62"/>
      <c r="E571" s="62"/>
    </row>
    <row r="572" spans="4:5" ht="13">
      <c r="D572" s="62"/>
      <c r="E572" s="62"/>
    </row>
    <row r="573" spans="4:5" ht="13">
      <c r="D573" s="62"/>
      <c r="E573" s="62"/>
    </row>
    <row r="574" spans="4:5" ht="13">
      <c r="D574" s="62"/>
      <c r="E574" s="62"/>
    </row>
    <row r="575" spans="4:5" ht="13">
      <c r="D575" s="62"/>
      <c r="E575" s="62"/>
    </row>
    <row r="576" spans="4:5" ht="13">
      <c r="D576" s="62"/>
      <c r="E576" s="62"/>
    </row>
    <row r="577" spans="4:5" ht="13">
      <c r="D577" s="62"/>
      <c r="E577" s="62"/>
    </row>
    <row r="578" spans="4:5" ht="13">
      <c r="D578" s="62"/>
      <c r="E578" s="62"/>
    </row>
    <row r="579" spans="4:5" ht="13">
      <c r="D579" s="62"/>
      <c r="E579" s="62"/>
    </row>
    <row r="580" spans="4:5" ht="13">
      <c r="D580" s="62"/>
      <c r="E580" s="62"/>
    </row>
    <row r="581" spans="4:5" ht="13">
      <c r="D581" s="62"/>
      <c r="E581" s="62"/>
    </row>
    <row r="582" spans="4:5" ht="13">
      <c r="D582" s="62"/>
      <c r="E582" s="62"/>
    </row>
    <row r="583" spans="4:5" ht="13">
      <c r="D583" s="62"/>
      <c r="E583" s="62"/>
    </row>
    <row r="584" spans="4:5" ht="13">
      <c r="D584" s="62"/>
      <c r="E584" s="62"/>
    </row>
    <row r="585" spans="4:5" ht="13">
      <c r="D585" s="62"/>
      <c r="E585" s="62"/>
    </row>
    <row r="586" spans="4:5" ht="13">
      <c r="D586" s="62"/>
      <c r="E586" s="62"/>
    </row>
    <row r="587" spans="4:5" ht="13">
      <c r="D587" s="62"/>
      <c r="E587" s="62"/>
    </row>
    <row r="588" spans="4:5" ht="13">
      <c r="D588" s="62"/>
      <c r="E588" s="62"/>
    </row>
    <row r="589" spans="4:5" ht="13">
      <c r="D589" s="62"/>
      <c r="E589" s="62"/>
    </row>
    <row r="590" spans="4:5" ht="13">
      <c r="D590" s="62"/>
      <c r="E590" s="62"/>
    </row>
    <row r="591" spans="4:5" ht="13">
      <c r="D591" s="62"/>
      <c r="E591" s="62"/>
    </row>
    <row r="592" spans="4:5" ht="13">
      <c r="D592" s="62"/>
      <c r="E592" s="62"/>
    </row>
    <row r="593" spans="4:5" ht="13">
      <c r="D593" s="62"/>
      <c r="E593" s="62"/>
    </row>
    <row r="594" spans="4:5" ht="13">
      <c r="D594" s="62"/>
      <c r="E594" s="62"/>
    </row>
    <row r="595" spans="4:5" ht="13">
      <c r="D595" s="62"/>
      <c r="E595" s="62"/>
    </row>
    <row r="596" spans="4:5" ht="13">
      <c r="D596" s="62"/>
      <c r="E596" s="62"/>
    </row>
    <row r="597" spans="4:5" ht="13">
      <c r="D597" s="62"/>
      <c r="E597" s="62"/>
    </row>
    <row r="598" spans="4:5" ht="13">
      <c r="D598" s="62"/>
      <c r="E598" s="62"/>
    </row>
    <row r="599" spans="4:5" ht="13">
      <c r="D599" s="62"/>
      <c r="E599" s="62"/>
    </row>
    <row r="600" spans="4:5" ht="13">
      <c r="D600" s="62"/>
      <c r="E600" s="62"/>
    </row>
    <row r="601" spans="4:5" ht="13">
      <c r="D601" s="62"/>
      <c r="E601" s="62"/>
    </row>
    <row r="602" spans="4:5" ht="13">
      <c r="D602" s="62"/>
      <c r="E602" s="62"/>
    </row>
    <row r="603" spans="4:5" ht="13">
      <c r="D603" s="62"/>
      <c r="E603" s="62"/>
    </row>
    <row r="604" spans="4:5" ht="13">
      <c r="D604" s="62"/>
      <c r="E604" s="62"/>
    </row>
    <row r="605" spans="4:5" ht="13">
      <c r="D605" s="62"/>
      <c r="E605" s="62"/>
    </row>
    <row r="606" spans="4:5" ht="13">
      <c r="D606" s="62"/>
      <c r="E606" s="62"/>
    </row>
    <row r="607" spans="4:5" ht="13">
      <c r="D607" s="62"/>
      <c r="E607" s="62"/>
    </row>
    <row r="608" spans="4:5" ht="13">
      <c r="D608" s="62"/>
      <c r="E608" s="62"/>
    </row>
    <row r="609" spans="4:5" ht="13">
      <c r="D609" s="62"/>
      <c r="E609" s="62"/>
    </row>
    <row r="610" spans="4:5" ht="13">
      <c r="D610" s="62"/>
      <c r="E610" s="62"/>
    </row>
    <row r="611" spans="4:5" ht="13">
      <c r="D611" s="62"/>
      <c r="E611" s="62"/>
    </row>
    <row r="612" spans="4:5" ht="13">
      <c r="D612" s="62"/>
      <c r="E612" s="62"/>
    </row>
    <row r="613" spans="4:5" ht="13">
      <c r="D613" s="62"/>
      <c r="E613" s="62"/>
    </row>
    <row r="614" spans="4:5" ht="13">
      <c r="D614" s="62"/>
      <c r="E614" s="62"/>
    </row>
    <row r="615" spans="4:5" ht="13">
      <c r="D615" s="62"/>
      <c r="E615" s="62"/>
    </row>
    <row r="616" spans="4:5" ht="13">
      <c r="D616" s="62"/>
      <c r="E616" s="62"/>
    </row>
    <row r="617" spans="4:5" ht="13">
      <c r="D617" s="62"/>
      <c r="E617" s="62"/>
    </row>
    <row r="618" spans="4:5" ht="13">
      <c r="D618" s="62"/>
      <c r="E618" s="62"/>
    </row>
    <row r="619" spans="4:5" ht="13">
      <c r="D619" s="62"/>
      <c r="E619" s="62"/>
    </row>
    <row r="620" spans="4:5" ht="13">
      <c r="D620" s="62"/>
      <c r="E620" s="62"/>
    </row>
    <row r="621" spans="4:5" ht="13">
      <c r="D621" s="62"/>
      <c r="E621" s="62"/>
    </row>
    <row r="622" spans="4:5" ht="13">
      <c r="D622" s="62"/>
      <c r="E622" s="62"/>
    </row>
    <row r="623" spans="4:5" ht="13">
      <c r="D623" s="62"/>
      <c r="E623" s="62"/>
    </row>
    <row r="624" spans="4:5" ht="13">
      <c r="D624" s="62"/>
      <c r="E624" s="62"/>
    </row>
    <row r="625" spans="4:5" ht="13">
      <c r="D625" s="62"/>
      <c r="E625" s="62"/>
    </row>
    <row r="626" spans="4:5" ht="13">
      <c r="D626" s="62"/>
      <c r="E626" s="62"/>
    </row>
    <row r="627" spans="4:5" ht="13">
      <c r="D627" s="62"/>
      <c r="E627" s="62"/>
    </row>
    <row r="628" spans="4:5" ht="13">
      <c r="D628" s="62"/>
      <c r="E628" s="62"/>
    </row>
    <row r="629" spans="4:5" ht="13">
      <c r="D629" s="62"/>
      <c r="E629" s="62"/>
    </row>
    <row r="630" spans="4:5" ht="13">
      <c r="D630" s="62"/>
      <c r="E630" s="62"/>
    </row>
    <row r="631" spans="4:5" ht="13">
      <c r="D631" s="62"/>
      <c r="E631" s="62"/>
    </row>
    <row r="632" spans="4:5" ht="13">
      <c r="D632" s="62"/>
      <c r="E632" s="62"/>
    </row>
    <row r="633" spans="4:5" ht="13">
      <c r="D633" s="62"/>
      <c r="E633" s="62"/>
    </row>
    <row r="634" spans="4:5" ht="13">
      <c r="D634" s="62"/>
      <c r="E634" s="62"/>
    </row>
    <row r="635" spans="4:5" ht="13">
      <c r="D635" s="62"/>
      <c r="E635" s="62"/>
    </row>
    <row r="636" spans="4:5" ht="13">
      <c r="D636" s="62"/>
      <c r="E636" s="62"/>
    </row>
    <row r="637" spans="4:5" ht="13">
      <c r="D637" s="62"/>
      <c r="E637" s="62"/>
    </row>
    <row r="638" spans="4:5" ht="13">
      <c r="D638" s="62"/>
      <c r="E638" s="62"/>
    </row>
    <row r="639" spans="4:5" ht="13">
      <c r="D639" s="62"/>
      <c r="E639" s="62"/>
    </row>
    <row r="640" spans="4:5" ht="13">
      <c r="D640" s="62"/>
      <c r="E640" s="62"/>
    </row>
    <row r="641" spans="4:5" ht="13">
      <c r="D641" s="62"/>
      <c r="E641" s="62"/>
    </row>
    <row r="642" spans="4:5" ht="13">
      <c r="D642" s="62"/>
      <c r="E642" s="62"/>
    </row>
    <row r="643" spans="4:5" ht="13">
      <c r="D643" s="62"/>
      <c r="E643" s="62"/>
    </row>
    <row r="644" spans="4:5" ht="13">
      <c r="D644" s="62"/>
      <c r="E644" s="62"/>
    </row>
    <row r="645" spans="4:5" ht="13">
      <c r="D645" s="62"/>
      <c r="E645" s="62"/>
    </row>
    <row r="646" spans="4:5" ht="13">
      <c r="D646" s="62"/>
      <c r="E646" s="62"/>
    </row>
    <row r="647" spans="4:5" ht="13">
      <c r="D647" s="62"/>
      <c r="E647" s="62"/>
    </row>
    <row r="648" spans="4:5" ht="13">
      <c r="D648" s="62"/>
      <c r="E648" s="62"/>
    </row>
    <row r="649" spans="4:5" ht="13">
      <c r="D649" s="62"/>
      <c r="E649" s="62"/>
    </row>
    <row r="650" spans="4:5" ht="13">
      <c r="D650" s="62"/>
      <c r="E650" s="62"/>
    </row>
    <row r="651" spans="4:5" ht="13">
      <c r="D651" s="62"/>
      <c r="E651" s="62"/>
    </row>
    <row r="652" spans="4:5" ht="13">
      <c r="D652" s="62"/>
      <c r="E652" s="62"/>
    </row>
    <row r="653" spans="4:5" ht="13">
      <c r="D653" s="62"/>
      <c r="E653" s="62"/>
    </row>
    <row r="654" spans="4:5" ht="13">
      <c r="D654" s="62"/>
      <c r="E654" s="62"/>
    </row>
    <row r="655" spans="4:5" ht="13">
      <c r="D655" s="62"/>
      <c r="E655" s="62"/>
    </row>
    <row r="656" spans="4:5" ht="13">
      <c r="D656" s="62"/>
      <c r="E656" s="62"/>
    </row>
    <row r="657" spans="4:5" ht="13">
      <c r="D657" s="62"/>
      <c r="E657" s="62"/>
    </row>
    <row r="658" spans="4:5" ht="13">
      <c r="D658" s="62"/>
      <c r="E658" s="62"/>
    </row>
    <row r="659" spans="4:5" ht="13">
      <c r="D659" s="62"/>
      <c r="E659" s="62"/>
    </row>
    <row r="660" spans="4:5" ht="13">
      <c r="D660" s="62"/>
      <c r="E660" s="62"/>
    </row>
    <row r="661" spans="4:5" ht="13">
      <c r="D661" s="62"/>
      <c r="E661" s="62"/>
    </row>
    <row r="662" spans="4:5" ht="13">
      <c r="D662" s="62"/>
      <c r="E662" s="62"/>
    </row>
    <row r="663" spans="4:5" ht="13">
      <c r="D663" s="62"/>
      <c r="E663" s="62"/>
    </row>
    <row r="664" spans="4:5" ht="13">
      <c r="D664" s="62"/>
      <c r="E664" s="62"/>
    </row>
    <row r="665" spans="4:5" ht="13">
      <c r="D665" s="62"/>
      <c r="E665" s="62"/>
    </row>
    <row r="666" spans="4:5" ht="13">
      <c r="D666" s="62"/>
      <c r="E666" s="62"/>
    </row>
    <row r="667" spans="4:5" ht="13">
      <c r="D667" s="62"/>
      <c r="E667" s="62"/>
    </row>
    <row r="668" spans="4:5" ht="13">
      <c r="D668" s="62"/>
      <c r="E668" s="62"/>
    </row>
    <row r="669" spans="4:5" ht="13">
      <c r="D669" s="62"/>
      <c r="E669" s="62"/>
    </row>
    <row r="670" spans="4:5" ht="13">
      <c r="D670" s="62"/>
      <c r="E670" s="62"/>
    </row>
    <row r="671" spans="4:5" ht="13">
      <c r="D671" s="62"/>
      <c r="E671" s="62"/>
    </row>
    <row r="672" spans="4:5" ht="13">
      <c r="D672" s="62"/>
      <c r="E672" s="62"/>
    </row>
    <row r="673" spans="4:5" ht="13">
      <c r="D673" s="62"/>
      <c r="E673" s="62"/>
    </row>
    <row r="674" spans="4:5" ht="13">
      <c r="D674" s="62"/>
      <c r="E674" s="62"/>
    </row>
    <row r="675" spans="4:5" ht="13">
      <c r="D675" s="62"/>
      <c r="E675" s="62"/>
    </row>
    <row r="676" spans="4:5" ht="13">
      <c r="D676" s="62"/>
      <c r="E676" s="62"/>
    </row>
    <row r="677" spans="4:5" ht="13">
      <c r="D677" s="62"/>
      <c r="E677" s="62"/>
    </row>
    <row r="678" spans="4:5" ht="13">
      <c r="D678" s="62"/>
      <c r="E678" s="62"/>
    </row>
    <row r="679" spans="4:5" ht="13">
      <c r="D679" s="62"/>
      <c r="E679" s="62"/>
    </row>
    <row r="680" spans="4:5" ht="13">
      <c r="D680" s="62"/>
      <c r="E680" s="62"/>
    </row>
    <row r="681" spans="4:5" ht="13">
      <c r="D681" s="62"/>
      <c r="E681" s="62"/>
    </row>
    <row r="682" spans="4:5" ht="13">
      <c r="D682" s="62"/>
      <c r="E682" s="62"/>
    </row>
    <row r="683" spans="4:5" ht="13">
      <c r="D683" s="62"/>
      <c r="E683" s="62"/>
    </row>
    <row r="684" spans="4:5" ht="13">
      <c r="D684" s="62"/>
      <c r="E684" s="62"/>
    </row>
    <row r="685" spans="4:5" ht="13">
      <c r="D685" s="62"/>
      <c r="E685" s="62"/>
    </row>
    <row r="686" spans="4:5" ht="13">
      <c r="D686" s="62"/>
      <c r="E686" s="62"/>
    </row>
    <row r="687" spans="4:5" ht="13">
      <c r="D687" s="62"/>
      <c r="E687" s="62"/>
    </row>
    <row r="688" spans="4:5" ht="13">
      <c r="D688" s="62"/>
      <c r="E688" s="62"/>
    </row>
    <row r="689" spans="4:5" ht="13">
      <c r="D689" s="62"/>
      <c r="E689" s="62"/>
    </row>
    <row r="690" spans="4:5" ht="13">
      <c r="D690" s="62"/>
      <c r="E690" s="62"/>
    </row>
    <row r="691" spans="4:5" ht="13">
      <c r="D691" s="62"/>
      <c r="E691" s="62"/>
    </row>
    <row r="692" spans="4:5" ht="13">
      <c r="D692" s="62"/>
      <c r="E692" s="62"/>
    </row>
    <row r="693" spans="4:5" ht="13">
      <c r="D693" s="62"/>
      <c r="E693" s="62"/>
    </row>
    <row r="694" spans="4:5" ht="13">
      <c r="D694" s="62"/>
      <c r="E694" s="62"/>
    </row>
    <row r="695" spans="4:5" ht="13">
      <c r="D695" s="62"/>
      <c r="E695" s="62"/>
    </row>
    <row r="696" spans="4:5" ht="13">
      <c r="D696" s="62"/>
      <c r="E696" s="62"/>
    </row>
    <row r="697" spans="4:5" ht="13">
      <c r="D697" s="62"/>
      <c r="E697" s="62"/>
    </row>
    <row r="698" spans="4:5" ht="13">
      <c r="D698" s="62"/>
      <c r="E698" s="62"/>
    </row>
    <row r="699" spans="4:5" ht="13">
      <c r="D699" s="62"/>
      <c r="E699" s="62"/>
    </row>
    <row r="700" spans="4:5" ht="13">
      <c r="D700" s="62"/>
      <c r="E700" s="62"/>
    </row>
    <row r="701" spans="4:5" ht="13">
      <c r="D701" s="62"/>
      <c r="E701" s="62"/>
    </row>
    <row r="702" spans="4:5" ht="13">
      <c r="D702" s="62"/>
      <c r="E702" s="62"/>
    </row>
    <row r="703" spans="4:5" ht="13">
      <c r="D703" s="62"/>
      <c r="E703" s="62"/>
    </row>
    <row r="704" spans="4:5" ht="13">
      <c r="D704" s="62"/>
      <c r="E704" s="62"/>
    </row>
    <row r="705" spans="4:5" ht="13">
      <c r="D705" s="62"/>
      <c r="E705" s="62"/>
    </row>
    <row r="706" spans="4:5" ht="13">
      <c r="D706" s="62"/>
      <c r="E706" s="62"/>
    </row>
    <row r="707" spans="4:5" ht="13">
      <c r="D707" s="62"/>
      <c r="E707" s="62"/>
    </row>
    <row r="708" spans="4:5" ht="13">
      <c r="D708" s="62"/>
      <c r="E708" s="62"/>
    </row>
    <row r="709" spans="4:5" ht="13">
      <c r="D709" s="62"/>
      <c r="E709" s="62"/>
    </row>
    <row r="710" spans="4:5" ht="13">
      <c r="D710" s="62"/>
      <c r="E710" s="62"/>
    </row>
    <row r="711" spans="4:5" ht="13">
      <c r="D711" s="62"/>
      <c r="E711" s="62"/>
    </row>
    <row r="712" spans="4:5" ht="13">
      <c r="D712" s="62"/>
      <c r="E712" s="62"/>
    </row>
    <row r="713" spans="4:5" ht="13">
      <c r="D713" s="62"/>
      <c r="E713" s="62"/>
    </row>
    <row r="714" spans="4:5" ht="13">
      <c r="D714" s="62"/>
      <c r="E714" s="62"/>
    </row>
    <row r="715" spans="4:5" ht="13">
      <c r="D715" s="62"/>
      <c r="E715" s="62"/>
    </row>
    <row r="716" spans="4:5" ht="13">
      <c r="D716" s="62"/>
      <c r="E716" s="62"/>
    </row>
    <row r="717" spans="4:5" ht="13">
      <c r="D717" s="62"/>
      <c r="E717" s="62"/>
    </row>
    <row r="718" spans="4:5" ht="13">
      <c r="D718" s="62"/>
      <c r="E718" s="62"/>
    </row>
    <row r="719" spans="4:5" ht="13">
      <c r="D719" s="62"/>
      <c r="E719" s="62"/>
    </row>
    <row r="720" spans="4:5" ht="13">
      <c r="D720" s="62"/>
      <c r="E720" s="62"/>
    </row>
    <row r="721" spans="4:5" ht="13">
      <c r="D721" s="62"/>
      <c r="E721" s="62"/>
    </row>
    <row r="722" spans="4:5" ht="13">
      <c r="D722" s="62"/>
      <c r="E722" s="62"/>
    </row>
    <row r="723" spans="4:5" ht="13">
      <c r="D723" s="62"/>
      <c r="E723" s="62"/>
    </row>
    <row r="724" spans="4:5" ht="13">
      <c r="D724" s="62"/>
      <c r="E724" s="62"/>
    </row>
    <row r="725" spans="4:5" ht="13">
      <c r="D725" s="62"/>
      <c r="E725" s="62"/>
    </row>
    <row r="726" spans="4:5" ht="13">
      <c r="D726" s="62"/>
      <c r="E726" s="62"/>
    </row>
    <row r="727" spans="4:5" ht="13">
      <c r="D727" s="62"/>
      <c r="E727" s="62"/>
    </row>
    <row r="728" spans="4:5" ht="13">
      <c r="D728" s="62"/>
      <c r="E728" s="62"/>
    </row>
    <row r="729" spans="4:5" ht="13">
      <c r="D729" s="62"/>
      <c r="E729" s="62"/>
    </row>
    <row r="730" spans="4:5" ht="13">
      <c r="D730" s="62"/>
      <c r="E730" s="62"/>
    </row>
    <row r="731" spans="4:5" ht="13">
      <c r="D731" s="62"/>
      <c r="E731" s="62"/>
    </row>
    <row r="732" spans="4:5" ht="13">
      <c r="D732" s="62"/>
      <c r="E732" s="62"/>
    </row>
    <row r="733" spans="4:5" ht="13">
      <c r="D733" s="62"/>
      <c r="E733" s="62"/>
    </row>
    <row r="734" spans="4:5" ht="13">
      <c r="D734" s="62"/>
      <c r="E734" s="62"/>
    </row>
    <row r="735" spans="4:5" ht="13">
      <c r="D735" s="62"/>
      <c r="E735" s="62"/>
    </row>
    <row r="736" spans="4:5" ht="13">
      <c r="D736" s="62"/>
      <c r="E736" s="62"/>
    </row>
    <row r="737" spans="4:5" ht="13">
      <c r="D737" s="62"/>
      <c r="E737" s="62"/>
    </row>
    <row r="738" spans="4:5" ht="13">
      <c r="D738" s="62"/>
      <c r="E738" s="62"/>
    </row>
    <row r="739" spans="4:5" ht="13">
      <c r="D739" s="62"/>
      <c r="E739" s="62"/>
    </row>
    <row r="740" spans="4:5" ht="13">
      <c r="D740" s="62"/>
      <c r="E740" s="62"/>
    </row>
    <row r="741" spans="4:5" ht="13">
      <c r="D741" s="62"/>
      <c r="E741" s="62"/>
    </row>
    <row r="742" spans="4:5" ht="13">
      <c r="D742" s="62"/>
      <c r="E742" s="62"/>
    </row>
    <row r="743" spans="4:5" ht="13">
      <c r="D743" s="62"/>
      <c r="E743" s="62"/>
    </row>
    <row r="744" spans="4:5" ht="13">
      <c r="D744" s="62"/>
      <c r="E744" s="62"/>
    </row>
    <row r="745" spans="4:5" ht="13">
      <c r="D745" s="62"/>
      <c r="E745" s="62"/>
    </row>
    <row r="746" spans="4:5" ht="13">
      <c r="D746" s="62"/>
      <c r="E746" s="62"/>
    </row>
    <row r="747" spans="4:5" ht="13">
      <c r="D747" s="62"/>
      <c r="E747" s="62"/>
    </row>
    <row r="748" spans="4:5" ht="13">
      <c r="D748" s="62"/>
      <c r="E748" s="62"/>
    </row>
    <row r="749" spans="4:5" ht="13">
      <c r="D749" s="62"/>
      <c r="E749" s="62"/>
    </row>
    <row r="750" spans="4:5" ht="13">
      <c r="D750" s="62"/>
      <c r="E750" s="62"/>
    </row>
    <row r="751" spans="4:5" ht="13">
      <c r="D751" s="62"/>
      <c r="E751" s="62"/>
    </row>
    <row r="752" spans="4:5" ht="13">
      <c r="D752" s="62"/>
      <c r="E752" s="62"/>
    </row>
    <row r="753" spans="4:5" ht="13">
      <c r="D753" s="62"/>
      <c r="E753" s="62"/>
    </row>
    <row r="754" spans="4:5" ht="13">
      <c r="D754" s="62"/>
      <c r="E754" s="62"/>
    </row>
    <row r="755" spans="4:5" ht="13">
      <c r="D755" s="62"/>
      <c r="E755" s="62"/>
    </row>
    <row r="756" spans="4:5" ht="13">
      <c r="D756" s="62"/>
      <c r="E756" s="62"/>
    </row>
    <row r="757" spans="4:5" ht="13">
      <c r="D757" s="62"/>
      <c r="E757" s="62"/>
    </row>
    <row r="758" spans="4:5" ht="13">
      <c r="D758" s="62"/>
      <c r="E758" s="62"/>
    </row>
    <row r="759" spans="4:5" ht="13">
      <c r="D759" s="62"/>
      <c r="E759" s="62"/>
    </row>
    <row r="760" spans="4:5" ht="13">
      <c r="D760" s="62"/>
      <c r="E760" s="62"/>
    </row>
    <row r="761" spans="4:5" ht="13">
      <c r="D761" s="62"/>
      <c r="E761" s="62"/>
    </row>
    <row r="762" spans="4:5" ht="13">
      <c r="D762" s="62"/>
      <c r="E762" s="62"/>
    </row>
    <row r="763" spans="4:5" ht="13">
      <c r="D763" s="62"/>
      <c r="E763" s="62"/>
    </row>
    <row r="764" spans="4:5" ht="13">
      <c r="D764" s="62"/>
      <c r="E764" s="62"/>
    </row>
    <row r="765" spans="4:5" ht="13">
      <c r="D765" s="62"/>
      <c r="E765" s="62"/>
    </row>
    <row r="766" spans="4:5" ht="13">
      <c r="D766" s="62"/>
      <c r="E766" s="62"/>
    </row>
    <row r="767" spans="4:5" ht="13">
      <c r="D767" s="62"/>
      <c r="E767" s="62"/>
    </row>
    <row r="768" spans="4:5" ht="13">
      <c r="D768" s="62"/>
      <c r="E768" s="62"/>
    </row>
    <row r="769" spans="4:5" ht="13">
      <c r="D769" s="62"/>
      <c r="E769" s="62"/>
    </row>
    <row r="770" spans="4:5" ht="13">
      <c r="D770" s="62"/>
      <c r="E770" s="62"/>
    </row>
    <row r="771" spans="4:5" ht="13">
      <c r="D771" s="62"/>
      <c r="E771" s="62"/>
    </row>
    <row r="772" spans="4:5" ht="13">
      <c r="D772" s="62"/>
      <c r="E772" s="62"/>
    </row>
    <row r="773" spans="4:5" ht="13">
      <c r="D773" s="62"/>
      <c r="E773" s="62"/>
    </row>
    <row r="774" spans="4:5" ht="13">
      <c r="D774" s="62"/>
      <c r="E774" s="62"/>
    </row>
    <row r="775" spans="4:5" ht="13">
      <c r="D775" s="62"/>
      <c r="E775" s="62"/>
    </row>
    <row r="776" spans="4:5" ht="13">
      <c r="D776" s="62"/>
      <c r="E776" s="62"/>
    </row>
    <row r="777" spans="4:5" ht="13">
      <c r="D777" s="62"/>
      <c r="E777" s="62"/>
    </row>
    <row r="778" spans="4:5" ht="13">
      <c r="D778" s="62"/>
      <c r="E778" s="62"/>
    </row>
    <row r="779" spans="4:5" ht="13">
      <c r="D779" s="62"/>
      <c r="E779" s="62"/>
    </row>
    <row r="780" spans="4:5" ht="13">
      <c r="D780" s="62"/>
      <c r="E780" s="62"/>
    </row>
    <row r="781" spans="4:5" ht="13">
      <c r="D781" s="62"/>
      <c r="E781" s="62"/>
    </row>
    <row r="782" spans="4:5" ht="13">
      <c r="D782" s="62"/>
      <c r="E782" s="62"/>
    </row>
    <row r="783" spans="4:5" ht="13">
      <c r="D783" s="62"/>
      <c r="E783" s="62"/>
    </row>
    <row r="784" spans="4:5" ht="13">
      <c r="D784" s="62"/>
      <c r="E784" s="62"/>
    </row>
    <row r="785" spans="4:5" ht="13">
      <c r="D785" s="62"/>
      <c r="E785" s="62"/>
    </row>
    <row r="786" spans="4:5" ht="13">
      <c r="D786" s="62"/>
      <c r="E786" s="62"/>
    </row>
    <row r="787" spans="4:5" ht="13">
      <c r="D787" s="62"/>
      <c r="E787" s="62"/>
    </row>
    <row r="788" spans="4:5" ht="13">
      <c r="D788" s="62"/>
      <c r="E788" s="62"/>
    </row>
    <row r="789" spans="4:5" ht="13">
      <c r="D789" s="62"/>
      <c r="E789" s="62"/>
    </row>
    <row r="790" spans="4:5" ht="13">
      <c r="D790" s="62"/>
      <c r="E790" s="62"/>
    </row>
    <row r="791" spans="4:5" ht="13">
      <c r="D791" s="62"/>
      <c r="E791" s="62"/>
    </row>
    <row r="792" spans="4:5" ht="13">
      <c r="D792" s="62"/>
      <c r="E792" s="62"/>
    </row>
    <row r="793" spans="4:5" ht="13">
      <c r="D793" s="62"/>
      <c r="E793" s="62"/>
    </row>
    <row r="794" spans="4:5" ht="13">
      <c r="D794" s="62"/>
      <c r="E794" s="62"/>
    </row>
    <row r="795" spans="4:5" ht="13">
      <c r="D795" s="62"/>
      <c r="E795" s="62"/>
    </row>
    <row r="796" spans="4:5" ht="13">
      <c r="D796" s="62"/>
      <c r="E796" s="62"/>
    </row>
    <row r="797" spans="4:5" ht="13">
      <c r="D797" s="62"/>
      <c r="E797" s="62"/>
    </row>
    <row r="798" spans="4:5" ht="13">
      <c r="D798" s="62"/>
      <c r="E798" s="62"/>
    </row>
    <row r="799" spans="4:5" ht="13">
      <c r="D799" s="62"/>
      <c r="E799" s="62"/>
    </row>
    <row r="800" spans="4:5" ht="13">
      <c r="D800" s="62"/>
      <c r="E800" s="62"/>
    </row>
    <row r="801" spans="4:5" ht="13">
      <c r="D801" s="62"/>
      <c r="E801" s="62"/>
    </row>
    <row r="802" spans="4:5" ht="13">
      <c r="D802" s="62"/>
      <c r="E802" s="62"/>
    </row>
    <row r="803" spans="4:5" ht="13">
      <c r="D803" s="62"/>
      <c r="E803" s="62"/>
    </row>
    <row r="804" spans="4:5" ht="13">
      <c r="D804" s="62"/>
      <c r="E804" s="62"/>
    </row>
    <row r="805" spans="4:5" ht="13">
      <c r="D805" s="62"/>
      <c r="E805" s="62"/>
    </row>
    <row r="806" spans="4:5" ht="13">
      <c r="D806" s="62"/>
      <c r="E806" s="62"/>
    </row>
    <row r="807" spans="4:5" ht="13">
      <c r="D807" s="62"/>
      <c r="E807" s="62"/>
    </row>
    <row r="808" spans="4:5" ht="13">
      <c r="D808" s="62"/>
      <c r="E808" s="62"/>
    </row>
    <row r="809" spans="4:5" ht="13">
      <c r="D809" s="62"/>
      <c r="E809" s="62"/>
    </row>
    <row r="810" spans="4:5" ht="13">
      <c r="D810" s="62"/>
      <c r="E810" s="62"/>
    </row>
    <row r="811" spans="4:5" ht="13">
      <c r="D811" s="62"/>
      <c r="E811" s="62"/>
    </row>
    <row r="812" spans="4:5" ht="13">
      <c r="D812" s="62"/>
      <c r="E812" s="62"/>
    </row>
    <row r="813" spans="4:5" ht="13">
      <c r="D813" s="62"/>
      <c r="E813" s="62"/>
    </row>
    <row r="814" spans="4:5" ht="13">
      <c r="D814" s="62"/>
      <c r="E814" s="62"/>
    </row>
    <row r="815" spans="4:5" ht="13">
      <c r="D815" s="62"/>
      <c r="E815" s="62"/>
    </row>
    <row r="816" spans="4:5" ht="13">
      <c r="D816" s="62"/>
      <c r="E816" s="62"/>
    </row>
    <row r="817" spans="4:5" ht="13">
      <c r="D817" s="62"/>
      <c r="E817" s="62"/>
    </row>
    <row r="818" spans="4:5" ht="13">
      <c r="D818" s="62"/>
      <c r="E818" s="62"/>
    </row>
    <row r="819" spans="4:5" ht="13">
      <c r="D819" s="62"/>
      <c r="E819" s="62"/>
    </row>
    <row r="820" spans="4:5" ht="13">
      <c r="D820" s="62"/>
      <c r="E820" s="62"/>
    </row>
    <row r="821" spans="4:5" ht="13">
      <c r="D821" s="62"/>
      <c r="E821" s="62"/>
    </row>
    <row r="822" spans="4:5" ht="13">
      <c r="D822" s="62"/>
      <c r="E822" s="62"/>
    </row>
    <row r="823" spans="4:5" ht="13">
      <c r="D823" s="62"/>
      <c r="E823" s="62"/>
    </row>
    <row r="824" spans="4:5" ht="13">
      <c r="D824" s="62"/>
      <c r="E824" s="62"/>
    </row>
    <row r="825" spans="4:5" ht="13">
      <c r="D825" s="62"/>
      <c r="E825" s="62"/>
    </row>
    <row r="826" spans="4:5" ht="13">
      <c r="D826" s="62"/>
      <c r="E826" s="62"/>
    </row>
    <row r="827" spans="4:5" ht="13">
      <c r="D827" s="62"/>
      <c r="E827" s="62"/>
    </row>
    <row r="828" spans="4:5" ht="13">
      <c r="D828" s="62"/>
      <c r="E828" s="62"/>
    </row>
    <row r="829" spans="4:5" ht="13">
      <c r="D829" s="62"/>
      <c r="E829" s="62"/>
    </row>
    <row r="830" spans="4:5" ht="13">
      <c r="D830" s="62"/>
      <c r="E830" s="62"/>
    </row>
    <row r="831" spans="4:5" ht="13">
      <c r="D831" s="62"/>
      <c r="E831" s="62"/>
    </row>
    <row r="832" spans="4:5" ht="13">
      <c r="D832" s="62"/>
      <c r="E832" s="62"/>
    </row>
    <row r="833" spans="4:5" ht="13">
      <c r="D833" s="62"/>
      <c r="E833" s="62"/>
    </row>
    <row r="834" spans="4:5" ht="13">
      <c r="D834" s="62"/>
      <c r="E834" s="62"/>
    </row>
    <row r="835" spans="4:5" ht="13">
      <c r="D835" s="62"/>
      <c r="E835" s="62"/>
    </row>
    <row r="836" spans="4:5" ht="13">
      <c r="D836" s="62"/>
      <c r="E836" s="62"/>
    </row>
    <row r="837" spans="4:5" ht="13">
      <c r="D837" s="62"/>
      <c r="E837" s="62"/>
    </row>
    <row r="838" spans="4:5" ht="13">
      <c r="D838" s="62"/>
      <c r="E838" s="62"/>
    </row>
    <row r="839" spans="4:5" ht="13">
      <c r="D839" s="62"/>
      <c r="E839" s="62"/>
    </row>
    <row r="840" spans="4:5" ht="13">
      <c r="D840" s="62"/>
      <c r="E840" s="62"/>
    </row>
    <row r="841" spans="4:5" ht="13">
      <c r="D841" s="62"/>
      <c r="E841" s="62"/>
    </row>
    <row r="842" spans="4:5" ht="13">
      <c r="D842" s="62"/>
      <c r="E842" s="62"/>
    </row>
    <row r="843" spans="4:5" ht="13">
      <c r="D843" s="62"/>
      <c r="E843" s="62"/>
    </row>
    <row r="844" spans="4:5" ht="13">
      <c r="D844" s="62"/>
      <c r="E844" s="62"/>
    </row>
    <row r="845" spans="4:5" ht="13">
      <c r="D845" s="62"/>
      <c r="E845" s="62"/>
    </row>
    <row r="846" spans="4:5" ht="13">
      <c r="D846" s="62"/>
      <c r="E846" s="62"/>
    </row>
    <row r="847" spans="4:5" ht="13">
      <c r="D847" s="62"/>
      <c r="E847" s="62"/>
    </row>
    <row r="848" spans="4:5" ht="13">
      <c r="D848" s="62"/>
      <c r="E848" s="62"/>
    </row>
    <row r="849" spans="4:5" ht="13">
      <c r="D849" s="62"/>
      <c r="E849" s="62"/>
    </row>
    <row r="850" spans="4:5" ht="13">
      <c r="D850" s="62"/>
      <c r="E850" s="62"/>
    </row>
    <row r="851" spans="4:5" ht="13">
      <c r="D851" s="62"/>
      <c r="E851" s="62"/>
    </row>
    <row r="852" spans="4:5" ht="13">
      <c r="D852" s="62"/>
      <c r="E852" s="62"/>
    </row>
    <row r="853" spans="4:5" ht="13">
      <c r="D853" s="62"/>
      <c r="E853" s="62"/>
    </row>
    <row r="854" spans="4:5" ht="13">
      <c r="D854" s="62"/>
      <c r="E854" s="62"/>
    </row>
    <row r="855" spans="4:5" ht="13">
      <c r="D855" s="62"/>
      <c r="E855" s="62"/>
    </row>
    <row r="856" spans="4:5" ht="13">
      <c r="D856" s="62"/>
      <c r="E856" s="62"/>
    </row>
    <row r="857" spans="4:5" ht="13">
      <c r="D857" s="62"/>
      <c r="E857" s="62"/>
    </row>
    <row r="858" spans="4:5" ht="13">
      <c r="D858" s="62"/>
      <c r="E858" s="62"/>
    </row>
    <row r="859" spans="4:5" ht="13">
      <c r="D859" s="62"/>
      <c r="E859" s="62"/>
    </row>
    <row r="860" spans="4:5" ht="13">
      <c r="D860" s="62"/>
      <c r="E860" s="62"/>
    </row>
    <row r="861" spans="4:5" ht="13">
      <c r="D861" s="62"/>
      <c r="E861" s="62"/>
    </row>
    <row r="862" spans="4:5" ht="13">
      <c r="D862" s="62"/>
      <c r="E862" s="62"/>
    </row>
    <row r="863" spans="4:5" ht="13">
      <c r="D863" s="62"/>
      <c r="E863" s="62"/>
    </row>
    <row r="864" spans="4:5" ht="13">
      <c r="D864" s="62"/>
      <c r="E864" s="62"/>
    </row>
    <row r="865" spans="4:5" ht="13">
      <c r="D865" s="62"/>
      <c r="E865" s="62"/>
    </row>
    <row r="866" spans="4:5" ht="13">
      <c r="D866" s="62"/>
      <c r="E866" s="62"/>
    </row>
    <row r="867" spans="4:5" ht="13">
      <c r="D867" s="62"/>
      <c r="E867" s="62"/>
    </row>
    <row r="868" spans="4:5" ht="13">
      <c r="D868" s="62"/>
      <c r="E868" s="62"/>
    </row>
    <row r="869" spans="4:5" ht="13">
      <c r="D869" s="62"/>
      <c r="E869" s="62"/>
    </row>
    <row r="870" spans="4:5" ht="13">
      <c r="D870" s="62"/>
      <c r="E870" s="62"/>
    </row>
    <row r="871" spans="4:5" ht="13">
      <c r="D871" s="62"/>
      <c r="E871" s="62"/>
    </row>
    <row r="872" spans="4:5" ht="13">
      <c r="D872" s="62"/>
      <c r="E872" s="62"/>
    </row>
    <row r="873" spans="4:5" ht="13">
      <c r="D873" s="62"/>
      <c r="E873" s="62"/>
    </row>
    <row r="874" spans="4:5" ht="13">
      <c r="D874" s="62"/>
      <c r="E874" s="62"/>
    </row>
    <row r="875" spans="4:5" ht="13">
      <c r="D875" s="62"/>
      <c r="E875" s="62"/>
    </row>
    <row r="876" spans="4:5" ht="13">
      <c r="D876" s="62"/>
      <c r="E876" s="62"/>
    </row>
    <row r="877" spans="4:5" ht="13">
      <c r="D877" s="62"/>
      <c r="E877" s="62"/>
    </row>
    <row r="878" spans="4:5" ht="13">
      <c r="D878" s="62"/>
      <c r="E878" s="62"/>
    </row>
    <row r="879" spans="4:5" ht="13">
      <c r="D879" s="62"/>
      <c r="E879" s="62"/>
    </row>
    <row r="880" spans="4:5" ht="13">
      <c r="D880" s="62"/>
      <c r="E880" s="62"/>
    </row>
    <row r="881" spans="4:5" ht="13">
      <c r="D881" s="62"/>
      <c r="E881" s="62"/>
    </row>
    <row r="882" spans="4:5" ht="13">
      <c r="D882" s="62"/>
      <c r="E882" s="62"/>
    </row>
    <row r="883" spans="4:5" ht="13">
      <c r="D883" s="62"/>
      <c r="E883" s="62"/>
    </row>
    <row r="884" spans="4:5" ht="13">
      <c r="D884" s="62"/>
      <c r="E884" s="62"/>
    </row>
    <row r="885" spans="4:5" ht="13">
      <c r="D885" s="62"/>
      <c r="E885" s="62"/>
    </row>
    <row r="886" spans="4:5" ht="13">
      <c r="D886" s="62"/>
      <c r="E886" s="62"/>
    </row>
    <row r="887" spans="4:5" ht="13">
      <c r="D887" s="62"/>
      <c r="E887" s="62"/>
    </row>
    <row r="888" spans="4:5" ht="13">
      <c r="D888" s="62"/>
      <c r="E888" s="62"/>
    </row>
    <row r="889" spans="4:5" ht="13">
      <c r="D889" s="62"/>
      <c r="E889" s="62"/>
    </row>
    <row r="890" spans="4:5" ht="13">
      <c r="D890" s="62"/>
      <c r="E890" s="62"/>
    </row>
    <row r="891" spans="4:5" ht="13">
      <c r="D891" s="62"/>
      <c r="E891" s="62"/>
    </row>
    <row r="892" spans="4:5" ht="13">
      <c r="D892" s="62"/>
      <c r="E892" s="62"/>
    </row>
    <row r="893" spans="4:5" ht="13">
      <c r="D893" s="62"/>
      <c r="E893" s="62"/>
    </row>
    <row r="894" spans="4:5" ht="13">
      <c r="D894" s="62"/>
      <c r="E894" s="62"/>
    </row>
    <row r="895" spans="4:5" ht="13">
      <c r="D895" s="62"/>
      <c r="E895" s="62"/>
    </row>
    <row r="896" spans="4:5" ht="13">
      <c r="D896" s="62"/>
      <c r="E896" s="62"/>
    </row>
    <row r="897" spans="4:5" ht="13">
      <c r="D897" s="62"/>
      <c r="E897" s="62"/>
    </row>
    <row r="898" spans="4:5" ht="13">
      <c r="D898" s="62"/>
      <c r="E898" s="62"/>
    </row>
    <row r="899" spans="4:5" ht="13">
      <c r="D899" s="62"/>
      <c r="E899" s="62"/>
    </row>
    <row r="900" spans="4:5" ht="13">
      <c r="D900" s="62"/>
      <c r="E900" s="62"/>
    </row>
    <row r="901" spans="4:5" ht="13">
      <c r="D901" s="62"/>
      <c r="E901" s="62"/>
    </row>
    <row r="902" spans="4:5" ht="13">
      <c r="D902" s="62"/>
      <c r="E902" s="62"/>
    </row>
    <row r="903" spans="4:5" ht="13">
      <c r="D903" s="62"/>
      <c r="E903" s="62"/>
    </row>
    <row r="904" spans="4:5" ht="13">
      <c r="D904" s="62"/>
      <c r="E904" s="62"/>
    </row>
    <row r="905" spans="4:5" ht="13">
      <c r="D905" s="62"/>
      <c r="E905" s="62"/>
    </row>
    <row r="906" spans="4:5" ht="13">
      <c r="D906" s="62"/>
      <c r="E906" s="62"/>
    </row>
    <row r="907" spans="4:5" ht="13">
      <c r="D907" s="62"/>
      <c r="E907" s="62"/>
    </row>
    <row r="908" spans="4:5" ht="13">
      <c r="D908" s="62"/>
      <c r="E908" s="62"/>
    </row>
    <row r="909" spans="4:5" ht="13">
      <c r="D909" s="62"/>
      <c r="E909" s="62"/>
    </row>
    <row r="910" spans="4:5" ht="13">
      <c r="D910" s="62"/>
      <c r="E910" s="62"/>
    </row>
    <row r="911" spans="4:5" ht="13">
      <c r="D911" s="62"/>
      <c r="E911" s="62"/>
    </row>
    <row r="912" spans="4:5" ht="13">
      <c r="D912" s="62"/>
      <c r="E912" s="62"/>
    </row>
    <row r="913" spans="4:5" ht="13">
      <c r="D913" s="62"/>
      <c r="E913" s="62"/>
    </row>
    <row r="914" spans="4:5" ht="13">
      <c r="D914" s="62"/>
      <c r="E914" s="62"/>
    </row>
    <row r="915" spans="4:5" ht="13">
      <c r="D915" s="62"/>
      <c r="E915" s="62"/>
    </row>
    <row r="916" spans="4:5" ht="13">
      <c r="D916" s="62"/>
      <c r="E916" s="62"/>
    </row>
    <row r="917" spans="4:5" ht="13">
      <c r="D917" s="62"/>
      <c r="E917" s="62"/>
    </row>
    <row r="918" spans="4:5" ht="13">
      <c r="D918" s="62"/>
      <c r="E918" s="62"/>
    </row>
    <row r="919" spans="4:5" ht="13">
      <c r="D919" s="62"/>
      <c r="E919" s="62"/>
    </row>
    <row r="920" spans="4:5" ht="13">
      <c r="D920" s="62"/>
      <c r="E920" s="62"/>
    </row>
    <row r="921" spans="4:5" ht="13">
      <c r="D921" s="62"/>
      <c r="E921" s="62"/>
    </row>
    <row r="922" spans="4:5" ht="13">
      <c r="D922" s="62"/>
      <c r="E922" s="62"/>
    </row>
    <row r="923" spans="4:5" ht="13">
      <c r="D923" s="62"/>
      <c r="E923" s="62"/>
    </row>
    <row r="924" spans="4:5" ht="13">
      <c r="D924" s="62"/>
      <c r="E924" s="62"/>
    </row>
    <row r="925" spans="4:5" ht="13">
      <c r="D925" s="62"/>
      <c r="E925" s="62"/>
    </row>
    <row r="926" spans="4:5" ht="13">
      <c r="D926" s="62"/>
      <c r="E926" s="62"/>
    </row>
    <row r="927" spans="4:5" ht="13">
      <c r="D927" s="62"/>
      <c r="E927" s="62"/>
    </row>
    <row r="928" spans="4:5" ht="13">
      <c r="D928" s="62"/>
      <c r="E928" s="62"/>
    </row>
    <row r="929" spans="4:5" ht="13">
      <c r="D929" s="62"/>
      <c r="E929" s="62"/>
    </row>
    <row r="930" spans="4:5" ht="13">
      <c r="D930" s="62"/>
      <c r="E930" s="62"/>
    </row>
    <row r="931" spans="4:5" ht="13">
      <c r="D931" s="62"/>
      <c r="E931" s="62"/>
    </row>
    <row r="932" spans="4:5" ht="13">
      <c r="D932" s="62"/>
      <c r="E932" s="62"/>
    </row>
    <row r="933" spans="4:5" ht="13">
      <c r="D933" s="62"/>
      <c r="E933" s="62"/>
    </row>
    <row r="934" spans="4:5" ht="13">
      <c r="D934" s="62"/>
      <c r="E934" s="62"/>
    </row>
    <row r="935" spans="4:5" ht="13">
      <c r="D935" s="62"/>
      <c r="E935" s="62"/>
    </row>
    <row r="936" spans="4:5" ht="13">
      <c r="D936" s="62"/>
      <c r="E936" s="62"/>
    </row>
    <row r="937" spans="4:5" ht="13">
      <c r="D937" s="62"/>
      <c r="E937" s="62"/>
    </row>
    <row r="938" spans="4:5" ht="13">
      <c r="D938" s="62"/>
      <c r="E938" s="62"/>
    </row>
    <row r="939" spans="4:5" ht="13">
      <c r="D939" s="62"/>
      <c r="E939" s="62"/>
    </row>
    <row r="940" spans="4:5" ht="13">
      <c r="D940" s="62"/>
      <c r="E940" s="62"/>
    </row>
    <row r="941" spans="4:5" ht="13">
      <c r="D941" s="62"/>
      <c r="E941" s="62"/>
    </row>
    <row r="942" spans="4:5" ht="13">
      <c r="D942" s="62"/>
      <c r="E942" s="62"/>
    </row>
    <row r="943" spans="4:5" ht="13">
      <c r="D943" s="62"/>
      <c r="E943" s="62"/>
    </row>
    <row r="944" spans="4:5" ht="13">
      <c r="D944" s="62"/>
      <c r="E944" s="62"/>
    </row>
    <row r="945" spans="4:5" ht="13">
      <c r="D945" s="62"/>
      <c r="E945" s="62"/>
    </row>
    <row r="946" spans="4:5" ht="13">
      <c r="D946" s="62"/>
      <c r="E946" s="62"/>
    </row>
    <row r="947" spans="4:5" ht="13">
      <c r="D947" s="62"/>
      <c r="E947" s="62"/>
    </row>
    <row r="948" spans="4:5" ht="13">
      <c r="D948" s="62"/>
      <c r="E948" s="62"/>
    </row>
    <row r="949" spans="4:5" ht="13">
      <c r="D949" s="62"/>
      <c r="E949" s="62"/>
    </row>
    <row r="950" spans="4:5" ht="13">
      <c r="D950" s="62"/>
      <c r="E950" s="62"/>
    </row>
    <row r="951" spans="4:5" ht="13">
      <c r="D951" s="62"/>
      <c r="E951" s="62"/>
    </row>
    <row r="952" spans="4:5" ht="13">
      <c r="D952" s="62"/>
      <c r="E952" s="62"/>
    </row>
    <row r="953" spans="4:5" ht="13">
      <c r="D953" s="62"/>
      <c r="E953" s="62"/>
    </row>
    <row r="954" spans="4:5" ht="13">
      <c r="D954" s="62"/>
      <c r="E954" s="62"/>
    </row>
    <row r="955" spans="4:5" ht="13">
      <c r="D955" s="62"/>
      <c r="E955" s="62"/>
    </row>
    <row r="956" spans="4:5" ht="13">
      <c r="D956" s="62"/>
      <c r="E956" s="62"/>
    </row>
    <row r="957" spans="4:5" ht="13">
      <c r="D957" s="62"/>
      <c r="E957" s="62"/>
    </row>
    <row r="958" spans="4:5" ht="13">
      <c r="D958" s="62"/>
      <c r="E958" s="62"/>
    </row>
    <row r="959" spans="4:5" ht="13">
      <c r="D959" s="62"/>
      <c r="E959" s="62"/>
    </row>
    <row r="960" spans="4:5" ht="13">
      <c r="D960" s="62"/>
      <c r="E960" s="62"/>
    </row>
    <row r="961" spans="4:5" ht="13">
      <c r="D961" s="62"/>
      <c r="E961" s="62"/>
    </row>
    <row r="962" spans="4:5" ht="13">
      <c r="D962" s="62"/>
      <c r="E962" s="62"/>
    </row>
    <row r="963" spans="4:5" ht="13">
      <c r="D963" s="62"/>
      <c r="E963" s="62"/>
    </row>
    <row r="964" spans="4:5" ht="13">
      <c r="D964" s="62"/>
      <c r="E964" s="62"/>
    </row>
    <row r="965" spans="4:5" ht="13">
      <c r="D965" s="62"/>
      <c r="E965" s="62"/>
    </row>
    <row r="966" spans="4:5" ht="13">
      <c r="D966" s="62"/>
      <c r="E966" s="62"/>
    </row>
    <row r="967" spans="4:5" ht="13">
      <c r="D967" s="62"/>
      <c r="E967" s="62"/>
    </row>
    <row r="968" spans="4:5" ht="13">
      <c r="D968" s="62"/>
      <c r="E968" s="62"/>
    </row>
    <row r="969" spans="4:5" ht="13">
      <c r="D969" s="62"/>
      <c r="E969" s="62"/>
    </row>
    <row r="970" spans="4:5" ht="13">
      <c r="D970" s="62"/>
      <c r="E970" s="62"/>
    </row>
    <row r="971" spans="4:5" ht="13">
      <c r="D971" s="62"/>
      <c r="E971" s="62"/>
    </row>
    <row r="972" spans="4:5" ht="13">
      <c r="D972" s="62"/>
      <c r="E972" s="62"/>
    </row>
    <row r="973" spans="4:5" ht="13">
      <c r="D973" s="62"/>
      <c r="E973" s="62"/>
    </row>
    <row r="974" spans="4:5" ht="13">
      <c r="D974" s="62"/>
      <c r="E974" s="62"/>
    </row>
    <row r="975" spans="4:5" ht="13">
      <c r="D975" s="62"/>
      <c r="E975" s="62"/>
    </row>
    <row r="976" spans="4:5" ht="13">
      <c r="D976" s="62"/>
      <c r="E976" s="62"/>
    </row>
    <row r="977" spans="4:5" ht="13">
      <c r="D977" s="62"/>
      <c r="E977" s="62"/>
    </row>
    <row r="978" spans="4:5" ht="13">
      <c r="D978" s="62"/>
      <c r="E978" s="62"/>
    </row>
    <row r="979" spans="4:5" ht="13">
      <c r="D979" s="62"/>
      <c r="E979" s="62"/>
    </row>
    <row r="980" spans="4:5" ht="13">
      <c r="D980" s="62"/>
      <c r="E980" s="62"/>
    </row>
    <row r="981" spans="4:5" ht="13">
      <c r="D981" s="62"/>
      <c r="E981" s="62"/>
    </row>
    <row r="982" spans="4:5" ht="13">
      <c r="D982" s="62"/>
      <c r="E982" s="62"/>
    </row>
    <row r="983" spans="4:5" ht="13">
      <c r="D983" s="62"/>
      <c r="E983" s="62"/>
    </row>
    <row r="984" spans="4:5" ht="13">
      <c r="D984" s="62"/>
      <c r="E984" s="62"/>
    </row>
    <row r="985" spans="4:5" ht="13">
      <c r="D985" s="62"/>
      <c r="E985" s="62"/>
    </row>
    <row r="986" spans="4:5" ht="13">
      <c r="D986" s="62"/>
      <c r="E986" s="62"/>
    </row>
    <row r="987" spans="4:5" ht="13">
      <c r="D987" s="62"/>
      <c r="E987" s="62"/>
    </row>
    <row r="988" spans="4:5" ht="13">
      <c r="D988" s="62"/>
      <c r="E988" s="62"/>
    </row>
    <row r="989" spans="4:5" ht="13">
      <c r="D989" s="62"/>
      <c r="E989" s="62"/>
    </row>
    <row r="990" spans="4:5" ht="13">
      <c r="D990" s="62"/>
      <c r="E990" s="62"/>
    </row>
    <row r="991" spans="4:5" ht="13">
      <c r="D991" s="62"/>
      <c r="E991" s="62"/>
    </row>
    <row r="992" spans="4:5" ht="13">
      <c r="D992" s="62"/>
      <c r="E992" s="62"/>
    </row>
    <row r="993" spans="4:5" ht="13">
      <c r="D993" s="62"/>
      <c r="E993" s="62"/>
    </row>
    <row r="994" spans="4:5" ht="13">
      <c r="D994" s="62"/>
      <c r="E994" s="62"/>
    </row>
    <row r="995" spans="4:5" ht="13">
      <c r="D995" s="62"/>
      <c r="E995" s="62"/>
    </row>
    <row r="996" spans="4:5" ht="13">
      <c r="D996" s="62"/>
      <c r="E996" s="62"/>
    </row>
    <row r="997" spans="4:5" ht="13">
      <c r="D997" s="62"/>
      <c r="E997" s="62"/>
    </row>
    <row r="998" spans="4:5" ht="13">
      <c r="D998" s="62"/>
      <c r="E998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Lookups!$A$1:$A$6</xm:f>
          </x14:formula1>
          <xm:sqref>B2:B198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997"/>
  <sheetViews>
    <sheetView workbookViewId="0"/>
  </sheetViews>
  <sheetFormatPr baseColWidth="10" defaultColWidth="12.6640625" defaultRowHeight="15.75" customHeight="1"/>
  <cols>
    <col min="1" max="1" width="17.83203125" customWidth="1"/>
    <col min="2" max="2" width="17.6640625" customWidth="1"/>
    <col min="3" max="3" width="35.6640625" customWidth="1"/>
    <col min="4" max="4" width="13" customWidth="1"/>
    <col min="5" max="5" width="13.1640625" customWidth="1"/>
    <col min="6" max="6" width="31.6640625" customWidth="1"/>
    <col min="7" max="7" width="8.1640625" customWidth="1"/>
  </cols>
  <sheetData>
    <row r="1" spans="1:26" ht="13">
      <c r="A1" s="1" t="s">
        <v>1184</v>
      </c>
      <c r="B1" s="1" t="s">
        <v>1</v>
      </c>
      <c r="C1" s="57" t="s">
        <v>2</v>
      </c>
      <c r="D1" s="58" t="s">
        <v>3</v>
      </c>
      <c r="E1" s="59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6" t="s">
        <v>8</v>
      </c>
      <c r="B2" s="6" t="s">
        <v>9</v>
      </c>
      <c r="C2" s="60" t="s">
        <v>10</v>
      </c>
      <c r="D2" s="61">
        <f ca="1">IFERROR(__xludf.DUMMYFUNCTION("SPLIT(C2,"","")"),57.0482555)</f>
        <v>57.048255500000003</v>
      </c>
      <c r="E2" s="62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 ht="13">
      <c r="A3" s="11" t="s">
        <v>1185</v>
      </c>
      <c r="B3" s="11" t="s">
        <v>1065</v>
      </c>
      <c r="C3" s="11" t="s">
        <v>1186</v>
      </c>
      <c r="D3" s="61">
        <f ca="1">IFERROR(__xludf.DUMMYFUNCTION("SPLIT(C3,"","")"),56.2280642)</f>
        <v>56.228064199999999</v>
      </c>
      <c r="E3" s="62">
        <f ca="1">IFERROR(__xludf.DUMMYFUNCTION("""COMPUTED_VALUE"""),10.7174371)</f>
        <v>10.7174371</v>
      </c>
      <c r="F3" s="11" t="s">
        <v>1187</v>
      </c>
      <c r="G3" s="11">
        <v>4</v>
      </c>
    </row>
    <row r="4" spans="1:26" ht="13">
      <c r="A4" s="11" t="s">
        <v>688</v>
      </c>
      <c r="B4" s="11" t="s">
        <v>51</v>
      </c>
      <c r="C4" s="11" t="s">
        <v>1188</v>
      </c>
      <c r="D4" s="61">
        <f ca="1">IFERROR(__xludf.DUMMYFUNCTION("SPLIT(C4,"","")"),56.0887158)</f>
        <v>56.088715800000003</v>
      </c>
      <c r="E4" s="62">
        <f ca="1">IFERROR(__xludf.DUMMYFUNCTION("""COMPUTED_VALUE"""),10.221313)</f>
        <v>10.221313</v>
      </c>
      <c r="F4" s="11" t="s">
        <v>1189</v>
      </c>
      <c r="G4" s="11">
        <v>5</v>
      </c>
    </row>
    <row r="5" spans="1:26" ht="13">
      <c r="A5" s="11" t="s">
        <v>724</v>
      </c>
      <c r="B5" s="11" t="s">
        <v>17</v>
      </c>
      <c r="C5" s="11" t="s">
        <v>1190</v>
      </c>
      <c r="D5" s="61">
        <f ca="1">IFERROR(__xludf.DUMMYFUNCTION("SPLIT(C5,"","")"),55.6736871)</f>
        <v>55.673687100000002</v>
      </c>
      <c r="E5" s="62">
        <f ca="1">IFERROR(__xludf.DUMMYFUNCTION("""COMPUTED_VALUE"""),12.5659584)</f>
        <v>12.5659584</v>
      </c>
      <c r="F5" s="11" t="s">
        <v>1191</v>
      </c>
      <c r="G5" s="11">
        <v>5</v>
      </c>
    </row>
    <row r="6" spans="1:26" ht="13">
      <c r="A6" s="11" t="s">
        <v>1087</v>
      </c>
      <c r="B6" s="11" t="s">
        <v>9</v>
      </c>
      <c r="C6" s="11" t="s">
        <v>1088</v>
      </c>
      <c r="D6" s="61">
        <f ca="1">IFERROR(__xludf.DUMMYFUNCTION("SPLIT(C6,"","")"),56.1569652)</f>
        <v>56.156965200000002</v>
      </c>
      <c r="E6" s="62">
        <f ca="1">IFERROR(__xludf.DUMMYFUNCTION("""COMPUTED_VALUE"""),9.9446105)</f>
        <v>9.9446104999999996</v>
      </c>
      <c r="F6" s="11" t="s">
        <v>1192</v>
      </c>
    </row>
    <row r="7" spans="1:26" ht="13">
      <c r="A7" s="11" t="s">
        <v>1193</v>
      </c>
      <c r="B7" s="11" t="s">
        <v>23</v>
      </c>
      <c r="C7" s="11" t="s">
        <v>1194</v>
      </c>
      <c r="D7" s="61">
        <f ca="1">IFERROR(__xludf.DUMMYFUNCTION("SPLIT(C7,"","")"),55.9381974)</f>
        <v>55.9381974</v>
      </c>
      <c r="E7" s="62">
        <f ca="1">IFERROR(__xludf.DUMMYFUNCTION("""COMPUTED_VALUE"""),8.7300809)</f>
        <v>8.7300809000000008</v>
      </c>
      <c r="F7" s="11" t="s">
        <v>1195</v>
      </c>
      <c r="G7" s="11">
        <v>1</v>
      </c>
    </row>
    <row r="8" spans="1:26" ht="13">
      <c r="A8" s="11" t="s">
        <v>243</v>
      </c>
      <c r="B8" s="11" t="s">
        <v>51</v>
      </c>
      <c r="C8" s="11" t="s">
        <v>52</v>
      </c>
      <c r="D8" s="61">
        <f ca="1">IFERROR(__xludf.DUMMYFUNCTION("SPLIT(C8,"","")"),56.1587826)</f>
        <v>56.158782600000002</v>
      </c>
      <c r="E8" s="62">
        <f ca="1">IFERROR(__xludf.DUMMYFUNCTION("""COMPUTED_VALUE"""),10.1899265)</f>
        <v>10.1899265</v>
      </c>
      <c r="F8" s="11" t="s">
        <v>1196</v>
      </c>
      <c r="G8" s="11">
        <v>4</v>
      </c>
    </row>
    <row r="9" spans="1:26" ht="13">
      <c r="A9" s="11" t="s">
        <v>1197</v>
      </c>
      <c r="B9" s="11" t="s">
        <v>17</v>
      </c>
      <c r="C9" s="11" t="s">
        <v>1198</v>
      </c>
      <c r="D9" s="61">
        <f ca="1">IFERROR(__xludf.DUMMYFUNCTION("SPLIT(C9,"","")"),56.1720435)</f>
        <v>56.172043500000001</v>
      </c>
      <c r="E9" s="62">
        <f ca="1">IFERROR(__xludf.DUMMYFUNCTION("""COMPUTED_VALUE"""),10.2002921)</f>
        <v>10.2002921</v>
      </c>
      <c r="F9" s="11" t="s">
        <v>1199</v>
      </c>
      <c r="G9" s="11">
        <v>5</v>
      </c>
    </row>
    <row r="10" spans="1:26" ht="13">
      <c r="A10" s="11" t="s">
        <v>1200</v>
      </c>
      <c r="B10" s="11" t="s">
        <v>1201</v>
      </c>
      <c r="C10" s="11" t="s">
        <v>1202</v>
      </c>
      <c r="D10" s="61">
        <f ca="1">IFERROR(__xludf.DUMMYFUNCTION("SPLIT(C10,"","")"),56.1323273)</f>
        <v>56.1323273</v>
      </c>
      <c r="E10" s="62">
        <f ca="1">IFERROR(__xludf.DUMMYFUNCTION("""COMPUTED_VALUE"""),10.1465997)</f>
        <v>10.146599699999999</v>
      </c>
      <c r="F10" s="11" t="s">
        <v>1203</v>
      </c>
      <c r="G10" s="11">
        <v>5</v>
      </c>
    </row>
    <row r="11" spans="1:26" ht="13">
      <c r="A11" s="11" t="s">
        <v>1204</v>
      </c>
      <c r="B11" s="11" t="s">
        <v>1205</v>
      </c>
      <c r="C11" s="11" t="s">
        <v>1206</v>
      </c>
      <c r="D11" s="11">
        <v>56.370410999999997</v>
      </c>
      <c r="E11" s="25">
        <v>8.6048591999999999</v>
      </c>
      <c r="F11" s="11" t="s">
        <v>1207</v>
      </c>
      <c r="G11" s="11">
        <v>1</v>
      </c>
    </row>
    <row r="12" spans="1:26" ht="13">
      <c r="B12" s="11"/>
      <c r="D12" s="63"/>
      <c r="E12" s="62"/>
    </row>
    <row r="13" spans="1:26" ht="13">
      <c r="B13" s="11"/>
      <c r="D13" s="63"/>
      <c r="E13" s="62"/>
    </row>
    <row r="14" spans="1:26" ht="13">
      <c r="B14" s="11"/>
      <c r="D14" s="63"/>
      <c r="E14" s="62"/>
    </row>
    <row r="15" spans="1:26" ht="13">
      <c r="B15" s="11"/>
      <c r="D15" s="63"/>
      <c r="E15" s="62"/>
    </row>
    <row r="16" spans="1:26" ht="13">
      <c r="B16" s="11"/>
      <c r="D16" s="63"/>
      <c r="E16" s="62"/>
    </row>
    <row r="17" spans="2:5" ht="13">
      <c r="B17" s="11"/>
      <c r="D17" s="63"/>
      <c r="E17" s="62"/>
    </row>
    <row r="18" spans="2:5" ht="13">
      <c r="B18" s="11"/>
      <c r="D18" s="63"/>
      <c r="E18" s="62"/>
    </row>
    <row r="19" spans="2:5" ht="13">
      <c r="B19" s="11"/>
      <c r="D19" s="63"/>
      <c r="E19" s="62"/>
    </row>
    <row r="20" spans="2:5" ht="13">
      <c r="B20" s="11"/>
      <c r="D20" s="63"/>
      <c r="E20" s="62"/>
    </row>
    <row r="21" spans="2:5" ht="13">
      <c r="B21" s="11"/>
      <c r="D21" s="63"/>
      <c r="E21" s="62"/>
    </row>
    <row r="22" spans="2:5" ht="13">
      <c r="B22" s="11"/>
      <c r="D22" s="63"/>
      <c r="E22" s="62"/>
    </row>
    <row r="23" spans="2:5" ht="13">
      <c r="B23" s="11"/>
      <c r="D23" s="63"/>
      <c r="E23" s="62"/>
    </row>
    <row r="24" spans="2:5" ht="13">
      <c r="B24" s="11"/>
      <c r="D24" s="63"/>
      <c r="E24" s="62"/>
    </row>
    <row r="25" spans="2:5" ht="13">
      <c r="B25" s="11"/>
      <c r="D25" s="63"/>
      <c r="E25" s="62"/>
    </row>
    <row r="26" spans="2:5" ht="13">
      <c r="B26" s="11"/>
      <c r="D26" s="63"/>
      <c r="E26" s="62"/>
    </row>
    <row r="27" spans="2:5" ht="13">
      <c r="B27" s="11"/>
      <c r="D27" s="63"/>
      <c r="E27" s="62"/>
    </row>
    <row r="28" spans="2:5" ht="13">
      <c r="B28" s="11"/>
      <c r="D28" s="63"/>
      <c r="E28" s="62"/>
    </row>
    <row r="29" spans="2:5" ht="13">
      <c r="B29" s="11"/>
      <c r="D29" s="63"/>
      <c r="E29" s="62"/>
    </row>
    <row r="30" spans="2:5" ht="13">
      <c r="B30" s="11"/>
      <c r="D30" s="63"/>
      <c r="E30" s="62"/>
    </row>
    <row r="31" spans="2:5" ht="13">
      <c r="B31" s="11"/>
      <c r="D31" s="63"/>
      <c r="E31" s="62"/>
    </row>
    <row r="32" spans="2:5" ht="13">
      <c r="B32" s="11"/>
      <c r="D32" s="63"/>
      <c r="E32" s="62"/>
    </row>
    <row r="33" spans="2:5" ht="13">
      <c r="B33" s="11"/>
      <c r="D33" s="63"/>
      <c r="E33" s="62"/>
    </row>
    <row r="34" spans="2:5" ht="13">
      <c r="B34" s="11"/>
      <c r="D34" s="63"/>
      <c r="E34" s="62"/>
    </row>
    <row r="35" spans="2:5" ht="13">
      <c r="B35" s="11"/>
      <c r="D35" s="63" t="str">
        <f ca="1">IFERROR(__xludf.DUMMYFUNCTION("SPLIT(C35,"","")"),"#VALUE!")</f>
        <v>#VALUE!</v>
      </c>
      <c r="E35" s="62"/>
    </row>
    <row r="36" spans="2:5" ht="13">
      <c r="B36" s="11"/>
      <c r="D36" s="63" t="str">
        <f ca="1">IFERROR(__xludf.DUMMYFUNCTION("SPLIT(C36,"","")"),"#VALUE!")</f>
        <v>#VALUE!</v>
      </c>
      <c r="E36" s="62"/>
    </row>
    <row r="37" spans="2:5" ht="13">
      <c r="B37" s="11"/>
      <c r="D37" s="63" t="str">
        <f ca="1">IFERROR(__xludf.DUMMYFUNCTION("SPLIT(C37,"","")"),"#VALUE!")</f>
        <v>#VALUE!</v>
      </c>
      <c r="E37" s="62"/>
    </row>
    <row r="38" spans="2:5" ht="13">
      <c r="B38" s="11"/>
      <c r="D38" s="63" t="str">
        <f ca="1">IFERROR(__xludf.DUMMYFUNCTION("SPLIT(C38,"","")"),"#VALUE!")</f>
        <v>#VALUE!</v>
      </c>
      <c r="E38" s="62"/>
    </row>
    <row r="39" spans="2:5" ht="13">
      <c r="B39" s="11"/>
      <c r="D39" s="63" t="str">
        <f ca="1">IFERROR(__xludf.DUMMYFUNCTION("SPLIT(C39,"","")"),"#VALUE!")</f>
        <v>#VALUE!</v>
      </c>
      <c r="E39" s="62"/>
    </row>
    <row r="40" spans="2:5" ht="13">
      <c r="B40" s="11"/>
      <c r="D40" s="63" t="str">
        <f ca="1">IFERROR(__xludf.DUMMYFUNCTION("SPLIT(C40,"","")"),"#VALUE!")</f>
        <v>#VALUE!</v>
      </c>
      <c r="E40" s="62"/>
    </row>
    <row r="41" spans="2:5" ht="13">
      <c r="B41" s="11"/>
      <c r="D41" s="63" t="str">
        <f ca="1">IFERROR(__xludf.DUMMYFUNCTION("SPLIT(C41,"","")"),"#VALUE!")</f>
        <v>#VALUE!</v>
      </c>
      <c r="E41" s="62"/>
    </row>
    <row r="42" spans="2:5" ht="13">
      <c r="B42" s="11"/>
      <c r="D42" s="63" t="str">
        <f ca="1">IFERROR(__xludf.DUMMYFUNCTION("SPLIT(C42,"","")"),"#VALUE!")</f>
        <v>#VALUE!</v>
      </c>
      <c r="E42" s="62"/>
    </row>
    <row r="43" spans="2:5" ht="13">
      <c r="B43" s="11"/>
      <c r="D43" s="63" t="str">
        <f ca="1">IFERROR(__xludf.DUMMYFUNCTION("SPLIT(C43,"","")"),"#VALUE!")</f>
        <v>#VALUE!</v>
      </c>
      <c r="E43" s="62"/>
    </row>
    <row r="44" spans="2:5" ht="13">
      <c r="B44" s="11"/>
      <c r="D44" s="63" t="str">
        <f ca="1">IFERROR(__xludf.DUMMYFUNCTION("SPLIT(C44,"","")"),"#VALUE!")</f>
        <v>#VALUE!</v>
      </c>
      <c r="E44" s="62"/>
    </row>
    <row r="45" spans="2:5" ht="13">
      <c r="B45" s="11"/>
      <c r="D45" s="63" t="str">
        <f ca="1">IFERROR(__xludf.DUMMYFUNCTION("SPLIT(C45,"","")"),"#VALUE!")</f>
        <v>#VALUE!</v>
      </c>
      <c r="E45" s="62"/>
    </row>
    <row r="46" spans="2:5" ht="13">
      <c r="B46" s="11"/>
      <c r="D46" s="63" t="str">
        <f ca="1">IFERROR(__xludf.DUMMYFUNCTION("SPLIT(C46,"","")"),"#VALUE!")</f>
        <v>#VALUE!</v>
      </c>
      <c r="E46" s="62"/>
    </row>
    <row r="47" spans="2:5" ht="13">
      <c r="B47" s="11"/>
      <c r="D47" s="63" t="str">
        <f ca="1">IFERROR(__xludf.DUMMYFUNCTION("SPLIT(C47,"","")"),"#VALUE!")</f>
        <v>#VALUE!</v>
      </c>
      <c r="E47" s="62"/>
    </row>
    <row r="48" spans="2:5" ht="13">
      <c r="B48" s="11"/>
      <c r="D48" s="63" t="str">
        <f ca="1">IFERROR(__xludf.DUMMYFUNCTION("SPLIT(C48,"","")"),"#VALUE!")</f>
        <v>#VALUE!</v>
      </c>
      <c r="E48" s="62"/>
    </row>
    <row r="49" spans="2:5" ht="13">
      <c r="B49" s="11"/>
      <c r="D49" s="63" t="str">
        <f ca="1">IFERROR(__xludf.DUMMYFUNCTION("SPLIT(C49,"","")"),"#VALUE!")</f>
        <v>#VALUE!</v>
      </c>
      <c r="E49" s="62"/>
    </row>
    <row r="50" spans="2:5" ht="13">
      <c r="B50" s="11"/>
      <c r="D50" s="63" t="str">
        <f ca="1">IFERROR(__xludf.DUMMYFUNCTION("SPLIT(C50,"","")"),"#VALUE!")</f>
        <v>#VALUE!</v>
      </c>
      <c r="E50" s="62"/>
    </row>
    <row r="51" spans="2:5" ht="13">
      <c r="B51" s="11"/>
      <c r="D51" s="63" t="str">
        <f ca="1">IFERROR(__xludf.DUMMYFUNCTION("SPLIT(C51,"","")"),"#VALUE!")</f>
        <v>#VALUE!</v>
      </c>
      <c r="E51" s="62"/>
    </row>
    <row r="52" spans="2:5" ht="13">
      <c r="B52" s="11"/>
      <c r="D52" s="63" t="str">
        <f ca="1">IFERROR(__xludf.DUMMYFUNCTION("SPLIT(C52,"","")"),"#VALUE!")</f>
        <v>#VALUE!</v>
      </c>
      <c r="E52" s="62"/>
    </row>
    <row r="53" spans="2:5" ht="13">
      <c r="B53" s="11"/>
      <c r="D53" s="63" t="str">
        <f ca="1">IFERROR(__xludf.DUMMYFUNCTION("SPLIT(C53,"","")"),"#VALUE!")</f>
        <v>#VALUE!</v>
      </c>
      <c r="E53" s="62"/>
    </row>
    <row r="54" spans="2:5" ht="13">
      <c r="B54" s="11"/>
      <c r="D54" s="63" t="str">
        <f ca="1">IFERROR(__xludf.DUMMYFUNCTION("SPLIT(C54,"","")"),"#VALUE!")</f>
        <v>#VALUE!</v>
      </c>
      <c r="E54" s="62"/>
    </row>
    <row r="55" spans="2:5" ht="13">
      <c r="B55" s="11"/>
      <c r="D55" s="63" t="str">
        <f ca="1">IFERROR(__xludf.DUMMYFUNCTION("SPLIT(C55,"","")"),"#VALUE!")</f>
        <v>#VALUE!</v>
      </c>
      <c r="E55" s="62"/>
    </row>
    <row r="56" spans="2:5" ht="13">
      <c r="B56" s="11"/>
      <c r="D56" s="63" t="str">
        <f ca="1">IFERROR(__xludf.DUMMYFUNCTION("SPLIT(C56,"","")"),"#VALUE!")</f>
        <v>#VALUE!</v>
      </c>
      <c r="E56" s="62"/>
    </row>
    <row r="57" spans="2:5" ht="13">
      <c r="B57" s="11"/>
      <c r="D57" s="63" t="str">
        <f ca="1">IFERROR(__xludf.DUMMYFUNCTION("SPLIT(C57,"","")"),"#VALUE!")</f>
        <v>#VALUE!</v>
      </c>
      <c r="E57" s="62"/>
    </row>
    <row r="58" spans="2:5" ht="13">
      <c r="B58" s="11"/>
      <c r="D58" s="63" t="str">
        <f ca="1">IFERROR(__xludf.DUMMYFUNCTION("SPLIT(C58,"","")"),"#VALUE!")</f>
        <v>#VALUE!</v>
      </c>
      <c r="E58" s="62"/>
    </row>
    <row r="59" spans="2:5" ht="13">
      <c r="B59" s="11"/>
      <c r="D59" s="63" t="str">
        <f ca="1">IFERROR(__xludf.DUMMYFUNCTION("SPLIT(C59,"","")"),"#VALUE!")</f>
        <v>#VALUE!</v>
      </c>
      <c r="E59" s="62"/>
    </row>
    <row r="60" spans="2:5" ht="13">
      <c r="B60" s="11"/>
      <c r="D60" s="63" t="str">
        <f ca="1">IFERROR(__xludf.DUMMYFUNCTION("SPLIT(C60,"","")"),"#VALUE!")</f>
        <v>#VALUE!</v>
      </c>
      <c r="E60" s="62"/>
    </row>
    <row r="61" spans="2:5" ht="13">
      <c r="B61" s="11"/>
      <c r="D61" s="63" t="str">
        <f ca="1">IFERROR(__xludf.DUMMYFUNCTION("SPLIT(C61,"","")"),"#VALUE!")</f>
        <v>#VALUE!</v>
      </c>
      <c r="E61" s="62"/>
    </row>
    <row r="62" spans="2:5" ht="13">
      <c r="B62" s="11"/>
      <c r="D62" s="63" t="str">
        <f ca="1">IFERROR(__xludf.DUMMYFUNCTION("SPLIT(C62,"","")"),"#VALUE!")</f>
        <v>#VALUE!</v>
      </c>
      <c r="E62" s="62"/>
    </row>
    <row r="63" spans="2:5" ht="13">
      <c r="B63" s="11"/>
      <c r="D63" s="63" t="str">
        <f ca="1">IFERROR(__xludf.DUMMYFUNCTION("SPLIT(C63,"","")"),"#VALUE!")</f>
        <v>#VALUE!</v>
      </c>
      <c r="E63" s="62"/>
    </row>
    <row r="64" spans="2:5" ht="13">
      <c r="B64" s="11"/>
      <c r="D64" s="62"/>
      <c r="E64" s="62"/>
    </row>
    <row r="65" spans="2:5" ht="13">
      <c r="B65" s="11"/>
      <c r="D65" s="62"/>
      <c r="E65" s="62"/>
    </row>
    <row r="66" spans="2:5" ht="13">
      <c r="B66" s="11"/>
      <c r="D66" s="62"/>
      <c r="E66" s="62"/>
    </row>
    <row r="67" spans="2:5" ht="13">
      <c r="B67" s="11"/>
      <c r="D67" s="62"/>
      <c r="E67" s="62"/>
    </row>
    <row r="68" spans="2:5" ht="13">
      <c r="B68" s="11"/>
      <c r="D68" s="62"/>
      <c r="E68" s="62"/>
    </row>
    <row r="69" spans="2:5" ht="13">
      <c r="B69" s="11"/>
      <c r="D69" s="62"/>
      <c r="E69" s="62"/>
    </row>
    <row r="70" spans="2:5" ht="13">
      <c r="B70" s="11"/>
      <c r="D70" s="62"/>
      <c r="E70" s="62"/>
    </row>
    <row r="71" spans="2:5" ht="13">
      <c r="B71" s="11"/>
      <c r="D71" s="62"/>
      <c r="E71" s="62"/>
    </row>
    <row r="72" spans="2:5" ht="13">
      <c r="B72" s="11"/>
      <c r="D72" s="62"/>
      <c r="E72" s="62"/>
    </row>
    <row r="73" spans="2:5" ht="13">
      <c r="B73" s="11"/>
      <c r="D73" s="62"/>
      <c r="E73" s="62"/>
    </row>
    <row r="74" spans="2:5" ht="13">
      <c r="B74" s="11"/>
      <c r="D74" s="62"/>
      <c r="E74" s="62"/>
    </row>
    <row r="75" spans="2:5" ht="13">
      <c r="B75" s="11"/>
      <c r="D75" s="62"/>
      <c r="E75" s="62"/>
    </row>
    <row r="76" spans="2:5" ht="13">
      <c r="B76" s="11"/>
      <c r="D76" s="62"/>
      <c r="E76" s="62"/>
    </row>
    <row r="77" spans="2:5" ht="13">
      <c r="B77" s="11"/>
      <c r="D77" s="62"/>
      <c r="E77" s="62"/>
    </row>
    <row r="78" spans="2:5" ht="13">
      <c r="B78" s="11"/>
      <c r="D78" s="62"/>
      <c r="E78" s="62"/>
    </row>
    <row r="79" spans="2:5" ht="13">
      <c r="B79" s="11"/>
      <c r="D79" s="62"/>
      <c r="E79" s="62"/>
    </row>
    <row r="80" spans="2:5" ht="13">
      <c r="B80" s="11"/>
      <c r="D80" s="62"/>
      <c r="E80" s="62"/>
    </row>
    <row r="81" spans="2:5" ht="13">
      <c r="B81" s="11"/>
      <c r="D81" s="62"/>
      <c r="E81" s="62"/>
    </row>
    <row r="82" spans="2:5" ht="13">
      <c r="B82" s="11"/>
      <c r="D82" s="62"/>
      <c r="E82" s="62"/>
    </row>
    <row r="83" spans="2:5" ht="13">
      <c r="B83" s="11"/>
      <c r="D83" s="62"/>
      <c r="E83" s="62"/>
    </row>
    <row r="84" spans="2:5" ht="13">
      <c r="B84" s="11"/>
      <c r="D84" s="62"/>
      <c r="E84" s="62"/>
    </row>
    <row r="85" spans="2:5" ht="13">
      <c r="B85" s="11"/>
      <c r="D85" s="62"/>
      <c r="E85" s="62"/>
    </row>
    <row r="86" spans="2:5" ht="13">
      <c r="B86" s="11"/>
      <c r="D86" s="62"/>
      <c r="E86" s="62"/>
    </row>
    <row r="87" spans="2:5" ht="13">
      <c r="B87" s="11"/>
      <c r="D87" s="62"/>
      <c r="E87" s="62"/>
    </row>
    <row r="88" spans="2:5" ht="13">
      <c r="B88" s="11"/>
      <c r="D88" s="62"/>
      <c r="E88" s="62"/>
    </row>
    <row r="89" spans="2:5" ht="13">
      <c r="B89" s="11"/>
      <c r="D89" s="62"/>
      <c r="E89" s="62"/>
    </row>
    <row r="90" spans="2:5" ht="13">
      <c r="B90" s="11"/>
      <c r="D90" s="62"/>
      <c r="E90" s="62"/>
    </row>
    <row r="91" spans="2:5" ht="13">
      <c r="B91" s="11"/>
      <c r="D91" s="62"/>
      <c r="E91" s="62"/>
    </row>
    <row r="92" spans="2:5" ht="13">
      <c r="B92" s="11"/>
      <c r="D92" s="62"/>
      <c r="E92" s="62"/>
    </row>
    <row r="93" spans="2:5" ht="13">
      <c r="B93" s="11"/>
      <c r="D93" s="62"/>
      <c r="E93" s="62"/>
    </row>
    <row r="94" spans="2:5" ht="13">
      <c r="B94" s="11"/>
      <c r="D94" s="62"/>
      <c r="E94" s="62"/>
    </row>
    <row r="95" spans="2:5" ht="13">
      <c r="B95" s="11"/>
      <c r="D95" s="62"/>
      <c r="E95" s="62"/>
    </row>
    <row r="96" spans="2:5" ht="13">
      <c r="B96" s="11"/>
      <c r="D96" s="62"/>
      <c r="E96" s="62"/>
    </row>
    <row r="97" spans="2:5" ht="13">
      <c r="B97" s="11"/>
      <c r="D97" s="62"/>
      <c r="E97" s="62"/>
    </row>
    <row r="98" spans="2:5" ht="13">
      <c r="B98" s="11"/>
      <c r="D98" s="62"/>
      <c r="E98" s="62"/>
    </row>
    <row r="99" spans="2:5" ht="13">
      <c r="B99" s="11"/>
      <c r="D99" s="62"/>
      <c r="E99" s="62"/>
    </row>
    <row r="100" spans="2:5" ht="13">
      <c r="B100" s="11"/>
      <c r="D100" s="62"/>
      <c r="E100" s="62"/>
    </row>
    <row r="101" spans="2:5" ht="13">
      <c r="B101" s="11"/>
      <c r="D101" s="62"/>
      <c r="E101" s="62"/>
    </row>
    <row r="102" spans="2:5" ht="13">
      <c r="B102" s="11"/>
      <c r="D102" s="62"/>
      <c r="E102" s="62"/>
    </row>
    <row r="103" spans="2:5" ht="13">
      <c r="B103" s="11"/>
      <c r="D103" s="62"/>
      <c r="E103" s="62"/>
    </row>
    <row r="104" spans="2:5" ht="13">
      <c r="B104" s="11"/>
      <c r="D104" s="62"/>
      <c r="E104" s="62"/>
    </row>
    <row r="105" spans="2:5" ht="13">
      <c r="B105" s="11"/>
      <c r="D105" s="62"/>
      <c r="E105" s="62"/>
    </row>
    <row r="106" spans="2:5" ht="13">
      <c r="B106" s="11"/>
      <c r="D106" s="62"/>
      <c r="E106" s="62"/>
    </row>
    <row r="107" spans="2:5" ht="13">
      <c r="B107" s="11"/>
      <c r="D107" s="62"/>
      <c r="E107" s="62"/>
    </row>
    <row r="108" spans="2:5" ht="13">
      <c r="B108" s="11"/>
      <c r="D108" s="62"/>
      <c r="E108" s="62"/>
    </row>
    <row r="109" spans="2:5" ht="13">
      <c r="B109" s="11"/>
      <c r="D109" s="62"/>
      <c r="E109" s="62"/>
    </row>
    <row r="110" spans="2:5" ht="13">
      <c r="B110" s="11"/>
      <c r="D110" s="62"/>
      <c r="E110" s="62"/>
    </row>
    <row r="111" spans="2:5" ht="13">
      <c r="B111" s="11"/>
      <c r="D111" s="62"/>
      <c r="E111" s="62"/>
    </row>
    <row r="112" spans="2:5" ht="13">
      <c r="B112" s="11"/>
      <c r="D112" s="62"/>
      <c r="E112" s="62"/>
    </row>
    <row r="113" spans="2:5" ht="13">
      <c r="B113" s="11"/>
      <c r="D113" s="62"/>
      <c r="E113" s="62"/>
    </row>
    <row r="114" spans="2:5" ht="13">
      <c r="B114" s="11"/>
      <c r="D114" s="62"/>
      <c r="E114" s="62"/>
    </row>
    <row r="115" spans="2:5" ht="13">
      <c r="B115" s="11"/>
      <c r="D115" s="62"/>
      <c r="E115" s="62"/>
    </row>
    <row r="116" spans="2:5" ht="13">
      <c r="B116" s="11"/>
      <c r="D116" s="62"/>
      <c r="E116" s="62"/>
    </row>
    <row r="117" spans="2:5" ht="13">
      <c r="B117" s="11"/>
      <c r="D117" s="62"/>
      <c r="E117" s="62"/>
    </row>
    <row r="118" spans="2:5" ht="13">
      <c r="B118" s="11"/>
      <c r="D118" s="62"/>
      <c r="E118" s="62"/>
    </row>
    <row r="119" spans="2:5" ht="13">
      <c r="B119" s="11"/>
      <c r="D119" s="62"/>
      <c r="E119" s="62"/>
    </row>
    <row r="120" spans="2:5" ht="13">
      <c r="B120" s="11"/>
      <c r="D120" s="62"/>
      <c r="E120" s="62"/>
    </row>
    <row r="121" spans="2:5" ht="13">
      <c r="B121" s="11"/>
      <c r="D121" s="62"/>
      <c r="E121" s="62"/>
    </row>
    <row r="122" spans="2:5" ht="13">
      <c r="B122" s="11"/>
      <c r="D122" s="62"/>
      <c r="E122" s="62"/>
    </row>
    <row r="123" spans="2:5" ht="13">
      <c r="B123" s="11"/>
      <c r="D123" s="62"/>
      <c r="E123" s="62"/>
    </row>
    <row r="124" spans="2:5" ht="13">
      <c r="B124" s="11"/>
      <c r="D124" s="62"/>
      <c r="E124" s="62"/>
    </row>
    <row r="125" spans="2:5" ht="13">
      <c r="B125" s="11"/>
      <c r="D125" s="62"/>
      <c r="E125" s="62"/>
    </row>
    <row r="126" spans="2:5" ht="13">
      <c r="B126" s="11"/>
      <c r="D126" s="62"/>
      <c r="E126" s="62"/>
    </row>
    <row r="127" spans="2:5" ht="13">
      <c r="B127" s="11"/>
      <c r="D127" s="62"/>
      <c r="E127" s="62"/>
    </row>
    <row r="128" spans="2:5" ht="13">
      <c r="B128" s="11"/>
      <c r="D128" s="62"/>
      <c r="E128" s="62"/>
    </row>
    <row r="129" spans="2:5" ht="13">
      <c r="B129" s="11"/>
      <c r="D129" s="62"/>
      <c r="E129" s="62"/>
    </row>
    <row r="130" spans="2:5" ht="13">
      <c r="B130" s="11"/>
      <c r="D130" s="62"/>
      <c r="E130" s="62"/>
    </row>
    <row r="131" spans="2:5" ht="13">
      <c r="B131" s="11"/>
      <c r="D131" s="62"/>
      <c r="E131" s="62"/>
    </row>
    <row r="132" spans="2:5" ht="13">
      <c r="B132" s="11"/>
      <c r="D132" s="62"/>
      <c r="E132" s="62"/>
    </row>
    <row r="133" spans="2:5" ht="13">
      <c r="B133" s="11"/>
      <c r="D133" s="62"/>
      <c r="E133" s="62"/>
    </row>
    <row r="134" spans="2:5" ht="13">
      <c r="B134" s="11"/>
      <c r="D134" s="62"/>
      <c r="E134" s="62"/>
    </row>
    <row r="135" spans="2:5" ht="13">
      <c r="B135" s="11"/>
      <c r="D135" s="62"/>
      <c r="E135" s="62"/>
    </row>
    <row r="136" spans="2:5" ht="13">
      <c r="B136" s="11"/>
      <c r="D136" s="62"/>
      <c r="E136" s="62"/>
    </row>
    <row r="137" spans="2:5" ht="13">
      <c r="B137" s="11"/>
      <c r="D137" s="62"/>
      <c r="E137" s="62"/>
    </row>
    <row r="138" spans="2:5" ht="13">
      <c r="B138" s="11"/>
      <c r="D138" s="62"/>
      <c r="E138" s="62"/>
    </row>
    <row r="139" spans="2:5" ht="13">
      <c r="B139" s="11"/>
      <c r="D139" s="62"/>
      <c r="E139" s="62"/>
    </row>
    <row r="140" spans="2:5" ht="13">
      <c r="B140" s="11"/>
      <c r="D140" s="62"/>
      <c r="E140" s="62"/>
    </row>
    <row r="141" spans="2:5" ht="13">
      <c r="B141" s="11"/>
      <c r="D141" s="62"/>
      <c r="E141" s="62"/>
    </row>
    <row r="142" spans="2:5" ht="13">
      <c r="B142" s="11"/>
      <c r="D142" s="62"/>
      <c r="E142" s="62"/>
    </row>
    <row r="143" spans="2:5" ht="13">
      <c r="B143" s="11"/>
      <c r="D143" s="62"/>
      <c r="E143" s="62"/>
    </row>
    <row r="144" spans="2:5" ht="13">
      <c r="B144" s="11"/>
      <c r="D144" s="62"/>
      <c r="E144" s="62"/>
    </row>
    <row r="145" spans="2:5" ht="13">
      <c r="B145" s="11"/>
      <c r="D145" s="62"/>
      <c r="E145" s="62"/>
    </row>
    <row r="146" spans="2:5" ht="13">
      <c r="B146" s="11"/>
      <c r="D146" s="62"/>
      <c r="E146" s="62"/>
    </row>
    <row r="147" spans="2:5" ht="13">
      <c r="B147" s="11"/>
      <c r="D147" s="62"/>
      <c r="E147" s="62"/>
    </row>
    <row r="148" spans="2:5" ht="13">
      <c r="B148" s="11"/>
      <c r="D148" s="62"/>
      <c r="E148" s="62"/>
    </row>
    <row r="149" spans="2:5" ht="13">
      <c r="B149" s="11"/>
      <c r="D149" s="62"/>
      <c r="E149" s="62"/>
    </row>
    <row r="150" spans="2:5" ht="13">
      <c r="B150" s="11"/>
      <c r="D150" s="62"/>
      <c r="E150" s="62"/>
    </row>
    <row r="151" spans="2:5" ht="13">
      <c r="B151" s="11"/>
      <c r="D151" s="62"/>
      <c r="E151" s="62"/>
    </row>
    <row r="152" spans="2:5" ht="13">
      <c r="B152" s="11"/>
      <c r="D152" s="62"/>
      <c r="E152" s="62"/>
    </row>
    <row r="153" spans="2:5" ht="13">
      <c r="B153" s="11"/>
      <c r="D153" s="62"/>
      <c r="E153" s="62"/>
    </row>
    <row r="154" spans="2:5" ht="13">
      <c r="B154" s="11"/>
      <c r="D154" s="62"/>
      <c r="E154" s="62"/>
    </row>
    <row r="155" spans="2:5" ht="13">
      <c r="B155" s="11"/>
      <c r="D155" s="62"/>
      <c r="E155" s="62"/>
    </row>
    <row r="156" spans="2:5" ht="13">
      <c r="B156" s="11"/>
      <c r="D156" s="62"/>
      <c r="E156" s="62"/>
    </row>
    <row r="157" spans="2:5" ht="13">
      <c r="B157" s="11"/>
      <c r="D157" s="62"/>
      <c r="E157" s="62"/>
    </row>
    <row r="158" spans="2:5" ht="13">
      <c r="B158" s="11"/>
      <c r="D158" s="62"/>
      <c r="E158" s="62"/>
    </row>
    <row r="159" spans="2:5" ht="13">
      <c r="B159" s="11"/>
      <c r="D159" s="62"/>
      <c r="E159" s="62"/>
    </row>
    <row r="160" spans="2:5" ht="13">
      <c r="B160" s="11"/>
      <c r="D160" s="62"/>
      <c r="E160" s="62"/>
    </row>
    <row r="161" spans="2:5" ht="13">
      <c r="B161" s="11"/>
      <c r="D161" s="62"/>
      <c r="E161" s="62"/>
    </row>
    <row r="162" spans="2:5" ht="13">
      <c r="B162" s="11"/>
      <c r="D162" s="62"/>
      <c r="E162" s="62"/>
    </row>
    <row r="163" spans="2:5" ht="13">
      <c r="B163" s="11"/>
      <c r="D163" s="62"/>
      <c r="E163" s="62"/>
    </row>
    <row r="164" spans="2:5" ht="13">
      <c r="B164" s="11"/>
      <c r="D164" s="62"/>
      <c r="E164" s="62"/>
    </row>
    <row r="165" spans="2:5" ht="13">
      <c r="B165" s="11"/>
      <c r="D165" s="62"/>
      <c r="E165" s="62"/>
    </row>
    <row r="166" spans="2:5" ht="13">
      <c r="B166" s="11"/>
      <c r="D166" s="62"/>
      <c r="E166" s="62"/>
    </row>
    <row r="167" spans="2:5" ht="13">
      <c r="B167" s="11"/>
      <c r="D167" s="62"/>
      <c r="E167" s="62"/>
    </row>
    <row r="168" spans="2:5" ht="13">
      <c r="B168" s="11"/>
      <c r="D168" s="62"/>
      <c r="E168" s="62"/>
    </row>
    <row r="169" spans="2:5" ht="13">
      <c r="B169" s="11"/>
      <c r="D169" s="62"/>
      <c r="E169" s="62"/>
    </row>
    <row r="170" spans="2:5" ht="13">
      <c r="B170" s="11"/>
      <c r="D170" s="62"/>
      <c r="E170" s="62"/>
    </row>
    <row r="171" spans="2:5" ht="13">
      <c r="B171" s="11"/>
      <c r="D171" s="62"/>
      <c r="E171" s="62"/>
    </row>
    <row r="172" spans="2:5" ht="13">
      <c r="B172" s="11"/>
      <c r="D172" s="62"/>
      <c r="E172" s="62"/>
    </row>
    <row r="173" spans="2:5" ht="13">
      <c r="B173" s="11"/>
      <c r="D173" s="62"/>
      <c r="E173" s="62"/>
    </row>
    <row r="174" spans="2:5" ht="13">
      <c r="B174" s="11"/>
      <c r="D174" s="62"/>
      <c r="E174" s="62"/>
    </row>
    <row r="175" spans="2:5" ht="13">
      <c r="B175" s="11"/>
      <c r="D175" s="62"/>
      <c r="E175" s="62"/>
    </row>
    <row r="176" spans="2:5" ht="13">
      <c r="B176" s="11"/>
      <c r="D176" s="62"/>
      <c r="E176" s="62"/>
    </row>
    <row r="177" spans="2:5" ht="13">
      <c r="B177" s="11"/>
      <c r="D177" s="62"/>
      <c r="E177" s="62"/>
    </row>
    <row r="178" spans="2:5" ht="13">
      <c r="B178" s="11"/>
      <c r="D178" s="62"/>
      <c r="E178" s="62"/>
    </row>
    <row r="179" spans="2:5" ht="13">
      <c r="B179" s="11"/>
      <c r="D179" s="62"/>
      <c r="E179" s="62"/>
    </row>
    <row r="180" spans="2:5" ht="13">
      <c r="B180" s="11"/>
      <c r="D180" s="62"/>
      <c r="E180" s="62"/>
    </row>
    <row r="181" spans="2:5" ht="13">
      <c r="B181" s="11"/>
      <c r="D181" s="62"/>
      <c r="E181" s="62"/>
    </row>
    <row r="182" spans="2:5" ht="13">
      <c r="B182" s="11"/>
      <c r="D182" s="62"/>
      <c r="E182" s="62"/>
    </row>
    <row r="183" spans="2:5" ht="13">
      <c r="B183" s="11"/>
      <c r="D183" s="62"/>
      <c r="E183" s="62"/>
    </row>
    <row r="184" spans="2:5" ht="13">
      <c r="B184" s="11"/>
      <c r="D184" s="62"/>
      <c r="E184" s="62"/>
    </row>
    <row r="185" spans="2:5" ht="13">
      <c r="B185" s="11"/>
      <c r="D185" s="62"/>
      <c r="E185" s="62"/>
    </row>
    <row r="186" spans="2:5" ht="13">
      <c r="B186" s="11"/>
      <c r="D186" s="62"/>
      <c r="E186" s="62"/>
    </row>
    <row r="187" spans="2:5" ht="13">
      <c r="B187" s="11"/>
      <c r="D187" s="62"/>
      <c r="E187" s="62"/>
    </row>
    <row r="188" spans="2:5" ht="13">
      <c r="B188" s="11"/>
      <c r="D188" s="62"/>
      <c r="E188" s="62"/>
    </row>
    <row r="189" spans="2:5" ht="13">
      <c r="B189" s="11"/>
      <c r="D189" s="62"/>
      <c r="E189" s="62"/>
    </row>
    <row r="190" spans="2:5" ht="13">
      <c r="B190" s="11"/>
      <c r="D190" s="62"/>
      <c r="E190" s="62"/>
    </row>
    <row r="191" spans="2:5" ht="13">
      <c r="B191" s="11"/>
      <c r="D191" s="62"/>
      <c r="E191" s="62"/>
    </row>
    <row r="192" spans="2:5" ht="13">
      <c r="B192" s="11"/>
      <c r="D192" s="62"/>
      <c r="E192" s="62"/>
    </row>
    <row r="193" spans="2:5" ht="13">
      <c r="B193" s="11"/>
      <c r="D193" s="62"/>
      <c r="E193" s="62"/>
    </row>
    <row r="194" spans="2:5" ht="13">
      <c r="B194" s="11"/>
      <c r="D194" s="62"/>
      <c r="E194" s="62"/>
    </row>
    <row r="195" spans="2:5" ht="13">
      <c r="B195" s="11"/>
      <c r="D195" s="62"/>
      <c r="E195" s="62"/>
    </row>
    <row r="196" spans="2:5" ht="13">
      <c r="B196" s="11"/>
      <c r="D196" s="62"/>
      <c r="E196" s="62"/>
    </row>
    <row r="197" spans="2:5" ht="13">
      <c r="B197" s="11"/>
      <c r="D197" s="62"/>
      <c r="E197" s="62"/>
    </row>
    <row r="198" spans="2:5" ht="13">
      <c r="D198" s="62"/>
      <c r="E198" s="62"/>
    </row>
    <row r="199" spans="2:5" ht="13">
      <c r="D199" s="62"/>
      <c r="E199" s="62"/>
    </row>
    <row r="200" spans="2:5" ht="13">
      <c r="D200" s="62"/>
      <c r="E200" s="62"/>
    </row>
    <row r="201" spans="2:5" ht="13">
      <c r="D201" s="62"/>
      <c r="E201" s="62"/>
    </row>
    <row r="202" spans="2:5" ht="13">
      <c r="D202" s="62"/>
      <c r="E202" s="62"/>
    </row>
    <row r="203" spans="2:5" ht="13">
      <c r="D203" s="62"/>
      <c r="E203" s="62"/>
    </row>
    <row r="204" spans="2:5" ht="13">
      <c r="D204" s="62"/>
      <c r="E204" s="62"/>
    </row>
    <row r="205" spans="2:5" ht="13">
      <c r="D205" s="62"/>
      <c r="E205" s="62"/>
    </row>
    <row r="206" spans="2:5" ht="13">
      <c r="D206" s="62"/>
      <c r="E206" s="62"/>
    </row>
    <row r="207" spans="2:5" ht="13">
      <c r="D207" s="62"/>
      <c r="E207" s="62"/>
    </row>
    <row r="208" spans="2:5" ht="13">
      <c r="D208" s="62"/>
      <c r="E208" s="62"/>
    </row>
    <row r="209" spans="4:5" ht="13">
      <c r="D209" s="62"/>
      <c r="E209" s="62"/>
    </row>
    <row r="210" spans="4:5" ht="13">
      <c r="D210" s="62"/>
      <c r="E210" s="62"/>
    </row>
    <row r="211" spans="4:5" ht="13">
      <c r="D211" s="62"/>
      <c r="E211" s="62"/>
    </row>
    <row r="212" spans="4:5" ht="13">
      <c r="D212" s="62"/>
      <c r="E212" s="62"/>
    </row>
    <row r="213" spans="4:5" ht="13">
      <c r="D213" s="62"/>
      <c r="E213" s="62"/>
    </row>
    <row r="214" spans="4:5" ht="13">
      <c r="D214" s="62"/>
      <c r="E214" s="62"/>
    </row>
    <row r="215" spans="4:5" ht="13">
      <c r="D215" s="62"/>
      <c r="E215" s="62"/>
    </row>
    <row r="216" spans="4:5" ht="13">
      <c r="D216" s="62"/>
      <c r="E216" s="62"/>
    </row>
    <row r="217" spans="4:5" ht="13">
      <c r="D217" s="62"/>
      <c r="E217" s="62"/>
    </row>
    <row r="218" spans="4:5" ht="13">
      <c r="D218" s="62"/>
      <c r="E218" s="62"/>
    </row>
    <row r="219" spans="4:5" ht="13">
      <c r="D219" s="62"/>
      <c r="E219" s="62"/>
    </row>
    <row r="220" spans="4:5" ht="13">
      <c r="D220" s="62"/>
      <c r="E220" s="62"/>
    </row>
    <row r="221" spans="4:5" ht="13">
      <c r="D221" s="62"/>
      <c r="E221" s="62"/>
    </row>
    <row r="222" spans="4:5" ht="13">
      <c r="D222" s="62"/>
      <c r="E222" s="62"/>
    </row>
    <row r="223" spans="4:5" ht="13">
      <c r="D223" s="62"/>
      <c r="E223" s="62"/>
    </row>
    <row r="224" spans="4:5" ht="13">
      <c r="D224" s="62"/>
      <c r="E224" s="62"/>
    </row>
    <row r="225" spans="4:5" ht="13">
      <c r="D225" s="62"/>
      <c r="E225" s="62"/>
    </row>
    <row r="226" spans="4:5" ht="13">
      <c r="D226" s="62"/>
      <c r="E226" s="62"/>
    </row>
    <row r="227" spans="4:5" ht="13">
      <c r="D227" s="62"/>
      <c r="E227" s="62"/>
    </row>
    <row r="228" spans="4:5" ht="13">
      <c r="D228" s="62"/>
      <c r="E228" s="62"/>
    </row>
    <row r="229" spans="4:5" ht="13">
      <c r="D229" s="62"/>
      <c r="E229" s="62"/>
    </row>
    <row r="230" spans="4:5" ht="13">
      <c r="D230" s="62"/>
      <c r="E230" s="62"/>
    </row>
    <row r="231" spans="4:5" ht="13">
      <c r="D231" s="62"/>
      <c r="E231" s="62"/>
    </row>
    <row r="232" spans="4:5" ht="13">
      <c r="D232" s="62"/>
      <c r="E232" s="62"/>
    </row>
    <row r="233" spans="4:5" ht="13">
      <c r="D233" s="62"/>
      <c r="E233" s="62"/>
    </row>
    <row r="234" spans="4:5" ht="13">
      <c r="D234" s="62"/>
      <c r="E234" s="62"/>
    </row>
    <row r="235" spans="4:5" ht="13">
      <c r="D235" s="62"/>
      <c r="E235" s="62"/>
    </row>
    <row r="236" spans="4:5" ht="13">
      <c r="D236" s="62"/>
      <c r="E236" s="62"/>
    </row>
    <row r="237" spans="4:5" ht="13">
      <c r="D237" s="62"/>
      <c r="E237" s="62"/>
    </row>
    <row r="238" spans="4:5" ht="13">
      <c r="D238" s="62"/>
      <c r="E238" s="62"/>
    </row>
    <row r="239" spans="4:5" ht="13">
      <c r="D239" s="62"/>
      <c r="E239" s="62"/>
    </row>
    <row r="240" spans="4:5" ht="13">
      <c r="D240" s="62"/>
      <c r="E240" s="62"/>
    </row>
    <row r="241" spans="4:5" ht="13">
      <c r="D241" s="62"/>
      <c r="E241" s="62"/>
    </row>
    <row r="242" spans="4:5" ht="13">
      <c r="D242" s="62"/>
      <c r="E242" s="62"/>
    </row>
    <row r="243" spans="4:5" ht="13">
      <c r="D243" s="62"/>
      <c r="E243" s="62"/>
    </row>
    <row r="244" spans="4:5" ht="13">
      <c r="D244" s="62"/>
      <c r="E244" s="62"/>
    </row>
    <row r="245" spans="4:5" ht="13">
      <c r="D245" s="62"/>
      <c r="E245" s="62"/>
    </row>
    <row r="246" spans="4:5" ht="13">
      <c r="D246" s="62"/>
      <c r="E246" s="62"/>
    </row>
    <row r="247" spans="4:5" ht="13">
      <c r="D247" s="62"/>
      <c r="E247" s="62"/>
    </row>
    <row r="248" spans="4:5" ht="13">
      <c r="D248" s="62"/>
      <c r="E248" s="62"/>
    </row>
    <row r="249" spans="4:5" ht="13">
      <c r="D249" s="62"/>
      <c r="E249" s="62"/>
    </row>
    <row r="250" spans="4:5" ht="13">
      <c r="D250" s="62"/>
      <c r="E250" s="62"/>
    </row>
    <row r="251" spans="4:5" ht="13">
      <c r="D251" s="62"/>
      <c r="E251" s="62"/>
    </row>
    <row r="252" spans="4:5" ht="13">
      <c r="D252" s="62"/>
      <c r="E252" s="62"/>
    </row>
    <row r="253" spans="4:5" ht="13">
      <c r="D253" s="62"/>
      <c r="E253" s="62"/>
    </row>
    <row r="254" spans="4:5" ht="13">
      <c r="D254" s="62"/>
      <c r="E254" s="62"/>
    </row>
    <row r="255" spans="4:5" ht="13">
      <c r="D255" s="62"/>
      <c r="E255" s="62"/>
    </row>
    <row r="256" spans="4:5" ht="13">
      <c r="D256" s="62"/>
      <c r="E256" s="62"/>
    </row>
    <row r="257" spans="4:5" ht="13">
      <c r="D257" s="62"/>
      <c r="E257" s="62"/>
    </row>
    <row r="258" spans="4:5" ht="13">
      <c r="D258" s="62"/>
      <c r="E258" s="62"/>
    </row>
    <row r="259" spans="4:5" ht="13">
      <c r="D259" s="62"/>
      <c r="E259" s="62"/>
    </row>
    <row r="260" spans="4:5" ht="13">
      <c r="D260" s="62"/>
      <c r="E260" s="62"/>
    </row>
    <row r="261" spans="4:5" ht="13">
      <c r="D261" s="62"/>
      <c r="E261" s="62"/>
    </row>
    <row r="262" spans="4:5" ht="13">
      <c r="D262" s="62"/>
      <c r="E262" s="62"/>
    </row>
    <row r="263" spans="4:5" ht="13">
      <c r="D263" s="62"/>
      <c r="E263" s="62"/>
    </row>
    <row r="264" spans="4:5" ht="13">
      <c r="D264" s="62"/>
      <c r="E264" s="62"/>
    </row>
    <row r="265" spans="4:5" ht="13">
      <c r="D265" s="62"/>
      <c r="E265" s="62"/>
    </row>
    <row r="266" spans="4:5" ht="13">
      <c r="D266" s="62"/>
      <c r="E266" s="62"/>
    </row>
    <row r="267" spans="4:5" ht="13">
      <c r="D267" s="62"/>
      <c r="E267" s="62"/>
    </row>
    <row r="268" spans="4:5" ht="13">
      <c r="D268" s="62"/>
      <c r="E268" s="62"/>
    </row>
    <row r="269" spans="4:5" ht="13">
      <c r="D269" s="62"/>
      <c r="E269" s="62"/>
    </row>
    <row r="270" spans="4:5" ht="13">
      <c r="D270" s="62"/>
      <c r="E270" s="62"/>
    </row>
    <row r="271" spans="4:5" ht="13">
      <c r="D271" s="62"/>
      <c r="E271" s="62"/>
    </row>
    <row r="272" spans="4:5" ht="13">
      <c r="D272" s="62"/>
      <c r="E272" s="62"/>
    </row>
    <row r="273" spans="4:5" ht="13">
      <c r="D273" s="62"/>
      <c r="E273" s="62"/>
    </row>
    <row r="274" spans="4:5" ht="13">
      <c r="D274" s="62"/>
      <c r="E274" s="62"/>
    </row>
    <row r="275" spans="4:5" ht="13">
      <c r="D275" s="62"/>
      <c r="E275" s="62"/>
    </row>
    <row r="276" spans="4:5" ht="13">
      <c r="D276" s="62"/>
      <c r="E276" s="62"/>
    </row>
    <row r="277" spans="4:5" ht="13">
      <c r="D277" s="62"/>
      <c r="E277" s="62"/>
    </row>
    <row r="278" spans="4:5" ht="13">
      <c r="D278" s="62"/>
      <c r="E278" s="62"/>
    </row>
    <row r="279" spans="4:5" ht="13">
      <c r="D279" s="62"/>
      <c r="E279" s="62"/>
    </row>
    <row r="280" spans="4:5" ht="13">
      <c r="D280" s="62"/>
      <c r="E280" s="62"/>
    </row>
    <row r="281" spans="4:5" ht="13">
      <c r="D281" s="62"/>
      <c r="E281" s="62"/>
    </row>
    <row r="282" spans="4:5" ht="13">
      <c r="D282" s="62"/>
      <c r="E282" s="62"/>
    </row>
    <row r="283" spans="4:5" ht="13">
      <c r="D283" s="62"/>
      <c r="E283" s="62"/>
    </row>
    <row r="284" spans="4:5" ht="13">
      <c r="D284" s="62"/>
      <c r="E284" s="62"/>
    </row>
    <row r="285" spans="4:5" ht="13">
      <c r="D285" s="62"/>
      <c r="E285" s="62"/>
    </row>
    <row r="286" spans="4:5" ht="13">
      <c r="D286" s="62"/>
      <c r="E286" s="62"/>
    </row>
    <row r="287" spans="4:5" ht="13">
      <c r="D287" s="62"/>
      <c r="E287" s="62"/>
    </row>
    <row r="288" spans="4:5" ht="13">
      <c r="D288" s="62"/>
      <c r="E288" s="62"/>
    </row>
    <row r="289" spans="4:5" ht="13">
      <c r="D289" s="62"/>
      <c r="E289" s="62"/>
    </row>
    <row r="290" spans="4:5" ht="13">
      <c r="D290" s="62"/>
      <c r="E290" s="62"/>
    </row>
    <row r="291" spans="4:5" ht="13">
      <c r="D291" s="62"/>
      <c r="E291" s="62"/>
    </row>
    <row r="292" spans="4:5" ht="13">
      <c r="D292" s="62"/>
      <c r="E292" s="62"/>
    </row>
    <row r="293" spans="4:5" ht="13">
      <c r="D293" s="62"/>
      <c r="E293" s="62"/>
    </row>
    <row r="294" spans="4:5" ht="13">
      <c r="D294" s="62"/>
      <c r="E294" s="62"/>
    </row>
    <row r="295" spans="4:5" ht="13">
      <c r="D295" s="62"/>
      <c r="E295" s="62"/>
    </row>
    <row r="296" spans="4:5" ht="13">
      <c r="D296" s="62"/>
      <c r="E296" s="62"/>
    </row>
    <row r="297" spans="4:5" ht="13">
      <c r="D297" s="62"/>
      <c r="E297" s="62"/>
    </row>
    <row r="298" spans="4:5" ht="13">
      <c r="D298" s="62"/>
      <c r="E298" s="62"/>
    </row>
    <row r="299" spans="4:5" ht="13">
      <c r="D299" s="62"/>
      <c r="E299" s="62"/>
    </row>
    <row r="300" spans="4:5" ht="13">
      <c r="D300" s="62"/>
      <c r="E300" s="62"/>
    </row>
    <row r="301" spans="4:5" ht="13">
      <c r="D301" s="62"/>
      <c r="E301" s="62"/>
    </row>
    <row r="302" spans="4:5" ht="13">
      <c r="D302" s="62"/>
      <c r="E302" s="62"/>
    </row>
    <row r="303" spans="4:5" ht="13">
      <c r="D303" s="62"/>
      <c r="E303" s="62"/>
    </row>
    <row r="304" spans="4:5" ht="13">
      <c r="D304" s="62"/>
      <c r="E304" s="62"/>
    </row>
    <row r="305" spans="4:5" ht="13">
      <c r="D305" s="62"/>
      <c r="E305" s="62"/>
    </row>
    <row r="306" spans="4:5" ht="13">
      <c r="D306" s="62"/>
      <c r="E306" s="62"/>
    </row>
    <row r="307" spans="4:5" ht="13">
      <c r="D307" s="62"/>
      <c r="E307" s="62"/>
    </row>
    <row r="308" spans="4:5" ht="13">
      <c r="D308" s="62"/>
      <c r="E308" s="62"/>
    </row>
    <row r="309" spans="4:5" ht="13">
      <c r="D309" s="62"/>
      <c r="E309" s="62"/>
    </row>
    <row r="310" spans="4:5" ht="13">
      <c r="D310" s="62"/>
      <c r="E310" s="62"/>
    </row>
    <row r="311" spans="4:5" ht="13">
      <c r="D311" s="62"/>
      <c r="E311" s="62"/>
    </row>
    <row r="312" spans="4:5" ht="13">
      <c r="D312" s="62"/>
      <c r="E312" s="62"/>
    </row>
    <row r="313" spans="4:5" ht="13">
      <c r="D313" s="62"/>
      <c r="E313" s="62"/>
    </row>
    <row r="314" spans="4:5" ht="13">
      <c r="D314" s="62"/>
      <c r="E314" s="62"/>
    </row>
    <row r="315" spans="4:5" ht="13">
      <c r="D315" s="62"/>
      <c r="E315" s="62"/>
    </row>
    <row r="316" spans="4:5" ht="13">
      <c r="D316" s="62"/>
      <c r="E316" s="62"/>
    </row>
    <row r="317" spans="4:5" ht="13">
      <c r="D317" s="62"/>
      <c r="E317" s="62"/>
    </row>
    <row r="318" spans="4:5" ht="13">
      <c r="D318" s="62"/>
      <c r="E318" s="62"/>
    </row>
    <row r="319" spans="4:5" ht="13">
      <c r="D319" s="62"/>
      <c r="E319" s="62"/>
    </row>
    <row r="320" spans="4:5" ht="13">
      <c r="D320" s="62"/>
      <c r="E320" s="62"/>
    </row>
    <row r="321" spans="4:5" ht="13">
      <c r="D321" s="62"/>
      <c r="E321" s="62"/>
    </row>
    <row r="322" spans="4:5" ht="13">
      <c r="D322" s="62"/>
      <c r="E322" s="62"/>
    </row>
    <row r="323" spans="4:5" ht="13">
      <c r="D323" s="62"/>
      <c r="E323" s="62"/>
    </row>
    <row r="324" spans="4:5" ht="13">
      <c r="D324" s="62"/>
      <c r="E324" s="62"/>
    </row>
    <row r="325" spans="4:5" ht="13">
      <c r="D325" s="62"/>
      <c r="E325" s="62"/>
    </row>
    <row r="326" spans="4:5" ht="13">
      <c r="D326" s="62"/>
      <c r="E326" s="62"/>
    </row>
    <row r="327" spans="4:5" ht="13">
      <c r="D327" s="62"/>
      <c r="E327" s="62"/>
    </row>
    <row r="328" spans="4:5" ht="13">
      <c r="D328" s="62"/>
      <c r="E328" s="62"/>
    </row>
    <row r="329" spans="4:5" ht="13">
      <c r="D329" s="62"/>
      <c r="E329" s="62"/>
    </row>
    <row r="330" spans="4:5" ht="13">
      <c r="D330" s="62"/>
      <c r="E330" s="62"/>
    </row>
    <row r="331" spans="4:5" ht="13">
      <c r="D331" s="62"/>
      <c r="E331" s="62"/>
    </row>
    <row r="332" spans="4:5" ht="13">
      <c r="D332" s="62"/>
      <c r="E332" s="62"/>
    </row>
    <row r="333" spans="4:5" ht="13">
      <c r="D333" s="62"/>
      <c r="E333" s="62"/>
    </row>
    <row r="334" spans="4:5" ht="13">
      <c r="D334" s="62"/>
      <c r="E334" s="62"/>
    </row>
    <row r="335" spans="4:5" ht="13">
      <c r="D335" s="62"/>
      <c r="E335" s="62"/>
    </row>
    <row r="336" spans="4:5" ht="13">
      <c r="D336" s="62"/>
      <c r="E336" s="62"/>
    </row>
    <row r="337" spans="4:5" ht="13">
      <c r="D337" s="62"/>
      <c r="E337" s="62"/>
    </row>
    <row r="338" spans="4:5" ht="13">
      <c r="D338" s="62"/>
      <c r="E338" s="62"/>
    </row>
    <row r="339" spans="4:5" ht="13">
      <c r="D339" s="62"/>
      <c r="E339" s="62"/>
    </row>
    <row r="340" spans="4:5" ht="13">
      <c r="D340" s="62"/>
      <c r="E340" s="62"/>
    </row>
    <row r="341" spans="4:5" ht="13">
      <c r="D341" s="62"/>
      <c r="E341" s="62"/>
    </row>
    <row r="342" spans="4:5" ht="13">
      <c r="D342" s="62"/>
      <c r="E342" s="62"/>
    </row>
    <row r="343" spans="4:5" ht="13">
      <c r="D343" s="62"/>
      <c r="E343" s="62"/>
    </row>
    <row r="344" spans="4:5" ht="13">
      <c r="D344" s="62"/>
      <c r="E344" s="62"/>
    </row>
    <row r="345" spans="4:5" ht="13">
      <c r="D345" s="62"/>
      <c r="E345" s="62"/>
    </row>
    <row r="346" spans="4:5" ht="13">
      <c r="D346" s="62"/>
      <c r="E346" s="62"/>
    </row>
    <row r="347" spans="4:5" ht="13">
      <c r="D347" s="62"/>
      <c r="E347" s="62"/>
    </row>
    <row r="348" spans="4:5" ht="13">
      <c r="D348" s="62"/>
      <c r="E348" s="62"/>
    </row>
    <row r="349" spans="4:5" ht="13">
      <c r="D349" s="62"/>
      <c r="E349" s="62"/>
    </row>
    <row r="350" spans="4:5" ht="13">
      <c r="D350" s="62"/>
      <c r="E350" s="62"/>
    </row>
    <row r="351" spans="4:5" ht="13">
      <c r="D351" s="62"/>
      <c r="E351" s="62"/>
    </row>
    <row r="352" spans="4:5" ht="13">
      <c r="D352" s="62"/>
      <c r="E352" s="62"/>
    </row>
    <row r="353" spans="4:5" ht="13">
      <c r="D353" s="62"/>
      <c r="E353" s="62"/>
    </row>
    <row r="354" spans="4:5" ht="13">
      <c r="D354" s="62"/>
      <c r="E354" s="62"/>
    </row>
    <row r="355" spans="4:5" ht="13">
      <c r="D355" s="62"/>
      <c r="E355" s="62"/>
    </row>
    <row r="356" spans="4:5" ht="13">
      <c r="D356" s="62"/>
      <c r="E356" s="62"/>
    </row>
    <row r="357" spans="4:5" ht="13">
      <c r="D357" s="62"/>
      <c r="E357" s="62"/>
    </row>
    <row r="358" spans="4:5" ht="13">
      <c r="D358" s="62"/>
      <c r="E358" s="62"/>
    </row>
    <row r="359" spans="4:5" ht="13">
      <c r="D359" s="62"/>
      <c r="E359" s="62"/>
    </row>
    <row r="360" spans="4:5" ht="13">
      <c r="D360" s="62"/>
      <c r="E360" s="62"/>
    </row>
    <row r="361" spans="4:5" ht="13">
      <c r="D361" s="62"/>
      <c r="E361" s="62"/>
    </row>
    <row r="362" spans="4:5" ht="13">
      <c r="D362" s="62"/>
      <c r="E362" s="62"/>
    </row>
    <row r="363" spans="4:5" ht="13">
      <c r="D363" s="62"/>
      <c r="E363" s="62"/>
    </row>
    <row r="364" spans="4:5" ht="13">
      <c r="D364" s="62"/>
      <c r="E364" s="62"/>
    </row>
    <row r="365" spans="4:5" ht="13">
      <c r="D365" s="62"/>
      <c r="E365" s="62"/>
    </row>
    <row r="366" spans="4:5" ht="13">
      <c r="D366" s="62"/>
      <c r="E366" s="62"/>
    </row>
    <row r="367" spans="4:5" ht="13">
      <c r="D367" s="62"/>
      <c r="E367" s="62"/>
    </row>
    <row r="368" spans="4:5" ht="13">
      <c r="D368" s="62"/>
      <c r="E368" s="62"/>
    </row>
    <row r="369" spans="4:5" ht="13">
      <c r="D369" s="62"/>
      <c r="E369" s="62"/>
    </row>
    <row r="370" spans="4:5" ht="13">
      <c r="D370" s="62"/>
      <c r="E370" s="62"/>
    </row>
    <row r="371" spans="4:5" ht="13">
      <c r="D371" s="62"/>
      <c r="E371" s="62"/>
    </row>
    <row r="372" spans="4:5" ht="13">
      <c r="D372" s="62"/>
      <c r="E372" s="62"/>
    </row>
    <row r="373" spans="4:5" ht="13">
      <c r="D373" s="62"/>
      <c r="E373" s="62"/>
    </row>
    <row r="374" spans="4:5" ht="13">
      <c r="D374" s="62"/>
      <c r="E374" s="62"/>
    </row>
    <row r="375" spans="4:5" ht="13">
      <c r="D375" s="62"/>
      <c r="E375" s="62"/>
    </row>
    <row r="376" spans="4:5" ht="13">
      <c r="D376" s="62"/>
      <c r="E376" s="62"/>
    </row>
    <row r="377" spans="4:5" ht="13">
      <c r="D377" s="62"/>
      <c r="E377" s="62"/>
    </row>
    <row r="378" spans="4:5" ht="13">
      <c r="D378" s="62"/>
      <c r="E378" s="62"/>
    </row>
    <row r="379" spans="4:5" ht="13">
      <c r="D379" s="62"/>
      <c r="E379" s="62"/>
    </row>
    <row r="380" spans="4:5" ht="13">
      <c r="D380" s="62"/>
      <c r="E380" s="62"/>
    </row>
    <row r="381" spans="4:5" ht="13">
      <c r="D381" s="62"/>
      <c r="E381" s="62"/>
    </row>
    <row r="382" spans="4:5" ht="13">
      <c r="D382" s="62"/>
      <c r="E382" s="62"/>
    </row>
    <row r="383" spans="4:5" ht="13">
      <c r="D383" s="62"/>
      <c r="E383" s="62"/>
    </row>
    <row r="384" spans="4:5" ht="13">
      <c r="D384" s="62"/>
      <c r="E384" s="62"/>
    </row>
    <row r="385" spans="4:5" ht="13">
      <c r="D385" s="62"/>
      <c r="E385" s="62"/>
    </row>
    <row r="386" spans="4:5" ht="13">
      <c r="D386" s="62"/>
      <c r="E386" s="62"/>
    </row>
    <row r="387" spans="4:5" ht="13">
      <c r="D387" s="62"/>
      <c r="E387" s="62"/>
    </row>
    <row r="388" spans="4:5" ht="13">
      <c r="D388" s="62"/>
      <c r="E388" s="62"/>
    </row>
    <row r="389" spans="4:5" ht="13">
      <c r="D389" s="62"/>
      <c r="E389" s="62"/>
    </row>
    <row r="390" spans="4:5" ht="13">
      <c r="D390" s="62"/>
      <c r="E390" s="62"/>
    </row>
    <row r="391" spans="4:5" ht="13">
      <c r="D391" s="62"/>
      <c r="E391" s="62"/>
    </row>
    <row r="392" spans="4:5" ht="13">
      <c r="D392" s="62"/>
      <c r="E392" s="62"/>
    </row>
    <row r="393" spans="4:5" ht="13">
      <c r="D393" s="62"/>
      <c r="E393" s="62"/>
    </row>
    <row r="394" spans="4:5" ht="13">
      <c r="D394" s="62"/>
      <c r="E394" s="62"/>
    </row>
    <row r="395" spans="4:5" ht="13">
      <c r="D395" s="62"/>
      <c r="E395" s="62"/>
    </row>
    <row r="396" spans="4:5" ht="13">
      <c r="D396" s="62"/>
      <c r="E396" s="62"/>
    </row>
    <row r="397" spans="4:5" ht="13">
      <c r="D397" s="62"/>
      <c r="E397" s="62"/>
    </row>
    <row r="398" spans="4:5" ht="13">
      <c r="D398" s="62"/>
      <c r="E398" s="62"/>
    </row>
    <row r="399" spans="4:5" ht="13">
      <c r="D399" s="62"/>
      <c r="E399" s="62"/>
    </row>
    <row r="400" spans="4:5" ht="13">
      <c r="D400" s="62"/>
      <c r="E400" s="62"/>
    </row>
    <row r="401" spans="4:5" ht="13">
      <c r="D401" s="62"/>
      <c r="E401" s="62"/>
    </row>
    <row r="402" spans="4:5" ht="13">
      <c r="D402" s="62"/>
      <c r="E402" s="62"/>
    </row>
    <row r="403" spans="4:5" ht="13">
      <c r="D403" s="62"/>
      <c r="E403" s="62"/>
    </row>
    <row r="404" spans="4:5" ht="13">
      <c r="D404" s="62"/>
      <c r="E404" s="62"/>
    </row>
    <row r="405" spans="4:5" ht="13">
      <c r="D405" s="62"/>
      <c r="E405" s="62"/>
    </row>
    <row r="406" spans="4:5" ht="13">
      <c r="D406" s="62"/>
      <c r="E406" s="62"/>
    </row>
    <row r="407" spans="4:5" ht="13">
      <c r="D407" s="62"/>
      <c r="E407" s="62"/>
    </row>
    <row r="408" spans="4:5" ht="13">
      <c r="D408" s="62"/>
      <c r="E408" s="62"/>
    </row>
    <row r="409" spans="4:5" ht="13">
      <c r="D409" s="62"/>
      <c r="E409" s="62"/>
    </row>
    <row r="410" spans="4:5" ht="13">
      <c r="D410" s="62"/>
      <c r="E410" s="62"/>
    </row>
    <row r="411" spans="4:5" ht="13">
      <c r="D411" s="62"/>
      <c r="E411" s="62"/>
    </row>
    <row r="412" spans="4:5" ht="13">
      <c r="D412" s="62"/>
      <c r="E412" s="62"/>
    </row>
    <row r="413" spans="4:5" ht="13">
      <c r="D413" s="62"/>
      <c r="E413" s="62"/>
    </row>
    <row r="414" spans="4:5" ht="13">
      <c r="D414" s="62"/>
      <c r="E414" s="62"/>
    </row>
    <row r="415" spans="4:5" ht="13">
      <c r="D415" s="62"/>
      <c r="E415" s="62"/>
    </row>
    <row r="416" spans="4:5" ht="13">
      <c r="D416" s="62"/>
      <c r="E416" s="62"/>
    </row>
    <row r="417" spans="4:5" ht="13">
      <c r="D417" s="62"/>
      <c r="E417" s="62"/>
    </row>
    <row r="418" spans="4:5" ht="13">
      <c r="D418" s="62"/>
      <c r="E418" s="62"/>
    </row>
    <row r="419" spans="4:5" ht="13">
      <c r="D419" s="62"/>
      <c r="E419" s="62"/>
    </row>
    <row r="420" spans="4:5" ht="13">
      <c r="D420" s="62"/>
      <c r="E420" s="62"/>
    </row>
    <row r="421" spans="4:5" ht="13">
      <c r="D421" s="62"/>
      <c r="E421" s="62"/>
    </row>
    <row r="422" spans="4:5" ht="13">
      <c r="D422" s="62"/>
      <c r="E422" s="62"/>
    </row>
    <row r="423" spans="4:5" ht="13">
      <c r="D423" s="62"/>
      <c r="E423" s="62"/>
    </row>
    <row r="424" spans="4:5" ht="13">
      <c r="D424" s="62"/>
      <c r="E424" s="62"/>
    </row>
    <row r="425" spans="4:5" ht="13">
      <c r="D425" s="62"/>
      <c r="E425" s="62"/>
    </row>
    <row r="426" spans="4:5" ht="13">
      <c r="D426" s="62"/>
      <c r="E426" s="62"/>
    </row>
    <row r="427" spans="4:5" ht="13">
      <c r="D427" s="62"/>
      <c r="E427" s="62"/>
    </row>
    <row r="428" spans="4:5" ht="13">
      <c r="D428" s="62"/>
      <c r="E428" s="62"/>
    </row>
    <row r="429" spans="4:5" ht="13">
      <c r="D429" s="62"/>
      <c r="E429" s="62"/>
    </row>
    <row r="430" spans="4:5" ht="13">
      <c r="D430" s="62"/>
      <c r="E430" s="62"/>
    </row>
    <row r="431" spans="4:5" ht="13">
      <c r="D431" s="62"/>
      <c r="E431" s="62"/>
    </row>
    <row r="432" spans="4:5" ht="13">
      <c r="D432" s="62"/>
      <c r="E432" s="62"/>
    </row>
    <row r="433" spans="4:5" ht="13">
      <c r="D433" s="62"/>
      <c r="E433" s="62"/>
    </row>
    <row r="434" spans="4:5" ht="13">
      <c r="D434" s="62"/>
      <c r="E434" s="62"/>
    </row>
    <row r="435" spans="4:5" ht="13">
      <c r="D435" s="62"/>
      <c r="E435" s="62"/>
    </row>
    <row r="436" spans="4:5" ht="13">
      <c r="D436" s="62"/>
      <c r="E436" s="62"/>
    </row>
    <row r="437" spans="4:5" ht="13">
      <c r="D437" s="62"/>
      <c r="E437" s="62"/>
    </row>
    <row r="438" spans="4:5" ht="13">
      <c r="D438" s="62"/>
      <c r="E438" s="62"/>
    </row>
    <row r="439" spans="4:5" ht="13">
      <c r="D439" s="62"/>
      <c r="E439" s="62"/>
    </row>
    <row r="440" spans="4:5" ht="13">
      <c r="D440" s="62"/>
      <c r="E440" s="62"/>
    </row>
    <row r="441" spans="4:5" ht="13">
      <c r="D441" s="62"/>
      <c r="E441" s="62"/>
    </row>
    <row r="442" spans="4:5" ht="13">
      <c r="D442" s="62"/>
      <c r="E442" s="62"/>
    </row>
    <row r="443" spans="4:5" ht="13">
      <c r="D443" s="62"/>
      <c r="E443" s="62"/>
    </row>
    <row r="444" spans="4:5" ht="13">
      <c r="D444" s="62"/>
      <c r="E444" s="62"/>
    </row>
    <row r="445" spans="4:5" ht="13">
      <c r="D445" s="62"/>
      <c r="E445" s="62"/>
    </row>
    <row r="446" spans="4:5" ht="13">
      <c r="D446" s="62"/>
      <c r="E446" s="62"/>
    </row>
    <row r="447" spans="4:5" ht="13">
      <c r="D447" s="62"/>
      <c r="E447" s="62"/>
    </row>
    <row r="448" spans="4:5" ht="13">
      <c r="D448" s="62"/>
      <c r="E448" s="62"/>
    </row>
    <row r="449" spans="4:5" ht="13">
      <c r="D449" s="62"/>
      <c r="E449" s="62"/>
    </row>
    <row r="450" spans="4:5" ht="13">
      <c r="D450" s="62"/>
      <c r="E450" s="62"/>
    </row>
    <row r="451" spans="4:5" ht="13">
      <c r="D451" s="62"/>
      <c r="E451" s="62"/>
    </row>
    <row r="452" spans="4:5" ht="13">
      <c r="D452" s="62"/>
      <c r="E452" s="62"/>
    </row>
    <row r="453" spans="4:5" ht="13">
      <c r="D453" s="62"/>
      <c r="E453" s="62"/>
    </row>
    <row r="454" spans="4:5" ht="13">
      <c r="D454" s="62"/>
      <c r="E454" s="62"/>
    </row>
    <row r="455" spans="4:5" ht="13">
      <c r="D455" s="62"/>
      <c r="E455" s="62"/>
    </row>
    <row r="456" spans="4:5" ht="13">
      <c r="D456" s="62"/>
      <c r="E456" s="62"/>
    </row>
    <row r="457" spans="4:5" ht="13">
      <c r="D457" s="62"/>
      <c r="E457" s="62"/>
    </row>
    <row r="458" spans="4:5" ht="13">
      <c r="D458" s="62"/>
      <c r="E458" s="62"/>
    </row>
    <row r="459" spans="4:5" ht="13">
      <c r="D459" s="62"/>
      <c r="E459" s="62"/>
    </row>
    <row r="460" spans="4:5" ht="13">
      <c r="D460" s="62"/>
      <c r="E460" s="62"/>
    </row>
    <row r="461" spans="4:5" ht="13">
      <c r="D461" s="62"/>
      <c r="E461" s="62"/>
    </row>
    <row r="462" spans="4:5" ht="13">
      <c r="D462" s="62"/>
      <c r="E462" s="62"/>
    </row>
    <row r="463" spans="4:5" ht="13">
      <c r="D463" s="62"/>
      <c r="E463" s="62"/>
    </row>
    <row r="464" spans="4:5" ht="13">
      <c r="D464" s="62"/>
      <c r="E464" s="62"/>
    </row>
    <row r="465" spans="4:5" ht="13">
      <c r="D465" s="62"/>
      <c r="E465" s="62"/>
    </row>
    <row r="466" spans="4:5" ht="13">
      <c r="D466" s="62"/>
      <c r="E466" s="62"/>
    </row>
    <row r="467" spans="4:5" ht="13">
      <c r="D467" s="62"/>
      <c r="E467" s="62"/>
    </row>
    <row r="468" spans="4:5" ht="13">
      <c r="D468" s="62"/>
      <c r="E468" s="62"/>
    </row>
    <row r="469" spans="4:5" ht="13">
      <c r="D469" s="62"/>
      <c r="E469" s="62"/>
    </row>
    <row r="470" spans="4:5" ht="13">
      <c r="D470" s="62"/>
      <c r="E470" s="62"/>
    </row>
    <row r="471" spans="4:5" ht="13">
      <c r="D471" s="62"/>
      <c r="E471" s="62"/>
    </row>
    <row r="472" spans="4:5" ht="13">
      <c r="D472" s="62"/>
      <c r="E472" s="62"/>
    </row>
    <row r="473" spans="4:5" ht="13">
      <c r="D473" s="62"/>
      <c r="E473" s="62"/>
    </row>
    <row r="474" spans="4:5" ht="13">
      <c r="D474" s="62"/>
      <c r="E474" s="62"/>
    </row>
    <row r="475" spans="4:5" ht="13">
      <c r="D475" s="62"/>
      <c r="E475" s="62"/>
    </row>
    <row r="476" spans="4:5" ht="13">
      <c r="D476" s="62"/>
      <c r="E476" s="62"/>
    </row>
    <row r="477" spans="4:5" ht="13">
      <c r="D477" s="62"/>
      <c r="E477" s="62"/>
    </row>
    <row r="478" spans="4:5" ht="13">
      <c r="D478" s="62"/>
      <c r="E478" s="62"/>
    </row>
    <row r="479" spans="4:5" ht="13">
      <c r="D479" s="62"/>
      <c r="E479" s="62"/>
    </row>
    <row r="480" spans="4:5" ht="13">
      <c r="D480" s="62"/>
      <c r="E480" s="62"/>
    </row>
    <row r="481" spans="4:5" ht="13">
      <c r="D481" s="62"/>
      <c r="E481" s="62"/>
    </row>
    <row r="482" spans="4:5" ht="13">
      <c r="D482" s="62"/>
      <c r="E482" s="62"/>
    </row>
    <row r="483" spans="4:5" ht="13">
      <c r="D483" s="62"/>
      <c r="E483" s="62"/>
    </row>
    <row r="484" spans="4:5" ht="13">
      <c r="D484" s="62"/>
      <c r="E484" s="62"/>
    </row>
    <row r="485" spans="4:5" ht="13">
      <c r="D485" s="62"/>
      <c r="E485" s="62"/>
    </row>
    <row r="486" spans="4:5" ht="13">
      <c r="D486" s="62"/>
      <c r="E486" s="62"/>
    </row>
    <row r="487" spans="4:5" ht="13">
      <c r="D487" s="62"/>
      <c r="E487" s="62"/>
    </row>
    <row r="488" spans="4:5" ht="13">
      <c r="D488" s="62"/>
      <c r="E488" s="62"/>
    </row>
    <row r="489" spans="4:5" ht="13">
      <c r="D489" s="62"/>
      <c r="E489" s="62"/>
    </row>
    <row r="490" spans="4:5" ht="13">
      <c r="D490" s="62"/>
      <c r="E490" s="62"/>
    </row>
    <row r="491" spans="4:5" ht="13">
      <c r="D491" s="62"/>
      <c r="E491" s="62"/>
    </row>
    <row r="492" spans="4:5" ht="13">
      <c r="D492" s="62"/>
      <c r="E492" s="62"/>
    </row>
    <row r="493" spans="4:5" ht="13">
      <c r="D493" s="62"/>
      <c r="E493" s="62"/>
    </row>
    <row r="494" spans="4:5" ht="13">
      <c r="D494" s="62"/>
      <c r="E494" s="62"/>
    </row>
    <row r="495" spans="4:5" ht="13">
      <c r="D495" s="62"/>
      <c r="E495" s="62"/>
    </row>
    <row r="496" spans="4:5" ht="13">
      <c r="D496" s="62"/>
      <c r="E496" s="62"/>
    </row>
    <row r="497" spans="4:5" ht="13">
      <c r="D497" s="62"/>
      <c r="E497" s="62"/>
    </row>
    <row r="498" spans="4:5" ht="13">
      <c r="D498" s="62"/>
      <c r="E498" s="62"/>
    </row>
    <row r="499" spans="4:5" ht="13">
      <c r="D499" s="62"/>
      <c r="E499" s="62"/>
    </row>
    <row r="500" spans="4:5" ht="13">
      <c r="D500" s="62"/>
      <c r="E500" s="62"/>
    </row>
    <row r="501" spans="4:5" ht="13">
      <c r="D501" s="62"/>
      <c r="E501" s="62"/>
    </row>
    <row r="502" spans="4:5" ht="13">
      <c r="D502" s="62"/>
      <c r="E502" s="62"/>
    </row>
    <row r="503" spans="4:5" ht="13">
      <c r="D503" s="62"/>
      <c r="E503" s="62"/>
    </row>
    <row r="504" spans="4:5" ht="13">
      <c r="D504" s="62"/>
      <c r="E504" s="62"/>
    </row>
    <row r="505" spans="4:5" ht="13">
      <c r="D505" s="62"/>
      <c r="E505" s="62"/>
    </row>
    <row r="506" spans="4:5" ht="13">
      <c r="D506" s="62"/>
      <c r="E506" s="62"/>
    </row>
    <row r="507" spans="4:5" ht="13">
      <c r="D507" s="62"/>
      <c r="E507" s="62"/>
    </row>
    <row r="508" spans="4:5" ht="13">
      <c r="D508" s="62"/>
      <c r="E508" s="62"/>
    </row>
    <row r="509" spans="4:5" ht="13">
      <c r="D509" s="62"/>
      <c r="E509" s="62"/>
    </row>
    <row r="510" spans="4:5" ht="13">
      <c r="D510" s="62"/>
      <c r="E510" s="62"/>
    </row>
    <row r="511" spans="4:5" ht="13">
      <c r="D511" s="62"/>
      <c r="E511" s="62"/>
    </row>
    <row r="512" spans="4:5" ht="13">
      <c r="D512" s="62"/>
      <c r="E512" s="62"/>
    </row>
    <row r="513" spans="4:5" ht="13">
      <c r="D513" s="62"/>
      <c r="E513" s="62"/>
    </row>
    <row r="514" spans="4:5" ht="13">
      <c r="D514" s="62"/>
      <c r="E514" s="62"/>
    </row>
    <row r="515" spans="4:5" ht="13">
      <c r="D515" s="62"/>
      <c r="E515" s="62"/>
    </row>
    <row r="516" spans="4:5" ht="13">
      <c r="D516" s="62"/>
      <c r="E516" s="62"/>
    </row>
    <row r="517" spans="4:5" ht="13">
      <c r="D517" s="62"/>
      <c r="E517" s="62"/>
    </row>
    <row r="518" spans="4:5" ht="13">
      <c r="D518" s="62"/>
      <c r="E518" s="62"/>
    </row>
    <row r="519" spans="4:5" ht="13">
      <c r="D519" s="62"/>
      <c r="E519" s="62"/>
    </row>
    <row r="520" spans="4:5" ht="13">
      <c r="D520" s="62"/>
      <c r="E520" s="62"/>
    </row>
    <row r="521" spans="4:5" ht="13">
      <c r="D521" s="62"/>
      <c r="E521" s="62"/>
    </row>
    <row r="522" spans="4:5" ht="13">
      <c r="D522" s="62"/>
      <c r="E522" s="62"/>
    </row>
    <row r="523" spans="4:5" ht="13">
      <c r="D523" s="62"/>
      <c r="E523" s="62"/>
    </row>
    <row r="524" spans="4:5" ht="13">
      <c r="D524" s="62"/>
      <c r="E524" s="62"/>
    </row>
    <row r="525" spans="4:5" ht="13">
      <c r="D525" s="62"/>
      <c r="E525" s="62"/>
    </row>
    <row r="526" spans="4:5" ht="13">
      <c r="D526" s="62"/>
      <c r="E526" s="62"/>
    </row>
    <row r="527" spans="4:5" ht="13">
      <c r="D527" s="62"/>
      <c r="E527" s="62"/>
    </row>
    <row r="528" spans="4:5" ht="13">
      <c r="D528" s="62"/>
      <c r="E528" s="62"/>
    </row>
    <row r="529" spans="4:5" ht="13">
      <c r="D529" s="62"/>
      <c r="E529" s="62"/>
    </row>
    <row r="530" spans="4:5" ht="13">
      <c r="D530" s="62"/>
      <c r="E530" s="62"/>
    </row>
    <row r="531" spans="4:5" ht="13">
      <c r="D531" s="62"/>
      <c r="E531" s="62"/>
    </row>
    <row r="532" spans="4:5" ht="13">
      <c r="D532" s="62"/>
      <c r="E532" s="62"/>
    </row>
    <row r="533" spans="4:5" ht="13">
      <c r="D533" s="62"/>
      <c r="E533" s="62"/>
    </row>
    <row r="534" spans="4:5" ht="13">
      <c r="D534" s="62"/>
      <c r="E534" s="62"/>
    </row>
    <row r="535" spans="4:5" ht="13">
      <c r="D535" s="62"/>
      <c r="E535" s="62"/>
    </row>
    <row r="536" spans="4:5" ht="13">
      <c r="D536" s="62"/>
      <c r="E536" s="62"/>
    </row>
    <row r="537" spans="4:5" ht="13">
      <c r="D537" s="62"/>
      <c r="E537" s="62"/>
    </row>
    <row r="538" spans="4:5" ht="13">
      <c r="D538" s="62"/>
      <c r="E538" s="62"/>
    </row>
    <row r="539" spans="4:5" ht="13">
      <c r="D539" s="62"/>
      <c r="E539" s="62"/>
    </row>
    <row r="540" spans="4:5" ht="13">
      <c r="D540" s="62"/>
      <c r="E540" s="62"/>
    </row>
    <row r="541" spans="4:5" ht="13">
      <c r="D541" s="62"/>
      <c r="E541" s="62"/>
    </row>
    <row r="542" spans="4:5" ht="13">
      <c r="D542" s="62"/>
      <c r="E542" s="62"/>
    </row>
    <row r="543" spans="4:5" ht="13">
      <c r="D543" s="62"/>
      <c r="E543" s="62"/>
    </row>
    <row r="544" spans="4:5" ht="13">
      <c r="D544" s="62"/>
      <c r="E544" s="62"/>
    </row>
    <row r="545" spans="4:5" ht="13">
      <c r="D545" s="62"/>
      <c r="E545" s="62"/>
    </row>
    <row r="546" spans="4:5" ht="13">
      <c r="D546" s="62"/>
      <c r="E546" s="62"/>
    </row>
    <row r="547" spans="4:5" ht="13">
      <c r="D547" s="62"/>
      <c r="E547" s="62"/>
    </row>
    <row r="548" spans="4:5" ht="13">
      <c r="D548" s="62"/>
      <c r="E548" s="62"/>
    </row>
    <row r="549" spans="4:5" ht="13">
      <c r="D549" s="62"/>
      <c r="E549" s="62"/>
    </row>
    <row r="550" spans="4:5" ht="13">
      <c r="D550" s="62"/>
      <c r="E550" s="62"/>
    </row>
    <row r="551" spans="4:5" ht="13">
      <c r="D551" s="62"/>
      <c r="E551" s="62"/>
    </row>
    <row r="552" spans="4:5" ht="13">
      <c r="D552" s="62"/>
      <c r="E552" s="62"/>
    </row>
    <row r="553" spans="4:5" ht="13">
      <c r="D553" s="62"/>
      <c r="E553" s="62"/>
    </row>
    <row r="554" spans="4:5" ht="13">
      <c r="D554" s="62"/>
      <c r="E554" s="62"/>
    </row>
    <row r="555" spans="4:5" ht="13">
      <c r="D555" s="62"/>
      <c r="E555" s="62"/>
    </row>
    <row r="556" spans="4:5" ht="13">
      <c r="D556" s="62"/>
      <c r="E556" s="62"/>
    </row>
    <row r="557" spans="4:5" ht="13">
      <c r="D557" s="62"/>
      <c r="E557" s="62"/>
    </row>
    <row r="558" spans="4:5" ht="13">
      <c r="D558" s="62"/>
      <c r="E558" s="62"/>
    </row>
    <row r="559" spans="4:5" ht="13">
      <c r="D559" s="62"/>
      <c r="E559" s="62"/>
    </row>
    <row r="560" spans="4:5" ht="13">
      <c r="D560" s="62"/>
      <c r="E560" s="62"/>
    </row>
    <row r="561" spans="4:5" ht="13">
      <c r="D561" s="62"/>
      <c r="E561" s="62"/>
    </row>
    <row r="562" spans="4:5" ht="13">
      <c r="D562" s="62"/>
      <c r="E562" s="62"/>
    </row>
    <row r="563" spans="4:5" ht="13">
      <c r="D563" s="62"/>
      <c r="E563" s="62"/>
    </row>
    <row r="564" spans="4:5" ht="13">
      <c r="D564" s="62"/>
      <c r="E564" s="62"/>
    </row>
    <row r="565" spans="4:5" ht="13">
      <c r="D565" s="62"/>
      <c r="E565" s="62"/>
    </row>
    <row r="566" spans="4:5" ht="13">
      <c r="D566" s="62"/>
      <c r="E566" s="62"/>
    </row>
    <row r="567" spans="4:5" ht="13">
      <c r="D567" s="62"/>
      <c r="E567" s="62"/>
    </row>
    <row r="568" spans="4:5" ht="13">
      <c r="D568" s="62"/>
      <c r="E568" s="62"/>
    </row>
    <row r="569" spans="4:5" ht="13">
      <c r="D569" s="62"/>
      <c r="E569" s="62"/>
    </row>
    <row r="570" spans="4:5" ht="13">
      <c r="D570" s="62"/>
      <c r="E570" s="62"/>
    </row>
    <row r="571" spans="4:5" ht="13">
      <c r="D571" s="62"/>
      <c r="E571" s="62"/>
    </row>
    <row r="572" spans="4:5" ht="13">
      <c r="D572" s="62"/>
      <c r="E572" s="62"/>
    </row>
    <row r="573" spans="4:5" ht="13">
      <c r="D573" s="62"/>
      <c r="E573" s="62"/>
    </row>
    <row r="574" spans="4:5" ht="13">
      <c r="D574" s="62"/>
      <c r="E574" s="62"/>
    </row>
    <row r="575" spans="4:5" ht="13">
      <c r="D575" s="62"/>
      <c r="E575" s="62"/>
    </row>
    <row r="576" spans="4:5" ht="13">
      <c r="D576" s="62"/>
      <c r="E576" s="62"/>
    </row>
    <row r="577" spans="4:5" ht="13">
      <c r="D577" s="62"/>
      <c r="E577" s="62"/>
    </row>
    <row r="578" spans="4:5" ht="13">
      <c r="D578" s="62"/>
      <c r="E578" s="62"/>
    </row>
    <row r="579" spans="4:5" ht="13">
      <c r="D579" s="62"/>
      <c r="E579" s="62"/>
    </row>
    <row r="580" spans="4:5" ht="13">
      <c r="D580" s="62"/>
      <c r="E580" s="62"/>
    </row>
    <row r="581" spans="4:5" ht="13">
      <c r="D581" s="62"/>
      <c r="E581" s="62"/>
    </row>
    <row r="582" spans="4:5" ht="13">
      <c r="D582" s="62"/>
      <c r="E582" s="62"/>
    </row>
    <row r="583" spans="4:5" ht="13">
      <c r="D583" s="62"/>
      <c r="E583" s="62"/>
    </row>
    <row r="584" spans="4:5" ht="13">
      <c r="D584" s="62"/>
      <c r="E584" s="62"/>
    </row>
    <row r="585" spans="4:5" ht="13">
      <c r="D585" s="62"/>
      <c r="E585" s="62"/>
    </row>
    <row r="586" spans="4:5" ht="13">
      <c r="D586" s="62"/>
      <c r="E586" s="62"/>
    </row>
    <row r="587" spans="4:5" ht="13">
      <c r="D587" s="62"/>
      <c r="E587" s="62"/>
    </row>
    <row r="588" spans="4:5" ht="13">
      <c r="D588" s="62"/>
      <c r="E588" s="62"/>
    </row>
    <row r="589" spans="4:5" ht="13">
      <c r="D589" s="62"/>
      <c r="E589" s="62"/>
    </row>
    <row r="590" spans="4:5" ht="13">
      <c r="D590" s="62"/>
      <c r="E590" s="62"/>
    </row>
    <row r="591" spans="4:5" ht="13">
      <c r="D591" s="62"/>
      <c r="E591" s="62"/>
    </row>
    <row r="592" spans="4:5" ht="13">
      <c r="D592" s="62"/>
      <c r="E592" s="62"/>
    </row>
    <row r="593" spans="4:5" ht="13">
      <c r="D593" s="62"/>
      <c r="E593" s="62"/>
    </row>
    <row r="594" spans="4:5" ht="13">
      <c r="D594" s="62"/>
      <c r="E594" s="62"/>
    </row>
    <row r="595" spans="4:5" ht="13">
      <c r="D595" s="62"/>
      <c r="E595" s="62"/>
    </row>
    <row r="596" spans="4:5" ht="13">
      <c r="D596" s="62"/>
      <c r="E596" s="62"/>
    </row>
    <row r="597" spans="4:5" ht="13">
      <c r="D597" s="62"/>
      <c r="E597" s="62"/>
    </row>
    <row r="598" spans="4:5" ht="13">
      <c r="D598" s="62"/>
      <c r="E598" s="62"/>
    </row>
    <row r="599" spans="4:5" ht="13">
      <c r="D599" s="62"/>
      <c r="E599" s="62"/>
    </row>
    <row r="600" spans="4:5" ht="13">
      <c r="D600" s="62"/>
      <c r="E600" s="62"/>
    </row>
    <row r="601" spans="4:5" ht="13">
      <c r="D601" s="62"/>
      <c r="E601" s="62"/>
    </row>
    <row r="602" spans="4:5" ht="13">
      <c r="D602" s="62"/>
      <c r="E602" s="62"/>
    </row>
    <row r="603" spans="4:5" ht="13">
      <c r="D603" s="62"/>
      <c r="E603" s="62"/>
    </row>
    <row r="604" spans="4:5" ht="13">
      <c r="D604" s="62"/>
      <c r="E604" s="62"/>
    </row>
    <row r="605" spans="4:5" ht="13">
      <c r="D605" s="62"/>
      <c r="E605" s="62"/>
    </row>
    <row r="606" spans="4:5" ht="13">
      <c r="D606" s="62"/>
      <c r="E606" s="62"/>
    </row>
    <row r="607" spans="4:5" ht="13">
      <c r="D607" s="62"/>
      <c r="E607" s="62"/>
    </row>
    <row r="608" spans="4:5" ht="13">
      <c r="D608" s="62"/>
      <c r="E608" s="62"/>
    </row>
    <row r="609" spans="4:5" ht="13">
      <c r="D609" s="62"/>
      <c r="E609" s="62"/>
    </row>
    <row r="610" spans="4:5" ht="13">
      <c r="D610" s="62"/>
      <c r="E610" s="62"/>
    </row>
    <row r="611" spans="4:5" ht="13">
      <c r="D611" s="62"/>
      <c r="E611" s="62"/>
    </row>
    <row r="612" spans="4:5" ht="13">
      <c r="D612" s="62"/>
      <c r="E612" s="62"/>
    </row>
    <row r="613" spans="4:5" ht="13">
      <c r="D613" s="62"/>
      <c r="E613" s="62"/>
    </row>
    <row r="614" spans="4:5" ht="13">
      <c r="D614" s="62"/>
      <c r="E614" s="62"/>
    </row>
    <row r="615" spans="4:5" ht="13">
      <c r="D615" s="62"/>
      <c r="E615" s="62"/>
    </row>
    <row r="616" spans="4:5" ht="13">
      <c r="D616" s="62"/>
      <c r="E616" s="62"/>
    </row>
    <row r="617" spans="4:5" ht="13">
      <c r="D617" s="62"/>
      <c r="E617" s="62"/>
    </row>
    <row r="618" spans="4:5" ht="13">
      <c r="D618" s="62"/>
      <c r="E618" s="62"/>
    </row>
    <row r="619" spans="4:5" ht="13">
      <c r="D619" s="62"/>
      <c r="E619" s="62"/>
    </row>
    <row r="620" spans="4:5" ht="13">
      <c r="D620" s="62"/>
      <c r="E620" s="62"/>
    </row>
    <row r="621" spans="4:5" ht="13">
      <c r="D621" s="62"/>
      <c r="E621" s="62"/>
    </row>
    <row r="622" spans="4:5" ht="13">
      <c r="D622" s="62"/>
      <c r="E622" s="62"/>
    </row>
    <row r="623" spans="4:5" ht="13">
      <c r="D623" s="62"/>
      <c r="E623" s="62"/>
    </row>
    <row r="624" spans="4:5" ht="13">
      <c r="D624" s="62"/>
      <c r="E624" s="62"/>
    </row>
    <row r="625" spans="4:5" ht="13">
      <c r="D625" s="62"/>
      <c r="E625" s="62"/>
    </row>
    <row r="626" spans="4:5" ht="13">
      <c r="D626" s="62"/>
      <c r="E626" s="62"/>
    </row>
    <row r="627" spans="4:5" ht="13">
      <c r="D627" s="62"/>
      <c r="E627" s="62"/>
    </row>
    <row r="628" spans="4:5" ht="13">
      <c r="D628" s="62"/>
      <c r="E628" s="62"/>
    </row>
    <row r="629" spans="4:5" ht="13">
      <c r="D629" s="62"/>
      <c r="E629" s="62"/>
    </row>
    <row r="630" spans="4:5" ht="13">
      <c r="D630" s="62"/>
      <c r="E630" s="62"/>
    </row>
    <row r="631" spans="4:5" ht="13">
      <c r="D631" s="62"/>
      <c r="E631" s="62"/>
    </row>
    <row r="632" spans="4:5" ht="13">
      <c r="D632" s="62"/>
      <c r="E632" s="62"/>
    </row>
    <row r="633" spans="4:5" ht="13">
      <c r="D633" s="62"/>
      <c r="E633" s="62"/>
    </row>
    <row r="634" spans="4:5" ht="13">
      <c r="D634" s="62"/>
      <c r="E634" s="62"/>
    </row>
    <row r="635" spans="4:5" ht="13">
      <c r="D635" s="62"/>
      <c r="E635" s="62"/>
    </row>
    <row r="636" spans="4:5" ht="13">
      <c r="D636" s="62"/>
      <c r="E636" s="62"/>
    </row>
    <row r="637" spans="4:5" ht="13">
      <c r="D637" s="62"/>
      <c r="E637" s="62"/>
    </row>
    <row r="638" spans="4:5" ht="13">
      <c r="D638" s="62"/>
      <c r="E638" s="62"/>
    </row>
    <row r="639" spans="4:5" ht="13">
      <c r="D639" s="62"/>
      <c r="E639" s="62"/>
    </row>
    <row r="640" spans="4:5" ht="13">
      <c r="D640" s="62"/>
      <c r="E640" s="62"/>
    </row>
    <row r="641" spans="4:5" ht="13">
      <c r="D641" s="62"/>
      <c r="E641" s="62"/>
    </row>
    <row r="642" spans="4:5" ht="13">
      <c r="D642" s="62"/>
      <c r="E642" s="62"/>
    </row>
    <row r="643" spans="4:5" ht="13">
      <c r="D643" s="62"/>
      <c r="E643" s="62"/>
    </row>
    <row r="644" spans="4:5" ht="13">
      <c r="D644" s="62"/>
      <c r="E644" s="62"/>
    </row>
    <row r="645" spans="4:5" ht="13">
      <c r="D645" s="62"/>
      <c r="E645" s="62"/>
    </row>
    <row r="646" spans="4:5" ht="13">
      <c r="D646" s="62"/>
      <c r="E646" s="62"/>
    </row>
    <row r="647" spans="4:5" ht="13">
      <c r="D647" s="62"/>
      <c r="E647" s="62"/>
    </row>
    <row r="648" spans="4:5" ht="13">
      <c r="D648" s="62"/>
      <c r="E648" s="62"/>
    </row>
    <row r="649" spans="4:5" ht="13">
      <c r="D649" s="62"/>
      <c r="E649" s="62"/>
    </row>
    <row r="650" spans="4:5" ht="13">
      <c r="D650" s="62"/>
      <c r="E650" s="62"/>
    </row>
    <row r="651" spans="4:5" ht="13">
      <c r="D651" s="62"/>
      <c r="E651" s="62"/>
    </row>
    <row r="652" spans="4:5" ht="13">
      <c r="D652" s="62"/>
      <c r="E652" s="62"/>
    </row>
    <row r="653" spans="4:5" ht="13">
      <c r="D653" s="62"/>
      <c r="E653" s="62"/>
    </row>
    <row r="654" spans="4:5" ht="13">
      <c r="D654" s="62"/>
      <c r="E654" s="62"/>
    </row>
    <row r="655" spans="4:5" ht="13">
      <c r="D655" s="62"/>
      <c r="E655" s="62"/>
    </row>
    <row r="656" spans="4:5" ht="13">
      <c r="D656" s="62"/>
      <c r="E656" s="62"/>
    </row>
    <row r="657" spans="4:5" ht="13">
      <c r="D657" s="62"/>
      <c r="E657" s="62"/>
    </row>
    <row r="658" spans="4:5" ht="13">
      <c r="D658" s="62"/>
      <c r="E658" s="62"/>
    </row>
    <row r="659" spans="4:5" ht="13">
      <c r="D659" s="62"/>
      <c r="E659" s="62"/>
    </row>
    <row r="660" spans="4:5" ht="13">
      <c r="D660" s="62"/>
      <c r="E660" s="62"/>
    </row>
    <row r="661" spans="4:5" ht="13">
      <c r="D661" s="62"/>
      <c r="E661" s="62"/>
    </row>
    <row r="662" spans="4:5" ht="13">
      <c r="D662" s="62"/>
      <c r="E662" s="62"/>
    </row>
    <row r="663" spans="4:5" ht="13">
      <c r="D663" s="62"/>
      <c r="E663" s="62"/>
    </row>
    <row r="664" spans="4:5" ht="13">
      <c r="D664" s="62"/>
      <c r="E664" s="62"/>
    </row>
    <row r="665" spans="4:5" ht="13">
      <c r="D665" s="62"/>
      <c r="E665" s="62"/>
    </row>
    <row r="666" spans="4:5" ht="13">
      <c r="D666" s="62"/>
      <c r="E666" s="62"/>
    </row>
    <row r="667" spans="4:5" ht="13">
      <c r="D667" s="62"/>
      <c r="E667" s="62"/>
    </row>
    <row r="668" spans="4:5" ht="13">
      <c r="D668" s="62"/>
      <c r="E668" s="62"/>
    </row>
    <row r="669" spans="4:5" ht="13">
      <c r="D669" s="62"/>
      <c r="E669" s="62"/>
    </row>
    <row r="670" spans="4:5" ht="13">
      <c r="D670" s="62"/>
      <c r="E670" s="62"/>
    </row>
    <row r="671" spans="4:5" ht="13">
      <c r="D671" s="62"/>
      <c r="E671" s="62"/>
    </row>
    <row r="672" spans="4:5" ht="13">
      <c r="D672" s="62"/>
      <c r="E672" s="62"/>
    </row>
    <row r="673" spans="4:5" ht="13">
      <c r="D673" s="62"/>
      <c r="E673" s="62"/>
    </row>
    <row r="674" spans="4:5" ht="13">
      <c r="D674" s="62"/>
      <c r="E674" s="62"/>
    </row>
    <row r="675" spans="4:5" ht="13">
      <c r="D675" s="62"/>
      <c r="E675" s="62"/>
    </row>
    <row r="676" spans="4:5" ht="13">
      <c r="D676" s="62"/>
      <c r="E676" s="62"/>
    </row>
    <row r="677" spans="4:5" ht="13">
      <c r="D677" s="62"/>
      <c r="E677" s="62"/>
    </row>
    <row r="678" spans="4:5" ht="13">
      <c r="D678" s="62"/>
      <c r="E678" s="62"/>
    </row>
    <row r="679" spans="4:5" ht="13">
      <c r="D679" s="62"/>
      <c r="E679" s="62"/>
    </row>
    <row r="680" spans="4:5" ht="13">
      <c r="D680" s="62"/>
      <c r="E680" s="62"/>
    </row>
    <row r="681" spans="4:5" ht="13">
      <c r="D681" s="62"/>
      <c r="E681" s="62"/>
    </row>
    <row r="682" spans="4:5" ht="13">
      <c r="D682" s="62"/>
      <c r="E682" s="62"/>
    </row>
    <row r="683" spans="4:5" ht="13">
      <c r="D683" s="62"/>
      <c r="E683" s="62"/>
    </row>
    <row r="684" spans="4:5" ht="13">
      <c r="D684" s="62"/>
      <c r="E684" s="62"/>
    </row>
    <row r="685" spans="4:5" ht="13">
      <c r="D685" s="62"/>
      <c r="E685" s="62"/>
    </row>
    <row r="686" spans="4:5" ht="13">
      <c r="D686" s="62"/>
      <c r="E686" s="62"/>
    </row>
    <row r="687" spans="4:5" ht="13">
      <c r="D687" s="62"/>
      <c r="E687" s="62"/>
    </row>
    <row r="688" spans="4:5" ht="13">
      <c r="D688" s="62"/>
      <c r="E688" s="62"/>
    </row>
    <row r="689" spans="4:5" ht="13">
      <c r="D689" s="62"/>
      <c r="E689" s="62"/>
    </row>
    <row r="690" spans="4:5" ht="13">
      <c r="D690" s="62"/>
      <c r="E690" s="62"/>
    </row>
    <row r="691" spans="4:5" ht="13">
      <c r="D691" s="62"/>
      <c r="E691" s="62"/>
    </row>
    <row r="692" spans="4:5" ht="13">
      <c r="D692" s="62"/>
      <c r="E692" s="62"/>
    </row>
    <row r="693" spans="4:5" ht="13">
      <c r="D693" s="62"/>
      <c r="E693" s="62"/>
    </row>
    <row r="694" spans="4:5" ht="13">
      <c r="D694" s="62"/>
      <c r="E694" s="62"/>
    </row>
    <row r="695" spans="4:5" ht="13">
      <c r="D695" s="62"/>
      <c r="E695" s="62"/>
    </row>
    <row r="696" spans="4:5" ht="13">
      <c r="D696" s="62"/>
      <c r="E696" s="62"/>
    </row>
    <row r="697" spans="4:5" ht="13">
      <c r="D697" s="62"/>
      <c r="E697" s="62"/>
    </row>
    <row r="698" spans="4:5" ht="13">
      <c r="D698" s="62"/>
      <c r="E698" s="62"/>
    </row>
    <row r="699" spans="4:5" ht="13">
      <c r="D699" s="62"/>
      <c r="E699" s="62"/>
    </row>
    <row r="700" spans="4:5" ht="13">
      <c r="D700" s="62"/>
      <c r="E700" s="62"/>
    </row>
    <row r="701" spans="4:5" ht="13">
      <c r="D701" s="62"/>
      <c r="E701" s="62"/>
    </row>
    <row r="702" spans="4:5" ht="13">
      <c r="D702" s="62"/>
      <c r="E702" s="62"/>
    </row>
    <row r="703" spans="4:5" ht="13">
      <c r="D703" s="62"/>
      <c r="E703" s="62"/>
    </row>
    <row r="704" spans="4:5" ht="13">
      <c r="D704" s="62"/>
      <c r="E704" s="62"/>
    </row>
    <row r="705" spans="4:5" ht="13">
      <c r="D705" s="62"/>
      <c r="E705" s="62"/>
    </row>
    <row r="706" spans="4:5" ht="13">
      <c r="D706" s="62"/>
      <c r="E706" s="62"/>
    </row>
    <row r="707" spans="4:5" ht="13">
      <c r="D707" s="62"/>
      <c r="E707" s="62"/>
    </row>
    <row r="708" spans="4:5" ht="13">
      <c r="D708" s="62"/>
      <c r="E708" s="62"/>
    </row>
    <row r="709" spans="4:5" ht="13">
      <c r="D709" s="62"/>
      <c r="E709" s="62"/>
    </row>
    <row r="710" spans="4:5" ht="13">
      <c r="D710" s="62"/>
      <c r="E710" s="62"/>
    </row>
    <row r="711" spans="4:5" ht="13">
      <c r="D711" s="62"/>
      <c r="E711" s="62"/>
    </row>
    <row r="712" spans="4:5" ht="13">
      <c r="D712" s="62"/>
      <c r="E712" s="62"/>
    </row>
    <row r="713" spans="4:5" ht="13">
      <c r="D713" s="62"/>
      <c r="E713" s="62"/>
    </row>
    <row r="714" spans="4:5" ht="13">
      <c r="D714" s="62"/>
      <c r="E714" s="62"/>
    </row>
    <row r="715" spans="4:5" ht="13">
      <c r="D715" s="62"/>
      <c r="E715" s="62"/>
    </row>
    <row r="716" spans="4:5" ht="13">
      <c r="D716" s="62"/>
      <c r="E716" s="62"/>
    </row>
    <row r="717" spans="4:5" ht="13">
      <c r="D717" s="62"/>
      <c r="E717" s="62"/>
    </row>
    <row r="718" spans="4:5" ht="13">
      <c r="D718" s="62"/>
      <c r="E718" s="62"/>
    </row>
    <row r="719" spans="4:5" ht="13">
      <c r="D719" s="62"/>
      <c r="E719" s="62"/>
    </row>
    <row r="720" spans="4:5" ht="13">
      <c r="D720" s="62"/>
      <c r="E720" s="62"/>
    </row>
    <row r="721" spans="4:5" ht="13">
      <c r="D721" s="62"/>
      <c r="E721" s="62"/>
    </row>
    <row r="722" spans="4:5" ht="13">
      <c r="D722" s="62"/>
      <c r="E722" s="62"/>
    </row>
    <row r="723" spans="4:5" ht="13">
      <c r="D723" s="62"/>
      <c r="E723" s="62"/>
    </row>
    <row r="724" spans="4:5" ht="13">
      <c r="D724" s="62"/>
      <c r="E724" s="62"/>
    </row>
    <row r="725" spans="4:5" ht="13">
      <c r="D725" s="62"/>
      <c r="E725" s="62"/>
    </row>
    <row r="726" spans="4:5" ht="13">
      <c r="D726" s="62"/>
      <c r="E726" s="62"/>
    </row>
    <row r="727" spans="4:5" ht="13">
      <c r="D727" s="62"/>
      <c r="E727" s="62"/>
    </row>
    <row r="728" spans="4:5" ht="13">
      <c r="D728" s="62"/>
      <c r="E728" s="62"/>
    </row>
    <row r="729" spans="4:5" ht="13">
      <c r="D729" s="62"/>
      <c r="E729" s="62"/>
    </row>
    <row r="730" spans="4:5" ht="13">
      <c r="D730" s="62"/>
      <c r="E730" s="62"/>
    </row>
    <row r="731" spans="4:5" ht="13">
      <c r="D731" s="62"/>
      <c r="E731" s="62"/>
    </row>
    <row r="732" spans="4:5" ht="13">
      <c r="D732" s="62"/>
      <c r="E732" s="62"/>
    </row>
    <row r="733" spans="4:5" ht="13">
      <c r="D733" s="62"/>
      <c r="E733" s="62"/>
    </row>
    <row r="734" spans="4:5" ht="13">
      <c r="D734" s="62"/>
      <c r="E734" s="62"/>
    </row>
    <row r="735" spans="4:5" ht="13">
      <c r="D735" s="62"/>
      <c r="E735" s="62"/>
    </row>
    <row r="736" spans="4:5" ht="13">
      <c r="D736" s="62"/>
      <c r="E736" s="62"/>
    </row>
    <row r="737" spans="4:5" ht="13">
      <c r="D737" s="62"/>
      <c r="E737" s="62"/>
    </row>
    <row r="738" spans="4:5" ht="13">
      <c r="D738" s="62"/>
      <c r="E738" s="62"/>
    </row>
    <row r="739" spans="4:5" ht="13">
      <c r="D739" s="62"/>
      <c r="E739" s="62"/>
    </row>
    <row r="740" spans="4:5" ht="13">
      <c r="D740" s="62"/>
      <c r="E740" s="62"/>
    </row>
    <row r="741" spans="4:5" ht="13">
      <c r="D741" s="62"/>
      <c r="E741" s="62"/>
    </row>
    <row r="742" spans="4:5" ht="13">
      <c r="D742" s="62"/>
      <c r="E742" s="62"/>
    </row>
    <row r="743" spans="4:5" ht="13">
      <c r="D743" s="62"/>
      <c r="E743" s="62"/>
    </row>
    <row r="744" spans="4:5" ht="13">
      <c r="D744" s="62"/>
      <c r="E744" s="62"/>
    </row>
    <row r="745" spans="4:5" ht="13">
      <c r="D745" s="62"/>
      <c r="E745" s="62"/>
    </row>
    <row r="746" spans="4:5" ht="13">
      <c r="D746" s="62"/>
      <c r="E746" s="62"/>
    </row>
    <row r="747" spans="4:5" ht="13">
      <c r="D747" s="62"/>
      <c r="E747" s="62"/>
    </row>
    <row r="748" spans="4:5" ht="13">
      <c r="D748" s="62"/>
      <c r="E748" s="62"/>
    </row>
    <row r="749" spans="4:5" ht="13">
      <c r="D749" s="62"/>
      <c r="E749" s="62"/>
    </row>
    <row r="750" spans="4:5" ht="13">
      <c r="D750" s="62"/>
      <c r="E750" s="62"/>
    </row>
    <row r="751" spans="4:5" ht="13">
      <c r="D751" s="62"/>
      <c r="E751" s="62"/>
    </row>
    <row r="752" spans="4:5" ht="13">
      <c r="D752" s="62"/>
      <c r="E752" s="62"/>
    </row>
    <row r="753" spans="4:5" ht="13">
      <c r="D753" s="62"/>
      <c r="E753" s="62"/>
    </row>
    <row r="754" spans="4:5" ht="13">
      <c r="D754" s="62"/>
      <c r="E754" s="62"/>
    </row>
    <row r="755" spans="4:5" ht="13">
      <c r="D755" s="62"/>
      <c r="E755" s="62"/>
    </row>
    <row r="756" spans="4:5" ht="13">
      <c r="D756" s="62"/>
      <c r="E756" s="62"/>
    </row>
    <row r="757" spans="4:5" ht="13">
      <c r="D757" s="62"/>
      <c r="E757" s="62"/>
    </row>
    <row r="758" spans="4:5" ht="13">
      <c r="D758" s="62"/>
      <c r="E758" s="62"/>
    </row>
    <row r="759" spans="4:5" ht="13">
      <c r="D759" s="62"/>
      <c r="E759" s="62"/>
    </row>
    <row r="760" spans="4:5" ht="13">
      <c r="D760" s="62"/>
      <c r="E760" s="62"/>
    </row>
    <row r="761" spans="4:5" ht="13">
      <c r="D761" s="62"/>
      <c r="E761" s="62"/>
    </row>
    <row r="762" spans="4:5" ht="13">
      <c r="D762" s="62"/>
      <c r="E762" s="62"/>
    </row>
    <row r="763" spans="4:5" ht="13">
      <c r="D763" s="62"/>
      <c r="E763" s="62"/>
    </row>
    <row r="764" spans="4:5" ht="13">
      <c r="D764" s="62"/>
      <c r="E764" s="62"/>
    </row>
    <row r="765" spans="4:5" ht="13">
      <c r="D765" s="62"/>
      <c r="E765" s="62"/>
    </row>
    <row r="766" spans="4:5" ht="13">
      <c r="D766" s="62"/>
      <c r="E766" s="62"/>
    </row>
    <row r="767" spans="4:5" ht="13">
      <c r="D767" s="62"/>
      <c r="E767" s="62"/>
    </row>
    <row r="768" spans="4:5" ht="13">
      <c r="D768" s="62"/>
      <c r="E768" s="62"/>
    </row>
    <row r="769" spans="4:5" ht="13">
      <c r="D769" s="62"/>
      <c r="E769" s="62"/>
    </row>
    <row r="770" spans="4:5" ht="13">
      <c r="D770" s="62"/>
      <c r="E770" s="62"/>
    </row>
    <row r="771" spans="4:5" ht="13">
      <c r="D771" s="62"/>
      <c r="E771" s="62"/>
    </row>
    <row r="772" spans="4:5" ht="13">
      <c r="D772" s="62"/>
      <c r="E772" s="62"/>
    </row>
    <row r="773" spans="4:5" ht="13">
      <c r="D773" s="62"/>
      <c r="E773" s="62"/>
    </row>
    <row r="774" spans="4:5" ht="13">
      <c r="D774" s="62"/>
      <c r="E774" s="62"/>
    </row>
    <row r="775" spans="4:5" ht="13">
      <c r="D775" s="62"/>
      <c r="E775" s="62"/>
    </row>
    <row r="776" spans="4:5" ht="13">
      <c r="D776" s="62"/>
      <c r="E776" s="62"/>
    </row>
    <row r="777" spans="4:5" ht="13">
      <c r="D777" s="62"/>
      <c r="E777" s="62"/>
    </row>
    <row r="778" spans="4:5" ht="13">
      <c r="D778" s="62"/>
      <c r="E778" s="62"/>
    </row>
    <row r="779" spans="4:5" ht="13">
      <c r="D779" s="62"/>
      <c r="E779" s="62"/>
    </row>
    <row r="780" spans="4:5" ht="13">
      <c r="D780" s="62"/>
      <c r="E780" s="62"/>
    </row>
    <row r="781" spans="4:5" ht="13">
      <c r="D781" s="62"/>
      <c r="E781" s="62"/>
    </row>
    <row r="782" spans="4:5" ht="13">
      <c r="D782" s="62"/>
      <c r="E782" s="62"/>
    </row>
    <row r="783" spans="4:5" ht="13">
      <c r="D783" s="62"/>
      <c r="E783" s="62"/>
    </row>
    <row r="784" spans="4:5" ht="13">
      <c r="D784" s="62"/>
      <c r="E784" s="62"/>
    </row>
    <row r="785" spans="4:5" ht="13">
      <c r="D785" s="62"/>
      <c r="E785" s="62"/>
    </row>
    <row r="786" spans="4:5" ht="13">
      <c r="D786" s="62"/>
      <c r="E786" s="62"/>
    </row>
    <row r="787" spans="4:5" ht="13">
      <c r="D787" s="62"/>
      <c r="E787" s="62"/>
    </row>
    <row r="788" spans="4:5" ht="13">
      <c r="D788" s="62"/>
      <c r="E788" s="62"/>
    </row>
    <row r="789" spans="4:5" ht="13">
      <c r="D789" s="62"/>
      <c r="E789" s="62"/>
    </row>
    <row r="790" spans="4:5" ht="13">
      <c r="D790" s="62"/>
      <c r="E790" s="62"/>
    </row>
    <row r="791" spans="4:5" ht="13">
      <c r="D791" s="62"/>
      <c r="E791" s="62"/>
    </row>
    <row r="792" spans="4:5" ht="13">
      <c r="D792" s="62"/>
      <c r="E792" s="62"/>
    </row>
    <row r="793" spans="4:5" ht="13">
      <c r="D793" s="62"/>
      <c r="E793" s="62"/>
    </row>
    <row r="794" spans="4:5" ht="13">
      <c r="D794" s="62"/>
      <c r="E794" s="62"/>
    </row>
    <row r="795" spans="4:5" ht="13">
      <c r="D795" s="62"/>
      <c r="E795" s="62"/>
    </row>
    <row r="796" spans="4:5" ht="13">
      <c r="D796" s="62"/>
      <c r="E796" s="62"/>
    </row>
    <row r="797" spans="4:5" ht="13">
      <c r="D797" s="62"/>
      <c r="E797" s="62"/>
    </row>
    <row r="798" spans="4:5" ht="13">
      <c r="D798" s="62"/>
      <c r="E798" s="62"/>
    </row>
    <row r="799" spans="4:5" ht="13">
      <c r="D799" s="62"/>
      <c r="E799" s="62"/>
    </row>
    <row r="800" spans="4:5" ht="13">
      <c r="D800" s="62"/>
      <c r="E800" s="62"/>
    </row>
    <row r="801" spans="4:5" ht="13">
      <c r="D801" s="62"/>
      <c r="E801" s="62"/>
    </row>
    <row r="802" spans="4:5" ht="13">
      <c r="D802" s="62"/>
      <c r="E802" s="62"/>
    </row>
    <row r="803" spans="4:5" ht="13">
      <c r="D803" s="62"/>
      <c r="E803" s="62"/>
    </row>
    <row r="804" spans="4:5" ht="13">
      <c r="D804" s="62"/>
      <c r="E804" s="62"/>
    </row>
    <row r="805" spans="4:5" ht="13">
      <c r="D805" s="62"/>
      <c r="E805" s="62"/>
    </row>
    <row r="806" spans="4:5" ht="13">
      <c r="D806" s="62"/>
      <c r="E806" s="62"/>
    </row>
    <row r="807" spans="4:5" ht="13">
      <c r="D807" s="62"/>
      <c r="E807" s="62"/>
    </row>
    <row r="808" spans="4:5" ht="13">
      <c r="D808" s="62"/>
      <c r="E808" s="62"/>
    </row>
    <row r="809" spans="4:5" ht="13">
      <c r="D809" s="62"/>
      <c r="E809" s="62"/>
    </row>
    <row r="810" spans="4:5" ht="13">
      <c r="D810" s="62"/>
      <c r="E810" s="62"/>
    </row>
    <row r="811" spans="4:5" ht="13">
      <c r="D811" s="62"/>
      <c r="E811" s="62"/>
    </row>
    <row r="812" spans="4:5" ht="13">
      <c r="D812" s="62"/>
      <c r="E812" s="62"/>
    </row>
    <row r="813" spans="4:5" ht="13">
      <c r="D813" s="62"/>
      <c r="E813" s="62"/>
    </row>
    <row r="814" spans="4:5" ht="13">
      <c r="D814" s="62"/>
      <c r="E814" s="62"/>
    </row>
    <row r="815" spans="4:5" ht="13">
      <c r="D815" s="62"/>
      <c r="E815" s="62"/>
    </row>
    <row r="816" spans="4:5" ht="13">
      <c r="D816" s="62"/>
      <c r="E816" s="62"/>
    </row>
    <row r="817" spans="4:5" ht="13">
      <c r="D817" s="62"/>
      <c r="E817" s="62"/>
    </row>
    <row r="818" spans="4:5" ht="13">
      <c r="D818" s="62"/>
      <c r="E818" s="62"/>
    </row>
    <row r="819" spans="4:5" ht="13">
      <c r="D819" s="62"/>
      <c r="E819" s="62"/>
    </row>
    <row r="820" spans="4:5" ht="13">
      <c r="D820" s="62"/>
      <c r="E820" s="62"/>
    </row>
    <row r="821" spans="4:5" ht="13">
      <c r="D821" s="62"/>
      <c r="E821" s="62"/>
    </row>
    <row r="822" spans="4:5" ht="13">
      <c r="D822" s="62"/>
      <c r="E822" s="62"/>
    </row>
    <row r="823" spans="4:5" ht="13">
      <c r="D823" s="62"/>
      <c r="E823" s="62"/>
    </row>
    <row r="824" spans="4:5" ht="13">
      <c r="D824" s="62"/>
      <c r="E824" s="62"/>
    </row>
    <row r="825" spans="4:5" ht="13">
      <c r="D825" s="62"/>
      <c r="E825" s="62"/>
    </row>
    <row r="826" spans="4:5" ht="13">
      <c r="D826" s="62"/>
      <c r="E826" s="62"/>
    </row>
    <row r="827" spans="4:5" ht="13">
      <c r="D827" s="62"/>
      <c r="E827" s="62"/>
    </row>
    <row r="828" spans="4:5" ht="13">
      <c r="D828" s="62"/>
      <c r="E828" s="62"/>
    </row>
    <row r="829" spans="4:5" ht="13">
      <c r="D829" s="62"/>
      <c r="E829" s="62"/>
    </row>
    <row r="830" spans="4:5" ht="13">
      <c r="D830" s="62"/>
      <c r="E830" s="62"/>
    </row>
    <row r="831" spans="4:5" ht="13">
      <c r="D831" s="62"/>
      <c r="E831" s="62"/>
    </row>
    <row r="832" spans="4:5" ht="13">
      <c r="D832" s="62"/>
      <c r="E832" s="62"/>
    </row>
    <row r="833" spans="4:5" ht="13">
      <c r="D833" s="62"/>
      <c r="E833" s="62"/>
    </row>
    <row r="834" spans="4:5" ht="13">
      <c r="D834" s="62"/>
      <c r="E834" s="62"/>
    </row>
    <row r="835" spans="4:5" ht="13">
      <c r="D835" s="62"/>
      <c r="E835" s="62"/>
    </row>
    <row r="836" spans="4:5" ht="13">
      <c r="D836" s="62"/>
      <c r="E836" s="62"/>
    </row>
    <row r="837" spans="4:5" ht="13">
      <c r="D837" s="62"/>
      <c r="E837" s="62"/>
    </row>
    <row r="838" spans="4:5" ht="13">
      <c r="D838" s="62"/>
      <c r="E838" s="62"/>
    </row>
    <row r="839" spans="4:5" ht="13">
      <c r="D839" s="62"/>
      <c r="E839" s="62"/>
    </row>
    <row r="840" spans="4:5" ht="13">
      <c r="D840" s="62"/>
      <c r="E840" s="62"/>
    </row>
    <row r="841" spans="4:5" ht="13">
      <c r="D841" s="62"/>
      <c r="E841" s="62"/>
    </row>
    <row r="842" spans="4:5" ht="13">
      <c r="D842" s="62"/>
      <c r="E842" s="62"/>
    </row>
    <row r="843" spans="4:5" ht="13">
      <c r="D843" s="62"/>
      <c r="E843" s="62"/>
    </row>
    <row r="844" spans="4:5" ht="13">
      <c r="D844" s="62"/>
      <c r="E844" s="62"/>
    </row>
    <row r="845" spans="4:5" ht="13">
      <c r="D845" s="62"/>
      <c r="E845" s="62"/>
    </row>
    <row r="846" spans="4:5" ht="13">
      <c r="D846" s="62"/>
      <c r="E846" s="62"/>
    </row>
    <row r="847" spans="4:5" ht="13">
      <c r="D847" s="62"/>
      <c r="E847" s="62"/>
    </row>
    <row r="848" spans="4:5" ht="13">
      <c r="D848" s="62"/>
      <c r="E848" s="62"/>
    </row>
    <row r="849" spans="4:5" ht="13">
      <c r="D849" s="62"/>
      <c r="E849" s="62"/>
    </row>
    <row r="850" spans="4:5" ht="13">
      <c r="D850" s="62"/>
      <c r="E850" s="62"/>
    </row>
    <row r="851" spans="4:5" ht="13">
      <c r="D851" s="62"/>
      <c r="E851" s="62"/>
    </row>
    <row r="852" spans="4:5" ht="13">
      <c r="D852" s="62"/>
      <c r="E852" s="62"/>
    </row>
    <row r="853" spans="4:5" ht="13">
      <c r="D853" s="62"/>
      <c r="E853" s="62"/>
    </row>
    <row r="854" spans="4:5" ht="13">
      <c r="D854" s="62"/>
      <c r="E854" s="62"/>
    </row>
    <row r="855" spans="4:5" ht="13">
      <c r="D855" s="62"/>
      <c r="E855" s="62"/>
    </row>
    <row r="856" spans="4:5" ht="13">
      <c r="D856" s="62"/>
      <c r="E856" s="62"/>
    </row>
    <row r="857" spans="4:5" ht="13">
      <c r="D857" s="62"/>
      <c r="E857" s="62"/>
    </row>
    <row r="858" spans="4:5" ht="13">
      <c r="D858" s="62"/>
      <c r="E858" s="62"/>
    </row>
    <row r="859" spans="4:5" ht="13">
      <c r="D859" s="62"/>
      <c r="E859" s="62"/>
    </row>
    <row r="860" spans="4:5" ht="13">
      <c r="D860" s="62"/>
      <c r="E860" s="62"/>
    </row>
    <row r="861" spans="4:5" ht="13">
      <c r="D861" s="62"/>
      <c r="E861" s="62"/>
    </row>
    <row r="862" spans="4:5" ht="13">
      <c r="D862" s="62"/>
      <c r="E862" s="62"/>
    </row>
    <row r="863" spans="4:5" ht="13">
      <c r="D863" s="62"/>
      <c r="E863" s="62"/>
    </row>
    <row r="864" spans="4:5" ht="13">
      <c r="D864" s="62"/>
      <c r="E864" s="62"/>
    </row>
    <row r="865" spans="4:5" ht="13">
      <c r="D865" s="62"/>
      <c r="E865" s="62"/>
    </row>
    <row r="866" spans="4:5" ht="13">
      <c r="D866" s="62"/>
      <c r="E866" s="62"/>
    </row>
    <row r="867" spans="4:5" ht="13">
      <c r="D867" s="62"/>
      <c r="E867" s="62"/>
    </row>
    <row r="868" spans="4:5" ht="13">
      <c r="D868" s="62"/>
      <c r="E868" s="62"/>
    </row>
    <row r="869" spans="4:5" ht="13">
      <c r="D869" s="62"/>
      <c r="E869" s="62"/>
    </row>
    <row r="870" spans="4:5" ht="13">
      <c r="D870" s="62"/>
      <c r="E870" s="62"/>
    </row>
    <row r="871" spans="4:5" ht="13">
      <c r="D871" s="62"/>
      <c r="E871" s="62"/>
    </row>
    <row r="872" spans="4:5" ht="13">
      <c r="D872" s="62"/>
      <c r="E872" s="62"/>
    </row>
    <row r="873" spans="4:5" ht="13">
      <c r="D873" s="62"/>
      <c r="E873" s="62"/>
    </row>
    <row r="874" spans="4:5" ht="13">
      <c r="D874" s="62"/>
      <c r="E874" s="62"/>
    </row>
    <row r="875" spans="4:5" ht="13">
      <c r="D875" s="62"/>
      <c r="E875" s="62"/>
    </row>
    <row r="876" spans="4:5" ht="13">
      <c r="D876" s="62"/>
      <c r="E876" s="62"/>
    </row>
    <row r="877" spans="4:5" ht="13">
      <c r="D877" s="62"/>
      <c r="E877" s="62"/>
    </row>
    <row r="878" spans="4:5" ht="13">
      <c r="D878" s="62"/>
      <c r="E878" s="62"/>
    </row>
    <row r="879" spans="4:5" ht="13">
      <c r="D879" s="62"/>
      <c r="E879" s="62"/>
    </row>
    <row r="880" spans="4:5" ht="13">
      <c r="D880" s="62"/>
      <c r="E880" s="62"/>
    </row>
    <row r="881" spans="4:5" ht="13">
      <c r="D881" s="62"/>
      <c r="E881" s="62"/>
    </row>
    <row r="882" spans="4:5" ht="13">
      <c r="D882" s="62"/>
      <c r="E882" s="62"/>
    </row>
    <row r="883" spans="4:5" ht="13">
      <c r="D883" s="62"/>
      <c r="E883" s="62"/>
    </row>
    <row r="884" spans="4:5" ht="13">
      <c r="D884" s="62"/>
      <c r="E884" s="62"/>
    </row>
    <row r="885" spans="4:5" ht="13">
      <c r="D885" s="62"/>
      <c r="E885" s="62"/>
    </row>
    <row r="886" spans="4:5" ht="13">
      <c r="D886" s="62"/>
      <c r="E886" s="62"/>
    </row>
    <row r="887" spans="4:5" ht="13">
      <c r="D887" s="62"/>
      <c r="E887" s="62"/>
    </row>
    <row r="888" spans="4:5" ht="13">
      <c r="D888" s="62"/>
      <c r="E888" s="62"/>
    </row>
    <row r="889" spans="4:5" ht="13">
      <c r="D889" s="62"/>
      <c r="E889" s="62"/>
    </row>
    <row r="890" spans="4:5" ht="13">
      <c r="D890" s="62"/>
      <c r="E890" s="62"/>
    </row>
    <row r="891" spans="4:5" ht="13">
      <c r="D891" s="62"/>
      <c r="E891" s="62"/>
    </row>
    <row r="892" spans="4:5" ht="13">
      <c r="D892" s="62"/>
      <c r="E892" s="62"/>
    </row>
    <row r="893" spans="4:5" ht="13">
      <c r="D893" s="62"/>
      <c r="E893" s="62"/>
    </row>
    <row r="894" spans="4:5" ht="13">
      <c r="D894" s="62"/>
      <c r="E894" s="62"/>
    </row>
    <row r="895" spans="4:5" ht="13">
      <c r="D895" s="62"/>
      <c r="E895" s="62"/>
    </row>
    <row r="896" spans="4:5" ht="13">
      <c r="D896" s="62"/>
      <c r="E896" s="62"/>
    </row>
    <row r="897" spans="4:5" ht="13">
      <c r="D897" s="62"/>
      <c r="E897" s="62"/>
    </row>
    <row r="898" spans="4:5" ht="13">
      <c r="D898" s="62"/>
      <c r="E898" s="62"/>
    </row>
    <row r="899" spans="4:5" ht="13">
      <c r="D899" s="62"/>
      <c r="E899" s="62"/>
    </row>
    <row r="900" spans="4:5" ht="13">
      <c r="D900" s="62"/>
      <c r="E900" s="62"/>
    </row>
    <row r="901" spans="4:5" ht="13">
      <c r="D901" s="62"/>
      <c r="E901" s="62"/>
    </row>
    <row r="902" spans="4:5" ht="13">
      <c r="D902" s="62"/>
      <c r="E902" s="62"/>
    </row>
    <row r="903" spans="4:5" ht="13">
      <c r="D903" s="62"/>
      <c r="E903" s="62"/>
    </row>
    <row r="904" spans="4:5" ht="13">
      <c r="D904" s="62"/>
      <c r="E904" s="62"/>
    </row>
    <row r="905" spans="4:5" ht="13">
      <c r="D905" s="62"/>
      <c r="E905" s="62"/>
    </row>
    <row r="906" spans="4:5" ht="13">
      <c r="D906" s="62"/>
      <c r="E906" s="62"/>
    </row>
    <row r="907" spans="4:5" ht="13">
      <c r="D907" s="62"/>
      <c r="E907" s="62"/>
    </row>
    <row r="908" spans="4:5" ht="13">
      <c r="D908" s="62"/>
      <c r="E908" s="62"/>
    </row>
    <row r="909" spans="4:5" ht="13">
      <c r="D909" s="62"/>
      <c r="E909" s="62"/>
    </row>
    <row r="910" spans="4:5" ht="13">
      <c r="D910" s="62"/>
      <c r="E910" s="62"/>
    </row>
    <row r="911" spans="4:5" ht="13">
      <c r="D911" s="62"/>
      <c r="E911" s="62"/>
    </row>
    <row r="912" spans="4:5" ht="13">
      <c r="D912" s="62"/>
      <c r="E912" s="62"/>
    </row>
    <row r="913" spans="4:5" ht="13">
      <c r="D913" s="62"/>
      <c r="E913" s="62"/>
    </row>
    <row r="914" spans="4:5" ht="13">
      <c r="D914" s="62"/>
      <c r="E914" s="62"/>
    </row>
    <row r="915" spans="4:5" ht="13">
      <c r="D915" s="62"/>
      <c r="E915" s="62"/>
    </row>
    <row r="916" spans="4:5" ht="13">
      <c r="D916" s="62"/>
      <c r="E916" s="62"/>
    </row>
    <row r="917" spans="4:5" ht="13">
      <c r="D917" s="62"/>
      <c r="E917" s="62"/>
    </row>
    <row r="918" spans="4:5" ht="13">
      <c r="D918" s="62"/>
      <c r="E918" s="62"/>
    </row>
    <row r="919" spans="4:5" ht="13">
      <c r="D919" s="62"/>
      <c r="E919" s="62"/>
    </row>
    <row r="920" spans="4:5" ht="13">
      <c r="D920" s="62"/>
      <c r="E920" s="62"/>
    </row>
    <row r="921" spans="4:5" ht="13">
      <c r="D921" s="62"/>
      <c r="E921" s="62"/>
    </row>
    <row r="922" spans="4:5" ht="13">
      <c r="D922" s="62"/>
      <c r="E922" s="62"/>
    </row>
    <row r="923" spans="4:5" ht="13">
      <c r="D923" s="62"/>
      <c r="E923" s="62"/>
    </row>
    <row r="924" spans="4:5" ht="13">
      <c r="D924" s="62"/>
      <c r="E924" s="62"/>
    </row>
    <row r="925" spans="4:5" ht="13">
      <c r="D925" s="62"/>
      <c r="E925" s="62"/>
    </row>
    <row r="926" spans="4:5" ht="13">
      <c r="D926" s="62"/>
      <c r="E926" s="62"/>
    </row>
    <row r="927" spans="4:5" ht="13">
      <c r="D927" s="62"/>
      <c r="E927" s="62"/>
    </row>
    <row r="928" spans="4:5" ht="13">
      <c r="D928" s="62"/>
      <c r="E928" s="62"/>
    </row>
    <row r="929" spans="4:5" ht="13">
      <c r="D929" s="62"/>
      <c r="E929" s="62"/>
    </row>
    <row r="930" spans="4:5" ht="13">
      <c r="D930" s="62"/>
      <c r="E930" s="62"/>
    </row>
    <row r="931" spans="4:5" ht="13">
      <c r="D931" s="62"/>
      <c r="E931" s="62"/>
    </row>
    <row r="932" spans="4:5" ht="13">
      <c r="D932" s="62"/>
      <c r="E932" s="62"/>
    </row>
    <row r="933" spans="4:5" ht="13">
      <c r="D933" s="62"/>
      <c r="E933" s="62"/>
    </row>
    <row r="934" spans="4:5" ht="13">
      <c r="D934" s="62"/>
      <c r="E934" s="62"/>
    </row>
    <row r="935" spans="4:5" ht="13">
      <c r="D935" s="62"/>
      <c r="E935" s="62"/>
    </row>
    <row r="936" spans="4:5" ht="13">
      <c r="D936" s="62"/>
      <c r="E936" s="62"/>
    </row>
    <row r="937" spans="4:5" ht="13">
      <c r="D937" s="62"/>
      <c r="E937" s="62"/>
    </row>
    <row r="938" spans="4:5" ht="13">
      <c r="D938" s="62"/>
      <c r="E938" s="62"/>
    </row>
    <row r="939" spans="4:5" ht="13">
      <c r="D939" s="62"/>
      <c r="E939" s="62"/>
    </row>
    <row r="940" spans="4:5" ht="13">
      <c r="D940" s="62"/>
      <c r="E940" s="62"/>
    </row>
    <row r="941" spans="4:5" ht="13">
      <c r="D941" s="62"/>
      <c r="E941" s="62"/>
    </row>
    <row r="942" spans="4:5" ht="13">
      <c r="D942" s="62"/>
      <c r="E942" s="62"/>
    </row>
    <row r="943" spans="4:5" ht="13">
      <c r="D943" s="62"/>
      <c r="E943" s="62"/>
    </row>
    <row r="944" spans="4:5" ht="13">
      <c r="D944" s="62"/>
      <c r="E944" s="62"/>
    </row>
    <row r="945" spans="4:5" ht="13">
      <c r="D945" s="62"/>
      <c r="E945" s="62"/>
    </row>
    <row r="946" spans="4:5" ht="13">
      <c r="D946" s="62"/>
      <c r="E946" s="62"/>
    </row>
    <row r="947" spans="4:5" ht="13">
      <c r="D947" s="62"/>
      <c r="E947" s="62"/>
    </row>
    <row r="948" spans="4:5" ht="13">
      <c r="D948" s="62"/>
      <c r="E948" s="62"/>
    </row>
    <row r="949" spans="4:5" ht="13">
      <c r="D949" s="62"/>
      <c r="E949" s="62"/>
    </row>
    <row r="950" spans="4:5" ht="13">
      <c r="D950" s="62"/>
      <c r="E950" s="62"/>
    </row>
    <row r="951" spans="4:5" ht="13">
      <c r="D951" s="62"/>
      <c r="E951" s="62"/>
    </row>
    <row r="952" spans="4:5" ht="13">
      <c r="D952" s="62"/>
      <c r="E952" s="62"/>
    </row>
    <row r="953" spans="4:5" ht="13">
      <c r="D953" s="62"/>
      <c r="E953" s="62"/>
    </row>
    <row r="954" spans="4:5" ht="13">
      <c r="D954" s="62"/>
      <c r="E954" s="62"/>
    </row>
    <row r="955" spans="4:5" ht="13">
      <c r="D955" s="62"/>
      <c r="E955" s="62"/>
    </row>
    <row r="956" spans="4:5" ht="13">
      <c r="D956" s="62"/>
      <c r="E956" s="62"/>
    </row>
    <row r="957" spans="4:5" ht="13">
      <c r="D957" s="62"/>
      <c r="E957" s="62"/>
    </row>
    <row r="958" spans="4:5" ht="13">
      <c r="D958" s="62"/>
      <c r="E958" s="62"/>
    </row>
    <row r="959" spans="4:5" ht="13">
      <c r="D959" s="62"/>
      <c r="E959" s="62"/>
    </row>
    <row r="960" spans="4:5" ht="13">
      <c r="D960" s="62"/>
      <c r="E960" s="62"/>
    </row>
    <row r="961" spans="4:5" ht="13">
      <c r="D961" s="62"/>
      <c r="E961" s="62"/>
    </row>
    <row r="962" spans="4:5" ht="13">
      <c r="D962" s="62"/>
      <c r="E962" s="62"/>
    </row>
    <row r="963" spans="4:5" ht="13">
      <c r="D963" s="62"/>
      <c r="E963" s="62"/>
    </row>
    <row r="964" spans="4:5" ht="13">
      <c r="D964" s="62"/>
      <c r="E964" s="62"/>
    </row>
    <row r="965" spans="4:5" ht="13">
      <c r="D965" s="62"/>
      <c r="E965" s="62"/>
    </row>
    <row r="966" spans="4:5" ht="13">
      <c r="D966" s="62"/>
      <c r="E966" s="62"/>
    </row>
    <row r="967" spans="4:5" ht="13">
      <c r="D967" s="62"/>
      <c r="E967" s="62"/>
    </row>
    <row r="968" spans="4:5" ht="13">
      <c r="D968" s="62"/>
      <c r="E968" s="62"/>
    </row>
    <row r="969" spans="4:5" ht="13">
      <c r="D969" s="62"/>
      <c r="E969" s="62"/>
    </row>
    <row r="970" spans="4:5" ht="13">
      <c r="D970" s="62"/>
      <c r="E970" s="62"/>
    </row>
    <row r="971" spans="4:5" ht="13">
      <c r="D971" s="62"/>
      <c r="E971" s="62"/>
    </row>
    <row r="972" spans="4:5" ht="13">
      <c r="D972" s="62"/>
      <c r="E972" s="62"/>
    </row>
    <row r="973" spans="4:5" ht="13">
      <c r="D973" s="62"/>
      <c r="E973" s="62"/>
    </row>
    <row r="974" spans="4:5" ht="13">
      <c r="D974" s="62"/>
      <c r="E974" s="62"/>
    </row>
    <row r="975" spans="4:5" ht="13">
      <c r="D975" s="62"/>
      <c r="E975" s="62"/>
    </row>
    <row r="976" spans="4:5" ht="13">
      <c r="D976" s="62"/>
      <c r="E976" s="62"/>
    </row>
    <row r="977" spans="4:5" ht="13">
      <c r="D977" s="62"/>
      <c r="E977" s="62"/>
    </row>
    <row r="978" spans="4:5" ht="13">
      <c r="D978" s="62"/>
      <c r="E978" s="62"/>
    </row>
    <row r="979" spans="4:5" ht="13">
      <c r="D979" s="62"/>
      <c r="E979" s="62"/>
    </row>
    <row r="980" spans="4:5" ht="13">
      <c r="D980" s="62"/>
      <c r="E980" s="62"/>
    </row>
    <row r="981" spans="4:5" ht="13">
      <c r="D981" s="62"/>
      <c r="E981" s="62"/>
    </row>
    <row r="982" spans="4:5" ht="13">
      <c r="D982" s="62"/>
      <c r="E982" s="62"/>
    </row>
    <row r="983" spans="4:5" ht="13">
      <c r="D983" s="62"/>
      <c r="E983" s="62"/>
    </row>
    <row r="984" spans="4:5" ht="13">
      <c r="D984" s="62"/>
      <c r="E984" s="62"/>
    </row>
    <row r="985" spans="4:5" ht="13">
      <c r="D985" s="62"/>
      <c r="E985" s="62"/>
    </row>
    <row r="986" spans="4:5" ht="13">
      <c r="D986" s="62"/>
      <c r="E986" s="62"/>
    </row>
    <row r="987" spans="4:5" ht="13">
      <c r="D987" s="62"/>
      <c r="E987" s="62"/>
    </row>
    <row r="988" spans="4:5" ht="13">
      <c r="D988" s="62"/>
      <c r="E988" s="62"/>
    </row>
    <row r="989" spans="4:5" ht="13">
      <c r="D989" s="62"/>
      <c r="E989" s="62"/>
    </row>
    <row r="990" spans="4:5" ht="13">
      <c r="D990" s="62"/>
      <c r="E990" s="62"/>
    </row>
    <row r="991" spans="4:5" ht="13">
      <c r="D991" s="62"/>
      <c r="E991" s="62"/>
    </row>
    <row r="992" spans="4:5" ht="13">
      <c r="D992" s="62"/>
      <c r="E992" s="62"/>
    </row>
    <row r="993" spans="4:5" ht="13">
      <c r="D993" s="62"/>
      <c r="E993" s="62"/>
    </row>
    <row r="994" spans="4:5" ht="13">
      <c r="D994" s="62"/>
      <c r="E994" s="62"/>
    </row>
    <row r="995" spans="4:5" ht="13">
      <c r="D995" s="62"/>
      <c r="E995" s="62"/>
    </row>
    <row r="996" spans="4:5" ht="13">
      <c r="D996" s="62"/>
      <c r="E996" s="62"/>
    </row>
    <row r="997" spans="4:5" ht="13">
      <c r="D997" s="62"/>
      <c r="E997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Lookups!$A$1:$A$6</xm:f>
          </x14:formula1>
          <xm:sqref>B2:B197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997"/>
  <sheetViews>
    <sheetView workbookViewId="0"/>
  </sheetViews>
  <sheetFormatPr baseColWidth="10" defaultColWidth="12.6640625" defaultRowHeight="15.75" customHeight="1"/>
  <cols>
    <col min="3" max="3" width="46.1640625" customWidth="1"/>
    <col min="4" max="4" width="16.6640625" customWidth="1"/>
    <col min="5" max="5" width="14" customWidth="1"/>
    <col min="6" max="6" width="39.6640625" customWidth="1"/>
  </cols>
  <sheetData>
    <row r="1" spans="1:26" ht="15.75" customHeight="1">
      <c r="A1" s="1" t="s">
        <v>0</v>
      </c>
      <c r="B1" s="1" t="s">
        <v>1</v>
      </c>
      <c r="C1" s="57" t="s">
        <v>2</v>
      </c>
      <c r="D1" s="1" t="s">
        <v>3</v>
      </c>
      <c r="E1" s="64" t="s">
        <v>4</v>
      </c>
      <c r="F1" s="1" t="s">
        <v>5</v>
      </c>
      <c r="G1" s="5" t="s">
        <v>1208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6" t="s">
        <v>8</v>
      </c>
      <c r="B2" s="6" t="s">
        <v>1065</v>
      </c>
      <c r="C2" s="60" t="s">
        <v>10</v>
      </c>
      <c r="D2" s="65">
        <f ca="1">IFERROR(__xludf.DUMMYFUNCTION("SPLIT(C2,"","")"),57.0482555)</f>
        <v>57.048255500000003</v>
      </c>
      <c r="E2" s="66">
        <f ca="1">IFERROR(__xludf.DUMMYFUNCTION("""COMPUTED_VALUE"""),9.913457)</f>
        <v>9.9134569999999993</v>
      </c>
      <c r="F2" s="67" t="s">
        <v>11</v>
      </c>
      <c r="G2" s="6">
        <v>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1" t="s">
        <v>1209</v>
      </c>
      <c r="B3" s="11" t="s">
        <v>1065</v>
      </c>
      <c r="C3" s="53" t="s">
        <v>1210</v>
      </c>
      <c r="D3" s="66">
        <f ca="1">IFERROR(__xludf.DUMMYFUNCTION("SPLIT(C3,"","")"),56.4657089539835)</f>
        <v>56.465708953983501</v>
      </c>
      <c r="E3" s="68">
        <f ca="1">IFERROR(__xludf.DUMMYFUNCTION("""COMPUTED_VALUE"""),10.0094855585397)</f>
        <v>10.0094855585397</v>
      </c>
      <c r="F3" s="11" t="s">
        <v>1211</v>
      </c>
      <c r="G3" s="11">
        <v>5</v>
      </c>
    </row>
    <row r="4" spans="1:26" ht="15.75" customHeight="1">
      <c r="A4" s="11" t="s">
        <v>1212</v>
      </c>
      <c r="B4" s="11" t="s">
        <v>1065</v>
      </c>
      <c r="C4" s="53" t="s">
        <v>1213</v>
      </c>
      <c r="D4" s="66">
        <f ca="1">IFERROR(__xludf.DUMMYFUNCTION("SPLIT(C4,"","")"),56.1727164)</f>
        <v>56.172716399999999</v>
      </c>
      <c r="E4" s="69">
        <f ca="1">IFERROR(__xludf.DUMMYFUNCTION("""COMPUTED_VALUE"""),10.2061572)</f>
        <v>10.2061572</v>
      </c>
      <c r="F4" s="11" t="s">
        <v>1214</v>
      </c>
      <c r="G4" s="11">
        <v>5</v>
      </c>
    </row>
    <row r="5" spans="1:26" ht="15.75" customHeight="1">
      <c r="A5" s="11" t="s">
        <v>1215</v>
      </c>
      <c r="B5" s="11" t="s">
        <v>43</v>
      </c>
      <c r="C5" s="53" t="s">
        <v>1216</v>
      </c>
      <c r="D5" s="66">
        <f ca="1">IFERROR(__xludf.DUMMYFUNCTION("SPLIT(C5,"","")"),55.998047)</f>
        <v>55.998047</v>
      </c>
      <c r="E5" s="68">
        <f ca="1">IFERROR(__xludf.DUMMYFUNCTION("""COMPUTED_VALUE"""),8.4682353)</f>
        <v>8.4682352999999999</v>
      </c>
      <c r="F5" s="11" t="s">
        <v>1217</v>
      </c>
      <c r="G5" s="11">
        <v>5</v>
      </c>
    </row>
    <row r="6" spans="1:26" ht="15.75" customHeight="1">
      <c r="A6" s="11" t="s">
        <v>1218</v>
      </c>
      <c r="B6" s="11" t="s">
        <v>43</v>
      </c>
      <c r="C6" s="53" t="s">
        <v>1219</v>
      </c>
      <c r="D6" s="66">
        <f ca="1">IFERROR(__xludf.DUMMYFUNCTION("SPLIT(C6,"","")"),57.0436161)</f>
        <v>57.043616100000001</v>
      </c>
      <c r="E6" s="70">
        <f ca="1">IFERROR(__xludf.DUMMYFUNCTION("""COMPUTED_VALUE"""),9.8756756)</f>
        <v>9.8756755999999992</v>
      </c>
      <c r="F6" s="11" t="s">
        <v>1220</v>
      </c>
      <c r="G6" s="11">
        <v>3</v>
      </c>
    </row>
    <row r="7" spans="1:26" ht="15.75" customHeight="1">
      <c r="A7" s="11" t="s">
        <v>76</v>
      </c>
      <c r="B7" s="11" t="s">
        <v>1065</v>
      </c>
      <c r="C7" s="53" t="s">
        <v>1221</v>
      </c>
      <c r="D7" s="66">
        <f ca="1">IFERROR(__xludf.DUMMYFUNCTION("SPLIT(C7,"","")"),55.6779618)</f>
        <v>55.677961799999999</v>
      </c>
      <c r="E7" s="69">
        <f ca="1">IFERROR(__xludf.DUMMYFUNCTION("""COMPUTED_VALUE"""),12.5876764)</f>
        <v>12.587676399999999</v>
      </c>
      <c r="F7" s="11" t="s">
        <v>1222</v>
      </c>
    </row>
    <row r="8" spans="1:26" ht="15.75" customHeight="1">
      <c r="A8" s="11" t="s">
        <v>1223</v>
      </c>
      <c r="B8" s="11" t="s">
        <v>43</v>
      </c>
      <c r="C8" s="53" t="s">
        <v>1224</v>
      </c>
      <c r="D8" s="66">
        <f ca="1">IFERROR(__xludf.DUMMYFUNCTION("SPLIT(C8,"","")"),56.1230061)</f>
        <v>56.123006099999998</v>
      </c>
      <c r="E8" s="69">
        <f ca="1">IFERROR(__xludf.DUMMYFUNCTION("""COMPUTED_VALUE"""),9.6101629)</f>
        <v>9.6101629000000006</v>
      </c>
      <c r="F8" s="11" t="s">
        <v>1225</v>
      </c>
    </row>
    <row r="9" spans="1:26" ht="15.75" customHeight="1">
      <c r="A9" s="11" t="s">
        <v>1226</v>
      </c>
      <c r="B9" s="11" t="s">
        <v>43</v>
      </c>
      <c r="C9" s="53" t="s">
        <v>1227</v>
      </c>
      <c r="D9" s="66">
        <f ca="1">IFERROR(__xludf.DUMMYFUNCTION("SPLIT(C9,"","")"),56.979914117853)</f>
        <v>56.979914117852999</v>
      </c>
      <c r="E9" s="68">
        <f ca="1">IFERROR(__xludf.DUMMYFUNCTION("""COMPUTED_VALUE"""),8.40949173120194)</f>
        <v>8.4094917312019408</v>
      </c>
      <c r="F9" s="11" t="s">
        <v>1228</v>
      </c>
      <c r="G9" s="11">
        <v>5</v>
      </c>
    </row>
    <row r="10" spans="1:26" ht="15.75" customHeight="1">
      <c r="A10" s="11" t="s">
        <v>1229</v>
      </c>
      <c r="B10" s="11" t="s">
        <v>43</v>
      </c>
      <c r="C10" s="53" t="s">
        <v>1230</v>
      </c>
      <c r="D10" s="66">
        <f ca="1">IFERROR(__xludf.DUMMYFUNCTION("SPLIT(C10,"","")"),57.7436103)</f>
        <v>57.7436103</v>
      </c>
      <c r="E10" s="68">
        <f ca="1">IFERROR(__xludf.DUMMYFUNCTION("""COMPUTED_VALUE"""),10.6365231)</f>
        <v>10.6365231</v>
      </c>
      <c r="F10" s="11" t="s">
        <v>1231</v>
      </c>
      <c r="G10" s="11">
        <v>5</v>
      </c>
    </row>
    <row r="11" spans="1:26" ht="15.75" customHeight="1">
      <c r="A11" s="71" t="s">
        <v>1232</v>
      </c>
      <c r="B11" s="11" t="s">
        <v>43</v>
      </c>
      <c r="C11" s="53" t="s">
        <v>1233</v>
      </c>
      <c r="D11" s="66">
        <f ca="1">IFERROR(__xludf.DUMMYFUNCTION("SPLIT(C11,"","")"),56.12041)</f>
        <v>56.12041</v>
      </c>
      <c r="E11" s="69">
        <f ca="1">IFERROR(__xludf.DUMMYFUNCTION("""COMPUTED_VALUE"""),10.2177093)</f>
        <v>10.217709299999999</v>
      </c>
      <c r="F11" s="11" t="s">
        <v>1234</v>
      </c>
      <c r="G11" s="11">
        <v>2</v>
      </c>
    </row>
    <row r="12" spans="1:26" ht="15.75" customHeight="1">
      <c r="A12" s="11" t="s">
        <v>209</v>
      </c>
      <c r="B12" s="11" t="s">
        <v>43</v>
      </c>
      <c r="C12" s="71" t="s">
        <v>1235</v>
      </c>
      <c r="D12" s="66">
        <f ca="1">IFERROR(__xludf.DUMMYFUNCTION("SPLIT(C12,"","")"),55.68901)</f>
        <v>55.689010000000003</v>
      </c>
      <c r="E12" s="68">
        <f ca="1">IFERROR(__xludf.DUMMYFUNCTION("""COMPUTED_VALUE"""),12.579734)</f>
        <v>12.579734</v>
      </c>
      <c r="F12" s="11" t="s">
        <v>1236</v>
      </c>
    </row>
    <row r="13" spans="1:26" ht="15.75" customHeight="1">
      <c r="A13" s="11" t="s">
        <v>1229</v>
      </c>
      <c r="B13" s="11" t="s">
        <v>1065</v>
      </c>
      <c r="C13" s="53" t="s">
        <v>1237</v>
      </c>
      <c r="D13" s="66">
        <f ca="1">IFERROR(__xludf.DUMMYFUNCTION("SPLIT(C13,"","")"),57.7436103)</f>
        <v>57.7436103</v>
      </c>
      <c r="E13" s="68">
        <f ca="1">IFERROR(__xludf.DUMMYFUNCTION("""COMPUTED_VALUE"""),10.6365232)</f>
        <v>10.636523199999999</v>
      </c>
      <c r="F13" s="11" t="s">
        <v>1238</v>
      </c>
    </row>
    <row r="14" spans="1:26" ht="15.75" customHeight="1">
      <c r="A14" s="11" t="s">
        <v>1239</v>
      </c>
      <c r="B14" s="11" t="s">
        <v>1240</v>
      </c>
      <c r="C14" s="71" t="s">
        <v>1241</v>
      </c>
      <c r="D14" s="66">
        <f ca="1">IFERROR(__xludf.DUMMYFUNCTION("SPLIT(C14,"","")"),55.024103)</f>
        <v>55.024102999999997</v>
      </c>
      <c r="E14" s="72">
        <f ca="1">IFERROR(__xludf.DUMMYFUNCTION("""COMPUTED_VALUE"""),15.116195)</f>
        <v>15.116194999999999</v>
      </c>
      <c r="F14" s="11" t="s">
        <v>1242</v>
      </c>
    </row>
    <row r="15" spans="1:26" ht="15.75" customHeight="1">
      <c r="A15" s="11" t="s">
        <v>1243</v>
      </c>
      <c r="B15" s="11" t="s">
        <v>43</v>
      </c>
      <c r="C15" s="53" t="s">
        <v>1244</v>
      </c>
      <c r="D15" s="66">
        <f ca="1">IFERROR(__xludf.DUMMYFUNCTION("SPLIT(C15,"","")"),56.1827476)</f>
        <v>56.182747599999999</v>
      </c>
      <c r="E15" s="70">
        <f ca="1">IFERROR(__xludf.DUMMYFUNCTION("""COMPUTED_VALUE"""),9.4256895)</f>
        <v>9.4256895000000007</v>
      </c>
      <c r="F15" s="11" t="s">
        <v>1245</v>
      </c>
    </row>
    <row r="16" spans="1:26" ht="15.75" customHeight="1">
      <c r="A16" s="11" t="s">
        <v>1246</v>
      </c>
      <c r="B16" s="11" t="s">
        <v>1065</v>
      </c>
      <c r="C16" s="53" t="s">
        <v>1247</v>
      </c>
      <c r="D16" s="66">
        <f ca="1">IFERROR(__xludf.DUMMYFUNCTION("SPLIT(C16,"","")"),55.672983)</f>
        <v>55.672983000000002</v>
      </c>
      <c r="E16" s="70">
        <f ca="1">IFERROR(__xludf.DUMMYFUNCTION("""COMPUTED_VALUE"""),12.5703543)</f>
        <v>12.5703543</v>
      </c>
      <c r="F16" s="11" t="s">
        <v>1248</v>
      </c>
    </row>
    <row r="17" spans="1:7" ht="15.75" customHeight="1">
      <c r="A17" s="11" t="s">
        <v>1249</v>
      </c>
      <c r="B17" s="11" t="s">
        <v>1240</v>
      </c>
      <c r="C17" s="53" t="s">
        <v>1250</v>
      </c>
      <c r="D17" s="66">
        <f ca="1">IFERROR(__xludf.DUMMYFUNCTION("SPLIT(C17,"","")"),56.1546656)</f>
        <v>56.154665600000001</v>
      </c>
      <c r="E17" s="70">
        <f ca="1">IFERROR(__xludf.DUMMYFUNCTION("""COMPUTED_VALUE"""),10.1953078)</f>
        <v>10.1953078</v>
      </c>
      <c r="F17" s="11" t="s">
        <v>1251</v>
      </c>
      <c r="G17" s="11">
        <v>1.3</v>
      </c>
    </row>
    <row r="18" spans="1:7" ht="15.75" customHeight="1">
      <c r="A18" s="11" t="s">
        <v>1252</v>
      </c>
      <c r="B18" s="11" t="s">
        <v>1240</v>
      </c>
      <c r="C18" s="53" t="s">
        <v>1253</v>
      </c>
      <c r="D18" s="66">
        <f ca="1">IFERROR(__xludf.DUMMYFUNCTION("SPLIT(C18,"","")"),56.0485137)</f>
        <v>56.048513700000001</v>
      </c>
      <c r="E18" s="68">
        <f ca="1">IFERROR(__xludf.DUMMYFUNCTION("""COMPUTED_VALUE"""),9.6609709)</f>
        <v>9.6609709000000006</v>
      </c>
      <c r="F18" s="11" t="s">
        <v>1254</v>
      </c>
      <c r="G18" s="11">
        <v>4.9000000000000004</v>
      </c>
    </row>
    <row r="19" spans="1:7" ht="15.75" customHeight="1">
      <c r="A19" s="11" t="s">
        <v>1255</v>
      </c>
      <c r="B19" s="11" t="s">
        <v>1065</v>
      </c>
      <c r="C19" s="53" t="s">
        <v>1256</v>
      </c>
      <c r="D19" s="66">
        <f ca="1">IFERROR(__xludf.DUMMYFUNCTION("SPLIT(C19,"","")"),55.6426377)</f>
        <v>55.642637700000002</v>
      </c>
      <c r="E19" s="69">
        <f ca="1">IFERROR(__xludf.DUMMYFUNCTION("""COMPUTED_VALUE"""),12.0782604)</f>
        <v>12.0782604</v>
      </c>
      <c r="F19" s="11" t="s">
        <v>1257</v>
      </c>
      <c r="G19" s="11">
        <v>5</v>
      </c>
    </row>
    <row r="20" spans="1:7" ht="15.75" customHeight="1">
      <c r="A20" s="11" t="s">
        <v>130</v>
      </c>
      <c r="B20" s="11" t="s">
        <v>43</v>
      </c>
      <c r="C20" s="53" t="s">
        <v>1258</v>
      </c>
      <c r="D20" s="66">
        <f ca="1">IFERROR(__xludf.DUMMYFUNCTION("SPLIT(C20,"","")"),56.2151424)</f>
        <v>56.215142399999998</v>
      </c>
      <c r="E20" s="70">
        <f ca="1">IFERROR(__xludf.DUMMYFUNCTION("""COMPUTED_VALUE"""),10.5368877)</f>
        <v>10.536887699999999</v>
      </c>
      <c r="F20" s="11" t="s">
        <v>1259</v>
      </c>
    </row>
    <row r="21" spans="1:7" ht="15.75" customHeight="1">
      <c r="A21" s="11" t="s">
        <v>1260</v>
      </c>
      <c r="B21" s="11" t="s">
        <v>1065</v>
      </c>
      <c r="C21" s="53" t="s">
        <v>1261</v>
      </c>
      <c r="D21" s="66">
        <f ca="1">IFERROR(__xludf.DUMMYFUNCTION("SPLIT(C21,"","")"),55.7333775)</f>
        <v>55.733377500000003</v>
      </c>
      <c r="E21" s="69">
        <f ca="1">IFERROR(__xludf.DUMMYFUNCTION("""COMPUTED_VALUE"""),9.1249593)</f>
        <v>9.1249593000000004</v>
      </c>
      <c r="F21" s="11" t="s">
        <v>1262</v>
      </c>
      <c r="G21" s="11">
        <v>5</v>
      </c>
    </row>
    <row r="22" spans="1:7" ht="15.75" customHeight="1">
      <c r="A22" s="11" t="s">
        <v>1263</v>
      </c>
      <c r="B22" s="11" t="s">
        <v>1065</v>
      </c>
      <c r="C22" s="53" t="s">
        <v>1264</v>
      </c>
      <c r="D22" s="66">
        <f ca="1">IFERROR(__xludf.DUMMYFUNCTION("SPLIT(C22,"","")"),56.1724346)</f>
        <v>56.172434600000003</v>
      </c>
      <c r="E22" s="70">
        <f ca="1">IFERROR(__xludf.DUMMYFUNCTION("""COMPUTED_VALUE"""),10.2033486)</f>
        <v>10.2033486</v>
      </c>
      <c r="F22" s="11" t="s">
        <v>1265</v>
      </c>
    </row>
    <row r="23" spans="1:7" ht="15.75" customHeight="1">
      <c r="A23" s="11" t="s">
        <v>343</v>
      </c>
      <c r="B23" s="11" t="s">
        <v>43</v>
      </c>
      <c r="C23" s="53" t="s">
        <v>1266</v>
      </c>
      <c r="D23" s="66">
        <f ca="1">IFERROR(__xludf.DUMMYFUNCTION("SPLIT(C23,"","")"),57.6963487)</f>
        <v>57.696348700000001</v>
      </c>
      <c r="E23" s="70">
        <f ca="1">IFERROR(__xludf.DUMMYFUNCTION("""COMPUTED_VALUE"""),10.3581323)</f>
        <v>10.358132299999999</v>
      </c>
      <c r="F23" s="11" t="s">
        <v>1267</v>
      </c>
    </row>
    <row r="24" spans="1:7" ht="15.75" customHeight="1">
      <c r="A24" s="11" t="s">
        <v>320</v>
      </c>
      <c r="B24" s="11" t="s">
        <v>43</v>
      </c>
      <c r="C24" s="53" t="s">
        <v>1268</v>
      </c>
      <c r="D24" s="66">
        <f ca="1">IFERROR(__xludf.DUMMYFUNCTION("SPLIT(C24,"","")"),54.984129)</f>
        <v>54.984129000000003</v>
      </c>
      <c r="E24" s="70">
        <f ca="1">IFERROR(__xludf.DUMMYFUNCTION("""COMPUTED_VALUE"""),12.5437017)</f>
        <v>12.5437017</v>
      </c>
      <c r="F24" s="11" t="s">
        <v>1269</v>
      </c>
    </row>
    <row r="25" spans="1:7" ht="15.75" customHeight="1">
      <c r="A25" s="11" t="s">
        <v>1270</v>
      </c>
      <c r="B25" s="11" t="s">
        <v>1065</v>
      </c>
      <c r="C25" s="53" t="s">
        <v>1271</v>
      </c>
      <c r="D25" s="66">
        <f ca="1">IFERROR(__xludf.DUMMYFUNCTION("SPLIT(C25,"","")"),56.153922)</f>
        <v>56.153922000000001</v>
      </c>
      <c r="E25" s="69">
        <f ca="1">IFERROR(__xludf.DUMMYFUNCTION("""COMPUTED_VALUE"""),10.1975273)</f>
        <v>10.197527300000001</v>
      </c>
      <c r="F25" s="11" t="s">
        <v>187</v>
      </c>
    </row>
    <row r="26" spans="1:7" ht="15.75" customHeight="1">
      <c r="A26" s="11" t="s">
        <v>1272</v>
      </c>
      <c r="B26" s="11" t="s">
        <v>43</v>
      </c>
      <c r="C26" s="71" t="s">
        <v>1273</v>
      </c>
      <c r="D26" s="66">
        <f ca="1">IFERROR(__xludf.DUMMYFUNCTION("SPLIT(C26,"","")"),55.0307997)</f>
        <v>55.030799700000003</v>
      </c>
      <c r="E26" s="68">
        <f ca="1">IFERROR(__xludf.DUMMYFUNCTION("""COMPUTED_VALUE"""),15.1000274)</f>
        <v>15.1000274</v>
      </c>
      <c r="F26" s="11" t="s">
        <v>1274</v>
      </c>
    </row>
    <row r="27" spans="1:7" ht="15.75" customHeight="1">
      <c r="A27" s="11" t="s">
        <v>1275</v>
      </c>
      <c r="B27" s="11" t="s">
        <v>1065</v>
      </c>
      <c r="C27" s="53" t="s">
        <v>1276</v>
      </c>
      <c r="D27" s="66">
        <f ca="1">IFERROR(__xludf.DUMMYFUNCTION("SPLIT(C27,"","")"),56.1168488)</f>
        <v>56.1168488</v>
      </c>
      <c r="E27" s="68">
        <f ca="1">IFERROR(__xludf.DUMMYFUNCTION("""COMPUTED_VALUE"""),8.9495426)</f>
        <v>8.9495425999999991</v>
      </c>
      <c r="F27" s="11" t="s">
        <v>1277</v>
      </c>
      <c r="G27" s="11">
        <v>5</v>
      </c>
    </row>
    <row r="28" spans="1:7" ht="15.75" customHeight="1">
      <c r="A28" s="11" t="s">
        <v>1278</v>
      </c>
      <c r="B28" s="11" t="s">
        <v>1065</v>
      </c>
      <c r="C28" s="53" t="s">
        <v>1279</v>
      </c>
      <c r="D28" s="66">
        <f ca="1">IFERROR(__xludf.DUMMYFUNCTION("SPLIT(C28,"","")"),57.0488889)</f>
        <v>57.048888900000001</v>
      </c>
      <c r="E28" s="70">
        <f ca="1">IFERROR(__xludf.DUMMYFUNCTION("""COMPUTED_VALUE"""),9.9136446)</f>
        <v>9.9136445999999996</v>
      </c>
      <c r="F28" s="11" t="s">
        <v>1280</v>
      </c>
      <c r="G28" s="11">
        <v>5</v>
      </c>
    </row>
    <row r="29" spans="1:7" ht="15.75" customHeight="1">
      <c r="A29" s="11" t="s">
        <v>776</v>
      </c>
      <c r="B29" s="11" t="s">
        <v>43</v>
      </c>
      <c r="C29" s="53" t="s">
        <v>1281</v>
      </c>
      <c r="D29" s="66">
        <f ca="1">IFERROR(__xludf.DUMMYFUNCTION("SPLIT(C29,"","")"),56.0951306336473)</f>
        <v>56.095130633647301</v>
      </c>
      <c r="E29" s="70">
        <f ca="1">IFERROR(__xludf.DUMMYFUNCTION("""COMPUTED_VALUE"""),10.51281752102)</f>
        <v>10.512817521020001</v>
      </c>
      <c r="F29" s="11" t="s">
        <v>1282</v>
      </c>
    </row>
    <row r="30" spans="1:7" ht="15.75" customHeight="1">
      <c r="A30" s="11" t="s">
        <v>1283</v>
      </c>
      <c r="B30" s="11" t="s">
        <v>1065</v>
      </c>
      <c r="C30" s="53" t="s">
        <v>1284</v>
      </c>
      <c r="D30" s="66">
        <f ca="1">IFERROR(__xludf.DUMMYFUNCTION("SPLIT(C30,"","")"),55.641487)</f>
        <v>55.641486999999998</v>
      </c>
      <c r="E30" s="69">
        <f ca="1">IFERROR(__xludf.DUMMYFUNCTION("""COMPUTED_VALUE"""),12.0788073)</f>
        <v>12.078807299999999</v>
      </c>
      <c r="F30" s="11" t="s">
        <v>1285</v>
      </c>
      <c r="G30" s="11">
        <v>4</v>
      </c>
    </row>
    <row r="31" spans="1:7" ht="15.75" customHeight="1">
      <c r="A31" s="11" t="s">
        <v>1286</v>
      </c>
      <c r="B31" s="11" t="s">
        <v>43</v>
      </c>
      <c r="C31" s="73" t="s">
        <v>1287</v>
      </c>
      <c r="D31" s="66">
        <f ca="1">IFERROR(__xludf.DUMMYFUNCTION("SPLIT(C31,"","")"),56.2285446)</f>
        <v>56.228544599999999</v>
      </c>
      <c r="E31" s="70">
        <f ca="1">IFERROR(__xludf.DUMMYFUNCTION("""COMPUTED_VALUE"""),10.5296579)</f>
        <v>10.5296579</v>
      </c>
      <c r="F31" s="11" t="s">
        <v>1288</v>
      </c>
      <c r="G31" s="11">
        <v>4</v>
      </c>
    </row>
    <row r="32" spans="1:7" ht="15.75" customHeight="1">
      <c r="A32" s="11" t="s">
        <v>1289</v>
      </c>
      <c r="B32" s="11" t="s">
        <v>43</v>
      </c>
      <c r="C32" s="53" t="s">
        <v>1290</v>
      </c>
      <c r="D32" s="66">
        <f ca="1">IFERROR(__xludf.DUMMYFUNCTION("SPLIT(C32,"","")"),56.1246662)</f>
        <v>56.1246662</v>
      </c>
      <c r="E32" s="70">
        <f ca="1">IFERROR(__xludf.DUMMYFUNCTION("""COMPUTED_VALUE"""),10.2161462)</f>
        <v>10.216146200000001</v>
      </c>
      <c r="F32" s="11" t="s">
        <v>1291</v>
      </c>
      <c r="G32" s="11">
        <v>3.5</v>
      </c>
    </row>
    <row r="33" spans="1:7" ht="15.75" customHeight="1">
      <c r="A33" s="11" t="s">
        <v>1292</v>
      </c>
      <c r="B33" s="11" t="s">
        <v>1065</v>
      </c>
      <c r="C33" s="53" t="s">
        <v>1293</v>
      </c>
      <c r="D33" s="66">
        <f ca="1">IFERROR(__xludf.DUMMYFUNCTION("SPLIT(C33,"","")"),56.1864053)</f>
        <v>56.186405299999997</v>
      </c>
      <c r="E33" s="70">
        <f ca="1">IFERROR(__xludf.DUMMYFUNCTION("""COMPUTED_VALUE"""),10.5658076)</f>
        <v>10.565807599999999</v>
      </c>
      <c r="F33" s="11" t="s">
        <v>1294</v>
      </c>
    </row>
    <row r="34" spans="1:7" ht="15.75" customHeight="1">
      <c r="A34" s="11" t="s">
        <v>1295</v>
      </c>
      <c r="B34" s="11" t="s">
        <v>1065</v>
      </c>
      <c r="C34" s="53" t="s">
        <v>1296</v>
      </c>
      <c r="D34" s="66">
        <f ca="1">IFERROR(__xludf.DUMMYFUNCTION("SPLIT(C34,"","")"),56.4252157)</f>
        <v>56.425215700000003</v>
      </c>
      <c r="E34" s="70">
        <f ca="1">IFERROR(__xludf.DUMMYFUNCTION("""COMPUTED_VALUE"""),10.5487792)</f>
        <v>10.5487792</v>
      </c>
      <c r="F34" s="11" t="s">
        <v>1297</v>
      </c>
      <c r="G34" s="11">
        <v>5</v>
      </c>
    </row>
    <row r="35" spans="1:7" ht="15.75" customHeight="1">
      <c r="A35" s="11" t="s">
        <v>1298</v>
      </c>
      <c r="B35" s="11" t="s">
        <v>1065</v>
      </c>
      <c r="C35" s="53" t="s">
        <v>1299</v>
      </c>
      <c r="D35" s="66">
        <f ca="1">IFERROR(__xludf.DUMMYFUNCTION("SPLIT(C35,"","")"),55.3908292)</f>
        <v>55.390829199999999</v>
      </c>
      <c r="E35" s="70">
        <f ca="1">IFERROR(__xludf.DUMMYFUNCTION("""COMPUTED_VALUE"""),10.3860613)</f>
        <v>10.3860613</v>
      </c>
      <c r="F35" s="11" t="s">
        <v>1300</v>
      </c>
      <c r="G35" s="11">
        <v>5</v>
      </c>
    </row>
    <row r="36" spans="1:7" ht="15.75" customHeight="1">
      <c r="A36" s="11" t="s">
        <v>1301</v>
      </c>
      <c r="B36" s="11" t="s">
        <v>1065</v>
      </c>
      <c r="C36" s="53" t="s">
        <v>1302</v>
      </c>
      <c r="D36" s="66">
        <f ca="1">IFERROR(__xludf.DUMMYFUNCTION("SPLIT(C36,"","")"),55.463252)</f>
        <v>55.463251999999997</v>
      </c>
      <c r="E36" s="70">
        <f ca="1">IFERROR(__xludf.DUMMYFUNCTION("""COMPUTED_VALUE"""),11.721498)</f>
        <v>11.721498</v>
      </c>
      <c r="F36" s="11" t="s">
        <v>1303</v>
      </c>
      <c r="G36" s="11">
        <v>4.2</v>
      </c>
    </row>
    <row r="37" spans="1:7" ht="15.75" customHeight="1">
      <c r="A37" s="11" t="s">
        <v>1304</v>
      </c>
      <c r="B37" s="11" t="s">
        <v>43</v>
      </c>
      <c r="C37" s="53" t="s">
        <v>1305</v>
      </c>
      <c r="D37" s="66">
        <f ca="1">IFERROR(__xludf.DUMMYFUNCTION("SPLIT(C37,"","")"),56.1621736)</f>
        <v>56.162173600000003</v>
      </c>
      <c r="E37" s="69">
        <f ca="1">IFERROR(__xludf.DUMMYFUNCTION("""COMPUTED_VALUE"""),10.1872971)</f>
        <v>10.1872971</v>
      </c>
      <c r="F37" s="11" t="s">
        <v>1306</v>
      </c>
      <c r="G37" s="11">
        <v>3</v>
      </c>
    </row>
    <row r="38" spans="1:7" ht="15.75" customHeight="1">
      <c r="A38" s="11" t="s">
        <v>1307</v>
      </c>
      <c r="B38" s="11" t="s">
        <v>1065</v>
      </c>
      <c r="C38" s="53" t="s">
        <v>1308</v>
      </c>
      <c r="D38" s="66">
        <f ca="1">IFERROR(__xludf.DUMMYFUNCTION("SPLIT(C38,"","")"),56.1666311)</f>
        <v>56.166631099999996</v>
      </c>
      <c r="E38" s="74">
        <f ca="1">IFERROR(__xludf.DUMMYFUNCTION("""COMPUTED_VALUE"""),10.2002604)</f>
        <v>10.200260399999999</v>
      </c>
      <c r="F38" s="11" t="s">
        <v>1309</v>
      </c>
      <c r="G38" s="11">
        <v>4.5</v>
      </c>
    </row>
    <row r="39" spans="1:7" ht="15.75" customHeight="1">
      <c r="A39" s="11" t="s">
        <v>1310</v>
      </c>
      <c r="B39" s="11"/>
      <c r="C39" s="53" t="s">
        <v>1311</v>
      </c>
      <c r="D39" s="66">
        <f ca="1">IFERROR(__xludf.DUMMYFUNCTION("SPLIT(C39,"","")"),56.117121761626)</f>
        <v>56.117121761626002</v>
      </c>
      <c r="E39" s="70">
        <f ca="1">IFERROR(__xludf.DUMMYFUNCTION("""COMPUTED_VALUE"""),9.71161138965562)</f>
        <v>9.7116113896556193</v>
      </c>
      <c r="F39" s="11" t="s">
        <v>1312</v>
      </c>
      <c r="G39" s="11">
        <v>5</v>
      </c>
    </row>
    <row r="40" spans="1:7" ht="15.75" customHeight="1">
      <c r="B40" s="11"/>
      <c r="C40" s="53"/>
      <c r="E40" s="70"/>
    </row>
    <row r="41" spans="1:7" ht="15.75" customHeight="1">
      <c r="B41" s="11"/>
      <c r="C41" s="53"/>
      <c r="E41" s="70"/>
    </row>
    <row r="42" spans="1:7" ht="15.75" customHeight="1">
      <c r="B42" s="11"/>
      <c r="C42" s="53"/>
      <c r="E42" s="70"/>
    </row>
    <row r="43" spans="1:7" ht="15.75" customHeight="1">
      <c r="B43" s="11"/>
      <c r="C43" s="53"/>
      <c r="E43" s="70"/>
    </row>
    <row r="44" spans="1:7" ht="15.75" customHeight="1">
      <c r="B44" s="11"/>
      <c r="C44" s="53"/>
      <c r="E44" s="70"/>
    </row>
    <row r="45" spans="1:7" ht="15.75" customHeight="1">
      <c r="B45" s="11"/>
      <c r="C45" s="53"/>
      <c r="E45" s="70"/>
    </row>
    <row r="46" spans="1:7" ht="13">
      <c r="B46" s="11"/>
      <c r="C46" s="53"/>
      <c r="E46" s="70"/>
    </row>
    <row r="47" spans="1:7" ht="13">
      <c r="B47" s="11"/>
      <c r="C47" s="53"/>
      <c r="E47" s="70"/>
    </row>
    <row r="48" spans="1:7" ht="13">
      <c r="B48" s="11"/>
      <c r="C48" s="53"/>
      <c r="E48" s="70"/>
    </row>
    <row r="49" spans="2:5" ht="13">
      <c r="B49" s="11"/>
      <c r="C49" s="53"/>
      <c r="E49" s="70"/>
    </row>
    <row r="50" spans="2:5" ht="13">
      <c r="B50" s="11"/>
      <c r="C50" s="53"/>
      <c r="E50" s="70"/>
    </row>
    <row r="51" spans="2:5" ht="13">
      <c r="B51" s="11"/>
      <c r="C51" s="53"/>
      <c r="E51" s="70"/>
    </row>
    <row r="52" spans="2:5" ht="13">
      <c r="B52" s="11"/>
      <c r="C52" s="53"/>
      <c r="E52" s="70"/>
    </row>
    <row r="53" spans="2:5" ht="13">
      <c r="B53" s="11"/>
      <c r="C53" s="53"/>
      <c r="E53" s="70"/>
    </row>
    <row r="54" spans="2:5" ht="13">
      <c r="B54" s="11"/>
      <c r="C54" s="53"/>
      <c r="E54" s="70"/>
    </row>
    <row r="55" spans="2:5" ht="13">
      <c r="B55" s="11"/>
      <c r="C55" s="53"/>
      <c r="E55" s="70"/>
    </row>
    <row r="56" spans="2:5" ht="13">
      <c r="B56" s="11"/>
      <c r="C56" s="53"/>
      <c r="E56" s="70"/>
    </row>
    <row r="57" spans="2:5" ht="13">
      <c r="B57" s="11"/>
      <c r="C57" s="53"/>
      <c r="E57" s="70"/>
    </row>
    <row r="58" spans="2:5" ht="13">
      <c r="B58" s="11"/>
      <c r="C58" s="53"/>
      <c r="E58" s="70"/>
    </row>
    <row r="59" spans="2:5" ht="13">
      <c r="B59" s="11"/>
      <c r="C59" s="53"/>
      <c r="E59" s="70"/>
    </row>
    <row r="60" spans="2:5" ht="13">
      <c r="B60" s="11"/>
      <c r="C60" s="53"/>
      <c r="E60" s="70"/>
    </row>
    <row r="61" spans="2:5" ht="13">
      <c r="B61" s="11"/>
      <c r="C61" s="53"/>
      <c r="E61" s="70"/>
    </row>
    <row r="62" spans="2:5" ht="13">
      <c r="B62" s="11"/>
      <c r="C62" s="53"/>
      <c r="E62" s="70"/>
    </row>
    <row r="63" spans="2:5" ht="13">
      <c r="B63" s="11"/>
      <c r="C63" s="53"/>
      <c r="E63" s="70"/>
    </row>
    <row r="64" spans="2:5" ht="13">
      <c r="B64" s="11"/>
      <c r="C64" s="53"/>
      <c r="E64" s="70"/>
    </row>
    <row r="65" spans="2:5" ht="13">
      <c r="B65" s="11"/>
      <c r="C65" s="53"/>
      <c r="E65" s="70"/>
    </row>
    <row r="66" spans="2:5" ht="13">
      <c r="B66" s="11"/>
      <c r="C66" s="53"/>
      <c r="E66" s="70"/>
    </row>
    <row r="67" spans="2:5" ht="13">
      <c r="B67" s="11"/>
      <c r="C67" s="53"/>
      <c r="E67" s="70"/>
    </row>
    <row r="68" spans="2:5" ht="13">
      <c r="B68" s="11"/>
      <c r="C68" s="53"/>
      <c r="E68" s="70"/>
    </row>
    <row r="69" spans="2:5" ht="13">
      <c r="B69" s="11"/>
      <c r="C69" s="53"/>
      <c r="E69" s="70"/>
    </row>
    <row r="70" spans="2:5" ht="13">
      <c r="B70" s="11"/>
      <c r="C70" s="53"/>
      <c r="E70" s="70"/>
    </row>
    <row r="71" spans="2:5" ht="13">
      <c r="B71" s="11"/>
      <c r="C71" s="53"/>
      <c r="E71" s="70"/>
    </row>
    <row r="72" spans="2:5" ht="13">
      <c r="B72" s="11"/>
      <c r="C72" s="53"/>
      <c r="E72" s="70"/>
    </row>
    <row r="73" spans="2:5" ht="13">
      <c r="B73" s="11"/>
      <c r="C73" s="53"/>
      <c r="E73" s="70"/>
    </row>
    <row r="74" spans="2:5" ht="13">
      <c r="B74" s="11"/>
      <c r="C74" s="53"/>
      <c r="E74" s="70"/>
    </row>
    <row r="75" spans="2:5" ht="13">
      <c r="B75" s="11"/>
      <c r="C75" s="53"/>
      <c r="E75" s="70"/>
    </row>
    <row r="76" spans="2:5" ht="13">
      <c r="B76" s="11"/>
      <c r="C76" s="53"/>
      <c r="E76" s="70"/>
    </row>
    <row r="77" spans="2:5" ht="13">
      <c r="B77" s="11"/>
      <c r="C77" s="53"/>
      <c r="E77" s="70"/>
    </row>
    <row r="78" spans="2:5" ht="13">
      <c r="B78" s="11"/>
      <c r="C78" s="53"/>
      <c r="E78" s="70"/>
    </row>
    <row r="79" spans="2:5" ht="13">
      <c r="B79" s="11"/>
      <c r="C79" s="53"/>
      <c r="E79" s="70"/>
    </row>
    <row r="80" spans="2:5" ht="13">
      <c r="B80" s="11"/>
      <c r="C80" s="53"/>
      <c r="E80" s="70"/>
    </row>
    <row r="81" spans="2:5" ht="13">
      <c r="B81" s="11"/>
      <c r="C81" s="53"/>
      <c r="E81" s="70"/>
    </row>
    <row r="82" spans="2:5" ht="13">
      <c r="B82" s="11"/>
      <c r="C82" s="53"/>
      <c r="E82" s="70"/>
    </row>
    <row r="83" spans="2:5" ht="13">
      <c r="B83" s="11"/>
      <c r="C83" s="53"/>
      <c r="E83" s="70"/>
    </row>
    <row r="84" spans="2:5" ht="13">
      <c r="B84" s="11"/>
      <c r="C84" s="53"/>
      <c r="E84" s="70"/>
    </row>
    <row r="85" spans="2:5" ht="13">
      <c r="B85" s="11"/>
      <c r="C85" s="53"/>
      <c r="E85" s="70"/>
    </row>
    <row r="86" spans="2:5" ht="13">
      <c r="B86" s="11"/>
      <c r="C86" s="53"/>
      <c r="E86" s="70"/>
    </row>
    <row r="87" spans="2:5" ht="13">
      <c r="B87" s="11"/>
      <c r="C87" s="53"/>
      <c r="E87" s="70"/>
    </row>
    <row r="88" spans="2:5" ht="13">
      <c r="B88" s="11"/>
      <c r="C88" s="53"/>
      <c r="E88" s="70"/>
    </row>
    <row r="89" spans="2:5" ht="13">
      <c r="B89" s="11"/>
      <c r="C89" s="53"/>
      <c r="E89" s="70"/>
    </row>
    <row r="90" spans="2:5" ht="13">
      <c r="B90" s="11"/>
      <c r="C90" s="53"/>
      <c r="E90" s="70"/>
    </row>
    <row r="91" spans="2:5" ht="13">
      <c r="B91" s="11"/>
      <c r="C91" s="53"/>
      <c r="E91" s="70"/>
    </row>
    <row r="92" spans="2:5" ht="13">
      <c r="B92" s="11"/>
      <c r="C92" s="53"/>
      <c r="E92" s="70"/>
    </row>
    <row r="93" spans="2:5" ht="13">
      <c r="B93" s="11"/>
      <c r="C93" s="53"/>
      <c r="E93" s="70"/>
    </row>
    <row r="94" spans="2:5" ht="13">
      <c r="B94" s="11"/>
      <c r="C94" s="53"/>
      <c r="E94" s="70"/>
    </row>
    <row r="95" spans="2:5" ht="13">
      <c r="B95" s="11"/>
      <c r="C95" s="53"/>
      <c r="E95" s="70"/>
    </row>
    <row r="96" spans="2:5" ht="13">
      <c r="B96" s="11"/>
      <c r="C96" s="53"/>
      <c r="E96" s="70"/>
    </row>
    <row r="97" spans="2:5" ht="13">
      <c r="B97" s="11"/>
      <c r="C97" s="53"/>
      <c r="E97" s="70"/>
    </row>
    <row r="98" spans="2:5" ht="13">
      <c r="B98" s="11"/>
      <c r="C98" s="53"/>
      <c r="E98" s="70"/>
    </row>
    <row r="99" spans="2:5" ht="13">
      <c r="B99" s="11"/>
      <c r="C99" s="53"/>
      <c r="E99" s="70"/>
    </row>
    <row r="100" spans="2:5" ht="13">
      <c r="B100" s="11"/>
      <c r="C100" s="53"/>
      <c r="E100" s="70"/>
    </row>
    <row r="101" spans="2:5" ht="13">
      <c r="B101" s="11"/>
      <c r="C101" s="53"/>
      <c r="E101" s="70"/>
    </row>
    <row r="102" spans="2:5" ht="13">
      <c r="B102" s="11"/>
      <c r="C102" s="53"/>
      <c r="E102" s="70"/>
    </row>
    <row r="103" spans="2:5" ht="13">
      <c r="B103" s="11"/>
      <c r="C103" s="53"/>
      <c r="E103" s="70"/>
    </row>
    <row r="104" spans="2:5" ht="13">
      <c r="B104" s="11"/>
      <c r="C104" s="53"/>
      <c r="E104" s="70"/>
    </row>
    <row r="105" spans="2:5" ht="13">
      <c r="B105" s="11"/>
      <c r="C105" s="53"/>
      <c r="E105" s="70"/>
    </row>
    <row r="106" spans="2:5" ht="13">
      <c r="B106" s="11"/>
      <c r="C106" s="53"/>
      <c r="E106" s="70"/>
    </row>
    <row r="107" spans="2:5" ht="13">
      <c r="B107" s="11"/>
      <c r="C107" s="53"/>
      <c r="E107" s="70"/>
    </row>
    <row r="108" spans="2:5" ht="13">
      <c r="B108" s="11"/>
      <c r="C108" s="53"/>
      <c r="E108" s="70"/>
    </row>
    <row r="109" spans="2:5" ht="13">
      <c r="B109" s="11"/>
      <c r="C109" s="53"/>
      <c r="E109" s="70"/>
    </row>
    <row r="110" spans="2:5" ht="13">
      <c r="B110" s="11"/>
      <c r="C110" s="53"/>
      <c r="E110" s="70"/>
    </row>
    <row r="111" spans="2:5" ht="13">
      <c r="B111" s="11"/>
      <c r="C111" s="53"/>
      <c r="E111" s="70"/>
    </row>
    <row r="112" spans="2:5" ht="13">
      <c r="B112" s="11"/>
      <c r="C112" s="53"/>
      <c r="E112" s="70"/>
    </row>
    <row r="113" spans="2:5" ht="13">
      <c r="B113" s="11"/>
      <c r="C113" s="53"/>
      <c r="E113" s="70"/>
    </row>
    <row r="114" spans="2:5" ht="13">
      <c r="B114" s="11"/>
      <c r="C114" s="53"/>
      <c r="E114" s="70"/>
    </row>
    <row r="115" spans="2:5" ht="13">
      <c r="B115" s="11"/>
      <c r="C115" s="53"/>
      <c r="E115" s="70"/>
    </row>
    <row r="116" spans="2:5" ht="13">
      <c r="B116" s="11"/>
      <c r="C116" s="53"/>
      <c r="E116" s="70"/>
    </row>
    <row r="117" spans="2:5" ht="13">
      <c r="B117" s="11"/>
      <c r="C117" s="53"/>
      <c r="E117" s="70"/>
    </row>
    <row r="118" spans="2:5" ht="13">
      <c r="B118" s="11"/>
      <c r="C118" s="53"/>
      <c r="E118" s="70"/>
    </row>
    <row r="119" spans="2:5" ht="13">
      <c r="B119" s="11"/>
      <c r="C119" s="53"/>
      <c r="E119" s="70"/>
    </row>
    <row r="120" spans="2:5" ht="13">
      <c r="B120" s="11"/>
      <c r="C120" s="53"/>
      <c r="E120" s="70"/>
    </row>
    <row r="121" spans="2:5" ht="13">
      <c r="B121" s="11"/>
      <c r="C121" s="53"/>
      <c r="E121" s="70"/>
    </row>
    <row r="122" spans="2:5" ht="13">
      <c r="B122" s="11"/>
      <c r="C122" s="53"/>
      <c r="E122" s="70"/>
    </row>
    <row r="123" spans="2:5" ht="13">
      <c r="B123" s="11"/>
      <c r="C123" s="53"/>
      <c r="E123" s="70"/>
    </row>
    <row r="124" spans="2:5" ht="13">
      <c r="B124" s="11"/>
      <c r="C124" s="53"/>
      <c r="E124" s="70"/>
    </row>
    <row r="125" spans="2:5" ht="13">
      <c r="B125" s="11"/>
      <c r="C125" s="53"/>
      <c r="E125" s="70"/>
    </row>
    <row r="126" spans="2:5" ht="13">
      <c r="B126" s="11"/>
      <c r="C126" s="53"/>
      <c r="E126" s="70"/>
    </row>
    <row r="127" spans="2:5" ht="13">
      <c r="B127" s="11"/>
      <c r="C127" s="53"/>
      <c r="E127" s="70"/>
    </row>
    <row r="128" spans="2:5" ht="13">
      <c r="B128" s="11"/>
      <c r="C128" s="53"/>
      <c r="E128" s="70"/>
    </row>
    <row r="129" spans="2:5" ht="13">
      <c r="B129" s="11"/>
      <c r="C129" s="53"/>
      <c r="E129" s="70"/>
    </row>
    <row r="130" spans="2:5" ht="13">
      <c r="B130" s="11"/>
      <c r="C130" s="53"/>
      <c r="E130" s="70"/>
    </row>
    <row r="131" spans="2:5" ht="13">
      <c r="B131" s="11"/>
      <c r="C131" s="53"/>
      <c r="E131" s="70"/>
    </row>
    <row r="132" spans="2:5" ht="13">
      <c r="B132" s="11"/>
      <c r="C132" s="53"/>
      <c r="E132" s="70"/>
    </row>
    <row r="133" spans="2:5" ht="13">
      <c r="B133" s="11"/>
      <c r="C133" s="53"/>
      <c r="E133" s="70"/>
    </row>
    <row r="134" spans="2:5" ht="13">
      <c r="B134" s="11"/>
      <c r="C134" s="53"/>
      <c r="E134" s="70"/>
    </row>
    <row r="135" spans="2:5" ht="13">
      <c r="B135" s="11"/>
      <c r="C135" s="53"/>
      <c r="E135" s="70"/>
    </row>
    <row r="136" spans="2:5" ht="13">
      <c r="B136" s="11"/>
      <c r="C136" s="53"/>
      <c r="E136" s="70"/>
    </row>
    <row r="137" spans="2:5" ht="13">
      <c r="B137" s="11"/>
      <c r="C137" s="53"/>
      <c r="E137" s="70"/>
    </row>
    <row r="138" spans="2:5" ht="13">
      <c r="B138" s="11"/>
      <c r="C138" s="53"/>
      <c r="E138" s="70"/>
    </row>
    <row r="139" spans="2:5" ht="13">
      <c r="B139" s="11"/>
      <c r="C139" s="53"/>
      <c r="E139" s="70"/>
    </row>
    <row r="140" spans="2:5" ht="13">
      <c r="B140" s="11"/>
      <c r="C140" s="53"/>
      <c r="E140" s="70"/>
    </row>
    <row r="141" spans="2:5" ht="13">
      <c r="B141" s="11"/>
      <c r="C141" s="53"/>
      <c r="E141" s="70"/>
    </row>
    <row r="142" spans="2:5" ht="13">
      <c r="B142" s="11"/>
      <c r="C142" s="53"/>
      <c r="E142" s="70"/>
    </row>
    <row r="143" spans="2:5" ht="13">
      <c r="B143" s="11"/>
      <c r="C143" s="53"/>
      <c r="E143" s="70"/>
    </row>
    <row r="144" spans="2:5" ht="13">
      <c r="B144" s="11"/>
      <c r="C144" s="53"/>
      <c r="E144" s="70"/>
    </row>
    <row r="145" spans="2:5" ht="13">
      <c r="B145" s="11"/>
      <c r="C145" s="53"/>
      <c r="E145" s="70"/>
    </row>
    <row r="146" spans="2:5" ht="13">
      <c r="B146" s="11"/>
      <c r="C146" s="53"/>
      <c r="E146" s="70"/>
    </row>
    <row r="147" spans="2:5" ht="13">
      <c r="B147" s="11"/>
      <c r="C147" s="53"/>
      <c r="E147" s="70"/>
    </row>
    <row r="148" spans="2:5" ht="13">
      <c r="C148" s="53"/>
      <c r="E148" s="70"/>
    </row>
    <row r="149" spans="2:5" ht="13">
      <c r="C149" s="53"/>
      <c r="E149" s="70"/>
    </row>
    <row r="150" spans="2:5" ht="13">
      <c r="C150" s="53"/>
      <c r="E150" s="70"/>
    </row>
    <row r="151" spans="2:5" ht="13">
      <c r="C151" s="53"/>
      <c r="E151" s="70"/>
    </row>
    <row r="152" spans="2:5" ht="13">
      <c r="C152" s="53"/>
      <c r="E152" s="70"/>
    </row>
    <row r="153" spans="2:5" ht="13">
      <c r="C153" s="53"/>
      <c r="E153" s="70"/>
    </row>
    <row r="154" spans="2:5" ht="13">
      <c r="C154" s="53"/>
      <c r="E154" s="70"/>
    </row>
    <row r="155" spans="2:5" ht="13">
      <c r="C155" s="53"/>
      <c r="E155" s="70"/>
    </row>
    <row r="156" spans="2:5" ht="13">
      <c r="C156" s="53"/>
      <c r="E156" s="70"/>
    </row>
    <row r="157" spans="2:5" ht="13">
      <c r="C157" s="53"/>
      <c r="E157" s="70"/>
    </row>
    <row r="158" spans="2:5" ht="13">
      <c r="C158" s="53"/>
      <c r="E158" s="70"/>
    </row>
    <row r="159" spans="2:5" ht="13">
      <c r="C159" s="53"/>
      <c r="E159" s="70"/>
    </row>
    <row r="160" spans="2:5" ht="13">
      <c r="C160" s="53"/>
      <c r="E160" s="70"/>
    </row>
    <row r="161" spans="3:5" ht="13">
      <c r="C161" s="53"/>
      <c r="E161" s="70"/>
    </row>
    <row r="162" spans="3:5" ht="13">
      <c r="C162" s="53"/>
      <c r="E162" s="70"/>
    </row>
    <row r="163" spans="3:5" ht="13">
      <c r="C163" s="53"/>
      <c r="E163" s="70"/>
    </row>
    <row r="164" spans="3:5" ht="13">
      <c r="C164" s="53"/>
      <c r="E164" s="70"/>
    </row>
    <row r="165" spans="3:5" ht="13">
      <c r="C165" s="53"/>
      <c r="E165" s="70"/>
    </row>
    <row r="166" spans="3:5" ht="13">
      <c r="C166" s="53"/>
      <c r="E166" s="70"/>
    </row>
    <row r="167" spans="3:5" ht="13">
      <c r="C167" s="53"/>
      <c r="E167" s="70"/>
    </row>
    <row r="168" spans="3:5" ht="13">
      <c r="C168" s="53"/>
      <c r="E168" s="70"/>
    </row>
    <row r="169" spans="3:5" ht="13">
      <c r="C169" s="53"/>
      <c r="E169" s="70"/>
    </row>
    <row r="170" spans="3:5" ht="13">
      <c r="C170" s="53"/>
      <c r="E170" s="70"/>
    </row>
    <row r="171" spans="3:5" ht="13">
      <c r="C171" s="53"/>
      <c r="E171" s="70"/>
    </row>
    <row r="172" spans="3:5" ht="13">
      <c r="C172" s="53"/>
      <c r="E172" s="70"/>
    </row>
    <row r="173" spans="3:5" ht="13">
      <c r="C173" s="53"/>
      <c r="E173" s="70"/>
    </row>
    <row r="174" spans="3:5" ht="13">
      <c r="C174" s="53"/>
      <c r="E174" s="70"/>
    </row>
    <row r="175" spans="3:5" ht="13">
      <c r="C175" s="53"/>
      <c r="E175" s="70"/>
    </row>
    <row r="176" spans="3:5" ht="13">
      <c r="C176" s="53"/>
      <c r="E176" s="70"/>
    </row>
    <row r="177" spans="3:5" ht="13">
      <c r="C177" s="53"/>
      <c r="E177" s="70"/>
    </row>
    <row r="178" spans="3:5" ht="13">
      <c r="C178" s="53"/>
      <c r="E178" s="70"/>
    </row>
    <row r="179" spans="3:5" ht="13">
      <c r="C179" s="53"/>
      <c r="E179" s="70"/>
    </row>
    <row r="180" spans="3:5" ht="13">
      <c r="C180" s="53"/>
      <c r="E180" s="70"/>
    </row>
    <row r="181" spans="3:5" ht="13">
      <c r="C181" s="53"/>
      <c r="E181" s="70"/>
    </row>
    <row r="182" spans="3:5" ht="13">
      <c r="C182" s="53"/>
      <c r="E182" s="70"/>
    </row>
    <row r="183" spans="3:5" ht="13">
      <c r="C183" s="53"/>
      <c r="E183" s="70"/>
    </row>
    <row r="184" spans="3:5" ht="13">
      <c r="C184" s="53"/>
      <c r="E184" s="70"/>
    </row>
    <row r="185" spans="3:5" ht="13">
      <c r="C185" s="53"/>
      <c r="E185" s="70"/>
    </row>
    <row r="186" spans="3:5" ht="13">
      <c r="C186" s="53"/>
      <c r="E186" s="70"/>
    </row>
    <row r="187" spans="3:5" ht="13">
      <c r="C187" s="53"/>
      <c r="E187" s="70"/>
    </row>
    <row r="188" spans="3:5" ht="13">
      <c r="C188" s="53"/>
      <c r="E188" s="70"/>
    </row>
    <row r="189" spans="3:5" ht="13">
      <c r="C189" s="53"/>
      <c r="E189" s="70"/>
    </row>
    <row r="190" spans="3:5" ht="13">
      <c r="C190" s="53"/>
      <c r="E190" s="70"/>
    </row>
    <row r="191" spans="3:5" ht="13">
      <c r="C191" s="53"/>
      <c r="E191" s="70"/>
    </row>
    <row r="192" spans="3:5" ht="13">
      <c r="C192" s="53"/>
      <c r="E192" s="70"/>
    </row>
    <row r="193" spans="3:5" ht="13">
      <c r="C193" s="53"/>
      <c r="E193" s="70"/>
    </row>
    <row r="194" spans="3:5" ht="13">
      <c r="C194" s="53"/>
      <c r="E194" s="70"/>
    </row>
    <row r="195" spans="3:5" ht="13">
      <c r="C195" s="53"/>
      <c r="E195" s="70"/>
    </row>
    <row r="196" spans="3:5" ht="13">
      <c r="C196" s="53"/>
      <c r="E196" s="70"/>
    </row>
    <row r="197" spans="3:5" ht="13">
      <c r="C197" s="53"/>
      <c r="E197" s="70"/>
    </row>
    <row r="198" spans="3:5" ht="13">
      <c r="C198" s="53"/>
      <c r="E198" s="70"/>
    </row>
    <row r="199" spans="3:5" ht="13">
      <c r="C199" s="53"/>
      <c r="E199" s="70"/>
    </row>
    <row r="200" spans="3:5" ht="13">
      <c r="C200" s="53"/>
      <c r="E200" s="70"/>
    </row>
    <row r="201" spans="3:5" ht="13">
      <c r="C201" s="53"/>
      <c r="E201" s="70"/>
    </row>
    <row r="202" spans="3:5" ht="13">
      <c r="C202" s="53"/>
      <c r="E202" s="70"/>
    </row>
    <row r="203" spans="3:5" ht="13">
      <c r="C203" s="53"/>
      <c r="E203" s="70"/>
    </row>
    <row r="204" spans="3:5" ht="13">
      <c r="C204" s="53"/>
      <c r="E204" s="70"/>
    </row>
    <row r="205" spans="3:5" ht="13">
      <c r="C205" s="53"/>
      <c r="E205" s="70"/>
    </row>
    <row r="206" spans="3:5" ht="13">
      <c r="C206" s="53"/>
      <c r="E206" s="70"/>
    </row>
    <row r="207" spans="3:5" ht="13">
      <c r="C207" s="53"/>
      <c r="E207" s="70"/>
    </row>
    <row r="208" spans="3:5" ht="13">
      <c r="C208" s="53"/>
      <c r="E208" s="70"/>
    </row>
    <row r="209" spans="3:5" ht="13">
      <c r="C209" s="53"/>
      <c r="E209" s="70"/>
    </row>
    <row r="210" spans="3:5" ht="13">
      <c r="C210" s="53"/>
      <c r="E210" s="70"/>
    </row>
    <row r="211" spans="3:5" ht="13">
      <c r="C211" s="53"/>
      <c r="E211" s="70"/>
    </row>
    <row r="212" spans="3:5" ht="13">
      <c r="C212" s="53"/>
      <c r="E212" s="70"/>
    </row>
    <row r="213" spans="3:5" ht="13">
      <c r="C213" s="53"/>
      <c r="E213" s="70"/>
    </row>
    <row r="214" spans="3:5" ht="13">
      <c r="C214" s="53"/>
      <c r="E214" s="70"/>
    </row>
    <row r="215" spans="3:5" ht="13">
      <c r="C215" s="53"/>
      <c r="E215" s="70"/>
    </row>
    <row r="216" spans="3:5" ht="13">
      <c r="C216" s="53"/>
      <c r="E216" s="70"/>
    </row>
    <row r="217" spans="3:5" ht="13">
      <c r="C217" s="53"/>
      <c r="E217" s="70"/>
    </row>
    <row r="218" spans="3:5" ht="13">
      <c r="C218" s="53"/>
      <c r="E218" s="70"/>
    </row>
    <row r="219" spans="3:5" ht="13">
      <c r="C219" s="53"/>
      <c r="E219" s="70"/>
    </row>
    <row r="220" spans="3:5" ht="13">
      <c r="C220" s="53"/>
      <c r="E220" s="70"/>
    </row>
    <row r="221" spans="3:5" ht="13">
      <c r="C221" s="53"/>
      <c r="E221" s="70"/>
    </row>
    <row r="222" spans="3:5" ht="13">
      <c r="C222" s="53"/>
      <c r="E222" s="70"/>
    </row>
    <row r="223" spans="3:5" ht="13">
      <c r="C223" s="53"/>
      <c r="E223" s="70"/>
    </row>
    <row r="224" spans="3:5" ht="13">
      <c r="C224" s="53"/>
      <c r="E224" s="70"/>
    </row>
    <row r="225" spans="3:5" ht="13">
      <c r="C225" s="53"/>
      <c r="E225" s="70"/>
    </row>
    <row r="226" spans="3:5" ht="13">
      <c r="C226" s="53"/>
      <c r="E226" s="70"/>
    </row>
    <row r="227" spans="3:5" ht="13">
      <c r="C227" s="53"/>
      <c r="E227" s="70"/>
    </row>
    <row r="228" spans="3:5" ht="13">
      <c r="C228" s="53"/>
      <c r="E228" s="70"/>
    </row>
    <row r="229" spans="3:5" ht="13">
      <c r="C229" s="53"/>
      <c r="E229" s="70"/>
    </row>
    <row r="230" spans="3:5" ht="13">
      <c r="C230" s="53"/>
      <c r="E230" s="70"/>
    </row>
    <row r="231" spans="3:5" ht="13">
      <c r="C231" s="53"/>
      <c r="E231" s="70"/>
    </row>
    <row r="232" spans="3:5" ht="13">
      <c r="C232" s="53"/>
      <c r="E232" s="70"/>
    </row>
    <row r="233" spans="3:5" ht="13">
      <c r="C233" s="53"/>
      <c r="E233" s="70"/>
    </row>
    <row r="234" spans="3:5" ht="13">
      <c r="C234" s="53"/>
      <c r="E234" s="70"/>
    </row>
    <row r="235" spans="3:5" ht="13">
      <c r="C235" s="53"/>
      <c r="E235" s="70"/>
    </row>
    <row r="236" spans="3:5" ht="13">
      <c r="C236" s="53"/>
      <c r="E236" s="70"/>
    </row>
    <row r="237" spans="3:5" ht="13">
      <c r="C237" s="53"/>
      <c r="E237" s="70"/>
    </row>
    <row r="238" spans="3:5" ht="13">
      <c r="C238" s="53"/>
      <c r="E238" s="70"/>
    </row>
    <row r="239" spans="3:5" ht="13">
      <c r="C239" s="53"/>
      <c r="E239" s="70"/>
    </row>
    <row r="240" spans="3:5" ht="13">
      <c r="C240" s="53"/>
      <c r="E240" s="70"/>
    </row>
    <row r="241" spans="3:5" ht="13">
      <c r="C241" s="53"/>
      <c r="E241" s="70"/>
    </row>
    <row r="242" spans="3:5" ht="13">
      <c r="C242" s="53"/>
      <c r="E242" s="70"/>
    </row>
    <row r="243" spans="3:5" ht="13">
      <c r="C243" s="53"/>
      <c r="E243" s="70"/>
    </row>
    <row r="244" spans="3:5" ht="13">
      <c r="C244" s="53"/>
      <c r="E244" s="70"/>
    </row>
    <row r="245" spans="3:5" ht="13">
      <c r="C245" s="53"/>
      <c r="E245" s="70"/>
    </row>
    <row r="246" spans="3:5" ht="13">
      <c r="C246" s="53"/>
      <c r="E246" s="70"/>
    </row>
    <row r="247" spans="3:5" ht="13">
      <c r="C247" s="53"/>
      <c r="E247" s="70"/>
    </row>
    <row r="248" spans="3:5" ht="13">
      <c r="C248" s="53"/>
      <c r="E248" s="70"/>
    </row>
    <row r="249" spans="3:5" ht="13">
      <c r="C249" s="53"/>
      <c r="E249" s="70"/>
    </row>
    <row r="250" spans="3:5" ht="13">
      <c r="C250" s="53"/>
      <c r="E250" s="70"/>
    </row>
    <row r="251" spans="3:5" ht="13">
      <c r="C251" s="53"/>
      <c r="E251" s="70"/>
    </row>
    <row r="252" spans="3:5" ht="13">
      <c r="C252" s="53"/>
      <c r="E252" s="70"/>
    </row>
    <row r="253" spans="3:5" ht="13">
      <c r="C253" s="53"/>
      <c r="E253" s="70"/>
    </row>
    <row r="254" spans="3:5" ht="13">
      <c r="C254" s="53"/>
      <c r="E254" s="70"/>
    </row>
    <row r="255" spans="3:5" ht="13">
      <c r="C255" s="53"/>
      <c r="E255" s="70"/>
    </row>
    <row r="256" spans="3:5" ht="13">
      <c r="C256" s="53"/>
      <c r="E256" s="70"/>
    </row>
    <row r="257" spans="3:5" ht="13">
      <c r="C257" s="53"/>
      <c r="E257" s="70"/>
    </row>
    <row r="258" spans="3:5" ht="13">
      <c r="C258" s="53"/>
      <c r="E258" s="70"/>
    </row>
    <row r="259" spans="3:5" ht="13">
      <c r="C259" s="53"/>
      <c r="E259" s="70"/>
    </row>
    <row r="260" spans="3:5" ht="13">
      <c r="C260" s="53"/>
      <c r="E260" s="70"/>
    </row>
    <row r="261" spans="3:5" ht="13">
      <c r="C261" s="53"/>
      <c r="E261" s="70"/>
    </row>
    <row r="262" spans="3:5" ht="13">
      <c r="C262" s="53"/>
      <c r="E262" s="70"/>
    </row>
    <row r="263" spans="3:5" ht="13">
      <c r="C263" s="53"/>
      <c r="E263" s="70"/>
    </row>
    <row r="264" spans="3:5" ht="13">
      <c r="C264" s="53"/>
      <c r="E264" s="70"/>
    </row>
    <row r="265" spans="3:5" ht="13">
      <c r="C265" s="53"/>
      <c r="E265" s="70"/>
    </row>
    <row r="266" spans="3:5" ht="13">
      <c r="C266" s="53"/>
      <c r="E266" s="70"/>
    </row>
    <row r="267" spans="3:5" ht="13">
      <c r="C267" s="53"/>
      <c r="E267" s="70"/>
    </row>
    <row r="268" spans="3:5" ht="13">
      <c r="C268" s="53"/>
      <c r="E268" s="70"/>
    </row>
    <row r="269" spans="3:5" ht="13">
      <c r="C269" s="53"/>
      <c r="E269" s="70"/>
    </row>
    <row r="270" spans="3:5" ht="13">
      <c r="C270" s="53"/>
      <c r="E270" s="70"/>
    </row>
    <row r="271" spans="3:5" ht="13">
      <c r="C271" s="53"/>
      <c r="E271" s="70"/>
    </row>
    <row r="272" spans="3:5" ht="13">
      <c r="C272" s="53"/>
      <c r="E272" s="70"/>
    </row>
    <row r="273" spans="3:5" ht="13">
      <c r="C273" s="53"/>
      <c r="E273" s="70"/>
    </row>
    <row r="274" spans="3:5" ht="13">
      <c r="C274" s="53"/>
      <c r="E274" s="70"/>
    </row>
    <row r="275" spans="3:5" ht="13">
      <c r="C275" s="53"/>
      <c r="E275" s="70"/>
    </row>
    <row r="276" spans="3:5" ht="13">
      <c r="C276" s="53"/>
      <c r="E276" s="70"/>
    </row>
    <row r="277" spans="3:5" ht="13">
      <c r="C277" s="53"/>
      <c r="E277" s="70"/>
    </row>
    <row r="278" spans="3:5" ht="13">
      <c r="C278" s="53"/>
      <c r="E278" s="70"/>
    </row>
    <row r="279" spans="3:5" ht="13">
      <c r="C279" s="53"/>
      <c r="E279" s="70"/>
    </row>
    <row r="280" spans="3:5" ht="13">
      <c r="C280" s="53"/>
      <c r="E280" s="70"/>
    </row>
    <row r="281" spans="3:5" ht="13">
      <c r="C281" s="53"/>
      <c r="E281" s="70"/>
    </row>
    <row r="282" spans="3:5" ht="13">
      <c r="C282" s="53"/>
      <c r="E282" s="70"/>
    </row>
    <row r="283" spans="3:5" ht="13">
      <c r="C283" s="53"/>
      <c r="E283" s="70"/>
    </row>
    <row r="284" spans="3:5" ht="13">
      <c r="C284" s="53"/>
      <c r="E284" s="70"/>
    </row>
    <row r="285" spans="3:5" ht="13">
      <c r="C285" s="53"/>
      <c r="E285" s="70"/>
    </row>
    <row r="286" spans="3:5" ht="13">
      <c r="C286" s="53"/>
      <c r="E286" s="70"/>
    </row>
    <row r="287" spans="3:5" ht="13">
      <c r="C287" s="53"/>
      <c r="E287" s="70"/>
    </row>
    <row r="288" spans="3:5" ht="13">
      <c r="C288" s="53"/>
      <c r="E288" s="70"/>
    </row>
    <row r="289" spans="3:5" ht="13">
      <c r="C289" s="53"/>
      <c r="E289" s="70"/>
    </row>
    <row r="290" spans="3:5" ht="13">
      <c r="C290" s="53"/>
      <c r="E290" s="70"/>
    </row>
    <row r="291" spans="3:5" ht="13">
      <c r="C291" s="53"/>
      <c r="E291" s="70"/>
    </row>
    <row r="292" spans="3:5" ht="13">
      <c r="C292" s="53"/>
      <c r="E292" s="70"/>
    </row>
    <row r="293" spans="3:5" ht="13">
      <c r="C293" s="53"/>
      <c r="E293" s="70"/>
    </row>
    <row r="294" spans="3:5" ht="13">
      <c r="C294" s="53"/>
      <c r="E294" s="70"/>
    </row>
    <row r="295" spans="3:5" ht="13">
      <c r="C295" s="53"/>
      <c r="E295" s="70"/>
    </row>
    <row r="296" spans="3:5" ht="13">
      <c r="C296" s="53"/>
      <c r="E296" s="70"/>
    </row>
    <row r="297" spans="3:5" ht="13">
      <c r="C297" s="53"/>
      <c r="E297" s="70"/>
    </row>
    <row r="298" spans="3:5" ht="13">
      <c r="C298" s="53"/>
      <c r="E298" s="70"/>
    </row>
    <row r="299" spans="3:5" ht="13">
      <c r="C299" s="53"/>
      <c r="E299" s="70"/>
    </row>
    <row r="300" spans="3:5" ht="13">
      <c r="C300" s="53"/>
      <c r="E300" s="70"/>
    </row>
    <row r="301" spans="3:5" ht="13">
      <c r="C301" s="53"/>
      <c r="E301" s="70"/>
    </row>
    <row r="302" spans="3:5" ht="13">
      <c r="C302" s="53"/>
      <c r="E302" s="70"/>
    </row>
    <row r="303" spans="3:5" ht="13">
      <c r="C303" s="53"/>
      <c r="E303" s="70"/>
    </row>
    <row r="304" spans="3:5" ht="13">
      <c r="C304" s="53"/>
      <c r="E304" s="70"/>
    </row>
    <row r="305" spans="3:5" ht="13">
      <c r="C305" s="53"/>
      <c r="E305" s="70"/>
    </row>
    <row r="306" spans="3:5" ht="13">
      <c r="C306" s="53"/>
      <c r="E306" s="70"/>
    </row>
    <row r="307" spans="3:5" ht="13">
      <c r="C307" s="53"/>
      <c r="E307" s="70"/>
    </row>
    <row r="308" spans="3:5" ht="13">
      <c r="C308" s="53"/>
      <c r="E308" s="70"/>
    </row>
    <row r="309" spans="3:5" ht="13">
      <c r="C309" s="53"/>
      <c r="E309" s="70"/>
    </row>
    <row r="310" spans="3:5" ht="13">
      <c r="C310" s="53"/>
      <c r="E310" s="70"/>
    </row>
    <row r="311" spans="3:5" ht="13">
      <c r="C311" s="53"/>
      <c r="E311" s="70"/>
    </row>
    <row r="312" spans="3:5" ht="13">
      <c r="C312" s="53"/>
      <c r="E312" s="70"/>
    </row>
    <row r="313" spans="3:5" ht="13">
      <c r="C313" s="53"/>
      <c r="E313" s="70"/>
    </row>
    <row r="314" spans="3:5" ht="13">
      <c r="C314" s="53"/>
      <c r="E314" s="70"/>
    </row>
    <row r="315" spans="3:5" ht="13">
      <c r="C315" s="53"/>
      <c r="E315" s="70"/>
    </row>
    <row r="316" spans="3:5" ht="13">
      <c r="C316" s="53"/>
      <c r="E316" s="70"/>
    </row>
    <row r="317" spans="3:5" ht="13">
      <c r="C317" s="53"/>
      <c r="E317" s="70"/>
    </row>
    <row r="318" spans="3:5" ht="13">
      <c r="C318" s="53"/>
      <c r="E318" s="70"/>
    </row>
    <row r="319" spans="3:5" ht="13">
      <c r="C319" s="53"/>
      <c r="E319" s="70"/>
    </row>
    <row r="320" spans="3:5" ht="13">
      <c r="C320" s="53"/>
      <c r="E320" s="70"/>
    </row>
    <row r="321" spans="3:5" ht="13">
      <c r="C321" s="53"/>
      <c r="E321" s="70"/>
    </row>
    <row r="322" spans="3:5" ht="13">
      <c r="C322" s="53"/>
      <c r="E322" s="70"/>
    </row>
    <row r="323" spans="3:5" ht="13">
      <c r="C323" s="53"/>
      <c r="E323" s="70"/>
    </row>
    <row r="324" spans="3:5" ht="13">
      <c r="C324" s="53"/>
      <c r="E324" s="70"/>
    </row>
    <row r="325" spans="3:5" ht="13">
      <c r="C325" s="53"/>
      <c r="E325" s="70"/>
    </row>
    <row r="326" spans="3:5" ht="13">
      <c r="C326" s="53"/>
      <c r="E326" s="70"/>
    </row>
    <row r="327" spans="3:5" ht="13">
      <c r="C327" s="53"/>
      <c r="E327" s="70"/>
    </row>
    <row r="328" spans="3:5" ht="13">
      <c r="C328" s="53"/>
      <c r="E328" s="70"/>
    </row>
    <row r="329" spans="3:5" ht="13">
      <c r="C329" s="53"/>
      <c r="E329" s="70"/>
    </row>
    <row r="330" spans="3:5" ht="13">
      <c r="C330" s="53"/>
      <c r="E330" s="70"/>
    </row>
    <row r="331" spans="3:5" ht="13">
      <c r="C331" s="53"/>
      <c r="E331" s="70"/>
    </row>
    <row r="332" spans="3:5" ht="13">
      <c r="C332" s="53"/>
      <c r="E332" s="70"/>
    </row>
    <row r="333" spans="3:5" ht="13">
      <c r="C333" s="53"/>
      <c r="E333" s="70"/>
    </row>
    <row r="334" spans="3:5" ht="13">
      <c r="C334" s="53"/>
      <c r="E334" s="70"/>
    </row>
    <row r="335" spans="3:5" ht="13">
      <c r="C335" s="53"/>
      <c r="E335" s="70"/>
    </row>
    <row r="336" spans="3:5" ht="13">
      <c r="C336" s="53"/>
      <c r="E336" s="70"/>
    </row>
    <row r="337" spans="3:5" ht="13">
      <c r="C337" s="53"/>
      <c r="E337" s="70"/>
    </row>
    <row r="338" spans="3:5" ht="13">
      <c r="C338" s="53"/>
      <c r="E338" s="70"/>
    </row>
    <row r="339" spans="3:5" ht="13">
      <c r="C339" s="53"/>
      <c r="E339" s="70"/>
    </row>
    <row r="340" spans="3:5" ht="13">
      <c r="C340" s="53"/>
      <c r="E340" s="70"/>
    </row>
    <row r="341" spans="3:5" ht="13">
      <c r="C341" s="53"/>
      <c r="E341" s="70"/>
    </row>
    <row r="342" spans="3:5" ht="13">
      <c r="C342" s="53"/>
      <c r="E342" s="70"/>
    </row>
    <row r="343" spans="3:5" ht="13">
      <c r="C343" s="53"/>
      <c r="E343" s="70"/>
    </row>
    <row r="344" spans="3:5" ht="13">
      <c r="C344" s="53"/>
      <c r="E344" s="70"/>
    </row>
    <row r="345" spans="3:5" ht="13">
      <c r="C345" s="53"/>
      <c r="E345" s="70"/>
    </row>
    <row r="346" spans="3:5" ht="13">
      <c r="C346" s="53"/>
      <c r="E346" s="70"/>
    </row>
    <row r="347" spans="3:5" ht="13">
      <c r="C347" s="53"/>
      <c r="E347" s="70"/>
    </row>
    <row r="348" spans="3:5" ht="13">
      <c r="C348" s="53"/>
      <c r="E348" s="70"/>
    </row>
    <row r="349" spans="3:5" ht="13">
      <c r="C349" s="53"/>
      <c r="E349" s="70"/>
    </row>
    <row r="350" spans="3:5" ht="13">
      <c r="C350" s="53"/>
      <c r="E350" s="70"/>
    </row>
    <row r="351" spans="3:5" ht="13">
      <c r="C351" s="53"/>
      <c r="E351" s="70"/>
    </row>
    <row r="352" spans="3:5" ht="13">
      <c r="C352" s="53"/>
      <c r="E352" s="70"/>
    </row>
    <row r="353" spans="3:5" ht="13">
      <c r="C353" s="53"/>
      <c r="E353" s="70"/>
    </row>
    <row r="354" spans="3:5" ht="13">
      <c r="C354" s="53"/>
      <c r="E354" s="70"/>
    </row>
    <row r="355" spans="3:5" ht="13">
      <c r="C355" s="53"/>
      <c r="E355" s="70"/>
    </row>
    <row r="356" spans="3:5" ht="13">
      <c r="C356" s="53"/>
      <c r="E356" s="70"/>
    </row>
    <row r="357" spans="3:5" ht="13">
      <c r="C357" s="53"/>
      <c r="E357" s="70"/>
    </row>
    <row r="358" spans="3:5" ht="13">
      <c r="C358" s="53"/>
      <c r="E358" s="70"/>
    </row>
    <row r="359" spans="3:5" ht="13">
      <c r="C359" s="53"/>
      <c r="E359" s="70"/>
    </row>
    <row r="360" spans="3:5" ht="13">
      <c r="C360" s="53"/>
      <c r="E360" s="70"/>
    </row>
    <row r="361" spans="3:5" ht="13">
      <c r="C361" s="53"/>
      <c r="E361" s="70"/>
    </row>
    <row r="362" spans="3:5" ht="13">
      <c r="C362" s="53"/>
      <c r="E362" s="70"/>
    </row>
    <row r="363" spans="3:5" ht="13">
      <c r="C363" s="53"/>
      <c r="E363" s="70"/>
    </row>
    <row r="364" spans="3:5" ht="13">
      <c r="C364" s="53"/>
      <c r="E364" s="70"/>
    </row>
    <row r="365" spans="3:5" ht="13">
      <c r="C365" s="53"/>
      <c r="E365" s="70"/>
    </row>
    <row r="366" spans="3:5" ht="13">
      <c r="C366" s="53"/>
      <c r="E366" s="70"/>
    </row>
    <row r="367" spans="3:5" ht="13">
      <c r="C367" s="53"/>
      <c r="E367" s="70"/>
    </row>
    <row r="368" spans="3:5" ht="13">
      <c r="C368" s="53"/>
      <c r="E368" s="70"/>
    </row>
    <row r="369" spans="3:5" ht="13">
      <c r="C369" s="53"/>
      <c r="E369" s="70"/>
    </row>
    <row r="370" spans="3:5" ht="13">
      <c r="C370" s="53"/>
      <c r="E370" s="70"/>
    </row>
    <row r="371" spans="3:5" ht="13">
      <c r="C371" s="53"/>
      <c r="E371" s="70"/>
    </row>
    <row r="372" spans="3:5" ht="13">
      <c r="C372" s="53"/>
      <c r="E372" s="70"/>
    </row>
    <row r="373" spans="3:5" ht="13">
      <c r="C373" s="53"/>
      <c r="E373" s="70"/>
    </row>
    <row r="374" spans="3:5" ht="13">
      <c r="C374" s="53"/>
      <c r="E374" s="70"/>
    </row>
    <row r="375" spans="3:5" ht="13">
      <c r="C375" s="53"/>
      <c r="E375" s="70"/>
    </row>
    <row r="376" spans="3:5" ht="13">
      <c r="C376" s="53"/>
      <c r="E376" s="70"/>
    </row>
    <row r="377" spans="3:5" ht="13">
      <c r="C377" s="53"/>
      <c r="E377" s="70"/>
    </row>
    <row r="378" spans="3:5" ht="13">
      <c r="C378" s="53"/>
      <c r="E378" s="70"/>
    </row>
    <row r="379" spans="3:5" ht="13">
      <c r="C379" s="53"/>
      <c r="E379" s="70"/>
    </row>
    <row r="380" spans="3:5" ht="13">
      <c r="C380" s="53"/>
      <c r="E380" s="70"/>
    </row>
    <row r="381" spans="3:5" ht="13">
      <c r="C381" s="53"/>
      <c r="E381" s="70"/>
    </row>
    <row r="382" spans="3:5" ht="13">
      <c r="C382" s="53"/>
      <c r="E382" s="70"/>
    </row>
    <row r="383" spans="3:5" ht="13">
      <c r="C383" s="53"/>
      <c r="E383" s="70"/>
    </row>
    <row r="384" spans="3:5" ht="13">
      <c r="C384" s="53"/>
      <c r="E384" s="70"/>
    </row>
    <row r="385" spans="3:5" ht="13">
      <c r="C385" s="53"/>
      <c r="E385" s="70"/>
    </row>
    <row r="386" spans="3:5" ht="13">
      <c r="C386" s="53"/>
      <c r="E386" s="70"/>
    </row>
    <row r="387" spans="3:5" ht="13">
      <c r="C387" s="53"/>
      <c r="E387" s="70"/>
    </row>
    <row r="388" spans="3:5" ht="13">
      <c r="C388" s="53"/>
      <c r="E388" s="70"/>
    </row>
    <row r="389" spans="3:5" ht="13">
      <c r="C389" s="53"/>
      <c r="E389" s="70"/>
    </row>
    <row r="390" spans="3:5" ht="13">
      <c r="C390" s="53"/>
      <c r="E390" s="70"/>
    </row>
    <row r="391" spans="3:5" ht="13">
      <c r="C391" s="53"/>
      <c r="E391" s="70"/>
    </row>
    <row r="392" spans="3:5" ht="13">
      <c r="C392" s="53"/>
      <c r="E392" s="70"/>
    </row>
    <row r="393" spans="3:5" ht="13">
      <c r="C393" s="53"/>
      <c r="E393" s="70"/>
    </row>
    <row r="394" spans="3:5" ht="13">
      <c r="C394" s="53"/>
      <c r="E394" s="70"/>
    </row>
    <row r="395" spans="3:5" ht="13">
      <c r="C395" s="53"/>
      <c r="E395" s="70"/>
    </row>
    <row r="396" spans="3:5" ht="13">
      <c r="C396" s="53"/>
      <c r="E396" s="70"/>
    </row>
    <row r="397" spans="3:5" ht="13">
      <c r="C397" s="53"/>
      <c r="E397" s="70"/>
    </row>
    <row r="398" spans="3:5" ht="13">
      <c r="C398" s="53"/>
      <c r="E398" s="70"/>
    </row>
    <row r="399" spans="3:5" ht="13">
      <c r="C399" s="53"/>
      <c r="E399" s="70"/>
    </row>
    <row r="400" spans="3:5" ht="13">
      <c r="C400" s="53"/>
      <c r="E400" s="70"/>
    </row>
    <row r="401" spans="3:5" ht="13">
      <c r="C401" s="53"/>
      <c r="E401" s="70"/>
    </row>
    <row r="402" spans="3:5" ht="13">
      <c r="C402" s="53"/>
      <c r="E402" s="70"/>
    </row>
    <row r="403" spans="3:5" ht="13">
      <c r="C403" s="53"/>
      <c r="E403" s="70"/>
    </row>
    <row r="404" spans="3:5" ht="13">
      <c r="C404" s="53"/>
      <c r="E404" s="70"/>
    </row>
    <row r="405" spans="3:5" ht="13">
      <c r="C405" s="53"/>
      <c r="E405" s="70"/>
    </row>
    <row r="406" spans="3:5" ht="13">
      <c r="C406" s="53"/>
      <c r="E406" s="70"/>
    </row>
    <row r="407" spans="3:5" ht="13">
      <c r="C407" s="53"/>
      <c r="E407" s="70"/>
    </row>
    <row r="408" spans="3:5" ht="13">
      <c r="C408" s="53"/>
      <c r="E408" s="70"/>
    </row>
    <row r="409" spans="3:5" ht="13">
      <c r="C409" s="53"/>
      <c r="E409" s="70"/>
    </row>
    <row r="410" spans="3:5" ht="13">
      <c r="C410" s="53"/>
      <c r="E410" s="70"/>
    </row>
    <row r="411" spans="3:5" ht="13">
      <c r="C411" s="53"/>
      <c r="E411" s="70"/>
    </row>
    <row r="412" spans="3:5" ht="13">
      <c r="C412" s="53"/>
      <c r="E412" s="70"/>
    </row>
    <row r="413" spans="3:5" ht="13">
      <c r="C413" s="53"/>
      <c r="E413" s="70"/>
    </row>
    <row r="414" spans="3:5" ht="13">
      <c r="C414" s="53"/>
      <c r="E414" s="70"/>
    </row>
    <row r="415" spans="3:5" ht="13">
      <c r="C415" s="53"/>
      <c r="E415" s="70"/>
    </row>
    <row r="416" spans="3:5" ht="13">
      <c r="C416" s="53"/>
      <c r="E416" s="70"/>
    </row>
    <row r="417" spans="3:5" ht="13">
      <c r="C417" s="53"/>
      <c r="E417" s="70"/>
    </row>
    <row r="418" spans="3:5" ht="13">
      <c r="C418" s="53"/>
      <c r="E418" s="70"/>
    </row>
    <row r="419" spans="3:5" ht="13">
      <c r="C419" s="53"/>
      <c r="E419" s="70"/>
    </row>
    <row r="420" spans="3:5" ht="13">
      <c r="C420" s="53"/>
      <c r="E420" s="70"/>
    </row>
    <row r="421" spans="3:5" ht="13">
      <c r="C421" s="53"/>
      <c r="E421" s="70"/>
    </row>
    <row r="422" spans="3:5" ht="13">
      <c r="C422" s="53"/>
      <c r="E422" s="70"/>
    </row>
    <row r="423" spans="3:5" ht="13">
      <c r="C423" s="53"/>
      <c r="E423" s="70"/>
    </row>
    <row r="424" spans="3:5" ht="13">
      <c r="C424" s="53"/>
      <c r="E424" s="70"/>
    </row>
    <row r="425" spans="3:5" ht="13">
      <c r="C425" s="53"/>
      <c r="E425" s="70"/>
    </row>
    <row r="426" spans="3:5" ht="13">
      <c r="C426" s="53"/>
      <c r="E426" s="70"/>
    </row>
    <row r="427" spans="3:5" ht="13">
      <c r="C427" s="53"/>
      <c r="E427" s="70"/>
    </row>
    <row r="428" spans="3:5" ht="13">
      <c r="C428" s="53"/>
      <c r="E428" s="70"/>
    </row>
    <row r="429" spans="3:5" ht="13">
      <c r="C429" s="53"/>
      <c r="E429" s="70"/>
    </row>
    <row r="430" spans="3:5" ht="13">
      <c r="C430" s="53"/>
      <c r="E430" s="70"/>
    </row>
    <row r="431" spans="3:5" ht="13">
      <c r="C431" s="53"/>
      <c r="E431" s="70"/>
    </row>
    <row r="432" spans="3:5" ht="13">
      <c r="C432" s="53"/>
      <c r="E432" s="70"/>
    </row>
    <row r="433" spans="3:5" ht="13">
      <c r="C433" s="53"/>
      <c r="E433" s="70"/>
    </row>
    <row r="434" spans="3:5" ht="13">
      <c r="C434" s="53"/>
      <c r="E434" s="70"/>
    </row>
    <row r="435" spans="3:5" ht="13">
      <c r="C435" s="53"/>
      <c r="E435" s="70"/>
    </row>
    <row r="436" spans="3:5" ht="13">
      <c r="C436" s="53"/>
      <c r="E436" s="70"/>
    </row>
    <row r="437" spans="3:5" ht="13">
      <c r="C437" s="53"/>
      <c r="E437" s="70"/>
    </row>
    <row r="438" spans="3:5" ht="13">
      <c r="C438" s="53"/>
      <c r="E438" s="70"/>
    </row>
    <row r="439" spans="3:5" ht="13">
      <c r="C439" s="53"/>
      <c r="E439" s="70"/>
    </row>
    <row r="440" spans="3:5" ht="13">
      <c r="C440" s="53"/>
      <c r="E440" s="70"/>
    </row>
    <row r="441" spans="3:5" ht="13">
      <c r="C441" s="53"/>
      <c r="E441" s="70"/>
    </row>
    <row r="442" spans="3:5" ht="13">
      <c r="C442" s="53"/>
      <c r="E442" s="70"/>
    </row>
    <row r="443" spans="3:5" ht="13">
      <c r="C443" s="53"/>
      <c r="E443" s="70"/>
    </row>
    <row r="444" spans="3:5" ht="13">
      <c r="C444" s="53"/>
      <c r="E444" s="70"/>
    </row>
    <row r="445" spans="3:5" ht="13">
      <c r="C445" s="53"/>
      <c r="E445" s="70"/>
    </row>
    <row r="446" spans="3:5" ht="13">
      <c r="C446" s="53"/>
      <c r="E446" s="70"/>
    </row>
    <row r="447" spans="3:5" ht="13">
      <c r="C447" s="53"/>
      <c r="E447" s="70"/>
    </row>
    <row r="448" spans="3:5" ht="13">
      <c r="C448" s="53"/>
      <c r="E448" s="70"/>
    </row>
    <row r="449" spans="3:5" ht="13">
      <c r="C449" s="53"/>
      <c r="E449" s="70"/>
    </row>
    <row r="450" spans="3:5" ht="13">
      <c r="C450" s="53"/>
      <c r="E450" s="70"/>
    </row>
    <row r="451" spans="3:5" ht="13">
      <c r="C451" s="53"/>
      <c r="E451" s="70"/>
    </row>
    <row r="452" spans="3:5" ht="13">
      <c r="C452" s="53"/>
      <c r="E452" s="70"/>
    </row>
    <row r="453" spans="3:5" ht="13">
      <c r="C453" s="53"/>
      <c r="E453" s="70"/>
    </row>
    <row r="454" spans="3:5" ht="13">
      <c r="C454" s="53"/>
      <c r="E454" s="70"/>
    </row>
    <row r="455" spans="3:5" ht="13">
      <c r="C455" s="53"/>
      <c r="E455" s="70"/>
    </row>
    <row r="456" spans="3:5" ht="13">
      <c r="C456" s="53"/>
      <c r="E456" s="70"/>
    </row>
    <row r="457" spans="3:5" ht="13">
      <c r="C457" s="53"/>
      <c r="E457" s="70"/>
    </row>
    <row r="458" spans="3:5" ht="13">
      <c r="C458" s="53"/>
      <c r="E458" s="70"/>
    </row>
    <row r="459" spans="3:5" ht="13">
      <c r="C459" s="53"/>
      <c r="E459" s="70"/>
    </row>
    <row r="460" spans="3:5" ht="13">
      <c r="C460" s="53"/>
      <c r="E460" s="70"/>
    </row>
    <row r="461" spans="3:5" ht="13">
      <c r="C461" s="53"/>
      <c r="E461" s="70"/>
    </row>
    <row r="462" spans="3:5" ht="13">
      <c r="C462" s="53"/>
      <c r="E462" s="70"/>
    </row>
    <row r="463" spans="3:5" ht="13">
      <c r="C463" s="53"/>
      <c r="E463" s="70"/>
    </row>
    <row r="464" spans="3:5" ht="13">
      <c r="C464" s="53"/>
      <c r="E464" s="70"/>
    </row>
    <row r="465" spans="3:5" ht="13">
      <c r="C465" s="53"/>
      <c r="E465" s="70"/>
    </row>
    <row r="466" spans="3:5" ht="13">
      <c r="C466" s="53"/>
      <c r="E466" s="70"/>
    </row>
    <row r="467" spans="3:5" ht="13">
      <c r="C467" s="53"/>
      <c r="E467" s="70"/>
    </row>
    <row r="468" spans="3:5" ht="13">
      <c r="C468" s="53"/>
      <c r="E468" s="70"/>
    </row>
    <row r="469" spans="3:5" ht="13">
      <c r="C469" s="53"/>
      <c r="E469" s="70"/>
    </row>
    <row r="470" spans="3:5" ht="13">
      <c r="C470" s="53"/>
      <c r="E470" s="70"/>
    </row>
    <row r="471" spans="3:5" ht="13">
      <c r="C471" s="53"/>
      <c r="E471" s="70"/>
    </row>
    <row r="472" spans="3:5" ht="13">
      <c r="C472" s="53"/>
      <c r="E472" s="70"/>
    </row>
    <row r="473" spans="3:5" ht="13">
      <c r="C473" s="53"/>
      <c r="E473" s="70"/>
    </row>
    <row r="474" spans="3:5" ht="13">
      <c r="C474" s="53"/>
      <c r="E474" s="70"/>
    </row>
    <row r="475" spans="3:5" ht="13">
      <c r="C475" s="53"/>
      <c r="E475" s="70"/>
    </row>
    <row r="476" spans="3:5" ht="13">
      <c r="C476" s="53"/>
      <c r="E476" s="70"/>
    </row>
    <row r="477" spans="3:5" ht="13">
      <c r="C477" s="53"/>
      <c r="E477" s="70"/>
    </row>
    <row r="478" spans="3:5" ht="13">
      <c r="C478" s="53"/>
      <c r="E478" s="70"/>
    </row>
    <row r="479" spans="3:5" ht="13">
      <c r="C479" s="53"/>
      <c r="E479" s="70"/>
    </row>
    <row r="480" spans="3:5" ht="13">
      <c r="C480" s="53"/>
      <c r="E480" s="70"/>
    </row>
    <row r="481" spans="3:5" ht="13">
      <c r="C481" s="53"/>
      <c r="E481" s="70"/>
    </row>
    <row r="482" spans="3:5" ht="13">
      <c r="C482" s="53"/>
      <c r="E482" s="70"/>
    </row>
    <row r="483" spans="3:5" ht="13">
      <c r="C483" s="53"/>
      <c r="E483" s="70"/>
    </row>
    <row r="484" spans="3:5" ht="13">
      <c r="C484" s="53"/>
      <c r="E484" s="70"/>
    </row>
    <row r="485" spans="3:5" ht="13">
      <c r="C485" s="53"/>
      <c r="E485" s="70"/>
    </row>
    <row r="486" spans="3:5" ht="13">
      <c r="C486" s="53"/>
      <c r="E486" s="70"/>
    </row>
    <row r="487" spans="3:5" ht="13">
      <c r="C487" s="53"/>
      <c r="E487" s="70"/>
    </row>
    <row r="488" spans="3:5" ht="13">
      <c r="C488" s="53"/>
      <c r="E488" s="70"/>
    </row>
    <row r="489" spans="3:5" ht="13">
      <c r="C489" s="53"/>
      <c r="E489" s="70"/>
    </row>
    <row r="490" spans="3:5" ht="13">
      <c r="C490" s="53"/>
      <c r="E490" s="70"/>
    </row>
    <row r="491" spans="3:5" ht="13">
      <c r="C491" s="53"/>
      <c r="E491" s="70"/>
    </row>
    <row r="492" spans="3:5" ht="13">
      <c r="C492" s="53"/>
      <c r="E492" s="70"/>
    </row>
    <row r="493" spans="3:5" ht="13">
      <c r="C493" s="53"/>
      <c r="E493" s="70"/>
    </row>
    <row r="494" spans="3:5" ht="13">
      <c r="C494" s="53"/>
      <c r="E494" s="70"/>
    </row>
    <row r="495" spans="3:5" ht="13">
      <c r="C495" s="53"/>
      <c r="E495" s="70"/>
    </row>
    <row r="496" spans="3:5" ht="13">
      <c r="C496" s="53"/>
      <c r="E496" s="70"/>
    </row>
    <row r="497" spans="3:5" ht="13">
      <c r="C497" s="53"/>
      <c r="E497" s="70"/>
    </row>
    <row r="498" spans="3:5" ht="13">
      <c r="C498" s="53"/>
      <c r="E498" s="70"/>
    </row>
    <row r="499" spans="3:5" ht="13">
      <c r="C499" s="53"/>
      <c r="E499" s="70"/>
    </row>
    <row r="500" spans="3:5" ht="13">
      <c r="C500" s="53"/>
      <c r="E500" s="70"/>
    </row>
    <row r="501" spans="3:5" ht="13">
      <c r="C501" s="53"/>
      <c r="E501" s="70"/>
    </row>
    <row r="502" spans="3:5" ht="13">
      <c r="C502" s="53"/>
      <c r="E502" s="70"/>
    </row>
    <row r="503" spans="3:5" ht="13">
      <c r="C503" s="53"/>
      <c r="E503" s="70"/>
    </row>
    <row r="504" spans="3:5" ht="13">
      <c r="C504" s="53"/>
      <c r="E504" s="70"/>
    </row>
    <row r="505" spans="3:5" ht="13">
      <c r="C505" s="53"/>
      <c r="E505" s="70"/>
    </row>
    <row r="506" spans="3:5" ht="13">
      <c r="C506" s="53"/>
      <c r="E506" s="70"/>
    </row>
    <row r="507" spans="3:5" ht="13">
      <c r="C507" s="53"/>
      <c r="E507" s="70"/>
    </row>
    <row r="508" spans="3:5" ht="13">
      <c r="C508" s="53"/>
      <c r="E508" s="70"/>
    </row>
    <row r="509" spans="3:5" ht="13">
      <c r="C509" s="53"/>
      <c r="E509" s="70"/>
    </row>
    <row r="510" spans="3:5" ht="13">
      <c r="C510" s="53"/>
      <c r="E510" s="70"/>
    </row>
    <row r="511" spans="3:5" ht="13">
      <c r="C511" s="53"/>
      <c r="E511" s="70"/>
    </row>
    <row r="512" spans="3:5" ht="13">
      <c r="C512" s="53"/>
      <c r="E512" s="70"/>
    </row>
    <row r="513" spans="3:5" ht="13">
      <c r="C513" s="53"/>
      <c r="E513" s="70"/>
    </row>
    <row r="514" spans="3:5" ht="13">
      <c r="C514" s="53"/>
      <c r="E514" s="70"/>
    </row>
    <row r="515" spans="3:5" ht="13">
      <c r="C515" s="53"/>
      <c r="E515" s="70"/>
    </row>
    <row r="516" spans="3:5" ht="13">
      <c r="C516" s="53"/>
      <c r="E516" s="70"/>
    </row>
    <row r="517" spans="3:5" ht="13">
      <c r="C517" s="53"/>
      <c r="E517" s="70"/>
    </row>
    <row r="518" spans="3:5" ht="13">
      <c r="C518" s="53"/>
      <c r="E518" s="70"/>
    </row>
    <row r="519" spans="3:5" ht="13">
      <c r="C519" s="53"/>
      <c r="E519" s="70"/>
    </row>
    <row r="520" spans="3:5" ht="13">
      <c r="C520" s="53"/>
      <c r="E520" s="70"/>
    </row>
    <row r="521" spans="3:5" ht="13">
      <c r="C521" s="53"/>
      <c r="E521" s="70"/>
    </row>
    <row r="522" spans="3:5" ht="13">
      <c r="C522" s="53"/>
      <c r="E522" s="70"/>
    </row>
    <row r="523" spans="3:5" ht="13">
      <c r="C523" s="53"/>
      <c r="E523" s="70"/>
    </row>
    <row r="524" spans="3:5" ht="13">
      <c r="C524" s="53"/>
      <c r="E524" s="70"/>
    </row>
    <row r="525" spans="3:5" ht="13">
      <c r="C525" s="53"/>
      <c r="E525" s="70"/>
    </row>
    <row r="526" spans="3:5" ht="13">
      <c r="C526" s="53"/>
      <c r="E526" s="70"/>
    </row>
    <row r="527" spans="3:5" ht="13">
      <c r="C527" s="53"/>
      <c r="E527" s="70"/>
    </row>
    <row r="528" spans="3:5" ht="13">
      <c r="C528" s="53"/>
      <c r="E528" s="70"/>
    </row>
    <row r="529" spans="3:5" ht="13">
      <c r="C529" s="53"/>
      <c r="E529" s="70"/>
    </row>
    <row r="530" spans="3:5" ht="13">
      <c r="C530" s="53"/>
      <c r="E530" s="70"/>
    </row>
    <row r="531" spans="3:5" ht="13">
      <c r="C531" s="53"/>
      <c r="E531" s="70"/>
    </row>
    <row r="532" spans="3:5" ht="13">
      <c r="C532" s="53"/>
      <c r="E532" s="70"/>
    </row>
    <row r="533" spans="3:5" ht="13">
      <c r="C533" s="53"/>
      <c r="E533" s="70"/>
    </row>
    <row r="534" spans="3:5" ht="13">
      <c r="C534" s="53"/>
      <c r="E534" s="70"/>
    </row>
    <row r="535" spans="3:5" ht="13">
      <c r="C535" s="53"/>
      <c r="E535" s="70"/>
    </row>
    <row r="536" spans="3:5" ht="13">
      <c r="C536" s="53"/>
      <c r="E536" s="70"/>
    </row>
    <row r="537" spans="3:5" ht="13">
      <c r="C537" s="53"/>
      <c r="E537" s="70"/>
    </row>
    <row r="538" spans="3:5" ht="13">
      <c r="C538" s="53"/>
      <c r="E538" s="70"/>
    </row>
    <row r="539" spans="3:5" ht="13">
      <c r="C539" s="53"/>
      <c r="E539" s="70"/>
    </row>
    <row r="540" spans="3:5" ht="13">
      <c r="C540" s="53"/>
      <c r="E540" s="70"/>
    </row>
    <row r="541" spans="3:5" ht="13">
      <c r="C541" s="53"/>
      <c r="E541" s="70"/>
    </row>
    <row r="542" spans="3:5" ht="13">
      <c r="C542" s="53"/>
      <c r="E542" s="70"/>
    </row>
    <row r="543" spans="3:5" ht="13">
      <c r="C543" s="53"/>
      <c r="E543" s="70"/>
    </row>
    <row r="544" spans="3:5" ht="13">
      <c r="C544" s="53"/>
      <c r="E544" s="70"/>
    </row>
    <row r="545" spans="3:5" ht="13">
      <c r="C545" s="53"/>
      <c r="E545" s="70"/>
    </row>
    <row r="546" spans="3:5" ht="13">
      <c r="C546" s="53"/>
      <c r="E546" s="70"/>
    </row>
    <row r="547" spans="3:5" ht="13">
      <c r="C547" s="53"/>
      <c r="E547" s="70"/>
    </row>
    <row r="548" spans="3:5" ht="13">
      <c r="C548" s="53"/>
      <c r="E548" s="70"/>
    </row>
    <row r="549" spans="3:5" ht="13">
      <c r="C549" s="53"/>
      <c r="E549" s="70"/>
    </row>
    <row r="550" spans="3:5" ht="13">
      <c r="C550" s="53"/>
      <c r="E550" s="70"/>
    </row>
    <row r="551" spans="3:5" ht="13">
      <c r="C551" s="53"/>
      <c r="E551" s="70"/>
    </row>
    <row r="552" spans="3:5" ht="13">
      <c r="C552" s="53"/>
      <c r="E552" s="70"/>
    </row>
    <row r="553" spans="3:5" ht="13">
      <c r="C553" s="53"/>
      <c r="E553" s="70"/>
    </row>
    <row r="554" spans="3:5" ht="13">
      <c r="C554" s="53"/>
      <c r="E554" s="70"/>
    </row>
    <row r="555" spans="3:5" ht="13">
      <c r="C555" s="53"/>
      <c r="E555" s="70"/>
    </row>
    <row r="556" spans="3:5" ht="13">
      <c r="C556" s="53"/>
      <c r="E556" s="70"/>
    </row>
    <row r="557" spans="3:5" ht="13">
      <c r="C557" s="53"/>
      <c r="E557" s="70"/>
    </row>
    <row r="558" spans="3:5" ht="13">
      <c r="C558" s="53"/>
      <c r="E558" s="70"/>
    </row>
    <row r="559" spans="3:5" ht="13">
      <c r="C559" s="53"/>
      <c r="E559" s="70"/>
    </row>
    <row r="560" spans="3:5" ht="13">
      <c r="C560" s="53"/>
      <c r="E560" s="70"/>
    </row>
    <row r="561" spans="3:5" ht="13">
      <c r="C561" s="53"/>
      <c r="E561" s="70"/>
    </row>
    <row r="562" spans="3:5" ht="13">
      <c r="C562" s="53"/>
      <c r="E562" s="70"/>
    </row>
    <row r="563" spans="3:5" ht="13">
      <c r="C563" s="53"/>
      <c r="E563" s="70"/>
    </row>
    <row r="564" spans="3:5" ht="13">
      <c r="C564" s="53"/>
      <c r="E564" s="70"/>
    </row>
    <row r="565" spans="3:5" ht="13">
      <c r="C565" s="53"/>
      <c r="E565" s="70"/>
    </row>
    <row r="566" spans="3:5" ht="13">
      <c r="C566" s="53"/>
      <c r="E566" s="70"/>
    </row>
    <row r="567" spans="3:5" ht="13">
      <c r="C567" s="53"/>
      <c r="E567" s="70"/>
    </row>
    <row r="568" spans="3:5" ht="13">
      <c r="C568" s="53"/>
      <c r="E568" s="70"/>
    </row>
    <row r="569" spans="3:5" ht="13">
      <c r="C569" s="53"/>
      <c r="E569" s="70"/>
    </row>
    <row r="570" spans="3:5" ht="13">
      <c r="C570" s="53"/>
      <c r="E570" s="70"/>
    </row>
    <row r="571" spans="3:5" ht="13">
      <c r="C571" s="53"/>
      <c r="E571" s="70"/>
    </row>
    <row r="572" spans="3:5" ht="13">
      <c r="C572" s="53"/>
      <c r="E572" s="70"/>
    </row>
    <row r="573" spans="3:5" ht="13">
      <c r="C573" s="53"/>
      <c r="E573" s="70"/>
    </row>
    <row r="574" spans="3:5" ht="13">
      <c r="C574" s="53"/>
      <c r="E574" s="70"/>
    </row>
    <row r="575" spans="3:5" ht="13">
      <c r="C575" s="53"/>
      <c r="E575" s="70"/>
    </row>
    <row r="576" spans="3:5" ht="13">
      <c r="C576" s="53"/>
      <c r="E576" s="70"/>
    </row>
    <row r="577" spans="3:5" ht="13">
      <c r="C577" s="53"/>
      <c r="E577" s="70"/>
    </row>
    <row r="578" spans="3:5" ht="13">
      <c r="C578" s="53"/>
      <c r="E578" s="70"/>
    </row>
    <row r="579" spans="3:5" ht="13">
      <c r="C579" s="53"/>
      <c r="E579" s="70"/>
    </row>
    <row r="580" spans="3:5" ht="13">
      <c r="C580" s="53"/>
      <c r="E580" s="70"/>
    </row>
    <row r="581" spans="3:5" ht="13">
      <c r="C581" s="53"/>
      <c r="E581" s="70"/>
    </row>
    <row r="582" spans="3:5" ht="13">
      <c r="C582" s="53"/>
      <c r="E582" s="70"/>
    </row>
    <row r="583" spans="3:5" ht="13">
      <c r="C583" s="53"/>
      <c r="E583" s="70"/>
    </row>
    <row r="584" spans="3:5" ht="13">
      <c r="C584" s="53"/>
      <c r="E584" s="70"/>
    </row>
    <row r="585" spans="3:5" ht="13">
      <c r="C585" s="53"/>
      <c r="E585" s="70"/>
    </row>
    <row r="586" spans="3:5" ht="13">
      <c r="C586" s="53"/>
      <c r="E586" s="70"/>
    </row>
    <row r="587" spans="3:5" ht="13">
      <c r="C587" s="53"/>
      <c r="E587" s="70"/>
    </row>
    <row r="588" spans="3:5" ht="13">
      <c r="C588" s="53"/>
      <c r="E588" s="70"/>
    </row>
    <row r="589" spans="3:5" ht="13">
      <c r="C589" s="53"/>
      <c r="E589" s="70"/>
    </row>
    <row r="590" spans="3:5" ht="13">
      <c r="C590" s="53"/>
      <c r="E590" s="70"/>
    </row>
    <row r="591" spans="3:5" ht="13">
      <c r="C591" s="53"/>
      <c r="E591" s="70"/>
    </row>
    <row r="592" spans="3:5" ht="13">
      <c r="C592" s="53"/>
      <c r="E592" s="70"/>
    </row>
    <row r="593" spans="3:5" ht="13">
      <c r="C593" s="53"/>
      <c r="E593" s="70"/>
    </row>
    <row r="594" spans="3:5" ht="13">
      <c r="C594" s="53"/>
      <c r="E594" s="70"/>
    </row>
    <row r="595" spans="3:5" ht="13">
      <c r="C595" s="53"/>
      <c r="E595" s="70"/>
    </row>
    <row r="596" spans="3:5" ht="13">
      <c r="C596" s="53"/>
      <c r="E596" s="70"/>
    </row>
    <row r="597" spans="3:5" ht="13">
      <c r="C597" s="53"/>
      <c r="E597" s="70"/>
    </row>
    <row r="598" spans="3:5" ht="13">
      <c r="C598" s="53"/>
      <c r="E598" s="70"/>
    </row>
    <row r="599" spans="3:5" ht="13">
      <c r="C599" s="53"/>
      <c r="E599" s="70"/>
    </row>
    <row r="600" spans="3:5" ht="13">
      <c r="C600" s="53"/>
      <c r="E600" s="70"/>
    </row>
    <row r="601" spans="3:5" ht="13">
      <c r="C601" s="53"/>
      <c r="E601" s="70"/>
    </row>
    <row r="602" spans="3:5" ht="13">
      <c r="C602" s="53"/>
      <c r="E602" s="70"/>
    </row>
    <row r="603" spans="3:5" ht="13">
      <c r="C603" s="53"/>
      <c r="E603" s="70"/>
    </row>
    <row r="604" spans="3:5" ht="13">
      <c r="C604" s="53"/>
      <c r="E604" s="70"/>
    </row>
    <row r="605" spans="3:5" ht="13">
      <c r="C605" s="53"/>
      <c r="E605" s="70"/>
    </row>
    <row r="606" spans="3:5" ht="13">
      <c r="C606" s="53"/>
      <c r="E606" s="70"/>
    </row>
    <row r="607" spans="3:5" ht="13">
      <c r="C607" s="53"/>
      <c r="E607" s="70"/>
    </row>
    <row r="608" spans="3:5" ht="13">
      <c r="C608" s="53"/>
      <c r="E608" s="70"/>
    </row>
    <row r="609" spans="3:5" ht="13">
      <c r="C609" s="53"/>
      <c r="E609" s="70"/>
    </row>
    <row r="610" spans="3:5" ht="13">
      <c r="C610" s="53"/>
      <c r="E610" s="70"/>
    </row>
    <row r="611" spans="3:5" ht="13">
      <c r="C611" s="53"/>
      <c r="E611" s="70"/>
    </row>
    <row r="612" spans="3:5" ht="13">
      <c r="C612" s="53"/>
      <c r="E612" s="70"/>
    </row>
    <row r="613" spans="3:5" ht="13">
      <c r="C613" s="53"/>
      <c r="E613" s="70"/>
    </row>
    <row r="614" spans="3:5" ht="13">
      <c r="C614" s="53"/>
      <c r="E614" s="70"/>
    </row>
    <row r="615" spans="3:5" ht="13">
      <c r="C615" s="53"/>
      <c r="E615" s="70"/>
    </row>
    <row r="616" spans="3:5" ht="13">
      <c r="C616" s="53"/>
      <c r="E616" s="70"/>
    </row>
    <row r="617" spans="3:5" ht="13">
      <c r="C617" s="53"/>
      <c r="E617" s="70"/>
    </row>
    <row r="618" spans="3:5" ht="13">
      <c r="C618" s="53"/>
      <c r="E618" s="70"/>
    </row>
    <row r="619" spans="3:5" ht="13">
      <c r="C619" s="53"/>
      <c r="E619" s="70"/>
    </row>
    <row r="620" spans="3:5" ht="13">
      <c r="C620" s="53"/>
      <c r="E620" s="70"/>
    </row>
    <row r="621" spans="3:5" ht="13">
      <c r="C621" s="53"/>
      <c r="E621" s="70"/>
    </row>
    <row r="622" spans="3:5" ht="13">
      <c r="C622" s="53"/>
      <c r="E622" s="70"/>
    </row>
    <row r="623" spans="3:5" ht="13">
      <c r="C623" s="53"/>
      <c r="E623" s="70"/>
    </row>
    <row r="624" spans="3:5" ht="13">
      <c r="C624" s="53"/>
      <c r="E624" s="70"/>
    </row>
    <row r="625" spans="3:5" ht="13">
      <c r="C625" s="53"/>
      <c r="E625" s="70"/>
    </row>
    <row r="626" spans="3:5" ht="13">
      <c r="C626" s="53"/>
      <c r="E626" s="70"/>
    </row>
    <row r="627" spans="3:5" ht="13">
      <c r="C627" s="53"/>
      <c r="E627" s="70"/>
    </row>
    <row r="628" spans="3:5" ht="13">
      <c r="C628" s="53"/>
      <c r="E628" s="70"/>
    </row>
    <row r="629" spans="3:5" ht="13">
      <c r="C629" s="53"/>
      <c r="E629" s="70"/>
    </row>
    <row r="630" spans="3:5" ht="13">
      <c r="C630" s="53"/>
      <c r="E630" s="70"/>
    </row>
    <row r="631" spans="3:5" ht="13">
      <c r="C631" s="53"/>
      <c r="E631" s="70"/>
    </row>
    <row r="632" spans="3:5" ht="13">
      <c r="C632" s="53"/>
      <c r="E632" s="70"/>
    </row>
    <row r="633" spans="3:5" ht="13">
      <c r="C633" s="53"/>
      <c r="E633" s="70"/>
    </row>
    <row r="634" spans="3:5" ht="13">
      <c r="C634" s="53"/>
      <c r="E634" s="70"/>
    </row>
    <row r="635" spans="3:5" ht="13">
      <c r="C635" s="53"/>
      <c r="E635" s="70"/>
    </row>
    <row r="636" spans="3:5" ht="13">
      <c r="C636" s="53"/>
      <c r="E636" s="70"/>
    </row>
    <row r="637" spans="3:5" ht="13">
      <c r="C637" s="53"/>
      <c r="E637" s="70"/>
    </row>
    <row r="638" spans="3:5" ht="13">
      <c r="C638" s="53"/>
      <c r="E638" s="70"/>
    </row>
    <row r="639" spans="3:5" ht="13">
      <c r="C639" s="53"/>
      <c r="E639" s="70"/>
    </row>
    <row r="640" spans="3:5" ht="13">
      <c r="C640" s="53"/>
      <c r="E640" s="70"/>
    </row>
    <row r="641" spans="3:5" ht="13">
      <c r="C641" s="53"/>
      <c r="E641" s="70"/>
    </row>
    <row r="642" spans="3:5" ht="13">
      <c r="C642" s="53"/>
      <c r="E642" s="70"/>
    </row>
    <row r="643" spans="3:5" ht="13">
      <c r="C643" s="53"/>
      <c r="E643" s="70"/>
    </row>
    <row r="644" spans="3:5" ht="13">
      <c r="C644" s="53"/>
      <c r="E644" s="70"/>
    </row>
    <row r="645" spans="3:5" ht="13">
      <c r="C645" s="53"/>
      <c r="E645" s="70"/>
    </row>
    <row r="646" spans="3:5" ht="13">
      <c r="C646" s="53"/>
      <c r="E646" s="70"/>
    </row>
    <row r="647" spans="3:5" ht="13">
      <c r="C647" s="53"/>
      <c r="E647" s="70"/>
    </row>
    <row r="648" spans="3:5" ht="13">
      <c r="C648" s="53"/>
      <c r="E648" s="70"/>
    </row>
    <row r="649" spans="3:5" ht="13">
      <c r="C649" s="53"/>
      <c r="E649" s="70"/>
    </row>
    <row r="650" spans="3:5" ht="13">
      <c r="C650" s="53"/>
      <c r="E650" s="70"/>
    </row>
    <row r="651" spans="3:5" ht="13">
      <c r="C651" s="53"/>
      <c r="E651" s="70"/>
    </row>
    <row r="652" spans="3:5" ht="13">
      <c r="C652" s="53"/>
      <c r="E652" s="70"/>
    </row>
    <row r="653" spans="3:5" ht="13">
      <c r="C653" s="53"/>
      <c r="E653" s="70"/>
    </row>
    <row r="654" spans="3:5" ht="13">
      <c r="C654" s="53"/>
      <c r="E654" s="70"/>
    </row>
    <row r="655" spans="3:5" ht="13">
      <c r="C655" s="53"/>
      <c r="E655" s="70"/>
    </row>
    <row r="656" spans="3:5" ht="13">
      <c r="C656" s="53"/>
      <c r="E656" s="70"/>
    </row>
    <row r="657" spans="3:5" ht="13">
      <c r="C657" s="53"/>
      <c r="E657" s="70"/>
    </row>
    <row r="658" spans="3:5" ht="13">
      <c r="C658" s="53"/>
      <c r="E658" s="70"/>
    </row>
    <row r="659" spans="3:5" ht="13">
      <c r="C659" s="53"/>
      <c r="E659" s="70"/>
    </row>
    <row r="660" spans="3:5" ht="13">
      <c r="C660" s="53"/>
      <c r="E660" s="70"/>
    </row>
    <row r="661" spans="3:5" ht="13">
      <c r="C661" s="53"/>
      <c r="E661" s="70"/>
    </row>
    <row r="662" spans="3:5" ht="13">
      <c r="C662" s="53"/>
      <c r="E662" s="70"/>
    </row>
    <row r="663" spans="3:5" ht="13">
      <c r="C663" s="53"/>
      <c r="E663" s="70"/>
    </row>
    <row r="664" spans="3:5" ht="13">
      <c r="C664" s="53"/>
      <c r="E664" s="70"/>
    </row>
    <row r="665" spans="3:5" ht="13">
      <c r="C665" s="53"/>
      <c r="E665" s="70"/>
    </row>
    <row r="666" spans="3:5" ht="13">
      <c r="C666" s="53"/>
      <c r="E666" s="70"/>
    </row>
    <row r="667" spans="3:5" ht="13">
      <c r="C667" s="53"/>
      <c r="E667" s="70"/>
    </row>
    <row r="668" spans="3:5" ht="13">
      <c r="C668" s="53"/>
      <c r="E668" s="70"/>
    </row>
    <row r="669" spans="3:5" ht="13">
      <c r="C669" s="53"/>
      <c r="E669" s="70"/>
    </row>
    <row r="670" spans="3:5" ht="13">
      <c r="C670" s="53"/>
      <c r="E670" s="70"/>
    </row>
    <row r="671" spans="3:5" ht="13">
      <c r="C671" s="53"/>
      <c r="E671" s="70"/>
    </row>
    <row r="672" spans="3:5" ht="13">
      <c r="C672" s="53"/>
      <c r="E672" s="70"/>
    </row>
    <row r="673" spans="3:5" ht="13">
      <c r="C673" s="53"/>
      <c r="E673" s="70"/>
    </row>
    <row r="674" spans="3:5" ht="13">
      <c r="C674" s="53"/>
      <c r="E674" s="70"/>
    </row>
    <row r="675" spans="3:5" ht="13">
      <c r="C675" s="53"/>
      <c r="E675" s="70"/>
    </row>
    <row r="676" spans="3:5" ht="13">
      <c r="C676" s="53"/>
      <c r="E676" s="70"/>
    </row>
    <row r="677" spans="3:5" ht="13">
      <c r="C677" s="53"/>
      <c r="E677" s="70"/>
    </row>
    <row r="678" spans="3:5" ht="13">
      <c r="C678" s="53"/>
      <c r="E678" s="70"/>
    </row>
    <row r="679" spans="3:5" ht="13">
      <c r="C679" s="53"/>
      <c r="E679" s="70"/>
    </row>
    <row r="680" spans="3:5" ht="13">
      <c r="C680" s="53"/>
      <c r="E680" s="70"/>
    </row>
    <row r="681" spans="3:5" ht="13">
      <c r="C681" s="53"/>
      <c r="E681" s="70"/>
    </row>
    <row r="682" spans="3:5" ht="13">
      <c r="C682" s="53"/>
      <c r="E682" s="70"/>
    </row>
    <row r="683" spans="3:5" ht="13">
      <c r="C683" s="53"/>
      <c r="E683" s="70"/>
    </row>
    <row r="684" spans="3:5" ht="13">
      <c r="C684" s="53"/>
      <c r="E684" s="70"/>
    </row>
    <row r="685" spans="3:5" ht="13">
      <c r="C685" s="53"/>
      <c r="E685" s="70"/>
    </row>
    <row r="686" spans="3:5" ht="13">
      <c r="C686" s="53"/>
      <c r="E686" s="70"/>
    </row>
    <row r="687" spans="3:5" ht="13">
      <c r="C687" s="53"/>
      <c r="E687" s="70"/>
    </row>
    <row r="688" spans="3:5" ht="13">
      <c r="C688" s="53"/>
      <c r="E688" s="70"/>
    </row>
    <row r="689" spans="3:5" ht="13">
      <c r="C689" s="53"/>
      <c r="E689" s="70"/>
    </row>
    <row r="690" spans="3:5" ht="13">
      <c r="C690" s="53"/>
      <c r="E690" s="70"/>
    </row>
    <row r="691" spans="3:5" ht="13">
      <c r="C691" s="53"/>
      <c r="E691" s="70"/>
    </row>
    <row r="692" spans="3:5" ht="13">
      <c r="C692" s="53"/>
      <c r="E692" s="70"/>
    </row>
    <row r="693" spans="3:5" ht="13">
      <c r="C693" s="53"/>
      <c r="E693" s="70"/>
    </row>
    <row r="694" spans="3:5" ht="13">
      <c r="C694" s="53"/>
      <c r="E694" s="70"/>
    </row>
    <row r="695" spans="3:5" ht="13">
      <c r="C695" s="53"/>
      <c r="E695" s="70"/>
    </row>
    <row r="696" spans="3:5" ht="13">
      <c r="C696" s="53"/>
      <c r="E696" s="70"/>
    </row>
    <row r="697" spans="3:5" ht="13">
      <c r="C697" s="53"/>
      <c r="E697" s="70"/>
    </row>
    <row r="698" spans="3:5" ht="13">
      <c r="C698" s="53"/>
      <c r="E698" s="70"/>
    </row>
    <row r="699" spans="3:5" ht="13">
      <c r="C699" s="53"/>
      <c r="E699" s="70"/>
    </row>
    <row r="700" spans="3:5" ht="13">
      <c r="C700" s="53"/>
      <c r="E700" s="70"/>
    </row>
    <row r="701" spans="3:5" ht="13">
      <c r="C701" s="53"/>
      <c r="E701" s="70"/>
    </row>
    <row r="702" spans="3:5" ht="13">
      <c r="C702" s="53"/>
      <c r="E702" s="70"/>
    </row>
    <row r="703" spans="3:5" ht="13">
      <c r="C703" s="53"/>
      <c r="E703" s="70"/>
    </row>
    <row r="704" spans="3:5" ht="13">
      <c r="C704" s="53"/>
      <c r="E704" s="70"/>
    </row>
    <row r="705" spans="3:5" ht="13">
      <c r="C705" s="53"/>
      <c r="E705" s="70"/>
    </row>
    <row r="706" spans="3:5" ht="13">
      <c r="C706" s="53"/>
      <c r="E706" s="70"/>
    </row>
    <row r="707" spans="3:5" ht="13">
      <c r="C707" s="53"/>
      <c r="E707" s="70"/>
    </row>
    <row r="708" spans="3:5" ht="13">
      <c r="C708" s="53"/>
      <c r="E708" s="70"/>
    </row>
    <row r="709" spans="3:5" ht="13">
      <c r="C709" s="53"/>
      <c r="E709" s="70"/>
    </row>
    <row r="710" spans="3:5" ht="13">
      <c r="C710" s="53"/>
      <c r="E710" s="70"/>
    </row>
    <row r="711" spans="3:5" ht="13">
      <c r="C711" s="53"/>
      <c r="E711" s="70"/>
    </row>
    <row r="712" spans="3:5" ht="13">
      <c r="C712" s="53"/>
      <c r="E712" s="70"/>
    </row>
    <row r="713" spans="3:5" ht="13">
      <c r="C713" s="53"/>
      <c r="E713" s="70"/>
    </row>
    <row r="714" spans="3:5" ht="13">
      <c r="C714" s="53"/>
      <c r="E714" s="70"/>
    </row>
    <row r="715" spans="3:5" ht="13">
      <c r="C715" s="53"/>
      <c r="E715" s="70"/>
    </row>
    <row r="716" spans="3:5" ht="13">
      <c r="C716" s="53"/>
      <c r="E716" s="70"/>
    </row>
    <row r="717" spans="3:5" ht="13">
      <c r="C717" s="53"/>
      <c r="E717" s="70"/>
    </row>
    <row r="718" spans="3:5" ht="13">
      <c r="C718" s="53"/>
      <c r="E718" s="70"/>
    </row>
    <row r="719" spans="3:5" ht="13">
      <c r="C719" s="53"/>
      <c r="E719" s="70"/>
    </row>
    <row r="720" spans="3:5" ht="13">
      <c r="C720" s="53"/>
      <c r="E720" s="70"/>
    </row>
    <row r="721" spans="3:5" ht="13">
      <c r="C721" s="53"/>
      <c r="E721" s="70"/>
    </row>
    <row r="722" spans="3:5" ht="13">
      <c r="C722" s="53"/>
      <c r="E722" s="70"/>
    </row>
    <row r="723" spans="3:5" ht="13">
      <c r="C723" s="53"/>
      <c r="E723" s="70"/>
    </row>
    <row r="724" spans="3:5" ht="13">
      <c r="C724" s="53"/>
      <c r="E724" s="70"/>
    </row>
    <row r="725" spans="3:5" ht="13">
      <c r="C725" s="53"/>
      <c r="E725" s="70"/>
    </row>
    <row r="726" spans="3:5" ht="13">
      <c r="C726" s="53"/>
      <c r="E726" s="70"/>
    </row>
    <row r="727" spans="3:5" ht="13">
      <c r="C727" s="53"/>
      <c r="E727" s="70"/>
    </row>
    <row r="728" spans="3:5" ht="13">
      <c r="C728" s="53"/>
      <c r="E728" s="70"/>
    </row>
    <row r="729" spans="3:5" ht="13">
      <c r="C729" s="53"/>
      <c r="E729" s="70"/>
    </row>
    <row r="730" spans="3:5" ht="13">
      <c r="C730" s="53"/>
      <c r="E730" s="70"/>
    </row>
    <row r="731" spans="3:5" ht="13">
      <c r="C731" s="53"/>
      <c r="E731" s="70"/>
    </row>
    <row r="732" spans="3:5" ht="13">
      <c r="C732" s="53"/>
      <c r="E732" s="70"/>
    </row>
    <row r="733" spans="3:5" ht="13">
      <c r="C733" s="53"/>
      <c r="E733" s="70"/>
    </row>
    <row r="734" spans="3:5" ht="13">
      <c r="C734" s="53"/>
      <c r="E734" s="70"/>
    </row>
    <row r="735" spans="3:5" ht="13">
      <c r="C735" s="53"/>
      <c r="E735" s="70"/>
    </row>
    <row r="736" spans="3:5" ht="13">
      <c r="C736" s="53"/>
      <c r="E736" s="70"/>
    </row>
    <row r="737" spans="3:5" ht="13">
      <c r="C737" s="53"/>
      <c r="E737" s="70"/>
    </row>
    <row r="738" spans="3:5" ht="13">
      <c r="C738" s="53"/>
      <c r="E738" s="70"/>
    </row>
    <row r="739" spans="3:5" ht="13">
      <c r="C739" s="53"/>
      <c r="E739" s="70"/>
    </row>
    <row r="740" spans="3:5" ht="13">
      <c r="C740" s="53"/>
      <c r="E740" s="70"/>
    </row>
    <row r="741" spans="3:5" ht="13">
      <c r="C741" s="53"/>
      <c r="E741" s="70"/>
    </row>
    <row r="742" spans="3:5" ht="13">
      <c r="C742" s="53"/>
      <c r="E742" s="70"/>
    </row>
    <row r="743" spans="3:5" ht="13">
      <c r="C743" s="53"/>
      <c r="E743" s="70"/>
    </row>
    <row r="744" spans="3:5" ht="13">
      <c r="C744" s="53"/>
      <c r="E744" s="70"/>
    </row>
    <row r="745" spans="3:5" ht="13">
      <c r="C745" s="53"/>
      <c r="E745" s="70"/>
    </row>
    <row r="746" spans="3:5" ht="13">
      <c r="C746" s="53"/>
      <c r="E746" s="70"/>
    </row>
    <row r="747" spans="3:5" ht="13">
      <c r="C747" s="53"/>
      <c r="E747" s="70"/>
    </row>
    <row r="748" spans="3:5" ht="13">
      <c r="C748" s="53"/>
      <c r="E748" s="70"/>
    </row>
    <row r="749" spans="3:5" ht="13">
      <c r="C749" s="53"/>
      <c r="E749" s="70"/>
    </row>
    <row r="750" spans="3:5" ht="13">
      <c r="C750" s="53"/>
      <c r="E750" s="70"/>
    </row>
    <row r="751" spans="3:5" ht="13">
      <c r="C751" s="53"/>
      <c r="E751" s="70"/>
    </row>
    <row r="752" spans="3:5" ht="13">
      <c r="C752" s="53"/>
      <c r="E752" s="70"/>
    </row>
    <row r="753" spans="3:5" ht="13">
      <c r="C753" s="53"/>
      <c r="E753" s="70"/>
    </row>
    <row r="754" spans="3:5" ht="13">
      <c r="C754" s="53"/>
      <c r="E754" s="70"/>
    </row>
    <row r="755" spans="3:5" ht="13">
      <c r="C755" s="53"/>
      <c r="E755" s="70"/>
    </row>
    <row r="756" spans="3:5" ht="13">
      <c r="C756" s="53"/>
      <c r="E756" s="70"/>
    </row>
    <row r="757" spans="3:5" ht="13">
      <c r="C757" s="53"/>
      <c r="E757" s="70"/>
    </row>
    <row r="758" spans="3:5" ht="13">
      <c r="C758" s="53"/>
      <c r="E758" s="70"/>
    </row>
    <row r="759" spans="3:5" ht="13">
      <c r="C759" s="53"/>
      <c r="E759" s="70"/>
    </row>
    <row r="760" spans="3:5" ht="13">
      <c r="C760" s="53"/>
      <c r="E760" s="70"/>
    </row>
    <row r="761" spans="3:5" ht="13">
      <c r="C761" s="53"/>
      <c r="E761" s="70"/>
    </row>
    <row r="762" spans="3:5" ht="13">
      <c r="C762" s="53"/>
      <c r="E762" s="70"/>
    </row>
    <row r="763" spans="3:5" ht="13">
      <c r="C763" s="53"/>
      <c r="E763" s="70"/>
    </row>
    <row r="764" spans="3:5" ht="13">
      <c r="C764" s="53"/>
      <c r="E764" s="70"/>
    </row>
    <row r="765" spans="3:5" ht="13">
      <c r="C765" s="53"/>
      <c r="E765" s="70"/>
    </row>
    <row r="766" spans="3:5" ht="13">
      <c r="C766" s="53"/>
      <c r="E766" s="70"/>
    </row>
    <row r="767" spans="3:5" ht="13">
      <c r="C767" s="53"/>
      <c r="E767" s="70"/>
    </row>
    <row r="768" spans="3:5" ht="13">
      <c r="C768" s="53"/>
      <c r="E768" s="70"/>
    </row>
    <row r="769" spans="3:5" ht="13">
      <c r="C769" s="53"/>
      <c r="E769" s="70"/>
    </row>
    <row r="770" spans="3:5" ht="13">
      <c r="C770" s="53"/>
      <c r="E770" s="70"/>
    </row>
    <row r="771" spans="3:5" ht="13">
      <c r="C771" s="53"/>
      <c r="E771" s="70"/>
    </row>
    <row r="772" spans="3:5" ht="13">
      <c r="C772" s="53"/>
      <c r="E772" s="70"/>
    </row>
    <row r="773" spans="3:5" ht="13">
      <c r="C773" s="53"/>
      <c r="E773" s="70"/>
    </row>
    <row r="774" spans="3:5" ht="13">
      <c r="C774" s="53"/>
      <c r="E774" s="70"/>
    </row>
    <row r="775" spans="3:5" ht="13">
      <c r="C775" s="53"/>
      <c r="E775" s="70"/>
    </row>
    <row r="776" spans="3:5" ht="13">
      <c r="C776" s="53"/>
      <c r="E776" s="70"/>
    </row>
    <row r="777" spans="3:5" ht="13">
      <c r="C777" s="53"/>
      <c r="E777" s="70"/>
    </row>
    <row r="778" spans="3:5" ht="13">
      <c r="C778" s="53"/>
      <c r="E778" s="70"/>
    </row>
    <row r="779" spans="3:5" ht="13">
      <c r="C779" s="53"/>
      <c r="E779" s="70"/>
    </row>
    <row r="780" spans="3:5" ht="13">
      <c r="C780" s="53"/>
      <c r="E780" s="70"/>
    </row>
    <row r="781" spans="3:5" ht="13">
      <c r="C781" s="53"/>
      <c r="E781" s="70"/>
    </row>
    <row r="782" spans="3:5" ht="13">
      <c r="C782" s="53"/>
      <c r="E782" s="70"/>
    </row>
    <row r="783" spans="3:5" ht="13">
      <c r="C783" s="53"/>
      <c r="E783" s="70"/>
    </row>
    <row r="784" spans="3:5" ht="13">
      <c r="C784" s="53"/>
      <c r="E784" s="70"/>
    </row>
    <row r="785" spans="3:5" ht="13">
      <c r="C785" s="53"/>
      <c r="E785" s="70"/>
    </row>
    <row r="786" spans="3:5" ht="13">
      <c r="C786" s="53"/>
      <c r="E786" s="70"/>
    </row>
    <row r="787" spans="3:5" ht="13">
      <c r="C787" s="53"/>
      <c r="E787" s="70"/>
    </row>
    <row r="788" spans="3:5" ht="13">
      <c r="C788" s="53"/>
      <c r="E788" s="70"/>
    </row>
    <row r="789" spans="3:5" ht="13">
      <c r="C789" s="53"/>
      <c r="E789" s="70"/>
    </row>
    <row r="790" spans="3:5" ht="13">
      <c r="C790" s="53"/>
      <c r="E790" s="70"/>
    </row>
    <row r="791" spans="3:5" ht="13">
      <c r="C791" s="53"/>
      <c r="E791" s="70"/>
    </row>
    <row r="792" spans="3:5" ht="13">
      <c r="C792" s="53"/>
      <c r="E792" s="70"/>
    </row>
    <row r="793" spans="3:5" ht="13">
      <c r="C793" s="53"/>
      <c r="E793" s="70"/>
    </row>
    <row r="794" spans="3:5" ht="13">
      <c r="C794" s="53"/>
      <c r="E794" s="70"/>
    </row>
    <row r="795" spans="3:5" ht="13">
      <c r="C795" s="53"/>
      <c r="E795" s="70"/>
    </row>
    <row r="796" spans="3:5" ht="13">
      <c r="C796" s="53"/>
      <c r="E796" s="70"/>
    </row>
    <row r="797" spans="3:5" ht="13">
      <c r="C797" s="53"/>
      <c r="E797" s="70"/>
    </row>
    <row r="798" spans="3:5" ht="13">
      <c r="C798" s="53"/>
      <c r="E798" s="70"/>
    </row>
    <row r="799" spans="3:5" ht="13">
      <c r="C799" s="53"/>
      <c r="E799" s="70"/>
    </row>
    <row r="800" spans="3:5" ht="13">
      <c r="C800" s="53"/>
      <c r="E800" s="70"/>
    </row>
    <row r="801" spans="3:5" ht="13">
      <c r="C801" s="53"/>
      <c r="E801" s="70"/>
    </row>
    <row r="802" spans="3:5" ht="13">
      <c r="C802" s="53"/>
      <c r="E802" s="70"/>
    </row>
    <row r="803" spans="3:5" ht="13">
      <c r="C803" s="53"/>
      <c r="E803" s="70"/>
    </row>
    <row r="804" spans="3:5" ht="13">
      <c r="C804" s="53"/>
      <c r="E804" s="70"/>
    </row>
    <row r="805" spans="3:5" ht="13">
      <c r="C805" s="53"/>
      <c r="E805" s="70"/>
    </row>
    <row r="806" spans="3:5" ht="13">
      <c r="C806" s="53"/>
      <c r="E806" s="70"/>
    </row>
    <row r="807" spans="3:5" ht="13">
      <c r="C807" s="53"/>
      <c r="E807" s="70"/>
    </row>
    <row r="808" spans="3:5" ht="13">
      <c r="C808" s="53"/>
      <c r="E808" s="70"/>
    </row>
    <row r="809" spans="3:5" ht="13">
      <c r="C809" s="53"/>
      <c r="E809" s="70"/>
    </row>
    <row r="810" spans="3:5" ht="13">
      <c r="C810" s="53"/>
      <c r="E810" s="70"/>
    </row>
    <row r="811" spans="3:5" ht="13">
      <c r="C811" s="53"/>
      <c r="E811" s="70"/>
    </row>
    <row r="812" spans="3:5" ht="13">
      <c r="C812" s="53"/>
      <c r="E812" s="70"/>
    </row>
    <row r="813" spans="3:5" ht="13">
      <c r="C813" s="53"/>
      <c r="E813" s="70"/>
    </row>
    <row r="814" spans="3:5" ht="13">
      <c r="C814" s="53"/>
      <c r="E814" s="70"/>
    </row>
    <row r="815" spans="3:5" ht="13">
      <c r="C815" s="53"/>
      <c r="E815" s="70"/>
    </row>
    <row r="816" spans="3:5" ht="13">
      <c r="C816" s="53"/>
      <c r="E816" s="70"/>
    </row>
    <row r="817" spans="3:5" ht="13">
      <c r="C817" s="53"/>
      <c r="E817" s="70"/>
    </row>
    <row r="818" spans="3:5" ht="13">
      <c r="C818" s="53"/>
      <c r="E818" s="70"/>
    </row>
    <row r="819" spans="3:5" ht="13">
      <c r="C819" s="53"/>
      <c r="E819" s="70"/>
    </row>
    <row r="820" spans="3:5" ht="13">
      <c r="C820" s="53"/>
      <c r="E820" s="70"/>
    </row>
    <row r="821" spans="3:5" ht="13">
      <c r="C821" s="53"/>
      <c r="E821" s="70"/>
    </row>
    <row r="822" spans="3:5" ht="13">
      <c r="C822" s="53"/>
      <c r="E822" s="70"/>
    </row>
    <row r="823" spans="3:5" ht="13">
      <c r="C823" s="53"/>
      <c r="E823" s="70"/>
    </row>
    <row r="824" spans="3:5" ht="13">
      <c r="C824" s="53"/>
      <c r="E824" s="70"/>
    </row>
    <row r="825" spans="3:5" ht="13">
      <c r="C825" s="53"/>
      <c r="E825" s="70"/>
    </row>
    <row r="826" spans="3:5" ht="13">
      <c r="C826" s="53"/>
      <c r="E826" s="70"/>
    </row>
    <row r="827" spans="3:5" ht="13">
      <c r="C827" s="53"/>
      <c r="E827" s="70"/>
    </row>
    <row r="828" spans="3:5" ht="13">
      <c r="C828" s="53"/>
      <c r="E828" s="70"/>
    </row>
    <row r="829" spans="3:5" ht="13">
      <c r="C829" s="53"/>
      <c r="E829" s="70"/>
    </row>
    <row r="830" spans="3:5" ht="13">
      <c r="C830" s="53"/>
      <c r="E830" s="70"/>
    </row>
    <row r="831" spans="3:5" ht="13">
      <c r="C831" s="53"/>
      <c r="E831" s="70"/>
    </row>
    <row r="832" spans="3:5" ht="13">
      <c r="C832" s="53"/>
      <c r="E832" s="70"/>
    </row>
    <row r="833" spans="3:5" ht="13">
      <c r="C833" s="53"/>
      <c r="E833" s="70"/>
    </row>
    <row r="834" spans="3:5" ht="13">
      <c r="C834" s="53"/>
      <c r="E834" s="70"/>
    </row>
    <row r="835" spans="3:5" ht="13">
      <c r="C835" s="53"/>
      <c r="E835" s="70"/>
    </row>
    <row r="836" spans="3:5" ht="13">
      <c r="C836" s="53"/>
      <c r="E836" s="70"/>
    </row>
    <row r="837" spans="3:5" ht="13">
      <c r="C837" s="53"/>
      <c r="E837" s="70"/>
    </row>
    <row r="838" spans="3:5" ht="13">
      <c r="C838" s="53"/>
      <c r="E838" s="70"/>
    </row>
    <row r="839" spans="3:5" ht="13">
      <c r="C839" s="53"/>
      <c r="E839" s="70"/>
    </row>
    <row r="840" spans="3:5" ht="13">
      <c r="C840" s="53"/>
      <c r="E840" s="70"/>
    </row>
    <row r="841" spans="3:5" ht="13">
      <c r="C841" s="53"/>
      <c r="E841" s="70"/>
    </row>
    <row r="842" spans="3:5" ht="13">
      <c r="C842" s="53"/>
      <c r="E842" s="70"/>
    </row>
    <row r="843" spans="3:5" ht="13">
      <c r="C843" s="53"/>
      <c r="E843" s="70"/>
    </row>
    <row r="844" spans="3:5" ht="13">
      <c r="C844" s="53"/>
      <c r="E844" s="70"/>
    </row>
    <row r="845" spans="3:5" ht="13">
      <c r="C845" s="53"/>
      <c r="E845" s="70"/>
    </row>
    <row r="846" spans="3:5" ht="13">
      <c r="C846" s="53"/>
      <c r="E846" s="70"/>
    </row>
    <row r="847" spans="3:5" ht="13">
      <c r="C847" s="53"/>
      <c r="E847" s="70"/>
    </row>
    <row r="848" spans="3:5" ht="13">
      <c r="C848" s="53"/>
      <c r="E848" s="70"/>
    </row>
    <row r="849" spans="3:5" ht="13">
      <c r="C849" s="53"/>
      <c r="E849" s="70"/>
    </row>
    <row r="850" spans="3:5" ht="13">
      <c r="C850" s="53"/>
      <c r="E850" s="70"/>
    </row>
    <row r="851" spans="3:5" ht="13">
      <c r="C851" s="53"/>
      <c r="E851" s="70"/>
    </row>
    <row r="852" spans="3:5" ht="13">
      <c r="C852" s="53"/>
      <c r="E852" s="70"/>
    </row>
    <row r="853" spans="3:5" ht="13">
      <c r="C853" s="53"/>
      <c r="E853" s="70"/>
    </row>
    <row r="854" spans="3:5" ht="13">
      <c r="C854" s="53"/>
      <c r="E854" s="70"/>
    </row>
    <row r="855" spans="3:5" ht="13">
      <c r="C855" s="53"/>
      <c r="E855" s="70"/>
    </row>
    <row r="856" spans="3:5" ht="13">
      <c r="C856" s="53"/>
      <c r="E856" s="70"/>
    </row>
    <row r="857" spans="3:5" ht="13">
      <c r="C857" s="53"/>
      <c r="E857" s="70"/>
    </row>
    <row r="858" spans="3:5" ht="13">
      <c r="C858" s="53"/>
      <c r="E858" s="70"/>
    </row>
    <row r="859" spans="3:5" ht="13">
      <c r="C859" s="53"/>
      <c r="E859" s="70"/>
    </row>
    <row r="860" spans="3:5" ht="13">
      <c r="C860" s="53"/>
      <c r="E860" s="70"/>
    </row>
    <row r="861" spans="3:5" ht="13">
      <c r="C861" s="53"/>
      <c r="E861" s="70"/>
    </row>
    <row r="862" spans="3:5" ht="13">
      <c r="C862" s="53"/>
      <c r="E862" s="70"/>
    </row>
    <row r="863" spans="3:5" ht="13">
      <c r="C863" s="53"/>
      <c r="E863" s="70"/>
    </row>
    <row r="864" spans="3:5" ht="13">
      <c r="C864" s="53"/>
      <c r="E864" s="70"/>
    </row>
    <row r="865" spans="3:5" ht="13">
      <c r="C865" s="53"/>
      <c r="E865" s="70"/>
    </row>
    <row r="866" spans="3:5" ht="13">
      <c r="C866" s="53"/>
      <c r="E866" s="70"/>
    </row>
    <row r="867" spans="3:5" ht="13">
      <c r="C867" s="53"/>
      <c r="E867" s="70"/>
    </row>
    <row r="868" spans="3:5" ht="13">
      <c r="C868" s="53"/>
      <c r="E868" s="70"/>
    </row>
    <row r="869" spans="3:5" ht="13">
      <c r="C869" s="53"/>
      <c r="E869" s="70"/>
    </row>
    <row r="870" spans="3:5" ht="13">
      <c r="C870" s="53"/>
      <c r="E870" s="70"/>
    </row>
    <row r="871" spans="3:5" ht="13">
      <c r="C871" s="53"/>
      <c r="E871" s="70"/>
    </row>
    <row r="872" spans="3:5" ht="13">
      <c r="C872" s="53"/>
      <c r="E872" s="70"/>
    </row>
    <row r="873" spans="3:5" ht="13">
      <c r="C873" s="53"/>
      <c r="E873" s="70"/>
    </row>
    <row r="874" spans="3:5" ht="13">
      <c r="C874" s="53"/>
      <c r="E874" s="70"/>
    </row>
    <row r="875" spans="3:5" ht="13">
      <c r="C875" s="53"/>
      <c r="E875" s="70"/>
    </row>
    <row r="876" spans="3:5" ht="13">
      <c r="C876" s="53"/>
      <c r="E876" s="70"/>
    </row>
    <row r="877" spans="3:5" ht="13">
      <c r="C877" s="53"/>
      <c r="E877" s="70"/>
    </row>
    <row r="878" spans="3:5" ht="13">
      <c r="C878" s="53"/>
      <c r="E878" s="70"/>
    </row>
    <row r="879" spans="3:5" ht="13">
      <c r="C879" s="53"/>
      <c r="E879" s="70"/>
    </row>
    <row r="880" spans="3:5" ht="13">
      <c r="C880" s="53"/>
      <c r="E880" s="70"/>
    </row>
    <row r="881" spans="3:5" ht="13">
      <c r="C881" s="53"/>
      <c r="E881" s="70"/>
    </row>
    <row r="882" spans="3:5" ht="13">
      <c r="C882" s="53"/>
      <c r="E882" s="70"/>
    </row>
    <row r="883" spans="3:5" ht="13">
      <c r="C883" s="53"/>
      <c r="E883" s="70"/>
    </row>
    <row r="884" spans="3:5" ht="13">
      <c r="C884" s="53"/>
      <c r="E884" s="70"/>
    </row>
    <row r="885" spans="3:5" ht="13">
      <c r="C885" s="53"/>
      <c r="E885" s="70"/>
    </row>
    <row r="886" spans="3:5" ht="13">
      <c r="C886" s="53"/>
      <c r="E886" s="70"/>
    </row>
    <row r="887" spans="3:5" ht="13">
      <c r="C887" s="53"/>
      <c r="E887" s="70"/>
    </row>
    <row r="888" spans="3:5" ht="13">
      <c r="C888" s="53"/>
      <c r="E888" s="70"/>
    </row>
    <row r="889" spans="3:5" ht="13">
      <c r="C889" s="53"/>
      <c r="E889" s="70"/>
    </row>
    <row r="890" spans="3:5" ht="13">
      <c r="C890" s="53"/>
      <c r="E890" s="70"/>
    </row>
    <row r="891" spans="3:5" ht="13">
      <c r="C891" s="53"/>
      <c r="E891" s="70"/>
    </row>
    <row r="892" spans="3:5" ht="13">
      <c r="C892" s="53"/>
      <c r="E892" s="70"/>
    </row>
    <row r="893" spans="3:5" ht="13">
      <c r="C893" s="53"/>
      <c r="E893" s="70"/>
    </row>
    <row r="894" spans="3:5" ht="13">
      <c r="C894" s="53"/>
      <c r="E894" s="70"/>
    </row>
    <row r="895" spans="3:5" ht="13">
      <c r="C895" s="53"/>
      <c r="E895" s="70"/>
    </row>
    <row r="896" spans="3:5" ht="13">
      <c r="C896" s="53"/>
      <c r="E896" s="70"/>
    </row>
    <row r="897" spans="3:5" ht="13">
      <c r="C897" s="53"/>
      <c r="E897" s="70"/>
    </row>
    <row r="898" spans="3:5" ht="13">
      <c r="C898" s="53"/>
      <c r="E898" s="70"/>
    </row>
    <row r="899" spans="3:5" ht="13">
      <c r="C899" s="53"/>
      <c r="E899" s="70"/>
    </row>
    <row r="900" spans="3:5" ht="13">
      <c r="C900" s="53"/>
      <c r="E900" s="70"/>
    </row>
    <row r="901" spans="3:5" ht="13">
      <c r="C901" s="53"/>
      <c r="E901" s="70"/>
    </row>
    <row r="902" spans="3:5" ht="13">
      <c r="C902" s="53"/>
      <c r="E902" s="70"/>
    </row>
    <row r="903" spans="3:5" ht="13">
      <c r="C903" s="53"/>
      <c r="E903" s="70"/>
    </row>
    <row r="904" spans="3:5" ht="13">
      <c r="C904" s="53"/>
      <c r="E904" s="70"/>
    </row>
    <row r="905" spans="3:5" ht="13">
      <c r="C905" s="53"/>
      <c r="E905" s="70"/>
    </row>
    <row r="906" spans="3:5" ht="13">
      <c r="C906" s="53"/>
      <c r="E906" s="70"/>
    </row>
    <row r="907" spans="3:5" ht="13">
      <c r="C907" s="53"/>
      <c r="E907" s="70"/>
    </row>
    <row r="908" spans="3:5" ht="13">
      <c r="C908" s="53"/>
      <c r="E908" s="70"/>
    </row>
    <row r="909" spans="3:5" ht="13">
      <c r="C909" s="53"/>
      <c r="E909" s="70"/>
    </row>
    <row r="910" spans="3:5" ht="13">
      <c r="C910" s="53"/>
      <c r="E910" s="70"/>
    </row>
    <row r="911" spans="3:5" ht="13">
      <c r="C911" s="53"/>
      <c r="E911" s="70"/>
    </row>
    <row r="912" spans="3:5" ht="13">
      <c r="C912" s="53"/>
      <c r="E912" s="70"/>
    </row>
    <row r="913" spans="3:5" ht="13">
      <c r="C913" s="53"/>
      <c r="E913" s="70"/>
    </row>
    <row r="914" spans="3:5" ht="13">
      <c r="C914" s="53"/>
      <c r="E914" s="70"/>
    </row>
    <row r="915" spans="3:5" ht="13">
      <c r="C915" s="53"/>
      <c r="E915" s="70"/>
    </row>
    <row r="916" spans="3:5" ht="13">
      <c r="C916" s="53"/>
      <c r="E916" s="70"/>
    </row>
    <row r="917" spans="3:5" ht="13">
      <c r="C917" s="53"/>
      <c r="E917" s="70"/>
    </row>
    <row r="918" spans="3:5" ht="13">
      <c r="C918" s="53"/>
      <c r="E918" s="70"/>
    </row>
    <row r="919" spans="3:5" ht="13">
      <c r="C919" s="53"/>
      <c r="E919" s="70"/>
    </row>
    <row r="920" spans="3:5" ht="13">
      <c r="C920" s="53"/>
      <c r="E920" s="70"/>
    </row>
    <row r="921" spans="3:5" ht="13">
      <c r="C921" s="53"/>
      <c r="E921" s="70"/>
    </row>
    <row r="922" spans="3:5" ht="13">
      <c r="C922" s="53"/>
      <c r="E922" s="70"/>
    </row>
    <row r="923" spans="3:5" ht="13">
      <c r="C923" s="53"/>
      <c r="E923" s="70"/>
    </row>
    <row r="924" spans="3:5" ht="13">
      <c r="C924" s="53"/>
      <c r="E924" s="70"/>
    </row>
    <row r="925" spans="3:5" ht="13">
      <c r="C925" s="53"/>
      <c r="E925" s="70"/>
    </row>
    <row r="926" spans="3:5" ht="13">
      <c r="C926" s="53"/>
      <c r="E926" s="70"/>
    </row>
    <row r="927" spans="3:5" ht="13">
      <c r="C927" s="53"/>
      <c r="E927" s="70"/>
    </row>
    <row r="928" spans="3:5" ht="13">
      <c r="C928" s="53"/>
      <c r="E928" s="70"/>
    </row>
    <row r="929" spans="3:5" ht="13">
      <c r="C929" s="53"/>
      <c r="E929" s="70"/>
    </row>
    <row r="930" spans="3:5" ht="13">
      <c r="C930" s="53"/>
      <c r="E930" s="70"/>
    </row>
    <row r="931" spans="3:5" ht="13">
      <c r="C931" s="53"/>
      <c r="E931" s="70"/>
    </row>
    <row r="932" spans="3:5" ht="13">
      <c r="C932" s="53"/>
      <c r="E932" s="70"/>
    </row>
    <row r="933" spans="3:5" ht="13">
      <c r="C933" s="53"/>
      <c r="E933" s="70"/>
    </row>
    <row r="934" spans="3:5" ht="13">
      <c r="C934" s="53"/>
      <c r="E934" s="70"/>
    </row>
    <row r="935" spans="3:5" ht="13">
      <c r="C935" s="53"/>
      <c r="E935" s="70"/>
    </row>
    <row r="936" spans="3:5" ht="13">
      <c r="C936" s="53"/>
      <c r="E936" s="70"/>
    </row>
    <row r="937" spans="3:5" ht="13">
      <c r="C937" s="53"/>
      <c r="E937" s="70"/>
    </row>
    <row r="938" spans="3:5" ht="13">
      <c r="C938" s="53"/>
      <c r="E938" s="70"/>
    </row>
    <row r="939" spans="3:5" ht="13">
      <c r="C939" s="53"/>
      <c r="E939" s="70"/>
    </row>
    <row r="940" spans="3:5" ht="13">
      <c r="C940" s="53"/>
      <c r="E940" s="70"/>
    </row>
    <row r="941" spans="3:5" ht="13">
      <c r="C941" s="53"/>
      <c r="E941" s="70"/>
    </row>
    <row r="942" spans="3:5" ht="13">
      <c r="C942" s="53"/>
      <c r="E942" s="70"/>
    </row>
    <row r="943" spans="3:5" ht="13">
      <c r="C943" s="53"/>
      <c r="E943" s="70"/>
    </row>
    <row r="944" spans="3:5" ht="13">
      <c r="C944" s="53"/>
      <c r="E944" s="70"/>
    </row>
    <row r="945" spans="3:5" ht="13">
      <c r="C945" s="53"/>
      <c r="E945" s="70"/>
    </row>
    <row r="946" spans="3:5" ht="13">
      <c r="C946" s="53"/>
      <c r="E946" s="70"/>
    </row>
    <row r="947" spans="3:5" ht="13">
      <c r="C947" s="53"/>
      <c r="E947" s="70"/>
    </row>
    <row r="948" spans="3:5" ht="13">
      <c r="C948" s="53"/>
      <c r="E948" s="70"/>
    </row>
    <row r="949" spans="3:5" ht="13">
      <c r="C949" s="53"/>
      <c r="E949" s="70"/>
    </row>
    <row r="950" spans="3:5" ht="13">
      <c r="C950" s="53"/>
      <c r="E950" s="70"/>
    </row>
    <row r="951" spans="3:5" ht="13">
      <c r="C951" s="53"/>
      <c r="E951" s="70"/>
    </row>
    <row r="952" spans="3:5" ht="13">
      <c r="C952" s="53"/>
      <c r="E952" s="70"/>
    </row>
    <row r="953" spans="3:5" ht="13">
      <c r="C953" s="53"/>
      <c r="E953" s="70"/>
    </row>
    <row r="954" spans="3:5" ht="13">
      <c r="C954" s="53"/>
      <c r="E954" s="70"/>
    </row>
    <row r="955" spans="3:5" ht="13">
      <c r="C955" s="53"/>
      <c r="E955" s="70"/>
    </row>
    <row r="956" spans="3:5" ht="13">
      <c r="C956" s="53"/>
      <c r="E956" s="70"/>
    </row>
    <row r="957" spans="3:5" ht="13">
      <c r="C957" s="53"/>
      <c r="E957" s="70"/>
    </row>
    <row r="958" spans="3:5" ht="13">
      <c r="C958" s="53"/>
      <c r="E958" s="70"/>
    </row>
    <row r="959" spans="3:5" ht="13">
      <c r="C959" s="53"/>
      <c r="E959" s="70"/>
    </row>
    <row r="960" spans="3:5" ht="13">
      <c r="C960" s="53"/>
      <c r="E960" s="70"/>
    </row>
    <row r="961" spans="3:5" ht="13">
      <c r="C961" s="53"/>
      <c r="E961" s="70"/>
    </row>
    <row r="962" spans="3:5" ht="13">
      <c r="C962" s="53"/>
      <c r="E962" s="70"/>
    </row>
    <row r="963" spans="3:5" ht="13">
      <c r="C963" s="53"/>
      <c r="E963" s="70"/>
    </row>
    <row r="964" spans="3:5" ht="13">
      <c r="C964" s="53"/>
      <c r="E964" s="70"/>
    </row>
    <row r="965" spans="3:5" ht="13">
      <c r="C965" s="53"/>
      <c r="E965" s="70"/>
    </row>
    <row r="966" spans="3:5" ht="13">
      <c r="C966" s="53"/>
      <c r="E966" s="70"/>
    </row>
    <row r="967" spans="3:5" ht="13">
      <c r="C967" s="53"/>
      <c r="E967" s="70"/>
    </row>
    <row r="968" spans="3:5" ht="13">
      <c r="C968" s="53"/>
      <c r="E968" s="70"/>
    </row>
    <row r="969" spans="3:5" ht="13">
      <c r="C969" s="53"/>
      <c r="E969" s="70"/>
    </row>
    <row r="970" spans="3:5" ht="13">
      <c r="C970" s="53"/>
      <c r="E970" s="70"/>
    </row>
    <row r="971" spans="3:5" ht="13">
      <c r="C971" s="53"/>
      <c r="E971" s="70"/>
    </row>
    <row r="972" spans="3:5" ht="13">
      <c r="C972" s="53"/>
      <c r="E972" s="70"/>
    </row>
    <row r="973" spans="3:5" ht="13">
      <c r="C973" s="53"/>
      <c r="E973" s="70"/>
    </row>
    <row r="974" spans="3:5" ht="13">
      <c r="C974" s="53"/>
      <c r="E974" s="70"/>
    </row>
    <row r="975" spans="3:5" ht="13">
      <c r="C975" s="53"/>
      <c r="E975" s="70"/>
    </row>
    <row r="976" spans="3:5" ht="13">
      <c r="C976" s="53"/>
      <c r="E976" s="70"/>
    </row>
    <row r="977" spans="3:5" ht="13">
      <c r="C977" s="53"/>
      <c r="E977" s="70"/>
    </row>
    <row r="978" spans="3:5" ht="13">
      <c r="C978" s="53"/>
      <c r="E978" s="70"/>
    </row>
    <row r="979" spans="3:5" ht="13">
      <c r="C979" s="53"/>
      <c r="E979" s="70"/>
    </row>
    <row r="980" spans="3:5" ht="13">
      <c r="C980" s="53"/>
      <c r="E980" s="70"/>
    </row>
    <row r="981" spans="3:5" ht="13">
      <c r="C981" s="53"/>
      <c r="E981" s="70"/>
    </row>
    <row r="982" spans="3:5" ht="13">
      <c r="C982" s="53"/>
      <c r="E982" s="70"/>
    </row>
    <row r="983" spans="3:5" ht="13">
      <c r="C983" s="53"/>
      <c r="E983" s="70"/>
    </row>
    <row r="984" spans="3:5" ht="13">
      <c r="C984" s="53"/>
      <c r="E984" s="70"/>
    </row>
    <row r="985" spans="3:5" ht="13">
      <c r="C985" s="53"/>
      <c r="E985" s="70"/>
    </row>
    <row r="986" spans="3:5" ht="13">
      <c r="C986" s="53"/>
      <c r="E986" s="70"/>
    </row>
    <row r="987" spans="3:5" ht="13">
      <c r="C987" s="53"/>
      <c r="E987" s="70"/>
    </row>
    <row r="988" spans="3:5" ht="13">
      <c r="C988" s="53"/>
      <c r="E988" s="70"/>
    </row>
    <row r="989" spans="3:5" ht="13">
      <c r="C989" s="53"/>
      <c r="E989" s="70"/>
    </row>
    <row r="990" spans="3:5" ht="13">
      <c r="C990" s="53"/>
      <c r="E990" s="70"/>
    </row>
    <row r="991" spans="3:5" ht="13">
      <c r="C991" s="53"/>
      <c r="E991" s="70"/>
    </row>
    <row r="992" spans="3:5" ht="13">
      <c r="C992" s="53"/>
      <c r="E992" s="70"/>
    </row>
    <row r="993" spans="3:5" ht="13">
      <c r="C993" s="53"/>
      <c r="E993" s="70"/>
    </row>
    <row r="994" spans="3:5" ht="13">
      <c r="C994" s="53"/>
      <c r="E994" s="70"/>
    </row>
    <row r="995" spans="3:5" ht="13">
      <c r="C995" s="53"/>
      <c r="E995" s="70"/>
    </row>
    <row r="996" spans="3:5" ht="13">
      <c r="C996" s="53"/>
      <c r="E996" s="70"/>
    </row>
    <row r="997" spans="3:5" ht="13">
      <c r="C997" s="53"/>
      <c r="E997" s="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Lookups!$A$1:$A$9</xm:f>
          </x14:formula1>
          <xm:sqref>B2:B147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998"/>
  <sheetViews>
    <sheetView workbookViewId="0"/>
  </sheetViews>
  <sheetFormatPr baseColWidth="10" defaultColWidth="12.6640625" defaultRowHeight="15.75" customHeight="1"/>
  <cols>
    <col min="1" max="1" width="9.83203125" customWidth="1"/>
    <col min="2" max="2" width="14.6640625" customWidth="1"/>
    <col min="3" max="3" width="22.5" hidden="1" customWidth="1"/>
    <col min="4" max="4" width="14.83203125" customWidth="1"/>
    <col min="5" max="5" width="13.6640625" customWidth="1"/>
    <col min="6" max="6" width="31.6640625" customWidth="1"/>
    <col min="7" max="7" width="8.1640625" customWidth="1"/>
  </cols>
  <sheetData>
    <row r="1" spans="1:26">
      <c r="A1" s="1" t="s">
        <v>0</v>
      </c>
      <c r="B1" s="1" t="s">
        <v>1</v>
      </c>
      <c r="C1" s="57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1065</v>
      </c>
      <c r="C2" s="60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1313</v>
      </c>
      <c r="B3" s="11" t="s">
        <v>1314</v>
      </c>
      <c r="C3" s="11" t="s">
        <v>1315</v>
      </c>
      <c r="D3" s="8">
        <f ca="1">IFERROR(__xludf.DUMMYFUNCTION("SPLIT(C3,"","")"),56.328661)</f>
        <v>56.328660999999997</v>
      </c>
      <c r="E3" s="9">
        <f ca="1">IFERROR(__xludf.DUMMYFUNCTION("""COMPUTED_VALUE"""),8.1523593)</f>
        <v>8.1523593000000005</v>
      </c>
      <c r="F3" s="11" t="s">
        <v>1316</v>
      </c>
      <c r="G3" s="11">
        <v>5</v>
      </c>
    </row>
    <row r="4" spans="1:26">
      <c r="A4" s="11" t="s">
        <v>1317</v>
      </c>
      <c r="B4" s="11" t="s">
        <v>43</v>
      </c>
      <c r="C4" s="11" t="s">
        <v>1318</v>
      </c>
      <c r="D4" s="8">
        <f ca="1">IFERROR(__xludf.DUMMYFUNCTION("SPLIT(C4,"","")"),5.9771515)</f>
        <v>5.9771514999999997</v>
      </c>
      <c r="E4" s="9">
        <f ca="1">IFERROR(__xludf.DUMMYFUNCTION("""COMPUTED_VALUE"""),12.0414168)</f>
        <v>12.0414168</v>
      </c>
      <c r="F4" s="11" t="s">
        <v>1319</v>
      </c>
      <c r="G4" s="11">
        <v>1</v>
      </c>
    </row>
    <row r="5" spans="1:26">
      <c r="A5" s="11" t="s">
        <v>1320</v>
      </c>
      <c r="B5" s="11" t="s">
        <v>1321</v>
      </c>
      <c r="C5" s="11" t="s">
        <v>1322</v>
      </c>
      <c r="D5" s="8">
        <f ca="1">IFERROR(__xludf.DUMMYFUNCTION("SPLIT(C5,"","")"),56.2258556)</f>
        <v>56.225855600000003</v>
      </c>
      <c r="E5" s="9">
        <f ca="1">IFERROR(__xludf.DUMMYFUNCTION("""COMPUTED_VALUE"""),10.5708117)</f>
        <v>10.5708117</v>
      </c>
      <c r="F5" s="11" t="s">
        <v>1323</v>
      </c>
      <c r="G5" s="11">
        <v>4</v>
      </c>
    </row>
    <row r="6" spans="1:26">
      <c r="A6" s="11" t="s">
        <v>1324</v>
      </c>
      <c r="B6" s="11" t="s">
        <v>43</v>
      </c>
      <c r="C6" s="11" t="s">
        <v>1325</v>
      </c>
      <c r="D6" s="8">
        <f ca="1">IFERROR(__xludf.DUMMYFUNCTION("SPLIT(C6,"","")"),56.831689)</f>
        <v>56.831688999999997</v>
      </c>
      <c r="E6" s="9">
        <f ca="1">IFERROR(__xludf.DUMMYFUNCTION("""COMPUTED_VALUE"""),9.8348412)</f>
        <v>9.8348411999999996</v>
      </c>
    </row>
    <row r="7" spans="1:26">
      <c r="A7" s="11" t="s">
        <v>1229</v>
      </c>
      <c r="B7" s="11" t="s">
        <v>169</v>
      </c>
      <c r="C7" s="11" t="s">
        <v>1326</v>
      </c>
      <c r="D7" s="8">
        <f ca="1">IFERROR(__xludf.DUMMYFUNCTION("SPLIT(C7,"","")"),57.7481601)</f>
        <v>57.7481601</v>
      </c>
      <c r="E7" s="9">
        <f ca="1">IFERROR(__xludf.DUMMYFUNCTION("""COMPUTED_VALUE"""),10.6322525)</f>
        <v>10.6322525</v>
      </c>
      <c r="F7" s="11" t="s">
        <v>1327</v>
      </c>
      <c r="G7" s="11">
        <v>4</v>
      </c>
      <c r="H7" s="11" t="s">
        <v>1328</v>
      </c>
    </row>
    <row r="8" spans="1:26">
      <c r="A8" s="11" t="s">
        <v>1329</v>
      </c>
      <c r="B8" s="11" t="s">
        <v>169</v>
      </c>
      <c r="C8" s="11" t="s">
        <v>1330</v>
      </c>
      <c r="D8" s="8">
        <f ca="1">IFERROR(__xludf.DUMMYFUNCTION("SPLIT(C8,"","")"),55.6485444)</f>
        <v>55.648544399999999</v>
      </c>
      <c r="E8" s="9">
        <f ca="1">IFERROR(__xludf.DUMMYFUNCTION("""COMPUTED_VALUE"""),8.1373206)</f>
        <v>8.1373206000000007</v>
      </c>
      <c r="F8" s="11" t="s">
        <v>1331</v>
      </c>
    </row>
    <row r="9" spans="1:26">
      <c r="B9" s="11" t="s">
        <v>1065</v>
      </c>
      <c r="C9" s="11" t="s">
        <v>1332</v>
      </c>
      <c r="D9" s="8">
        <f ca="1">IFERROR(__xludf.DUMMYFUNCTION("SPLIT(C9,"","")"),55.6441794)</f>
        <v>55.644179399999999</v>
      </c>
      <c r="E9" s="9">
        <f ca="1">IFERROR(__xludf.DUMMYFUNCTION("""COMPUTED_VALUE"""),8.0874958)</f>
        <v>8.0874957999999992</v>
      </c>
      <c r="F9" s="11" t="s">
        <v>1333</v>
      </c>
      <c r="G9" s="11">
        <v>4</v>
      </c>
    </row>
    <row r="10" spans="1:26">
      <c r="A10" s="11" t="s">
        <v>1334</v>
      </c>
      <c r="B10" s="11" t="s">
        <v>43</v>
      </c>
      <c r="C10" s="11" t="s">
        <v>1335</v>
      </c>
      <c r="D10" s="8">
        <f ca="1">IFERROR(__xludf.DUMMYFUNCTION("SPLIT(C10,"","")"),56.0925452)</f>
        <v>56.092545200000004</v>
      </c>
      <c r="E10" s="9">
        <f ca="1">IFERROR(__xludf.DUMMYFUNCTION("""COMPUTED_VALUE"""),9.7449905)</f>
        <v>9.7449905000000001</v>
      </c>
      <c r="F10" s="11" t="s">
        <v>1336</v>
      </c>
    </row>
    <row r="11" spans="1:26">
      <c r="A11" s="11" t="s">
        <v>1337</v>
      </c>
      <c r="B11" s="11" t="s">
        <v>43</v>
      </c>
      <c r="C11" s="11" t="s">
        <v>1338</v>
      </c>
      <c r="D11" s="8">
        <f ca="1">IFERROR(__xludf.DUMMYFUNCTION("SPLIT(C11,"","")"),56.060939)</f>
        <v>56.060938999999998</v>
      </c>
      <c r="E11" s="9">
        <f ca="1">IFERROR(__xludf.DUMMYFUNCTION("""COMPUTED_VALUE"""),9.7423903)</f>
        <v>9.7423903000000003</v>
      </c>
      <c r="F11" s="11" t="s">
        <v>1339</v>
      </c>
      <c r="G11" s="11">
        <v>4</v>
      </c>
    </row>
    <row r="12" spans="1:26">
      <c r="A12" s="11" t="s">
        <v>1340</v>
      </c>
      <c r="B12" s="11" t="s">
        <v>1341</v>
      </c>
      <c r="C12" s="11" t="s">
        <v>1342</v>
      </c>
      <c r="D12" s="8">
        <f ca="1">IFERROR(__xludf.DUMMYFUNCTION("SPLIT(C12,"","")"),57.4872219)</f>
        <v>57.487221900000002</v>
      </c>
      <c r="E12" s="9">
        <f ca="1">IFERROR(__xludf.DUMMYFUNCTION("""COMPUTED_VALUE"""),9.8339629)</f>
        <v>9.8339628999999995</v>
      </c>
      <c r="F12" s="11" t="s">
        <v>1343</v>
      </c>
    </row>
    <row r="13" spans="1:26">
      <c r="A13" s="11" t="s">
        <v>1344</v>
      </c>
      <c r="B13" s="11" t="s">
        <v>1345</v>
      </c>
      <c r="C13" s="11" t="s">
        <v>1346</v>
      </c>
      <c r="D13" s="8">
        <f ca="1">IFERROR(__xludf.DUMMYFUNCTION("SPLIT(C13,"","")"),57.2876291)</f>
        <v>57.287629099999997</v>
      </c>
      <c r="E13" s="9">
        <f ca="1">IFERROR(__xludf.DUMMYFUNCTION("""COMPUTED_VALUE"""),10.9163443)</f>
        <v>10.9163443</v>
      </c>
      <c r="F13" s="11" t="s">
        <v>1347</v>
      </c>
    </row>
    <row r="14" spans="1:26">
      <c r="A14" s="11" t="s">
        <v>1348</v>
      </c>
      <c r="B14" s="11" t="s">
        <v>1349</v>
      </c>
      <c r="C14" s="11" t="s">
        <v>1350</v>
      </c>
      <c r="D14" s="8">
        <f ca="1">IFERROR(__xludf.DUMMYFUNCTION("SPLIT(C14,"","")"),56.1867962)</f>
        <v>56.186796200000003</v>
      </c>
      <c r="E14" s="9">
        <f ca="1">IFERROR(__xludf.DUMMYFUNCTION("""COMPUTED_VALUE"""),10.0937753)</f>
        <v>10.093775300000001</v>
      </c>
      <c r="F14" s="11" t="s">
        <v>1351</v>
      </c>
    </row>
    <row r="15" spans="1:26">
      <c r="A15" s="11" t="s">
        <v>1352</v>
      </c>
      <c r="B15" s="11" t="s">
        <v>43</v>
      </c>
      <c r="C15" s="11" t="s">
        <v>1353</v>
      </c>
      <c r="D15" s="8">
        <f ca="1">IFERROR(__xludf.DUMMYFUNCTION("SPLIT(C15,"","")"),56.2726962)</f>
        <v>56.272696199999999</v>
      </c>
      <c r="E15" s="9">
        <f ca="1">IFERROR(__xludf.DUMMYFUNCTION("""COMPUTED_VALUE"""),10.3659959)</f>
        <v>10.3659959</v>
      </c>
      <c r="F15" s="11" t="s">
        <v>1354</v>
      </c>
    </row>
    <row r="16" spans="1:26">
      <c r="A16" s="11" t="s">
        <v>1355</v>
      </c>
      <c r="B16" s="11" t="s">
        <v>169</v>
      </c>
      <c r="C16" s="11" t="s">
        <v>1356</v>
      </c>
      <c r="D16" s="8">
        <f ca="1">IFERROR(__xludf.DUMMYFUNCTION("SPLIT(C16,"","")"),55.3772588)</f>
        <v>55.3772588</v>
      </c>
      <c r="E16" s="9">
        <f ca="1">IFERROR(__xludf.DUMMYFUNCTION("""COMPUTED_VALUE"""),9.4186468)</f>
        <v>9.4186467999999994</v>
      </c>
      <c r="F16" s="11" t="s">
        <v>1357</v>
      </c>
    </row>
    <row r="17" spans="1:7">
      <c r="A17" s="11" t="s">
        <v>1358</v>
      </c>
      <c r="B17" s="11" t="s">
        <v>43</v>
      </c>
      <c r="C17" s="11" t="s">
        <v>1359</v>
      </c>
      <c r="D17" s="8">
        <f ca="1">IFERROR(__xludf.DUMMYFUNCTION("SPLIT(C17,"","")"),55.8257645)</f>
        <v>55.825764499999998</v>
      </c>
      <c r="E17" s="9">
        <f ca="1">IFERROR(__xludf.DUMMYFUNCTION("""COMPUTED_VALUE"""),10.0699034)</f>
        <v>10.069903399999999</v>
      </c>
      <c r="F17" s="11" t="s">
        <v>1360</v>
      </c>
    </row>
    <row r="18" spans="1:7">
      <c r="A18" s="11" t="s">
        <v>1361</v>
      </c>
      <c r="B18" s="11" t="s">
        <v>43</v>
      </c>
      <c r="C18" s="11" t="s">
        <v>1362</v>
      </c>
      <c r="D18" s="8">
        <f ca="1">IFERROR(__xludf.DUMMYFUNCTION("SPLIT(C18,"","")"),56.8049063)</f>
        <v>56.804906299999999</v>
      </c>
      <c r="E18" s="9">
        <f ca="1">IFERROR(__xludf.DUMMYFUNCTION("""COMPUTED_VALUE"""),9.8580488)</f>
        <v>9.8580488000000006</v>
      </c>
    </row>
    <row r="19" spans="1:7">
      <c r="A19" s="11" t="s">
        <v>1363</v>
      </c>
      <c r="B19" s="11" t="s">
        <v>43</v>
      </c>
      <c r="C19" s="11" t="s">
        <v>1364</v>
      </c>
      <c r="D19" s="8">
        <f ca="1">IFERROR(__xludf.DUMMYFUNCTION("SPLIT(C19,"","")"),56.0167989)</f>
        <v>56.016798899999998</v>
      </c>
      <c r="E19" s="9">
        <f ca="1">IFERROR(__xludf.DUMMYFUNCTION("""COMPUTED_VALUE"""),9.8623515)</f>
        <v>9.8623515000000008</v>
      </c>
      <c r="F19" s="11" t="s">
        <v>1365</v>
      </c>
    </row>
    <row r="20" spans="1:7">
      <c r="A20" s="11" t="s">
        <v>1366</v>
      </c>
      <c r="B20" s="11" t="s">
        <v>1367</v>
      </c>
      <c r="C20" s="11" t="s">
        <v>1368</v>
      </c>
      <c r="D20" s="8">
        <f ca="1">IFERROR(__xludf.DUMMYFUNCTION("SPLIT(C20,"","")"),54.8236291)</f>
        <v>54.823629099999998</v>
      </c>
      <c r="E20" s="9">
        <f ca="1">IFERROR(__xludf.DUMMYFUNCTION("""COMPUTED_VALUE"""),9.3573904)</f>
        <v>9.3573903999999999</v>
      </c>
      <c r="F20" s="11" t="s">
        <v>1369</v>
      </c>
      <c r="G20" s="11">
        <v>5</v>
      </c>
    </row>
    <row r="21" spans="1:7">
      <c r="A21" s="11" t="s">
        <v>1370</v>
      </c>
      <c r="B21" s="11" t="s">
        <v>43</v>
      </c>
      <c r="C21" s="11" t="s">
        <v>1371</v>
      </c>
      <c r="D21" s="8">
        <f ca="1">IFERROR(__xludf.DUMMYFUNCTION("SPLIT(C21,"","")"),55.0212286)</f>
        <v>55.021228600000001</v>
      </c>
      <c r="E21" s="9">
        <f ca="1">IFERROR(__xludf.DUMMYFUNCTION("""COMPUTED_VALUE"""),10.6097379)</f>
        <v>10.609737900000001</v>
      </c>
      <c r="F21" s="11" t="s">
        <v>1372</v>
      </c>
    </row>
    <row r="22" spans="1:7">
      <c r="A22" s="11" t="s">
        <v>1373</v>
      </c>
      <c r="B22" s="11" t="s">
        <v>169</v>
      </c>
      <c r="C22" s="11" t="s">
        <v>1374</v>
      </c>
      <c r="D22" s="8">
        <f ca="1">IFERROR(__xludf.DUMMYFUNCTION("SPLIT(C22,"","")"),55.4405113)</f>
        <v>55.440511299999997</v>
      </c>
      <c r="E22" s="9">
        <f ca="1">IFERROR(__xludf.DUMMYFUNCTION("""COMPUTED_VALUE"""),10.3480238)</f>
        <v>10.3480238</v>
      </c>
      <c r="F22" s="11" t="s">
        <v>1375</v>
      </c>
    </row>
    <row r="23" spans="1:7">
      <c r="A23" s="11" t="s">
        <v>1376</v>
      </c>
      <c r="B23" s="11" t="s">
        <v>1065</v>
      </c>
      <c r="C23" s="11" t="s">
        <v>1377</v>
      </c>
      <c r="D23" s="8">
        <f ca="1">IFERROR(__xludf.DUMMYFUNCTION("SPLIT(C23,"","")"),55.7565694)</f>
        <v>55.756569399999997</v>
      </c>
      <c r="E23" s="9">
        <f ca="1">IFERROR(__xludf.DUMMYFUNCTION("""COMPUTED_VALUE"""),9.4173826)</f>
        <v>9.4173825999999998</v>
      </c>
    </row>
    <row r="24" spans="1:7">
      <c r="A24" s="11" t="s">
        <v>320</v>
      </c>
      <c r="B24" s="11" t="s">
        <v>43</v>
      </c>
      <c r="C24" s="11" t="s">
        <v>1378</v>
      </c>
      <c r="D24" s="8">
        <f ca="1">IFERROR(__xludf.DUMMYFUNCTION("SPLIT(C24,"","")"),54.9787695)</f>
        <v>54.978769499999999</v>
      </c>
      <c r="E24" s="9">
        <f ca="1">IFERROR(__xludf.DUMMYFUNCTION("""COMPUTED_VALUE"""),12.3883748)</f>
        <v>12.388374799999999</v>
      </c>
    </row>
    <row r="25" spans="1:7">
      <c r="A25" s="11" t="s">
        <v>13</v>
      </c>
      <c r="B25" s="11" t="s">
        <v>1065</v>
      </c>
      <c r="C25" s="11" t="s">
        <v>1379</v>
      </c>
      <c r="D25" s="8">
        <f ca="1">IFERROR(__xludf.DUMMYFUNCTION("SPLIT(C25,"","")"),55.6284645)</f>
        <v>55.6284645</v>
      </c>
      <c r="E25" s="9">
        <f ca="1">IFERROR(__xludf.DUMMYFUNCTION("""COMPUTED_VALUE"""),9.2806231)</f>
        <v>9.2806230999999997</v>
      </c>
    </row>
    <row r="26" spans="1:7">
      <c r="A26" s="11" t="s">
        <v>1380</v>
      </c>
      <c r="B26" s="11" t="s">
        <v>1240</v>
      </c>
      <c r="C26" s="11" t="s">
        <v>1381</v>
      </c>
      <c r="D26" s="8">
        <f ca="1">IFERROR(__xludf.DUMMYFUNCTION("SPLIT(C26,"","")"),55.0094067)</f>
        <v>55.0094067</v>
      </c>
      <c r="E26" s="9">
        <f ca="1">IFERROR(__xludf.DUMMYFUNCTION("""COMPUTED_VALUE"""),10.4545604)</f>
        <v>10.4545604</v>
      </c>
      <c r="F26" s="11" t="s">
        <v>1382</v>
      </c>
    </row>
    <row r="27" spans="1:7">
      <c r="A27" s="11" t="s">
        <v>1383</v>
      </c>
      <c r="B27" s="11" t="s">
        <v>43</v>
      </c>
      <c r="C27" s="11" t="s">
        <v>1384</v>
      </c>
      <c r="D27" s="8">
        <f ca="1">IFERROR(__xludf.DUMMYFUNCTION("SPLIT(C27,"","")"),56.2244723)</f>
        <v>56.224472300000002</v>
      </c>
      <c r="E27" s="9">
        <f ca="1">IFERROR(__xludf.DUMMYFUNCTION("""COMPUTED_VALUE"""),10.300058)</f>
        <v>10.300058</v>
      </c>
      <c r="F27" s="11" t="s">
        <v>1385</v>
      </c>
      <c r="G27" s="11">
        <v>3</v>
      </c>
    </row>
    <row r="28" spans="1:7">
      <c r="A28" s="11" t="s">
        <v>1386</v>
      </c>
      <c r="B28" s="11" t="s">
        <v>1065</v>
      </c>
      <c r="C28" s="11" t="s">
        <v>1387</v>
      </c>
      <c r="D28" s="8">
        <f ca="1">IFERROR(__xludf.DUMMYFUNCTION("SPLIT(C28,"","")"),56.6478349)</f>
        <v>56.647834899999999</v>
      </c>
      <c r="E28" s="9">
        <f ca="1">IFERROR(__xludf.DUMMYFUNCTION("""COMPUTED_VALUE"""),9.9760273)</f>
        <v>9.9760273000000002</v>
      </c>
      <c r="F28" s="11" t="s">
        <v>1388</v>
      </c>
    </row>
    <row r="29" spans="1:7">
      <c r="B29" s="11" t="s">
        <v>17</v>
      </c>
      <c r="C29" s="11" t="s">
        <v>1389</v>
      </c>
      <c r="D29" s="8">
        <f ca="1">IFERROR(__xludf.DUMMYFUNCTION("SPLIT(C29,"","")"),56.1576105)</f>
        <v>56.157610499999997</v>
      </c>
      <c r="E29" s="9">
        <f ca="1">IFERROR(__xludf.DUMMYFUNCTION("""COMPUTED_VALUE"""),10.1995768)</f>
        <v>10.199576800000001</v>
      </c>
      <c r="F29" s="11" t="s">
        <v>1390</v>
      </c>
      <c r="G29" s="11">
        <v>5</v>
      </c>
    </row>
    <row r="30" spans="1:7">
      <c r="A30" s="11" t="s">
        <v>1391</v>
      </c>
      <c r="B30" s="11" t="s">
        <v>1392</v>
      </c>
      <c r="C30" s="11" t="s">
        <v>1393</v>
      </c>
      <c r="D30" s="8">
        <f ca="1">IFERROR(__xludf.DUMMYFUNCTION("SPLIT(C30,"","")"),56.1728828)</f>
        <v>56.172882799999996</v>
      </c>
      <c r="E30" s="9">
        <f ca="1">IFERROR(__xludf.DUMMYFUNCTION("""COMPUTED_VALUE"""),10.2063215)</f>
        <v>10.2063215</v>
      </c>
      <c r="F30" s="11" t="s">
        <v>793</v>
      </c>
    </row>
    <row r="31" spans="1:7">
      <c r="A31" s="11" t="s">
        <v>1394</v>
      </c>
      <c r="B31" s="11" t="s">
        <v>1065</v>
      </c>
      <c r="C31" s="11" t="s">
        <v>1395</v>
      </c>
      <c r="D31" s="8">
        <f ca="1">IFERROR(__xludf.DUMMYFUNCTION("SPLIT(C31,"","")"),56.6317638)</f>
        <v>56.631763800000002</v>
      </c>
      <c r="E31" s="9">
        <f ca="1">IFERROR(__xludf.DUMMYFUNCTION("""COMPUTED_VALUE"""),9.7675998)</f>
        <v>9.7675997999999993</v>
      </c>
      <c r="F31" s="11" t="s">
        <v>1396</v>
      </c>
    </row>
    <row r="32" spans="1:7">
      <c r="A32" s="11" t="s">
        <v>1397</v>
      </c>
      <c r="B32" s="11" t="s">
        <v>43</v>
      </c>
      <c r="C32" s="11" t="s">
        <v>1398</v>
      </c>
      <c r="D32" s="8">
        <f ca="1">IFERROR(__xludf.DUMMYFUNCTION("SPLIT(C32,"","")"),55.218412)</f>
        <v>55.218412000000001</v>
      </c>
      <c r="E32" s="9">
        <f ca="1">IFERROR(__xludf.DUMMYFUNCTION("""COMPUTED_VALUE"""),12.0986043)</f>
        <v>12.0986043</v>
      </c>
    </row>
    <row r="33" spans="1:6">
      <c r="A33" s="11" t="s">
        <v>1399</v>
      </c>
      <c r="B33" s="11" t="s">
        <v>43</v>
      </c>
      <c r="C33" s="11" t="s">
        <v>1400</v>
      </c>
      <c r="D33" s="8">
        <f ca="1">IFERROR(__xludf.DUMMYFUNCTION("SPLIT(C33,"","")"),55.0857232)</f>
        <v>55.085723199999997</v>
      </c>
      <c r="E33" s="9">
        <f ca="1">IFERROR(__xludf.DUMMYFUNCTION("""COMPUTED_VALUE"""),12.2669409)</f>
        <v>12.2669409</v>
      </c>
      <c r="F33" s="11" t="s">
        <v>1401</v>
      </c>
    </row>
    <row r="34" spans="1:6">
      <c r="A34" s="11" t="s">
        <v>1402</v>
      </c>
      <c r="B34" s="11" t="s">
        <v>1403</v>
      </c>
      <c r="C34" s="11" t="s">
        <v>1404</v>
      </c>
      <c r="D34" s="8">
        <f ca="1">IFERROR(__xludf.DUMMYFUNCTION("SPLIT(C34,"","")"),56.1716544)</f>
        <v>56.171654400000001</v>
      </c>
      <c r="E34" s="9">
        <f ca="1">IFERROR(__xludf.DUMMYFUNCTION("""COMPUTED_VALUE"""),10.2166632)</f>
        <v>10.216663199999999</v>
      </c>
      <c r="F34" s="11" t="s">
        <v>1401</v>
      </c>
    </row>
    <row r="35" spans="1:6">
      <c r="A35" s="11" t="s">
        <v>1405</v>
      </c>
      <c r="B35" s="11" t="s">
        <v>43</v>
      </c>
      <c r="C35" s="11" t="s">
        <v>1406</v>
      </c>
      <c r="D35" s="8">
        <f ca="1">IFERROR(__xludf.DUMMYFUNCTION("SPLIT(C35,"","")"),55.062678)</f>
        <v>55.062677999999998</v>
      </c>
      <c r="E35" s="9">
        <f ca="1">IFERROR(__xludf.DUMMYFUNCTION("""COMPUTED_VALUE"""),10.2334107)</f>
        <v>10.2334107</v>
      </c>
    </row>
    <row r="36" spans="1:6">
      <c r="B36" s="11"/>
      <c r="D36" s="8" t="str">
        <f ca="1">IFERROR(__xludf.DUMMYFUNCTION("SPLIT(C36,"","")"),"#VALUE!")</f>
        <v>#VALUE!</v>
      </c>
      <c r="E36" s="9"/>
    </row>
    <row r="37" spans="1:6">
      <c r="B37" s="11"/>
      <c r="D37" s="8" t="str">
        <f ca="1">IFERROR(__xludf.DUMMYFUNCTION("SPLIT(C37,"","")"),"#VALUE!")</f>
        <v>#VALUE!</v>
      </c>
      <c r="E37" s="9"/>
    </row>
    <row r="38" spans="1:6">
      <c r="B38" s="11"/>
      <c r="D38" s="8" t="str">
        <f ca="1">IFERROR(__xludf.DUMMYFUNCTION("SPLIT(C38,"","")"),"#VALUE!")</f>
        <v>#VALUE!</v>
      </c>
      <c r="E38" s="9"/>
    </row>
    <row r="39" spans="1:6">
      <c r="B39" s="11"/>
      <c r="D39" s="8" t="str">
        <f ca="1">IFERROR(__xludf.DUMMYFUNCTION("SPLIT(C39,"","")"),"#VALUE!")</f>
        <v>#VALUE!</v>
      </c>
      <c r="E39" s="9"/>
    </row>
    <row r="40" spans="1:6">
      <c r="B40" s="11"/>
      <c r="D40" s="8" t="str">
        <f ca="1">IFERROR(__xludf.DUMMYFUNCTION("SPLIT(C40,"","")"),"#VALUE!")</f>
        <v>#VALUE!</v>
      </c>
      <c r="E40" s="9"/>
    </row>
    <row r="41" spans="1:6">
      <c r="B41" s="11"/>
      <c r="D41" s="8" t="str">
        <f ca="1">IFERROR(__xludf.DUMMYFUNCTION("SPLIT(C41,"","")"),"#VALUE!")</f>
        <v>#VALUE!</v>
      </c>
      <c r="E41" s="9"/>
    </row>
    <row r="42" spans="1:6">
      <c r="B42" s="11"/>
      <c r="D42" s="8" t="str">
        <f ca="1">IFERROR(__xludf.DUMMYFUNCTION("SPLIT(C42,"","")"),"#VALUE!")</f>
        <v>#VALUE!</v>
      </c>
      <c r="E42" s="9"/>
    </row>
    <row r="43" spans="1:6">
      <c r="B43" s="11"/>
      <c r="D43" s="8" t="str">
        <f ca="1">IFERROR(__xludf.DUMMYFUNCTION("SPLIT(C43,"","")"),"#VALUE!")</f>
        <v>#VALUE!</v>
      </c>
      <c r="E43" s="9"/>
    </row>
    <row r="44" spans="1:6">
      <c r="B44" s="11"/>
      <c r="D44" s="8" t="str">
        <f ca="1">IFERROR(__xludf.DUMMYFUNCTION("SPLIT(C44,"","")"),"#VALUE!")</f>
        <v>#VALUE!</v>
      </c>
      <c r="E44" s="9"/>
    </row>
    <row r="45" spans="1:6">
      <c r="B45" s="11"/>
      <c r="D45" s="8" t="str">
        <f ca="1">IFERROR(__xludf.DUMMYFUNCTION("SPLIT(C45,"","")"),"#VALUE!")</f>
        <v>#VALUE!</v>
      </c>
      <c r="E45" s="9"/>
    </row>
    <row r="46" spans="1:6">
      <c r="B46" s="11"/>
      <c r="D46" s="8" t="str">
        <f ca="1">IFERROR(__xludf.DUMMYFUNCTION("SPLIT(C46,"","")"),"#VALUE!")</f>
        <v>#VALUE!</v>
      </c>
      <c r="E46" s="9"/>
    </row>
    <row r="47" spans="1:6">
      <c r="B47" s="11"/>
      <c r="D47" s="8" t="str">
        <f ca="1">IFERROR(__xludf.DUMMYFUNCTION("SPLIT(C47,"","")"),"#VALUE!")</f>
        <v>#VALUE!</v>
      </c>
      <c r="E47" s="9"/>
    </row>
    <row r="48" spans="1:6">
      <c r="B48" s="11"/>
      <c r="D48" s="8" t="str">
        <f ca="1">IFERROR(__xludf.DUMMYFUNCTION("SPLIT(C48,"","")"),"#VALUE!")</f>
        <v>#VALUE!</v>
      </c>
      <c r="E48" s="9"/>
    </row>
    <row r="49" spans="2:5">
      <c r="B49" s="11"/>
      <c r="D49" s="8" t="str">
        <f ca="1">IFERROR(__xludf.DUMMYFUNCTION("SPLIT(C49,"","")"),"#VALUE!")</f>
        <v>#VALUE!</v>
      </c>
      <c r="E49" s="9"/>
    </row>
    <row r="50" spans="2:5">
      <c r="B50" s="11"/>
      <c r="D50" s="8" t="str">
        <f ca="1">IFERROR(__xludf.DUMMYFUNCTION("SPLIT(C50,"","")"),"#VALUE!")</f>
        <v>#VALUE!</v>
      </c>
      <c r="E50" s="9"/>
    </row>
    <row r="51" spans="2:5">
      <c r="B51" s="11"/>
      <c r="D51" s="8" t="str">
        <f ca="1">IFERROR(__xludf.DUMMYFUNCTION("SPLIT(C51,"","")"),"#VALUE!")</f>
        <v>#VALUE!</v>
      </c>
      <c r="E51" s="9"/>
    </row>
    <row r="52" spans="2:5">
      <c r="B52" s="11"/>
      <c r="D52" s="8" t="str">
        <f ca="1">IFERROR(__xludf.DUMMYFUNCTION("SPLIT(C52,"","")"),"#VALUE!")</f>
        <v>#VALUE!</v>
      </c>
      <c r="E52" s="9"/>
    </row>
    <row r="53" spans="2:5">
      <c r="B53" s="11"/>
      <c r="D53" s="8" t="str">
        <f ca="1">IFERROR(__xludf.DUMMYFUNCTION("SPLIT(C53,"","")"),"#VALUE!")</f>
        <v>#VALUE!</v>
      </c>
      <c r="E53" s="9"/>
    </row>
    <row r="54" spans="2:5">
      <c r="B54" s="11"/>
      <c r="D54" s="8" t="str">
        <f ca="1">IFERROR(__xludf.DUMMYFUNCTION("SPLIT(C54,"","")"),"#VALUE!")</f>
        <v>#VALUE!</v>
      </c>
      <c r="E54" s="9"/>
    </row>
    <row r="55" spans="2:5">
      <c r="B55" s="11"/>
      <c r="D55" s="8" t="str">
        <f ca="1">IFERROR(__xludf.DUMMYFUNCTION("SPLIT(C55,"","")"),"#VALUE!")</f>
        <v>#VALUE!</v>
      </c>
      <c r="E55" s="9"/>
    </row>
    <row r="56" spans="2:5">
      <c r="B56" s="11"/>
      <c r="D56" s="8" t="str">
        <f ca="1">IFERROR(__xludf.DUMMYFUNCTION("SPLIT(C56,"","")"),"#VALUE!")</f>
        <v>#VALUE!</v>
      </c>
      <c r="E56" s="9"/>
    </row>
    <row r="57" spans="2:5">
      <c r="B57" s="11"/>
      <c r="D57" s="8" t="str">
        <f ca="1">IFERROR(__xludf.DUMMYFUNCTION("SPLIT(C57,"","")"),"#VALUE!")</f>
        <v>#VALUE!</v>
      </c>
      <c r="E57" s="9"/>
    </row>
    <row r="58" spans="2:5">
      <c r="B58" s="11"/>
      <c r="D58" s="8" t="str">
        <f ca="1">IFERROR(__xludf.DUMMYFUNCTION("SPLIT(C58,"","")"),"#VALUE!")</f>
        <v>#VALUE!</v>
      </c>
      <c r="E58" s="9"/>
    </row>
    <row r="59" spans="2:5">
      <c r="B59" s="11"/>
      <c r="D59" s="8" t="str">
        <f ca="1">IFERROR(__xludf.DUMMYFUNCTION("SPLIT(C59,"","")"),"#VALUE!")</f>
        <v>#VALUE!</v>
      </c>
      <c r="E59" s="9"/>
    </row>
    <row r="60" spans="2:5">
      <c r="B60" s="11"/>
      <c r="D60" s="8" t="str">
        <f ca="1">IFERROR(__xludf.DUMMYFUNCTION("SPLIT(C60,"","")"),"#VALUE!")</f>
        <v>#VALUE!</v>
      </c>
      <c r="E60" s="9"/>
    </row>
    <row r="61" spans="2:5">
      <c r="B61" s="11"/>
      <c r="D61" s="8" t="str">
        <f ca="1">IFERROR(__xludf.DUMMYFUNCTION("SPLIT(C61,"","")"),"#VALUE!")</f>
        <v>#VALUE!</v>
      </c>
      <c r="E61" s="9"/>
    </row>
    <row r="62" spans="2:5">
      <c r="B62" s="11"/>
      <c r="D62" s="8" t="str">
        <f ca="1">IFERROR(__xludf.DUMMYFUNCTION("SPLIT(C62,"","")"),"#VALUE!")</f>
        <v>#VALUE!</v>
      </c>
      <c r="E62" s="9"/>
    </row>
    <row r="63" spans="2:5">
      <c r="B63" s="11"/>
      <c r="D63" s="8" t="str">
        <f ca="1">IFERROR(__xludf.DUMMYFUNCTION("SPLIT(C63,"","")"),"#VALUE!")</f>
        <v>#VALUE!</v>
      </c>
      <c r="E63" s="9"/>
    </row>
    <row r="64" spans="2:5">
      <c r="B64" s="11"/>
      <c r="D64" s="8" t="str">
        <f ca="1">IFERROR(__xludf.DUMMYFUNCTION("SPLIT(C64,"","")"),"#VALUE!")</f>
        <v>#VALUE!</v>
      </c>
      <c r="E64" s="9"/>
    </row>
    <row r="65" spans="2:5">
      <c r="B65" s="11"/>
      <c r="D65" s="9"/>
      <c r="E65" s="9"/>
    </row>
    <row r="66" spans="2:5">
      <c r="B66" s="11"/>
      <c r="D66" s="9"/>
      <c r="E66" s="9"/>
    </row>
    <row r="67" spans="2:5">
      <c r="B67" s="11"/>
      <c r="D67" s="9"/>
      <c r="E67" s="9"/>
    </row>
    <row r="68" spans="2:5">
      <c r="B68" s="11"/>
      <c r="D68" s="9"/>
      <c r="E68" s="9"/>
    </row>
    <row r="69" spans="2:5">
      <c r="B69" s="11"/>
      <c r="D69" s="9"/>
      <c r="E69" s="9"/>
    </row>
    <row r="70" spans="2:5">
      <c r="B70" s="11"/>
      <c r="D70" s="9"/>
      <c r="E70" s="9"/>
    </row>
    <row r="71" spans="2:5">
      <c r="B71" s="11"/>
      <c r="D71" s="9"/>
      <c r="E71" s="9"/>
    </row>
    <row r="72" spans="2:5">
      <c r="B72" s="11"/>
      <c r="D72" s="9"/>
      <c r="E72" s="9"/>
    </row>
    <row r="73" spans="2:5">
      <c r="B73" s="11"/>
      <c r="D73" s="9"/>
      <c r="E73" s="9"/>
    </row>
    <row r="74" spans="2:5">
      <c r="B74" s="11"/>
      <c r="D74" s="9"/>
      <c r="E74" s="9"/>
    </row>
    <row r="75" spans="2:5">
      <c r="B75" s="11"/>
      <c r="D75" s="9"/>
      <c r="E75" s="9"/>
    </row>
    <row r="76" spans="2:5">
      <c r="B76" s="11"/>
      <c r="D76" s="9"/>
      <c r="E76" s="9"/>
    </row>
    <row r="77" spans="2:5">
      <c r="B77" s="11"/>
      <c r="D77" s="9"/>
      <c r="E77" s="9"/>
    </row>
    <row r="78" spans="2:5">
      <c r="B78" s="11"/>
      <c r="D78" s="9"/>
      <c r="E78" s="9"/>
    </row>
    <row r="79" spans="2:5">
      <c r="B79" s="11"/>
      <c r="D79" s="9"/>
      <c r="E79" s="9"/>
    </row>
    <row r="80" spans="2:5">
      <c r="B80" s="11"/>
      <c r="D80" s="9"/>
      <c r="E80" s="9"/>
    </row>
    <row r="81" spans="2:5">
      <c r="B81" s="11"/>
      <c r="D81" s="9"/>
      <c r="E81" s="9"/>
    </row>
    <row r="82" spans="2:5">
      <c r="B82" s="11"/>
      <c r="D82" s="9"/>
      <c r="E82" s="9"/>
    </row>
    <row r="83" spans="2:5">
      <c r="B83" s="11"/>
      <c r="D83" s="9"/>
      <c r="E83" s="9"/>
    </row>
    <row r="84" spans="2:5">
      <c r="B84" s="11"/>
      <c r="D84" s="9"/>
      <c r="E84" s="9"/>
    </row>
    <row r="85" spans="2:5">
      <c r="B85" s="11"/>
      <c r="D85" s="9"/>
      <c r="E85" s="9"/>
    </row>
    <row r="86" spans="2:5">
      <c r="B86" s="11"/>
      <c r="D86" s="9"/>
      <c r="E86" s="9"/>
    </row>
    <row r="87" spans="2:5">
      <c r="B87" s="11"/>
      <c r="D87" s="9"/>
      <c r="E87" s="9"/>
    </row>
    <row r="88" spans="2:5">
      <c r="B88" s="11"/>
      <c r="D88" s="9"/>
      <c r="E88" s="9"/>
    </row>
    <row r="89" spans="2:5">
      <c r="B89" s="11"/>
      <c r="D89" s="9"/>
      <c r="E89" s="9"/>
    </row>
    <row r="90" spans="2:5">
      <c r="B90" s="11"/>
      <c r="D90" s="9"/>
      <c r="E90" s="9"/>
    </row>
    <row r="91" spans="2:5">
      <c r="B91" s="11"/>
      <c r="D91" s="9"/>
      <c r="E91" s="9"/>
    </row>
    <row r="92" spans="2:5">
      <c r="B92" s="11"/>
      <c r="D92" s="9"/>
      <c r="E92" s="9"/>
    </row>
    <row r="93" spans="2:5">
      <c r="B93" s="11"/>
      <c r="D93" s="9"/>
      <c r="E93" s="9"/>
    </row>
    <row r="94" spans="2:5">
      <c r="B94" s="11"/>
      <c r="D94" s="9"/>
      <c r="E94" s="9"/>
    </row>
    <row r="95" spans="2:5">
      <c r="B95" s="11"/>
      <c r="D95" s="9"/>
      <c r="E95" s="9"/>
    </row>
    <row r="96" spans="2:5">
      <c r="B96" s="11"/>
      <c r="D96" s="9"/>
      <c r="E96" s="9"/>
    </row>
    <row r="97" spans="2:5">
      <c r="B97" s="11"/>
      <c r="D97" s="9"/>
      <c r="E97" s="9"/>
    </row>
    <row r="98" spans="2:5">
      <c r="B98" s="11"/>
      <c r="D98" s="9"/>
      <c r="E98" s="9"/>
    </row>
    <row r="99" spans="2:5">
      <c r="B99" s="11"/>
      <c r="D99" s="9"/>
      <c r="E99" s="9"/>
    </row>
    <row r="100" spans="2:5">
      <c r="B100" s="11"/>
      <c r="D100" s="9"/>
      <c r="E100" s="9"/>
    </row>
    <row r="101" spans="2:5">
      <c r="B101" s="11"/>
      <c r="D101" s="9"/>
      <c r="E101" s="9"/>
    </row>
    <row r="102" spans="2:5">
      <c r="B102" s="11"/>
      <c r="D102" s="9"/>
      <c r="E102" s="9"/>
    </row>
    <row r="103" spans="2:5">
      <c r="B103" s="11"/>
      <c r="D103" s="9"/>
      <c r="E103" s="9"/>
    </row>
    <row r="104" spans="2:5">
      <c r="B104" s="11"/>
      <c r="D104" s="9"/>
      <c r="E104" s="9"/>
    </row>
    <row r="105" spans="2:5">
      <c r="B105" s="11"/>
      <c r="D105" s="9"/>
      <c r="E105" s="9"/>
    </row>
    <row r="106" spans="2:5">
      <c r="B106" s="11"/>
      <c r="D106" s="9"/>
      <c r="E106" s="9"/>
    </row>
    <row r="107" spans="2:5">
      <c r="B107" s="11"/>
      <c r="D107" s="9"/>
      <c r="E107" s="9"/>
    </row>
    <row r="108" spans="2:5">
      <c r="B108" s="11"/>
      <c r="D108" s="9"/>
      <c r="E108" s="9"/>
    </row>
    <row r="109" spans="2:5">
      <c r="B109" s="11"/>
      <c r="D109" s="9"/>
      <c r="E109" s="9"/>
    </row>
    <row r="110" spans="2:5">
      <c r="B110" s="11"/>
      <c r="D110" s="9"/>
      <c r="E110" s="9"/>
    </row>
    <row r="111" spans="2:5">
      <c r="B111" s="11"/>
      <c r="D111" s="9"/>
      <c r="E111" s="9"/>
    </row>
    <row r="112" spans="2:5">
      <c r="B112" s="11"/>
      <c r="D112" s="9"/>
      <c r="E112" s="9"/>
    </row>
    <row r="113" spans="2:5">
      <c r="B113" s="11"/>
      <c r="D113" s="9"/>
      <c r="E113" s="9"/>
    </row>
    <row r="114" spans="2:5">
      <c r="B114" s="11"/>
      <c r="D114" s="9"/>
      <c r="E114" s="9"/>
    </row>
    <row r="115" spans="2:5">
      <c r="B115" s="11"/>
      <c r="D115" s="9"/>
      <c r="E115" s="9"/>
    </row>
    <row r="116" spans="2:5">
      <c r="B116" s="11"/>
      <c r="D116" s="9"/>
      <c r="E116" s="9"/>
    </row>
    <row r="117" spans="2:5">
      <c r="B117" s="11"/>
      <c r="D117" s="9"/>
      <c r="E117" s="9"/>
    </row>
    <row r="118" spans="2:5">
      <c r="B118" s="11"/>
      <c r="D118" s="9"/>
      <c r="E118" s="9"/>
    </row>
    <row r="119" spans="2:5">
      <c r="B119" s="11"/>
      <c r="D119" s="9"/>
      <c r="E119" s="9"/>
    </row>
    <row r="120" spans="2:5">
      <c r="B120" s="11"/>
      <c r="D120" s="9"/>
      <c r="E120" s="9"/>
    </row>
    <row r="121" spans="2:5">
      <c r="B121" s="11"/>
      <c r="D121" s="9"/>
      <c r="E121" s="9"/>
    </row>
    <row r="122" spans="2:5">
      <c r="B122" s="11"/>
      <c r="D122" s="9"/>
      <c r="E122" s="9"/>
    </row>
    <row r="123" spans="2:5">
      <c r="B123" s="11"/>
      <c r="D123" s="9"/>
      <c r="E123" s="9"/>
    </row>
    <row r="124" spans="2:5">
      <c r="B124" s="11"/>
      <c r="D124" s="9"/>
      <c r="E124" s="9"/>
    </row>
    <row r="125" spans="2:5">
      <c r="B125" s="11"/>
      <c r="D125" s="9"/>
      <c r="E125" s="9"/>
    </row>
    <row r="126" spans="2:5">
      <c r="B126" s="11"/>
      <c r="D126" s="9"/>
      <c r="E126" s="9"/>
    </row>
    <row r="127" spans="2:5">
      <c r="B127" s="11"/>
      <c r="D127" s="9"/>
      <c r="E127" s="9"/>
    </row>
    <row r="128" spans="2:5">
      <c r="B128" s="11"/>
      <c r="D128" s="9"/>
      <c r="E128" s="9"/>
    </row>
    <row r="129" spans="2:5">
      <c r="B129" s="11"/>
      <c r="D129" s="9"/>
      <c r="E129" s="9"/>
    </row>
    <row r="130" spans="2:5">
      <c r="B130" s="11"/>
      <c r="D130" s="9"/>
      <c r="E130" s="9"/>
    </row>
    <row r="131" spans="2:5">
      <c r="B131" s="11"/>
      <c r="D131" s="9"/>
      <c r="E131" s="9"/>
    </row>
    <row r="132" spans="2:5">
      <c r="B132" s="11"/>
      <c r="D132" s="9"/>
      <c r="E132" s="9"/>
    </row>
    <row r="133" spans="2:5">
      <c r="B133" s="11"/>
      <c r="D133" s="9"/>
      <c r="E133" s="9"/>
    </row>
    <row r="134" spans="2:5">
      <c r="B134" s="11"/>
      <c r="D134" s="9"/>
      <c r="E134" s="9"/>
    </row>
    <row r="135" spans="2:5">
      <c r="B135" s="11"/>
      <c r="D135" s="9"/>
      <c r="E135" s="9"/>
    </row>
    <row r="136" spans="2:5">
      <c r="B136" s="11"/>
      <c r="D136" s="9"/>
      <c r="E136" s="9"/>
    </row>
    <row r="137" spans="2:5">
      <c r="B137" s="11"/>
      <c r="D137" s="9"/>
      <c r="E137" s="9"/>
    </row>
    <row r="138" spans="2:5">
      <c r="B138" s="11"/>
      <c r="D138" s="9"/>
      <c r="E138" s="9"/>
    </row>
    <row r="139" spans="2:5">
      <c r="B139" s="11"/>
      <c r="D139" s="9"/>
      <c r="E139" s="9"/>
    </row>
    <row r="140" spans="2:5">
      <c r="B140" s="11"/>
      <c r="D140" s="9"/>
      <c r="E140" s="9"/>
    </row>
    <row r="141" spans="2:5">
      <c r="B141" s="11"/>
      <c r="D141" s="9"/>
      <c r="E141" s="9"/>
    </row>
    <row r="142" spans="2:5">
      <c r="B142" s="11"/>
      <c r="D142" s="9"/>
      <c r="E142" s="9"/>
    </row>
    <row r="143" spans="2:5">
      <c r="B143" s="11"/>
      <c r="D143" s="9"/>
      <c r="E143" s="9"/>
    </row>
    <row r="144" spans="2:5">
      <c r="B144" s="11"/>
      <c r="D144" s="9"/>
      <c r="E144" s="9"/>
    </row>
    <row r="145" spans="2:5">
      <c r="B145" s="11"/>
      <c r="D145" s="9"/>
      <c r="E145" s="9"/>
    </row>
    <row r="146" spans="2:5">
      <c r="B146" s="11"/>
      <c r="D146" s="9"/>
      <c r="E146" s="9"/>
    </row>
    <row r="147" spans="2:5">
      <c r="B147" s="11"/>
      <c r="D147" s="9"/>
      <c r="E147" s="9"/>
    </row>
    <row r="148" spans="2:5">
      <c r="B148" s="11"/>
      <c r="D148" s="9"/>
      <c r="E148" s="9"/>
    </row>
    <row r="149" spans="2:5">
      <c r="B149" s="11"/>
      <c r="D149" s="9"/>
      <c r="E149" s="9"/>
    </row>
    <row r="150" spans="2:5">
      <c r="B150" s="11"/>
      <c r="D150" s="9"/>
      <c r="E150" s="9"/>
    </row>
    <row r="151" spans="2:5">
      <c r="B151" s="11"/>
      <c r="D151" s="9"/>
      <c r="E151" s="9"/>
    </row>
    <row r="152" spans="2:5">
      <c r="B152" s="11"/>
      <c r="D152" s="9"/>
      <c r="E152" s="9"/>
    </row>
    <row r="153" spans="2:5">
      <c r="B153" s="11"/>
      <c r="D153" s="9"/>
      <c r="E153" s="9"/>
    </row>
    <row r="154" spans="2:5">
      <c r="B154" s="11"/>
      <c r="D154" s="9"/>
      <c r="E154" s="9"/>
    </row>
    <row r="155" spans="2:5">
      <c r="B155" s="11"/>
      <c r="D155" s="9"/>
      <c r="E155" s="9"/>
    </row>
    <row r="156" spans="2:5">
      <c r="B156" s="11"/>
      <c r="D156" s="9"/>
      <c r="E156" s="9"/>
    </row>
    <row r="157" spans="2:5">
      <c r="B157" s="11"/>
      <c r="D157" s="9"/>
      <c r="E157" s="9"/>
    </row>
    <row r="158" spans="2:5">
      <c r="B158" s="11"/>
      <c r="D158" s="9"/>
      <c r="E158" s="9"/>
    </row>
    <row r="159" spans="2:5">
      <c r="B159" s="11"/>
      <c r="D159" s="9"/>
      <c r="E159" s="9"/>
    </row>
    <row r="160" spans="2:5">
      <c r="B160" s="11"/>
      <c r="D160" s="9"/>
      <c r="E160" s="9"/>
    </row>
    <row r="161" spans="2:5">
      <c r="B161" s="11"/>
      <c r="D161" s="9"/>
      <c r="E161" s="9"/>
    </row>
    <row r="162" spans="2:5">
      <c r="B162" s="11"/>
      <c r="D162" s="9"/>
      <c r="E162" s="9"/>
    </row>
    <row r="163" spans="2:5">
      <c r="B163" s="11"/>
      <c r="D163" s="9"/>
      <c r="E163" s="9"/>
    </row>
    <row r="164" spans="2:5">
      <c r="B164" s="11"/>
      <c r="D164" s="9"/>
      <c r="E164" s="9"/>
    </row>
    <row r="165" spans="2:5">
      <c r="B165" s="11"/>
      <c r="D165" s="9"/>
      <c r="E165" s="9"/>
    </row>
    <row r="166" spans="2:5">
      <c r="B166" s="11"/>
      <c r="D166" s="9"/>
      <c r="E166" s="9"/>
    </row>
    <row r="167" spans="2:5">
      <c r="B167" s="11"/>
      <c r="D167" s="9"/>
      <c r="E167" s="9"/>
    </row>
    <row r="168" spans="2:5">
      <c r="B168" s="11"/>
      <c r="D168" s="9"/>
      <c r="E168" s="9"/>
    </row>
    <row r="169" spans="2:5">
      <c r="B169" s="11"/>
      <c r="D169" s="9"/>
      <c r="E169" s="9"/>
    </row>
    <row r="170" spans="2:5">
      <c r="B170" s="11"/>
      <c r="D170" s="9"/>
      <c r="E170" s="9"/>
    </row>
    <row r="171" spans="2:5">
      <c r="B171" s="11"/>
      <c r="D171" s="9"/>
      <c r="E171" s="9"/>
    </row>
    <row r="172" spans="2:5">
      <c r="B172" s="11"/>
      <c r="D172" s="9"/>
      <c r="E172" s="9"/>
    </row>
    <row r="173" spans="2:5">
      <c r="B173" s="11"/>
      <c r="D173" s="9"/>
      <c r="E173" s="9"/>
    </row>
    <row r="174" spans="2:5">
      <c r="B174" s="11"/>
      <c r="D174" s="9"/>
      <c r="E174" s="9"/>
    </row>
    <row r="175" spans="2:5">
      <c r="B175" s="11"/>
      <c r="D175" s="9"/>
      <c r="E175" s="9"/>
    </row>
    <row r="176" spans="2:5">
      <c r="B176" s="11"/>
      <c r="D176" s="9"/>
      <c r="E176" s="9"/>
    </row>
    <row r="177" spans="2:5">
      <c r="B177" s="11"/>
      <c r="D177" s="9"/>
      <c r="E177" s="9"/>
    </row>
    <row r="178" spans="2:5">
      <c r="B178" s="11"/>
      <c r="D178" s="9"/>
      <c r="E178" s="9"/>
    </row>
    <row r="179" spans="2:5">
      <c r="B179" s="11"/>
      <c r="D179" s="9"/>
      <c r="E179" s="9"/>
    </row>
    <row r="180" spans="2:5">
      <c r="B180" s="11"/>
      <c r="D180" s="9"/>
      <c r="E180" s="9"/>
    </row>
    <row r="181" spans="2:5">
      <c r="B181" s="11"/>
      <c r="D181" s="9"/>
      <c r="E181" s="9"/>
    </row>
    <row r="182" spans="2:5">
      <c r="B182" s="11"/>
      <c r="D182" s="9"/>
      <c r="E182" s="9"/>
    </row>
    <row r="183" spans="2:5">
      <c r="B183" s="11"/>
      <c r="D183" s="9"/>
      <c r="E183" s="9"/>
    </row>
    <row r="184" spans="2:5">
      <c r="B184" s="11"/>
      <c r="D184" s="9"/>
      <c r="E184" s="9"/>
    </row>
    <row r="185" spans="2:5">
      <c r="B185" s="11"/>
      <c r="D185" s="9"/>
      <c r="E185" s="9"/>
    </row>
    <row r="186" spans="2:5">
      <c r="B186" s="11"/>
      <c r="D186" s="9"/>
      <c r="E186" s="9"/>
    </row>
    <row r="187" spans="2:5">
      <c r="B187" s="11"/>
      <c r="D187" s="9"/>
      <c r="E187" s="9"/>
    </row>
    <row r="188" spans="2:5">
      <c r="B188" s="11"/>
      <c r="D188" s="9"/>
      <c r="E188" s="9"/>
    </row>
    <row r="189" spans="2:5">
      <c r="B189" s="11"/>
      <c r="D189" s="9"/>
      <c r="E189" s="9"/>
    </row>
    <row r="190" spans="2:5">
      <c r="B190" s="11"/>
      <c r="D190" s="9"/>
      <c r="E190" s="9"/>
    </row>
    <row r="191" spans="2:5">
      <c r="B191" s="11"/>
      <c r="D191" s="9"/>
      <c r="E191" s="9"/>
    </row>
    <row r="192" spans="2:5">
      <c r="B192" s="11"/>
      <c r="D192" s="9"/>
      <c r="E192" s="9"/>
    </row>
    <row r="193" spans="2:5">
      <c r="B193" s="11"/>
      <c r="D193" s="9"/>
      <c r="E193" s="9"/>
    </row>
    <row r="194" spans="2:5">
      <c r="B194" s="11"/>
      <c r="D194" s="9"/>
      <c r="E194" s="9"/>
    </row>
    <row r="195" spans="2:5">
      <c r="B195" s="11"/>
      <c r="D195" s="9"/>
      <c r="E195" s="9"/>
    </row>
    <row r="196" spans="2:5">
      <c r="B196" s="11"/>
      <c r="D196" s="9"/>
      <c r="E196" s="9"/>
    </row>
    <row r="197" spans="2:5">
      <c r="B197" s="11"/>
      <c r="D197" s="9"/>
      <c r="E197" s="9"/>
    </row>
    <row r="198" spans="2:5">
      <c r="B198" s="11"/>
      <c r="D198" s="9"/>
      <c r="E198" s="9"/>
    </row>
    <row r="199" spans="2:5">
      <c r="D199" s="9"/>
      <c r="E199" s="9"/>
    </row>
    <row r="200" spans="2:5">
      <c r="D200" s="9"/>
      <c r="E200" s="9"/>
    </row>
    <row r="201" spans="2:5">
      <c r="D201" s="9"/>
      <c r="E201" s="9"/>
    </row>
    <row r="202" spans="2:5">
      <c r="D202" s="9"/>
      <c r="E202" s="9"/>
    </row>
    <row r="203" spans="2:5">
      <c r="D203" s="9"/>
      <c r="E203" s="9"/>
    </row>
    <row r="204" spans="2:5">
      <c r="D204" s="9"/>
      <c r="E204" s="9"/>
    </row>
    <row r="205" spans="2:5">
      <c r="D205" s="9"/>
      <c r="E205" s="9"/>
    </row>
    <row r="206" spans="2:5">
      <c r="D206" s="9"/>
      <c r="E206" s="9"/>
    </row>
    <row r="207" spans="2:5">
      <c r="D207" s="9"/>
      <c r="E207" s="9"/>
    </row>
    <row r="208" spans="2:5">
      <c r="D208" s="9"/>
      <c r="E208" s="9"/>
    </row>
    <row r="209" spans="4:5">
      <c r="D209" s="9"/>
      <c r="E209" s="9"/>
    </row>
    <row r="210" spans="4:5">
      <c r="D210" s="9"/>
      <c r="E210" s="9"/>
    </row>
    <row r="211" spans="4:5">
      <c r="D211" s="9"/>
      <c r="E211" s="9"/>
    </row>
    <row r="212" spans="4:5">
      <c r="D212" s="9"/>
      <c r="E212" s="9"/>
    </row>
    <row r="213" spans="4:5">
      <c r="D213" s="9"/>
      <c r="E213" s="9"/>
    </row>
    <row r="214" spans="4:5">
      <c r="D214" s="9"/>
      <c r="E214" s="9"/>
    </row>
    <row r="215" spans="4:5">
      <c r="D215" s="9"/>
      <c r="E215" s="9"/>
    </row>
    <row r="216" spans="4:5">
      <c r="D216" s="9"/>
      <c r="E216" s="9"/>
    </row>
    <row r="217" spans="4:5">
      <c r="D217" s="9"/>
      <c r="E217" s="9"/>
    </row>
    <row r="218" spans="4:5">
      <c r="D218" s="9"/>
      <c r="E218" s="9"/>
    </row>
    <row r="219" spans="4:5">
      <c r="D219" s="9"/>
      <c r="E219" s="9"/>
    </row>
    <row r="220" spans="4:5">
      <c r="D220" s="9"/>
      <c r="E220" s="9"/>
    </row>
    <row r="221" spans="4:5">
      <c r="D221" s="9"/>
      <c r="E221" s="9"/>
    </row>
    <row r="222" spans="4:5">
      <c r="D222" s="9"/>
      <c r="E222" s="9"/>
    </row>
    <row r="223" spans="4:5">
      <c r="D223" s="9"/>
      <c r="E223" s="9"/>
    </row>
    <row r="224" spans="4:5">
      <c r="D224" s="9"/>
      <c r="E224" s="9"/>
    </row>
    <row r="225" spans="4:5">
      <c r="D225" s="9"/>
      <c r="E225" s="9"/>
    </row>
    <row r="226" spans="4:5">
      <c r="D226" s="9"/>
      <c r="E226" s="9"/>
    </row>
    <row r="227" spans="4:5">
      <c r="D227" s="9"/>
      <c r="E227" s="9"/>
    </row>
    <row r="228" spans="4:5">
      <c r="D228" s="9"/>
      <c r="E228" s="9"/>
    </row>
    <row r="229" spans="4:5">
      <c r="D229" s="9"/>
      <c r="E229" s="9"/>
    </row>
    <row r="230" spans="4:5">
      <c r="D230" s="9"/>
      <c r="E230" s="9"/>
    </row>
    <row r="231" spans="4:5">
      <c r="D231" s="9"/>
      <c r="E231" s="9"/>
    </row>
    <row r="232" spans="4:5">
      <c r="D232" s="9"/>
      <c r="E232" s="9"/>
    </row>
    <row r="233" spans="4:5">
      <c r="D233" s="9"/>
      <c r="E233" s="9"/>
    </row>
    <row r="234" spans="4:5">
      <c r="D234" s="9"/>
      <c r="E234" s="9"/>
    </row>
    <row r="235" spans="4:5">
      <c r="D235" s="9"/>
      <c r="E235" s="9"/>
    </row>
    <row r="236" spans="4:5">
      <c r="D236" s="9"/>
      <c r="E236" s="9"/>
    </row>
    <row r="237" spans="4:5">
      <c r="D237" s="9"/>
      <c r="E237" s="9"/>
    </row>
    <row r="238" spans="4:5">
      <c r="D238" s="9"/>
      <c r="E238" s="9"/>
    </row>
    <row r="239" spans="4:5">
      <c r="D239" s="9"/>
      <c r="E239" s="9"/>
    </row>
    <row r="240" spans="4:5">
      <c r="D240" s="9"/>
      <c r="E240" s="9"/>
    </row>
    <row r="241" spans="4:5">
      <c r="D241" s="9"/>
      <c r="E241" s="9"/>
    </row>
    <row r="242" spans="4:5">
      <c r="D242" s="9"/>
      <c r="E242" s="9"/>
    </row>
    <row r="243" spans="4:5">
      <c r="D243" s="9"/>
      <c r="E243" s="9"/>
    </row>
    <row r="244" spans="4:5">
      <c r="D244" s="9"/>
      <c r="E244" s="9"/>
    </row>
    <row r="245" spans="4:5">
      <c r="D245" s="9"/>
      <c r="E245" s="9"/>
    </row>
    <row r="246" spans="4:5">
      <c r="D246" s="9"/>
      <c r="E246" s="9"/>
    </row>
    <row r="247" spans="4:5">
      <c r="D247" s="9"/>
      <c r="E247" s="9"/>
    </row>
    <row r="248" spans="4:5">
      <c r="D248" s="9"/>
      <c r="E248" s="9"/>
    </row>
    <row r="249" spans="4:5">
      <c r="D249" s="9"/>
      <c r="E249" s="9"/>
    </row>
    <row r="250" spans="4:5">
      <c r="D250" s="9"/>
      <c r="E250" s="9"/>
    </row>
    <row r="251" spans="4:5">
      <c r="D251" s="9"/>
      <c r="E251" s="9"/>
    </row>
    <row r="252" spans="4:5">
      <c r="D252" s="9"/>
      <c r="E252" s="9"/>
    </row>
    <row r="253" spans="4:5">
      <c r="D253" s="9"/>
      <c r="E253" s="9"/>
    </row>
    <row r="254" spans="4:5">
      <c r="D254" s="9"/>
      <c r="E254" s="9"/>
    </row>
    <row r="255" spans="4:5">
      <c r="D255" s="9"/>
      <c r="E255" s="9"/>
    </row>
    <row r="256" spans="4:5">
      <c r="D256" s="9"/>
      <c r="E256" s="9"/>
    </row>
    <row r="257" spans="4:5">
      <c r="D257" s="9"/>
      <c r="E257" s="9"/>
    </row>
    <row r="258" spans="4:5">
      <c r="D258" s="9"/>
      <c r="E258" s="9"/>
    </row>
    <row r="259" spans="4:5">
      <c r="D259" s="9"/>
      <c r="E259" s="9"/>
    </row>
    <row r="260" spans="4:5">
      <c r="D260" s="9"/>
      <c r="E260" s="9"/>
    </row>
    <row r="261" spans="4:5">
      <c r="D261" s="9"/>
      <c r="E261" s="9"/>
    </row>
    <row r="262" spans="4:5">
      <c r="D262" s="9"/>
      <c r="E262" s="9"/>
    </row>
    <row r="263" spans="4:5">
      <c r="D263" s="9"/>
      <c r="E263" s="9"/>
    </row>
    <row r="264" spans="4:5">
      <c r="D264" s="9"/>
      <c r="E264" s="9"/>
    </row>
    <row r="265" spans="4:5">
      <c r="D265" s="9"/>
      <c r="E265" s="9"/>
    </row>
    <row r="266" spans="4:5">
      <c r="D266" s="9"/>
      <c r="E266" s="9"/>
    </row>
    <row r="267" spans="4:5">
      <c r="D267" s="9"/>
      <c r="E267" s="9"/>
    </row>
    <row r="268" spans="4:5">
      <c r="D268" s="9"/>
      <c r="E268" s="9"/>
    </row>
    <row r="269" spans="4:5">
      <c r="D269" s="9"/>
      <c r="E269" s="9"/>
    </row>
    <row r="270" spans="4:5">
      <c r="D270" s="9"/>
      <c r="E270" s="9"/>
    </row>
    <row r="271" spans="4:5">
      <c r="D271" s="9"/>
      <c r="E271" s="9"/>
    </row>
    <row r="272" spans="4:5">
      <c r="D272" s="9"/>
      <c r="E272" s="9"/>
    </row>
    <row r="273" spans="4:5">
      <c r="D273" s="9"/>
      <c r="E273" s="9"/>
    </row>
    <row r="274" spans="4:5">
      <c r="D274" s="9"/>
      <c r="E274" s="9"/>
    </row>
    <row r="275" spans="4:5">
      <c r="D275" s="9"/>
      <c r="E275" s="9"/>
    </row>
    <row r="276" spans="4:5">
      <c r="D276" s="9"/>
      <c r="E276" s="9"/>
    </row>
    <row r="277" spans="4:5">
      <c r="D277" s="9"/>
      <c r="E277" s="9"/>
    </row>
    <row r="278" spans="4:5">
      <c r="D278" s="9"/>
      <c r="E278" s="9"/>
    </row>
    <row r="279" spans="4:5">
      <c r="D279" s="9"/>
      <c r="E279" s="9"/>
    </row>
    <row r="280" spans="4:5">
      <c r="D280" s="9"/>
      <c r="E280" s="9"/>
    </row>
    <row r="281" spans="4:5">
      <c r="D281" s="9"/>
      <c r="E281" s="9"/>
    </row>
    <row r="282" spans="4:5">
      <c r="D282" s="9"/>
      <c r="E282" s="9"/>
    </row>
    <row r="283" spans="4:5">
      <c r="D283" s="9"/>
      <c r="E283" s="9"/>
    </row>
    <row r="284" spans="4:5">
      <c r="D284" s="9"/>
      <c r="E284" s="9"/>
    </row>
    <row r="285" spans="4:5">
      <c r="D285" s="9"/>
      <c r="E285" s="9"/>
    </row>
    <row r="286" spans="4:5">
      <c r="D286" s="9"/>
      <c r="E286" s="9"/>
    </row>
    <row r="287" spans="4:5">
      <c r="D287" s="9"/>
      <c r="E287" s="9"/>
    </row>
    <row r="288" spans="4:5">
      <c r="D288" s="9"/>
      <c r="E288" s="9"/>
    </row>
    <row r="289" spans="4:5">
      <c r="D289" s="9"/>
      <c r="E289" s="9"/>
    </row>
    <row r="290" spans="4:5">
      <c r="D290" s="9"/>
      <c r="E290" s="9"/>
    </row>
    <row r="291" spans="4:5">
      <c r="D291" s="9"/>
      <c r="E291" s="9"/>
    </row>
    <row r="292" spans="4:5">
      <c r="D292" s="9"/>
      <c r="E292" s="9"/>
    </row>
    <row r="293" spans="4:5">
      <c r="D293" s="9"/>
      <c r="E293" s="9"/>
    </row>
    <row r="294" spans="4:5">
      <c r="D294" s="9"/>
      <c r="E294" s="9"/>
    </row>
    <row r="295" spans="4:5">
      <c r="D295" s="9"/>
      <c r="E295" s="9"/>
    </row>
    <row r="296" spans="4:5">
      <c r="D296" s="9"/>
      <c r="E296" s="9"/>
    </row>
    <row r="297" spans="4:5">
      <c r="D297" s="9"/>
      <c r="E297" s="9"/>
    </row>
    <row r="298" spans="4:5">
      <c r="D298" s="9"/>
      <c r="E298" s="9"/>
    </row>
    <row r="299" spans="4:5">
      <c r="D299" s="9"/>
      <c r="E299" s="9"/>
    </row>
    <row r="300" spans="4:5">
      <c r="D300" s="9"/>
      <c r="E300" s="9"/>
    </row>
    <row r="301" spans="4:5">
      <c r="D301" s="9"/>
      <c r="E301" s="9"/>
    </row>
    <row r="302" spans="4:5">
      <c r="D302" s="9"/>
      <c r="E302" s="9"/>
    </row>
    <row r="303" spans="4:5">
      <c r="D303" s="9"/>
      <c r="E303" s="9"/>
    </row>
    <row r="304" spans="4:5">
      <c r="D304" s="9"/>
      <c r="E304" s="9"/>
    </row>
    <row r="305" spans="4:5">
      <c r="D305" s="9"/>
      <c r="E305" s="9"/>
    </row>
    <row r="306" spans="4:5">
      <c r="D306" s="9"/>
      <c r="E306" s="9"/>
    </row>
    <row r="307" spans="4:5">
      <c r="D307" s="9"/>
      <c r="E307" s="9"/>
    </row>
    <row r="308" spans="4:5">
      <c r="D308" s="9"/>
      <c r="E308" s="9"/>
    </row>
    <row r="309" spans="4:5">
      <c r="D309" s="9"/>
      <c r="E309" s="9"/>
    </row>
    <row r="310" spans="4:5">
      <c r="D310" s="9"/>
      <c r="E310" s="9"/>
    </row>
    <row r="311" spans="4:5">
      <c r="D311" s="9"/>
      <c r="E311" s="9"/>
    </row>
    <row r="312" spans="4:5">
      <c r="D312" s="9"/>
      <c r="E312" s="9"/>
    </row>
    <row r="313" spans="4:5">
      <c r="D313" s="9"/>
      <c r="E313" s="9"/>
    </row>
    <row r="314" spans="4:5">
      <c r="D314" s="9"/>
      <c r="E314" s="9"/>
    </row>
    <row r="315" spans="4:5">
      <c r="D315" s="9"/>
      <c r="E315" s="9"/>
    </row>
    <row r="316" spans="4:5">
      <c r="D316" s="9"/>
      <c r="E316" s="9"/>
    </row>
    <row r="317" spans="4:5">
      <c r="D317" s="9"/>
      <c r="E317" s="9"/>
    </row>
    <row r="318" spans="4:5">
      <c r="D318" s="9"/>
      <c r="E318" s="9"/>
    </row>
    <row r="319" spans="4:5">
      <c r="D319" s="9"/>
      <c r="E319" s="9"/>
    </row>
    <row r="320" spans="4:5">
      <c r="D320" s="9"/>
      <c r="E320" s="9"/>
    </row>
    <row r="321" spans="4:5">
      <c r="D321" s="9"/>
      <c r="E321" s="9"/>
    </row>
    <row r="322" spans="4:5">
      <c r="D322" s="9"/>
      <c r="E322" s="9"/>
    </row>
    <row r="323" spans="4:5">
      <c r="D323" s="9"/>
      <c r="E323" s="9"/>
    </row>
    <row r="324" spans="4:5">
      <c r="D324" s="9"/>
      <c r="E324" s="9"/>
    </row>
    <row r="325" spans="4:5">
      <c r="D325" s="9"/>
      <c r="E325" s="9"/>
    </row>
    <row r="326" spans="4:5">
      <c r="D326" s="9"/>
      <c r="E326" s="9"/>
    </row>
    <row r="327" spans="4:5">
      <c r="D327" s="9"/>
      <c r="E327" s="9"/>
    </row>
    <row r="328" spans="4:5">
      <c r="D328" s="9"/>
      <c r="E328" s="9"/>
    </row>
    <row r="329" spans="4:5">
      <c r="D329" s="9"/>
      <c r="E329" s="9"/>
    </row>
    <row r="330" spans="4:5">
      <c r="D330" s="9"/>
      <c r="E330" s="9"/>
    </row>
    <row r="331" spans="4:5">
      <c r="D331" s="9"/>
      <c r="E331" s="9"/>
    </row>
    <row r="332" spans="4:5">
      <c r="D332" s="9"/>
      <c r="E332" s="9"/>
    </row>
    <row r="333" spans="4:5">
      <c r="D333" s="9"/>
      <c r="E333" s="9"/>
    </row>
    <row r="334" spans="4:5">
      <c r="D334" s="9"/>
      <c r="E334" s="9"/>
    </row>
    <row r="335" spans="4:5">
      <c r="D335" s="9"/>
      <c r="E335" s="9"/>
    </row>
    <row r="336" spans="4:5">
      <c r="D336" s="9"/>
      <c r="E336" s="9"/>
    </row>
    <row r="337" spans="4:5">
      <c r="D337" s="9"/>
      <c r="E337" s="9"/>
    </row>
    <row r="338" spans="4:5">
      <c r="D338" s="9"/>
      <c r="E338" s="9"/>
    </row>
    <row r="339" spans="4:5">
      <c r="D339" s="9"/>
      <c r="E339" s="9"/>
    </row>
    <row r="340" spans="4:5">
      <c r="D340" s="9"/>
      <c r="E340" s="9"/>
    </row>
    <row r="341" spans="4:5">
      <c r="D341" s="9"/>
      <c r="E341" s="9"/>
    </row>
    <row r="342" spans="4:5">
      <c r="D342" s="9"/>
      <c r="E342" s="9"/>
    </row>
    <row r="343" spans="4:5">
      <c r="D343" s="9"/>
      <c r="E343" s="9"/>
    </row>
    <row r="344" spans="4:5">
      <c r="D344" s="9"/>
      <c r="E344" s="9"/>
    </row>
    <row r="345" spans="4:5">
      <c r="D345" s="9"/>
      <c r="E345" s="9"/>
    </row>
    <row r="346" spans="4:5">
      <c r="D346" s="9"/>
      <c r="E346" s="9"/>
    </row>
    <row r="347" spans="4:5">
      <c r="D347" s="9"/>
      <c r="E347" s="9"/>
    </row>
    <row r="348" spans="4:5">
      <c r="D348" s="9"/>
      <c r="E348" s="9"/>
    </row>
    <row r="349" spans="4:5">
      <c r="D349" s="9"/>
      <c r="E349" s="9"/>
    </row>
    <row r="350" spans="4:5">
      <c r="D350" s="9"/>
      <c r="E350" s="9"/>
    </row>
    <row r="351" spans="4:5">
      <c r="D351" s="9"/>
      <c r="E351" s="9"/>
    </row>
    <row r="352" spans="4:5">
      <c r="D352" s="9"/>
      <c r="E352" s="9"/>
    </row>
    <row r="353" spans="4:5">
      <c r="D353" s="9"/>
      <c r="E353" s="9"/>
    </row>
    <row r="354" spans="4:5">
      <c r="D354" s="9"/>
      <c r="E354" s="9"/>
    </row>
    <row r="355" spans="4:5">
      <c r="D355" s="9"/>
      <c r="E355" s="9"/>
    </row>
    <row r="356" spans="4:5">
      <c r="D356" s="9"/>
      <c r="E356" s="9"/>
    </row>
    <row r="357" spans="4:5">
      <c r="D357" s="9"/>
      <c r="E357" s="9"/>
    </row>
    <row r="358" spans="4:5">
      <c r="D358" s="9"/>
      <c r="E358" s="9"/>
    </row>
    <row r="359" spans="4:5">
      <c r="D359" s="9"/>
      <c r="E359" s="9"/>
    </row>
    <row r="360" spans="4:5">
      <c r="D360" s="9"/>
      <c r="E360" s="9"/>
    </row>
    <row r="361" spans="4:5">
      <c r="D361" s="9"/>
      <c r="E361" s="9"/>
    </row>
    <row r="362" spans="4:5">
      <c r="D362" s="9"/>
      <c r="E362" s="9"/>
    </row>
    <row r="363" spans="4:5">
      <c r="D363" s="9"/>
      <c r="E363" s="9"/>
    </row>
    <row r="364" spans="4:5">
      <c r="D364" s="9"/>
      <c r="E364" s="9"/>
    </row>
    <row r="365" spans="4:5">
      <c r="D365" s="9"/>
      <c r="E365" s="9"/>
    </row>
    <row r="366" spans="4:5">
      <c r="D366" s="9"/>
      <c r="E366" s="9"/>
    </row>
    <row r="367" spans="4:5">
      <c r="D367" s="9"/>
      <c r="E367" s="9"/>
    </row>
    <row r="368" spans="4:5">
      <c r="D368" s="9"/>
      <c r="E368" s="9"/>
    </row>
    <row r="369" spans="4:5">
      <c r="D369" s="9"/>
      <c r="E369" s="9"/>
    </row>
    <row r="370" spans="4:5">
      <c r="D370" s="9"/>
      <c r="E370" s="9"/>
    </row>
    <row r="371" spans="4:5">
      <c r="D371" s="9"/>
      <c r="E371" s="9"/>
    </row>
    <row r="372" spans="4:5">
      <c r="D372" s="9"/>
      <c r="E372" s="9"/>
    </row>
    <row r="373" spans="4:5">
      <c r="D373" s="9"/>
      <c r="E373" s="9"/>
    </row>
    <row r="374" spans="4:5">
      <c r="D374" s="9"/>
      <c r="E374" s="9"/>
    </row>
    <row r="375" spans="4:5">
      <c r="D375" s="9"/>
      <c r="E375" s="9"/>
    </row>
    <row r="376" spans="4:5">
      <c r="D376" s="9"/>
      <c r="E376" s="9"/>
    </row>
    <row r="377" spans="4:5">
      <c r="D377" s="9"/>
      <c r="E377" s="9"/>
    </row>
    <row r="378" spans="4:5">
      <c r="D378" s="9"/>
      <c r="E378" s="9"/>
    </row>
    <row r="379" spans="4:5">
      <c r="D379" s="9"/>
      <c r="E379" s="9"/>
    </row>
    <row r="380" spans="4:5">
      <c r="D380" s="9"/>
      <c r="E380" s="9"/>
    </row>
    <row r="381" spans="4:5">
      <c r="D381" s="9"/>
      <c r="E381" s="9"/>
    </row>
    <row r="382" spans="4:5">
      <c r="D382" s="9"/>
      <c r="E382" s="9"/>
    </row>
    <row r="383" spans="4:5">
      <c r="D383" s="9"/>
      <c r="E383" s="9"/>
    </row>
    <row r="384" spans="4:5">
      <c r="D384" s="9"/>
      <c r="E384" s="9"/>
    </row>
    <row r="385" spans="4:5">
      <c r="D385" s="9"/>
      <c r="E385" s="9"/>
    </row>
    <row r="386" spans="4:5">
      <c r="D386" s="9"/>
      <c r="E386" s="9"/>
    </row>
    <row r="387" spans="4:5">
      <c r="D387" s="9"/>
      <c r="E387" s="9"/>
    </row>
    <row r="388" spans="4:5">
      <c r="D388" s="9"/>
      <c r="E388" s="9"/>
    </row>
    <row r="389" spans="4:5">
      <c r="D389" s="9"/>
      <c r="E389" s="9"/>
    </row>
    <row r="390" spans="4:5">
      <c r="D390" s="9"/>
      <c r="E390" s="9"/>
    </row>
    <row r="391" spans="4:5">
      <c r="D391" s="9"/>
      <c r="E391" s="9"/>
    </row>
    <row r="392" spans="4:5">
      <c r="D392" s="9"/>
      <c r="E392" s="9"/>
    </row>
    <row r="393" spans="4:5">
      <c r="D393" s="9"/>
      <c r="E393" s="9"/>
    </row>
    <row r="394" spans="4:5">
      <c r="D394" s="9"/>
      <c r="E394" s="9"/>
    </row>
    <row r="395" spans="4:5">
      <c r="D395" s="9"/>
      <c r="E395" s="9"/>
    </row>
    <row r="396" spans="4:5">
      <c r="D396" s="9"/>
      <c r="E396" s="9"/>
    </row>
    <row r="397" spans="4:5">
      <c r="D397" s="9"/>
      <c r="E397" s="9"/>
    </row>
    <row r="398" spans="4:5">
      <c r="D398" s="9"/>
      <c r="E398" s="9"/>
    </row>
    <row r="399" spans="4:5">
      <c r="D399" s="9"/>
      <c r="E399" s="9"/>
    </row>
    <row r="400" spans="4:5">
      <c r="D400" s="9"/>
      <c r="E400" s="9"/>
    </row>
    <row r="401" spans="4:5">
      <c r="D401" s="9"/>
      <c r="E401" s="9"/>
    </row>
    <row r="402" spans="4:5">
      <c r="D402" s="9"/>
      <c r="E402" s="9"/>
    </row>
    <row r="403" spans="4:5">
      <c r="D403" s="9"/>
      <c r="E403" s="9"/>
    </row>
    <row r="404" spans="4:5">
      <c r="D404" s="9"/>
      <c r="E404" s="9"/>
    </row>
    <row r="405" spans="4:5">
      <c r="D405" s="9"/>
      <c r="E405" s="9"/>
    </row>
    <row r="406" spans="4:5">
      <c r="D406" s="9"/>
      <c r="E406" s="9"/>
    </row>
    <row r="407" spans="4:5">
      <c r="D407" s="9"/>
      <c r="E407" s="9"/>
    </row>
    <row r="408" spans="4:5">
      <c r="D408" s="9"/>
      <c r="E408" s="9"/>
    </row>
    <row r="409" spans="4:5">
      <c r="D409" s="9"/>
      <c r="E409" s="9"/>
    </row>
    <row r="410" spans="4:5">
      <c r="D410" s="9"/>
      <c r="E410" s="9"/>
    </row>
    <row r="411" spans="4:5">
      <c r="D411" s="9"/>
      <c r="E411" s="9"/>
    </row>
    <row r="412" spans="4:5">
      <c r="D412" s="9"/>
      <c r="E412" s="9"/>
    </row>
    <row r="413" spans="4:5">
      <c r="D413" s="9"/>
      <c r="E413" s="9"/>
    </row>
    <row r="414" spans="4:5">
      <c r="D414" s="9"/>
      <c r="E414" s="9"/>
    </row>
    <row r="415" spans="4:5">
      <c r="D415" s="9"/>
      <c r="E415" s="9"/>
    </row>
    <row r="416" spans="4:5">
      <c r="D416" s="9"/>
      <c r="E416" s="9"/>
    </row>
    <row r="417" spans="4:5">
      <c r="D417" s="9"/>
      <c r="E417" s="9"/>
    </row>
    <row r="418" spans="4:5">
      <c r="D418" s="9"/>
      <c r="E418" s="9"/>
    </row>
    <row r="419" spans="4:5">
      <c r="D419" s="9"/>
      <c r="E419" s="9"/>
    </row>
    <row r="420" spans="4:5">
      <c r="D420" s="9"/>
      <c r="E420" s="9"/>
    </row>
    <row r="421" spans="4:5">
      <c r="D421" s="9"/>
      <c r="E421" s="9"/>
    </row>
    <row r="422" spans="4:5">
      <c r="D422" s="9"/>
      <c r="E422" s="9"/>
    </row>
    <row r="423" spans="4:5">
      <c r="D423" s="9"/>
      <c r="E423" s="9"/>
    </row>
    <row r="424" spans="4:5">
      <c r="D424" s="9"/>
      <c r="E424" s="9"/>
    </row>
    <row r="425" spans="4:5">
      <c r="D425" s="9"/>
      <c r="E425" s="9"/>
    </row>
    <row r="426" spans="4:5">
      <c r="D426" s="9"/>
      <c r="E426" s="9"/>
    </row>
    <row r="427" spans="4:5">
      <c r="D427" s="9"/>
      <c r="E427" s="9"/>
    </row>
    <row r="428" spans="4:5">
      <c r="D428" s="9"/>
      <c r="E428" s="9"/>
    </row>
    <row r="429" spans="4:5">
      <c r="D429" s="9"/>
      <c r="E429" s="9"/>
    </row>
    <row r="430" spans="4:5">
      <c r="D430" s="9"/>
      <c r="E430" s="9"/>
    </row>
    <row r="431" spans="4:5">
      <c r="D431" s="9"/>
      <c r="E431" s="9"/>
    </row>
    <row r="432" spans="4:5">
      <c r="D432" s="9"/>
      <c r="E432" s="9"/>
    </row>
    <row r="433" spans="4:5">
      <c r="D433" s="9"/>
      <c r="E433" s="9"/>
    </row>
    <row r="434" spans="4:5">
      <c r="D434" s="9"/>
      <c r="E434" s="9"/>
    </row>
    <row r="435" spans="4:5">
      <c r="D435" s="9"/>
      <c r="E435" s="9"/>
    </row>
    <row r="436" spans="4:5">
      <c r="D436" s="9"/>
      <c r="E436" s="9"/>
    </row>
    <row r="437" spans="4:5">
      <c r="D437" s="9"/>
      <c r="E437" s="9"/>
    </row>
    <row r="438" spans="4:5">
      <c r="D438" s="9"/>
      <c r="E438" s="9"/>
    </row>
    <row r="439" spans="4:5">
      <c r="D439" s="9"/>
      <c r="E439" s="9"/>
    </row>
    <row r="440" spans="4:5">
      <c r="D440" s="9"/>
      <c r="E440" s="9"/>
    </row>
    <row r="441" spans="4:5">
      <c r="D441" s="9"/>
      <c r="E441" s="9"/>
    </row>
    <row r="442" spans="4:5">
      <c r="D442" s="9"/>
      <c r="E442" s="9"/>
    </row>
    <row r="443" spans="4:5">
      <c r="D443" s="9"/>
      <c r="E443" s="9"/>
    </row>
    <row r="444" spans="4:5">
      <c r="D444" s="9"/>
      <c r="E444" s="9"/>
    </row>
    <row r="445" spans="4:5">
      <c r="D445" s="9"/>
      <c r="E445" s="9"/>
    </row>
    <row r="446" spans="4:5">
      <c r="D446" s="9"/>
      <c r="E446" s="9"/>
    </row>
    <row r="447" spans="4:5">
      <c r="D447" s="9"/>
      <c r="E447" s="9"/>
    </row>
    <row r="448" spans="4:5">
      <c r="D448" s="9"/>
      <c r="E448" s="9"/>
    </row>
    <row r="449" spans="4:5">
      <c r="D449" s="9"/>
      <c r="E449" s="9"/>
    </row>
    <row r="450" spans="4:5">
      <c r="D450" s="9"/>
      <c r="E450" s="9"/>
    </row>
    <row r="451" spans="4:5">
      <c r="D451" s="9"/>
      <c r="E451" s="9"/>
    </row>
    <row r="452" spans="4:5">
      <c r="D452" s="9"/>
      <c r="E452" s="9"/>
    </row>
    <row r="453" spans="4:5">
      <c r="D453" s="9"/>
      <c r="E453" s="9"/>
    </row>
    <row r="454" spans="4:5">
      <c r="D454" s="9"/>
      <c r="E454" s="9"/>
    </row>
    <row r="455" spans="4:5">
      <c r="D455" s="9"/>
      <c r="E455" s="9"/>
    </row>
    <row r="456" spans="4:5">
      <c r="D456" s="9"/>
      <c r="E456" s="9"/>
    </row>
    <row r="457" spans="4:5">
      <c r="D457" s="9"/>
      <c r="E457" s="9"/>
    </row>
    <row r="458" spans="4:5">
      <c r="D458" s="9"/>
      <c r="E458" s="9"/>
    </row>
    <row r="459" spans="4:5">
      <c r="D459" s="9"/>
      <c r="E459" s="9"/>
    </row>
    <row r="460" spans="4:5">
      <c r="D460" s="9"/>
      <c r="E460" s="9"/>
    </row>
    <row r="461" spans="4:5">
      <c r="D461" s="9"/>
      <c r="E461" s="9"/>
    </row>
    <row r="462" spans="4:5">
      <c r="D462" s="9"/>
      <c r="E462" s="9"/>
    </row>
    <row r="463" spans="4:5">
      <c r="D463" s="9"/>
      <c r="E463" s="9"/>
    </row>
    <row r="464" spans="4:5">
      <c r="D464" s="9"/>
      <c r="E464" s="9"/>
    </row>
    <row r="465" spans="4:5">
      <c r="D465" s="9"/>
      <c r="E465" s="9"/>
    </row>
    <row r="466" spans="4:5">
      <c r="D466" s="9"/>
      <c r="E466" s="9"/>
    </row>
    <row r="467" spans="4:5">
      <c r="D467" s="9"/>
      <c r="E467" s="9"/>
    </row>
    <row r="468" spans="4:5">
      <c r="D468" s="9"/>
      <c r="E468" s="9"/>
    </row>
    <row r="469" spans="4:5">
      <c r="D469" s="9"/>
      <c r="E469" s="9"/>
    </row>
    <row r="470" spans="4:5">
      <c r="D470" s="9"/>
      <c r="E470" s="9"/>
    </row>
    <row r="471" spans="4:5">
      <c r="D471" s="9"/>
      <c r="E471" s="9"/>
    </row>
    <row r="472" spans="4:5">
      <c r="D472" s="9"/>
      <c r="E472" s="9"/>
    </row>
    <row r="473" spans="4:5">
      <c r="D473" s="9"/>
      <c r="E473" s="9"/>
    </row>
    <row r="474" spans="4:5">
      <c r="D474" s="9"/>
      <c r="E474" s="9"/>
    </row>
    <row r="475" spans="4:5">
      <c r="D475" s="9"/>
      <c r="E475" s="9"/>
    </row>
    <row r="476" spans="4:5">
      <c r="D476" s="9"/>
      <c r="E476" s="9"/>
    </row>
    <row r="477" spans="4:5">
      <c r="D477" s="9"/>
      <c r="E477" s="9"/>
    </row>
    <row r="478" spans="4:5">
      <c r="D478" s="9"/>
      <c r="E478" s="9"/>
    </row>
    <row r="479" spans="4:5">
      <c r="D479" s="9"/>
      <c r="E479" s="9"/>
    </row>
    <row r="480" spans="4:5">
      <c r="D480" s="9"/>
      <c r="E480" s="9"/>
    </row>
    <row r="481" spans="4:5">
      <c r="D481" s="9"/>
      <c r="E481" s="9"/>
    </row>
    <row r="482" spans="4:5">
      <c r="D482" s="9"/>
      <c r="E482" s="9"/>
    </row>
    <row r="483" spans="4:5">
      <c r="D483" s="9"/>
      <c r="E483" s="9"/>
    </row>
    <row r="484" spans="4:5">
      <c r="D484" s="9"/>
      <c r="E484" s="9"/>
    </row>
    <row r="485" spans="4:5">
      <c r="D485" s="9"/>
      <c r="E485" s="9"/>
    </row>
    <row r="486" spans="4:5">
      <c r="D486" s="9"/>
      <c r="E486" s="9"/>
    </row>
    <row r="487" spans="4:5">
      <c r="D487" s="9"/>
      <c r="E487" s="9"/>
    </row>
    <row r="488" spans="4:5">
      <c r="D488" s="9"/>
      <c r="E488" s="9"/>
    </row>
    <row r="489" spans="4:5">
      <c r="D489" s="9"/>
      <c r="E489" s="9"/>
    </row>
    <row r="490" spans="4:5">
      <c r="D490" s="9"/>
      <c r="E490" s="9"/>
    </row>
    <row r="491" spans="4:5">
      <c r="D491" s="9"/>
      <c r="E491" s="9"/>
    </row>
    <row r="492" spans="4:5">
      <c r="D492" s="9"/>
      <c r="E492" s="9"/>
    </row>
    <row r="493" spans="4:5">
      <c r="D493" s="9"/>
      <c r="E493" s="9"/>
    </row>
    <row r="494" spans="4:5">
      <c r="D494" s="9"/>
      <c r="E494" s="9"/>
    </row>
    <row r="495" spans="4:5">
      <c r="D495" s="9"/>
      <c r="E495" s="9"/>
    </row>
    <row r="496" spans="4:5">
      <c r="D496" s="9"/>
      <c r="E496" s="9"/>
    </row>
    <row r="497" spans="4:5">
      <c r="D497" s="9"/>
      <c r="E497" s="9"/>
    </row>
    <row r="498" spans="4:5">
      <c r="D498" s="9"/>
      <c r="E498" s="9"/>
    </row>
    <row r="499" spans="4:5">
      <c r="D499" s="9"/>
      <c r="E499" s="9"/>
    </row>
    <row r="500" spans="4:5">
      <c r="D500" s="9"/>
      <c r="E500" s="9"/>
    </row>
    <row r="501" spans="4:5">
      <c r="D501" s="9"/>
      <c r="E501" s="9"/>
    </row>
    <row r="502" spans="4:5">
      <c r="D502" s="9"/>
      <c r="E502" s="9"/>
    </row>
    <row r="503" spans="4:5">
      <c r="D503" s="9"/>
      <c r="E503" s="9"/>
    </row>
    <row r="504" spans="4:5">
      <c r="D504" s="9"/>
      <c r="E504" s="9"/>
    </row>
    <row r="505" spans="4:5">
      <c r="D505" s="9"/>
      <c r="E505" s="9"/>
    </row>
    <row r="506" spans="4:5">
      <c r="D506" s="9"/>
      <c r="E506" s="9"/>
    </row>
    <row r="507" spans="4:5">
      <c r="D507" s="9"/>
      <c r="E507" s="9"/>
    </row>
    <row r="508" spans="4:5">
      <c r="D508" s="9"/>
      <c r="E508" s="9"/>
    </row>
    <row r="509" spans="4:5">
      <c r="D509" s="9"/>
      <c r="E509" s="9"/>
    </row>
    <row r="510" spans="4:5">
      <c r="D510" s="9"/>
      <c r="E510" s="9"/>
    </row>
    <row r="511" spans="4:5">
      <c r="D511" s="9"/>
      <c r="E511" s="9"/>
    </row>
    <row r="512" spans="4:5">
      <c r="D512" s="9"/>
      <c r="E512" s="9"/>
    </row>
    <row r="513" spans="4:5">
      <c r="D513" s="9"/>
      <c r="E513" s="9"/>
    </row>
    <row r="514" spans="4:5">
      <c r="D514" s="9"/>
      <c r="E514" s="9"/>
    </row>
    <row r="515" spans="4:5">
      <c r="D515" s="9"/>
      <c r="E515" s="9"/>
    </row>
    <row r="516" spans="4:5">
      <c r="D516" s="9"/>
      <c r="E516" s="9"/>
    </row>
    <row r="517" spans="4:5">
      <c r="D517" s="9"/>
      <c r="E517" s="9"/>
    </row>
    <row r="518" spans="4:5">
      <c r="D518" s="9"/>
      <c r="E518" s="9"/>
    </row>
    <row r="519" spans="4:5">
      <c r="D519" s="9"/>
      <c r="E519" s="9"/>
    </row>
    <row r="520" spans="4:5">
      <c r="D520" s="9"/>
      <c r="E520" s="9"/>
    </row>
    <row r="521" spans="4:5">
      <c r="D521" s="9"/>
      <c r="E521" s="9"/>
    </row>
    <row r="522" spans="4:5">
      <c r="D522" s="9"/>
      <c r="E522" s="9"/>
    </row>
    <row r="523" spans="4:5">
      <c r="D523" s="9"/>
      <c r="E523" s="9"/>
    </row>
    <row r="524" spans="4:5">
      <c r="D524" s="9"/>
      <c r="E524" s="9"/>
    </row>
    <row r="525" spans="4:5">
      <c r="D525" s="9"/>
      <c r="E525" s="9"/>
    </row>
    <row r="526" spans="4:5">
      <c r="D526" s="9"/>
      <c r="E526" s="9"/>
    </row>
    <row r="527" spans="4:5">
      <c r="D527" s="9"/>
      <c r="E527" s="9"/>
    </row>
    <row r="528" spans="4:5">
      <c r="D528" s="9"/>
      <c r="E528" s="9"/>
    </row>
    <row r="529" spans="4:5">
      <c r="D529" s="9"/>
      <c r="E529" s="9"/>
    </row>
    <row r="530" spans="4:5">
      <c r="D530" s="9"/>
      <c r="E530" s="9"/>
    </row>
    <row r="531" spans="4:5">
      <c r="D531" s="9"/>
      <c r="E531" s="9"/>
    </row>
    <row r="532" spans="4:5">
      <c r="D532" s="9"/>
      <c r="E532" s="9"/>
    </row>
    <row r="533" spans="4:5">
      <c r="D533" s="9"/>
      <c r="E533" s="9"/>
    </row>
    <row r="534" spans="4:5">
      <c r="D534" s="9"/>
      <c r="E534" s="9"/>
    </row>
    <row r="535" spans="4:5">
      <c r="D535" s="9"/>
      <c r="E535" s="9"/>
    </row>
    <row r="536" spans="4:5">
      <c r="D536" s="9"/>
      <c r="E536" s="9"/>
    </row>
    <row r="537" spans="4:5">
      <c r="D537" s="9"/>
      <c r="E537" s="9"/>
    </row>
    <row r="538" spans="4:5">
      <c r="D538" s="9"/>
      <c r="E538" s="9"/>
    </row>
    <row r="539" spans="4:5">
      <c r="D539" s="9"/>
      <c r="E539" s="9"/>
    </row>
    <row r="540" spans="4:5">
      <c r="D540" s="9"/>
      <c r="E540" s="9"/>
    </row>
    <row r="541" spans="4:5">
      <c r="D541" s="9"/>
      <c r="E541" s="9"/>
    </row>
    <row r="542" spans="4:5">
      <c r="D542" s="9"/>
      <c r="E542" s="9"/>
    </row>
    <row r="543" spans="4:5">
      <c r="D543" s="9"/>
      <c r="E543" s="9"/>
    </row>
    <row r="544" spans="4:5">
      <c r="D544" s="9"/>
      <c r="E544" s="9"/>
    </row>
    <row r="545" spans="4:5">
      <c r="D545" s="9"/>
      <c r="E545" s="9"/>
    </row>
    <row r="546" spans="4:5">
      <c r="D546" s="9"/>
      <c r="E546" s="9"/>
    </row>
    <row r="547" spans="4:5">
      <c r="D547" s="9"/>
      <c r="E547" s="9"/>
    </row>
    <row r="548" spans="4:5">
      <c r="D548" s="9"/>
      <c r="E548" s="9"/>
    </row>
    <row r="549" spans="4:5">
      <c r="D549" s="9"/>
      <c r="E549" s="9"/>
    </row>
    <row r="550" spans="4:5">
      <c r="D550" s="9"/>
      <c r="E550" s="9"/>
    </row>
    <row r="551" spans="4:5">
      <c r="D551" s="9"/>
      <c r="E551" s="9"/>
    </row>
    <row r="552" spans="4:5">
      <c r="D552" s="9"/>
      <c r="E552" s="9"/>
    </row>
    <row r="553" spans="4:5">
      <c r="D553" s="9"/>
      <c r="E553" s="9"/>
    </row>
    <row r="554" spans="4:5">
      <c r="D554" s="9"/>
      <c r="E554" s="9"/>
    </row>
    <row r="555" spans="4:5">
      <c r="D555" s="9"/>
      <c r="E555" s="9"/>
    </row>
    <row r="556" spans="4:5">
      <c r="D556" s="9"/>
      <c r="E556" s="9"/>
    </row>
    <row r="557" spans="4:5">
      <c r="D557" s="9"/>
      <c r="E557" s="9"/>
    </row>
    <row r="558" spans="4:5">
      <c r="D558" s="9"/>
      <c r="E558" s="9"/>
    </row>
    <row r="559" spans="4:5">
      <c r="D559" s="9"/>
      <c r="E559" s="9"/>
    </row>
    <row r="560" spans="4:5">
      <c r="D560" s="9"/>
      <c r="E560" s="9"/>
    </row>
    <row r="561" spans="4:5">
      <c r="D561" s="9"/>
      <c r="E561" s="9"/>
    </row>
    <row r="562" spans="4:5">
      <c r="D562" s="9"/>
      <c r="E562" s="9"/>
    </row>
    <row r="563" spans="4:5">
      <c r="D563" s="9"/>
      <c r="E563" s="9"/>
    </row>
    <row r="564" spans="4:5">
      <c r="D564" s="9"/>
      <c r="E564" s="9"/>
    </row>
    <row r="565" spans="4:5">
      <c r="D565" s="9"/>
      <c r="E565" s="9"/>
    </row>
    <row r="566" spans="4:5">
      <c r="D566" s="9"/>
      <c r="E566" s="9"/>
    </row>
    <row r="567" spans="4:5">
      <c r="D567" s="9"/>
      <c r="E567" s="9"/>
    </row>
    <row r="568" spans="4:5">
      <c r="D568" s="9"/>
      <c r="E568" s="9"/>
    </row>
    <row r="569" spans="4:5">
      <c r="D569" s="9"/>
      <c r="E569" s="9"/>
    </row>
    <row r="570" spans="4:5">
      <c r="D570" s="9"/>
      <c r="E570" s="9"/>
    </row>
    <row r="571" spans="4:5">
      <c r="D571" s="9"/>
      <c r="E571" s="9"/>
    </row>
    <row r="572" spans="4:5">
      <c r="D572" s="9"/>
      <c r="E572" s="9"/>
    </row>
    <row r="573" spans="4:5">
      <c r="D573" s="9"/>
      <c r="E573" s="9"/>
    </row>
    <row r="574" spans="4:5">
      <c r="D574" s="9"/>
      <c r="E574" s="9"/>
    </row>
    <row r="575" spans="4:5">
      <c r="D575" s="9"/>
      <c r="E575" s="9"/>
    </row>
    <row r="576" spans="4:5">
      <c r="D576" s="9"/>
      <c r="E576" s="9"/>
    </row>
    <row r="577" spans="4:5">
      <c r="D577" s="9"/>
      <c r="E577" s="9"/>
    </row>
    <row r="578" spans="4:5">
      <c r="D578" s="9"/>
      <c r="E578" s="9"/>
    </row>
    <row r="579" spans="4:5">
      <c r="D579" s="9"/>
      <c r="E579" s="9"/>
    </row>
    <row r="580" spans="4:5">
      <c r="D580" s="9"/>
      <c r="E580" s="9"/>
    </row>
    <row r="581" spans="4:5">
      <c r="D581" s="9"/>
      <c r="E581" s="9"/>
    </row>
    <row r="582" spans="4:5">
      <c r="D582" s="9"/>
      <c r="E582" s="9"/>
    </row>
    <row r="583" spans="4:5">
      <c r="D583" s="9"/>
      <c r="E583" s="9"/>
    </row>
    <row r="584" spans="4:5">
      <c r="D584" s="9"/>
      <c r="E584" s="9"/>
    </row>
    <row r="585" spans="4:5">
      <c r="D585" s="9"/>
      <c r="E585" s="9"/>
    </row>
    <row r="586" spans="4:5">
      <c r="D586" s="9"/>
      <c r="E586" s="9"/>
    </row>
    <row r="587" spans="4:5">
      <c r="D587" s="9"/>
      <c r="E587" s="9"/>
    </row>
    <row r="588" spans="4:5">
      <c r="D588" s="9"/>
      <c r="E588" s="9"/>
    </row>
    <row r="589" spans="4:5">
      <c r="D589" s="9"/>
      <c r="E589" s="9"/>
    </row>
    <row r="590" spans="4:5">
      <c r="D590" s="9"/>
      <c r="E590" s="9"/>
    </row>
    <row r="591" spans="4:5">
      <c r="D591" s="9"/>
      <c r="E591" s="9"/>
    </row>
    <row r="592" spans="4:5">
      <c r="D592" s="9"/>
      <c r="E592" s="9"/>
    </row>
    <row r="593" spans="4:5">
      <c r="D593" s="9"/>
      <c r="E593" s="9"/>
    </row>
    <row r="594" spans="4:5">
      <c r="D594" s="9"/>
      <c r="E594" s="9"/>
    </row>
    <row r="595" spans="4:5">
      <c r="D595" s="9"/>
      <c r="E595" s="9"/>
    </row>
    <row r="596" spans="4:5">
      <c r="D596" s="9"/>
      <c r="E596" s="9"/>
    </row>
    <row r="597" spans="4:5">
      <c r="D597" s="9"/>
      <c r="E597" s="9"/>
    </row>
    <row r="598" spans="4:5">
      <c r="D598" s="9"/>
      <c r="E598" s="9"/>
    </row>
    <row r="599" spans="4:5">
      <c r="D599" s="9"/>
      <c r="E599" s="9"/>
    </row>
    <row r="600" spans="4:5">
      <c r="D600" s="9"/>
      <c r="E600" s="9"/>
    </row>
    <row r="601" spans="4:5">
      <c r="D601" s="9"/>
      <c r="E601" s="9"/>
    </row>
    <row r="602" spans="4:5">
      <c r="D602" s="9"/>
      <c r="E602" s="9"/>
    </row>
    <row r="603" spans="4:5">
      <c r="D603" s="9"/>
      <c r="E603" s="9"/>
    </row>
    <row r="604" spans="4:5">
      <c r="D604" s="9"/>
      <c r="E604" s="9"/>
    </row>
    <row r="605" spans="4:5">
      <c r="D605" s="9"/>
      <c r="E605" s="9"/>
    </row>
    <row r="606" spans="4:5">
      <c r="D606" s="9"/>
      <c r="E606" s="9"/>
    </row>
    <row r="607" spans="4:5">
      <c r="D607" s="9"/>
      <c r="E607" s="9"/>
    </row>
    <row r="608" spans="4:5">
      <c r="D608" s="9"/>
      <c r="E608" s="9"/>
    </row>
    <row r="609" spans="4:5">
      <c r="D609" s="9"/>
      <c r="E609" s="9"/>
    </row>
    <row r="610" spans="4:5">
      <c r="D610" s="9"/>
      <c r="E610" s="9"/>
    </row>
    <row r="611" spans="4:5">
      <c r="D611" s="9"/>
      <c r="E611" s="9"/>
    </row>
    <row r="612" spans="4:5">
      <c r="D612" s="9"/>
      <c r="E612" s="9"/>
    </row>
    <row r="613" spans="4:5">
      <c r="D613" s="9"/>
      <c r="E613" s="9"/>
    </row>
    <row r="614" spans="4:5">
      <c r="D614" s="9"/>
      <c r="E614" s="9"/>
    </row>
    <row r="615" spans="4:5">
      <c r="D615" s="9"/>
      <c r="E615" s="9"/>
    </row>
    <row r="616" spans="4:5">
      <c r="D616" s="9"/>
      <c r="E616" s="9"/>
    </row>
    <row r="617" spans="4:5">
      <c r="D617" s="9"/>
      <c r="E617" s="9"/>
    </row>
    <row r="618" spans="4:5">
      <c r="D618" s="9"/>
      <c r="E618" s="9"/>
    </row>
    <row r="619" spans="4:5">
      <c r="D619" s="9"/>
      <c r="E619" s="9"/>
    </row>
    <row r="620" spans="4:5">
      <c r="D620" s="9"/>
      <c r="E620" s="9"/>
    </row>
    <row r="621" spans="4:5">
      <c r="D621" s="9"/>
      <c r="E621" s="9"/>
    </row>
    <row r="622" spans="4:5">
      <c r="D622" s="9"/>
      <c r="E622" s="9"/>
    </row>
    <row r="623" spans="4:5">
      <c r="D623" s="9"/>
      <c r="E623" s="9"/>
    </row>
    <row r="624" spans="4:5">
      <c r="D624" s="9"/>
      <c r="E624" s="9"/>
    </row>
    <row r="625" spans="4:5">
      <c r="D625" s="9"/>
      <c r="E625" s="9"/>
    </row>
    <row r="626" spans="4:5">
      <c r="D626" s="9"/>
      <c r="E626" s="9"/>
    </row>
    <row r="627" spans="4:5">
      <c r="D627" s="9"/>
      <c r="E627" s="9"/>
    </row>
    <row r="628" spans="4:5">
      <c r="D628" s="9"/>
      <c r="E628" s="9"/>
    </row>
    <row r="629" spans="4:5">
      <c r="D629" s="9"/>
      <c r="E629" s="9"/>
    </row>
    <row r="630" spans="4:5">
      <c r="D630" s="9"/>
      <c r="E630" s="9"/>
    </row>
    <row r="631" spans="4:5">
      <c r="D631" s="9"/>
      <c r="E631" s="9"/>
    </row>
    <row r="632" spans="4:5">
      <c r="D632" s="9"/>
      <c r="E632" s="9"/>
    </row>
    <row r="633" spans="4:5">
      <c r="D633" s="9"/>
      <c r="E633" s="9"/>
    </row>
    <row r="634" spans="4:5">
      <c r="D634" s="9"/>
      <c r="E634" s="9"/>
    </row>
    <row r="635" spans="4:5">
      <c r="D635" s="9"/>
      <c r="E635" s="9"/>
    </row>
    <row r="636" spans="4:5">
      <c r="D636" s="9"/>
      <c r="E636" s="9"/>
    </row>
    <row r="637" spans="4:5">
      <c r="D637" s="9"/>
      <c r="E637" s="9"/>
    </row>
    <row r="638" spans="4:5">
      <c r="D638" s="9"/>
      <c r="E638" s="9"/>
    </row>
    <row r="639" spans="4:5">
      <c r="D639" s="9"/>
      <c r="E639" s="9"/>
    </row>
    <row r="640" spans="4:5">
      <c r="D640" s="9"/>
      <c r="E640" s="9"/>
    </row>
    <row r="641" spans="4:5">
      <c r="D641" s="9"/>
      <c r="E641" s="9"/>
    </row>
    <row r="642" spans="4:5">
      <c r="D642" s="9"/>
      <c r="E642" s="9"/>
    </row>
    <row r="643" spans="4:5">
      <c r="D643" s="9"/>
      <c r="E643" s="9"/>
    </row>
    <row r="644" spans="4:5">
      <c r="D644" s="9"/>
      <c r="E644" s="9"/>
    </row>
    <row r="645" spans="4:5">
      <c r="D645" s="9"/>
      <c r="E645" s="9"/>
    </row>
    <row r="646" spans="4:5">
      <c r="D646" s="9"/>
      <c r="E646" s="9"/>
    </row>
    <row r="647" spans="4:5">
      <c r="D647" s="9"/>
      <c r="E647" s="9"/>
    </row>
    <row r="648" spans="4:5">
      <c r="D648" s="9"/>
      <c r="E648" s="9"/>
    </row>
    <row r="649" spans="4:5">
      <c r="D649" s="9"/>
      <c r="E649" s="9"/>
    </row>
    <row r="650" spans="4:5">
      <c r="D650" s="9"/>
      <c r="E650" s="9"/>
    </row>
    <row r="651" spans="4:5">
      <c r="D651" s="9"/>
      <c r="E651" s="9"/>
    </row>
    <row r="652" spans="4:5">
      <c r="D652" s="9"/>
      <c r="E652" s="9"/>
    </row>
    <row r="653" spans="4:5">
      <c r="D653" s="9"/>
      <c r="E653" s="9"/>
    </row>
    <row r="654" spans="4:5">
      <c r="D654" s="9"/>
      <c r="E654" s="9"/>
    </row>
    <row r="655" spans="4:5">
      <c r="D655" s="9"/>
      <c r="E655" s="9"/>
    </row>
    <row r="656" spans="4:5">
      <c r="D656" s="9"/>
      <c r="E656" s="9"/>
    </row>
    <row r="657" spans="4:5">
      <c r="D657" s="9"/>
      <c r="E657" s="9"/>
    </row>
    <row r="658" spans="4:5">
      <c r="D658" s="9"/>
      <c r="E658" s="9"/>
    </row>
    <row r="659" spans="4:5">
      <c r="D659" s="9"/>
      <c r="E659" s="9"/>
    </row>
    <row r="660" spans="4:5">
      <c r="D660" s="9"/>
      <c r="E660" s="9"/>
    </row>
    <row r="661" spans="4:5">
      <c r="D661" s="9"/>
      <c r="E661" s="9"/>
    </row>
    <row r="662" spans="4:5">
      <c r="D662" s="9"/>
      <c r="E662" s="9"/>
    </row>
    <row r="663" spans="4:5">
      <c r="D663" s="9"/>
      <c r="E663" s="9"/>
    </row>
    <row r="664" spans="4:5">
      <c r="D664" s="9"/>
      <c r="E664" s="9"/>
    </row>
    <row r="665" spans="4:5">
      <c r="D665" s="9"/>
      <c r="E665" s="9"/>
    </row>
    <row r="666" spans="4:5">
      <c r="D666" s="9"/>
      <c r="E666" s="9"/>
    </row>
    <row r="667" spans="4:5">
      <c r="D667" s="9"/>
      <c r="E667" s="9"/>
    </row>
    <row r="668" spans="4:5">
      <c r="D668" s="9"/>
      <c r="E668" s="9"/>
    </row>
    <row r="669" spans="4:5">
      <c r="D669" s="9"/>
      <c r="E669" s="9"/>
    </row>
    <row r="670" spans="4:5">
      <c r="D670" s="9"/>
      <c r="E670" s="9"/>
    </row>
    <row r="671" spans="4:5">
      <c r="D671" s="9"/>
      <c r="E671" s="9"/>
    </row>
    <row r="672" spans="4:5">
      <c r="D672" s="9"/>
      <c r="E672" s="9"/>
    </row>
    <row r="673" spans="4:5">
      <c r="D673" s="9"/>
      <c r="E673" s="9"/>
    </row>
    <row r="674" spans="4:5">
      <c r="D674" s="9"/>
      <c r="E674" s="9"/>
    </row>
    <row r="675" spans="4:5">
      <c r="D675" s="9"/>
      <c r="E675" s="9"/>
    </row>
    <row r="676" spans="4:5">
      <c r="D676" s="9"/>
      <c r="E676" s="9"/>
    </row>
    <row r="677" spans="4:5">
      <c r="D677" s="9"/>
      <c r="E677" s="9"/>
    </row>
    <row r="678" spans="4:5">
      <c r="D678" s="9"/>
      <c r="E678" s="9"/>
    </row>
    <row r="679" spans="4:5">
      <c r="D679" s="9"/>
      <c r="E679" s="9"/>
    </row>
    <row r="680" spans="4:5">
      <c r="D680" s="9"/>
      <c r="E680" s="9"/>
    </row>
    <row r="681" spans="4:5">
      <c r="D681" s="9"/>
      <c r="E681" s="9"/>
    </row>
    <row r="682" spans="4:5">
      <c r="D682" s="9"/>
      <c r="E682" s="9"/>
    </row>
    <row r="683" spans="4:5">
      <c r="D683" s="9"/>
      <c r="E683" s="9"/>
    </row>
    <row r="684" spans="4:5">
      <c r="D684" s="9"/>
      <c r="E684" s="9"/>
    </row>
    <row r="685" spans="4:5">
      <c r="D685" s="9"/>
      <c r="E685" s="9"/>
    </row>
    <row r="686" spans="4:5">
      <c r="D686" s="9"/>
      <c r="E686" s="9"/>
    </row>
    <row r="687" spans="4:5">
      <c r="D687" s="9"/>
      <c r="E687" s="9"/>
    </row>
    <row r="688" spans="4:5">
      <c r="D688" s="9"/>
      <c r="E688" s="9"/>
    </row>
    <row r="689" spans="4:5">
      <c r="D689" s="9"/>
      <c r="E689" s="9"/>
    </row>
    <row r="690" spans="4:5">
      <c r="D690" s="9"/>
      <c r="E690" s="9"/>
    </row>
    <row r="691" spans="4:5">
      <c r="D691" s="9"/>
      <c r="E691" s="9"/>
    </row>
    <row r="692" spans="4:5">
      <c r="D692" s="9"/>
      <c r="E692" s="9"/>
    </row>
    <row r="693" spans="4:5">
      <c r="D693" s="9"/>
      <c r="E693" s="9"/>
    </row>
    <row r="694" spans="4:5">
      <c r="D694" s="9"/>
      <c r="E694" s="9"/>
    </row>
    <row r="695" spans="4:5">
      <c r="D695" s="9"/>
      <c r="E695" s="9"/>
    </row>
    <row r="696" spans="4:5">
      <c r="D696" s="9"/>
      <c r="E696" s="9"/>
    </row>
    <row r="697" spans="4:5">
      <c r="D697" s="9"/>
      <c r="E697" s="9"/>
    </row>
    <row r="698" spans="4:5">
      <c r="D698" s="9"/>
      <c r="E698" s="9"/>
    </row>
    <row r="699" spans="4:5">
      <c r="D699" s="9"/>
      <c r="E699" s="9"/>
    </row>
    <row r="700" spans="4:5">
      <c r="D700" s="9"/>
      <c r="E700" s="9"/>
    </row>
    <row r="701" spans="4:5">
      <c r="D701" s="9"/>
      <c r="E701" s="9"/>
    </row>
    <row r="702" spans="4:5">
      <c r="D702" s="9"/>
      <c r="E702" s="9"/>
    </row>
    <row r="703" spans="4:5">
      <c r="D703" s="9"/>
      <c r="E703" s="9"/>
    </row>
    <row r="704" spans="4:5">
      <c r="D704" s="9"/>
      <c r="E704" s="9"/>
    </row>
    <row r="705" spans="4:5">
      <c r="D705" s="9"/>
      <c r="E705" s="9"/>
    </row>
    <row r="706" spans="4:5">
      <c r="D706" s="9"/>
      <c r="E706" s="9"/>
    </row>
    <row r="707" spans="4:5">
      <c r="D707" s="9"/>
      <c r="E707" s="9"/>
    </row>
    <row r="708" spans="4:5">
      <c r="D708" s="9"/>
      <c r="E708" s="9"/>
    </row>
    <row r="709" spans="4:5">
      <c r="D709" s="9"/>
      <c r="E709" s="9"/>
    </row>
    <row r="710" spans="4:5">
      <c r="D710" s="9"/>
      <c r="E710" s="9"/>
    </row>
    <row r="711" spans="4:5">
      <c r="D711" s="9"/>
      <c r="E711" s="9"/>
    </row>
    <row r="712" spans="4:5">
      <c r="D712" s="9"/>
      <c r="E712" s="9"/>
    </row>
    <row r="713" spans="4:5">
      <c r="D713" s="9"/>
      <c r="E713" s="9"/>
    </row>
    <row r="714" spans="4:5">
      <c r="D714" s="9"/>
      <c r="E714" s="9"/>
    </row>
    <row r="715" spans="4:5">
      <c r="D715" s="9"/>
      <c r="E715" s="9"/>
    </row>
    <row r="716" spans="4:5">
      <c r="D716" s="9"/>
      <c r="E716" s="9"/>
    </row>
    <row r="717" spans="4:5">
      <c r="D717" s="9"/>
      <c r="E717" s="9"/>
    </row>
    <row r="718" spans="4:5">
      <c r="D718" s="9"/>
      <c r="E718" s="9"/>
    </row>
    <row r="719" spans="4:5">
      <c r="D719" s="9"/>
      <c r="E719" s="9"/>
    </row>
    <row r="720" spans="4:5">
      <c r="D720" s="9"/>
      <c r="E720" s="9"/>
    </row>
    <row r="721" spans="4:5">
      <c r="D721" s="9"/>
      <c r="E721" s="9"/>
    </row>
    <row r="722" spans="4:5">
      <c r="D722" s="9"/>
      <c r="E722" s="9"/>
    </row>
    <row r="723" spans="4:5">
      <c r="D723" s="9"/>
      <c r="E723" s="9"/>
    </row>
    <row r="724" spans="4:5">
      <c r="D724" s="9"/>
      <c r="E724" s="9"/>
    </row>
    <row r="725" spans="4:5">
      <c r="D725" s="9"/>
      <c r="E725" s="9"/>
    </row>
    <row r="726" spans="4:5">
      <c r="D726" s="9"/>
      <c r="E726" s="9"/>
    </row>
    <row r="727" spans="4:5">
      <c r="D727" s="9"/>
      <c r="E727" s="9"/>
    </row>
    <row r="728" spans="4:5">
      <c r="D728" s="9"/>
      <c r="E728" s="9"/>
    </row>
    <row r="729" spans="4:5">
      <c r="D729" s="9"/>
      <c r="E729" s="9"/>
    </row>
    <row r="730" spans="4:5">
      <c r="D730" s="9"/>
      <c r="E730" s="9"/>
    </row>
    <row r="731" spans="4:5">
      <c r="D731" s="9"/>
      <c r="E731" s="9"/>
    </row>
    <row r="732" spans="4:5">
      <c r="D732" s="9"/>
      <c r="E732" s="9"/>
    </row>
    <row r="733" spans="4:5">
      <c r="D733" s="9"/>
      <c r="E733" s="9"/>
    </row>
    <row r="734" spans="4:5">
      <c r="D734" s="9"/>
      <c r="E734" s="9"/>
    </row>
    <row r="735" spans="4:5">
      <c r="D735" s="9"/>
      <c r="E735" s="9"/>
    </row>
    <row r="736" spans="4:5">
      <c r="D736" s="9"/>
      <c r="E736" s="9"/>
    </row>
    <row r="737" spans="4:5">
      <c r="D737" s="9"/>
      <c r="E737" s="9"/>
    </row>
    <row r="738" spans="4:5">
      <c r="D738" s="9"/>
      <c r="E738" s="9"/>
    </row>
    <row r="739" spans="4:5">
      <c r="D739" s="9"/>
      <c r="E739" s="9"/>
    </row>
    <row r="740" spans="4:5">
      <c r="D740" s="9"/>
      <c r="E740" s="9"/>
    </row>
    <row r="741" spans="4:5">
      <c r="D741" s="9"/>
      <c r="E741" s="9"/>
    </row>
    <row r="742" spans="4:5">
      <c r="D742" s="9"/>
      <c r="E742" s="9"/>
    </row>
    <row r="743" spans="4:5">
      <c r="D743" s="9"/>
      <c r="E743" s="9"/>
    </row>
    <row r="744" spans="4:5">
      <c r="D744" s="9"/>
      <c r="E744" s="9"/>
    </row>
    <row r="745" spans="4:5">
      <c r="D745" s="9"/>
      <c r="E745" s="9"/>
    </row>
    <row r="746" spans="4:5">
      <c r="D746" s="9"/>
      <c r="E746" s="9"/>
    </row>
    <row r="747" spans="4:5">
      <c r="D747" s="9"/>
      <c r="E747" s="9"/>
    </row>
    <row r="748" spans="4:5">
      <c r="D748" s="9"/>
      <c r="E748" s="9"/>
    </row>
    <row r="749" spans="4:5">
      <c r="D749" s="9"/>
      <c r="E749" s="9"/>
    </row>
    <row r="750" spans="4:5">
      <c r="D750" s="9"/>
      <c r="E750" s="9"/>
    </row>
    <row r="751" spans="4:5">
      <c r="D751" s="9"/>
      <c r="E751" s="9"/>
    </row>
    <row r="752" spans="4:5">
      <c r="D752" s="9"/>
      <c r="E752" s="9"/>
    </row>
    <row r="753" spans="4:5">
      <c r="D753" s="9"/>
      <c r="E753" s="9"/>
    </row>
    <row r="754" spans="4:5">
      <c r="D754" s="9"/>
      <c r="E754" s="9"/>
    </row>
    <row r="755" spans="4:5">
      <c r="D755" s="9"/>
      <c r="E755" s="9"/>
    </row>
    <row r="756" spans="4:5">
      <c r="D756" s="9"/>
      <c r="E756" s="9"/>
    </row>
    <row r="757" spans="4:5">
      <c r="D757" s="9"/>
      <c r="E757" s="9"/>
    </row>
    <row r="758" spans="4:5">
      <c r="D758" s="9"/>
      <c r="E758" s="9"/>
    </row>
    <row r="759" spans="4:5">
      <c r="D759" s="9"/>
      <c r="E759" s="9"/>
    </row>
    <row r="760" spans="4:5">
      <c r="D760" s="9"/>
      <c r="E760" s="9"/>
    </row>
    <row r="761" spans="4:5">
      <c r="D761" s="9"/>
      <c r="E761" s="9"/>
    </row>
    <row r="762" spans="4:5">
      <c r="D762" s="9"/>
      <c r="E762" s="9"/>
    </row>
    <row r="763" spans="4:5">
      <c r="D763" s="9"/>
      <c r="E763" s="9"/>
    </row>
    <row r="764" spans="4:5">
      <c r="D764" s="9"/>
      <c r="E764" s="9"/>
    </row>
    <row r="765" spans="4:5">
      <c r="D765" s="9"/>
      <c r="E765" s="9"/>
    </row>
    <row r="766" spans="4:5">
      <c r="D766" s="9"/>
      <c r="E766" s="9"/>
    </row>
    <row r="767" spans="4:5">
      <c r="D767" s="9"/>
      <c r="E767" s="9"/>
    </row>
    <row r="768" spans="4:5">
      <c r="D768" s="9"/>
      <c r="E768" s="9"/>
    </row>
    <row r="769" spans="4:5">
      <c r="D769" s="9"/>
      <c r="E769" s="9"/>
    </row>
    <row r="770" spans="4:5">
      <c r="D770" s="9"/>
      <c r="E770" s="9"/>
    </row>
    <row r="771" spans="4:5">
      <c r="D771" s="9"/>
      <c r="E771" s="9"/>
    </row>
    <row r="772" spans="4:5">
      <c r="D772" s="9"/>
      <c r="E772" s="9"/>
    </row>
    <row r="773" spans="4:5">
      <c r="D773" s="9"/>
      <c r="E773" s="9"/>
    </row>
    <row r="774" spans="4:5">
      <c r="D774" s="9"/>
      <c r="E774" s="9"/>
    </row>
    <row r="775" spans="4:5">
      <c r="D775" s="9"/>
      <c r="E775" s="9"/>
    </row>
    <row r="776" spans="4:5">
      <c r="D776" s="9"/>
      <c r="E776" s="9"/>
    </row>
    <row r="777" spans="4:5">
      <c r="D777" s="9"/>
      <c r="E777" s="9"/>
    </row>
    <row r="778" spans="4:5">
      <c r="D778" s="9"/>
      <c r="E778" s="9"/>
    </row>
    <row r="779" spans="4:5">
      <c r="D779" s="9"/>
      <c r="E779" s="9"/>
    </row>
    <row r="780" spans="4:5">
      <c r="D780" s="9"/>
      <c r="E780" s="9"/>
    </row>
    <row r="781" spans="4:5">
      <c r="D781" s="9"/>
      <c r="E781" s="9"/>
    </row>
    <row r="782" spans="4:5">
      <c r="D782" s="9"/>
      <c r="E782" s="9"/>
    </row>
    <row r="783" spans="4:5">
      <c r="D783" s="9"/>
      <c r="E783" s="9"/>
    </row>
    <row r="784" spans="4:5">
      <c r="D784" s="9"/>
      <c r="E784" s="9"/>
    </row>
    <row r="785" spans="4:5">
      <c r="D785" s="9"/>
      <c r="E785" s="9"/>
    </row>
    <row r="786" spans="4:5">
      <c r="D786" s="9"/>
      <c r="E786" s="9"/>
    </row>
    <row r="787" spans="4:5">
      <c r="D787" s="9"/>
      <c r="E787" s="9"/>
    </row>
    <row r="788" spans="4:5">
      <c r="D788" s="9"/>
      <c r="E788" s="9"/>
    </row>
    <row r="789" spans="4:5">
      <c r="D789" s="9"/>
      <c r="E789" s="9"/>
    </row>
    <row r="790" spans="4:5">
      <c r="D790" s="9"/>
      <c r="E790" s="9"/>
    </row>
    <row r="791" spans="4:5">
      <c r="D791" s="9"/>
      <c r="E791" s="9"/>
    </row>
    <row r="792" spans="4:5">
      <c r="D792" s="9"/>
      <c r="E792" s="9"/>
    </row>
    <row r="793" spans="4:5">
      <c r="D793" s="9"/>
      <c r="E793" s="9"/>
    </row>
    <row r="794" spans="4:5">
      <c r="D794" s="9"/>
      <c r="E794" s="9"/>
    </row>
    <row r="795" spans="4:5">
      <c r="D795" s="9"/>
      <c r="E795" s="9"/>
    </row>
    <row r="796" spans="4:5">
      <c r="D796" s="9"/>
      <c r="E796" s="9"/>
    </row>
    <row r="797" spans="4:5">
      <c r="D797" s="9"/>
      <c r="E797" s="9"/>
    </row>
    <row r="798" spans="4:5">
      <c r="D798" s="9"/>
      <c r="E798" s="9"/>
    </row>
    <row r="799" spans="4:5">
      <c r="D799" s="9"/>
      <c r="E799" s="9"/>
    </row>
    <row r="800" spans="4:5">
      <c r="D800" s="9"/>
      <c r="E800" s="9"/>
    </row>
    <row r="801" spans="4:5">
      <c r="D801" s="9"/>
      <c r="E801" s="9"/>
    </row>
    <row r="802" spans="4:5">
      <c r="D802" s="9"/>
      <c r="E802" s="9"/>
    </row>
    <row r="803" spans="4:5">
      <c r="D803" s="9"/>
      <c r="E803" s="9"/>
    </row>
    <row r="804" spans="4:5">
      <c r="D804" s="9"/>
      <c r="E804" s="9"/>
    </row>
    <row r="805" spans="4:5">
      <c r="D805" s="9"/>
      <c r="E805" s="9"/>
    </row>
    <row r="806" spans="4:5">
      <c r="D806" s="9"/>
      <c r="E806" s="9"/>
    </row>
    <row r="807" spans="4:5">
      <c r="D807" s="9"/>
      <c r="E807" s="9"/>
    </row>
    <row r="808" spans="4:5">
      <c r="D808" s="9"/>
      <c r="E808" s="9"/>
    </row>
    <row r="809" spans="4:5">
      <c r="D809" s="9"/>
      <c r="E809" s="9"/>
    </row>
    <row r="810" spans="4:5">
      <c r="D810" s="9"/>
      <c r="E810" s="9"/>
    </row>
    <row r="811" spans="4:5">
      <c r="D811" s="9"/>
      <c r="E811" s="9"/>
    </row>
    <row r="812" spans="4:5">
      <c r="D812" s="9"/>
      <c r="E812" s="9"/>
    </row>
    <row r="813" spans="4:5">
      <c r="D813" s="9"/>
      <c r="E813" s="9"/>
    </row>
    <row r="814" spans="4:5">
      <c r="D814" s="9"/>
      <c r="E814" s="9"/>
    </row>
    <row r="815" spans="4:5">
      <c r="D815" s="9"/>
      <c r="E815" s="9"/>
    </row>
    <row r="816" spans="4:5">
      <c r="D816" s="9"/>
      <c r="E816" s="9"/>
    </row>
    <row r="817" spans="4:5">
      <c r="D817" s="9"/>
      <c r="E817" s="9"/>
    </row>
    <row r="818" spans="4:5">
      <c r="D818" s="9"/>
      <c r="E818" s="9"/>
    </row>
    <row r="819" spans="4:5">
      <c r="D819" s="9"/>
      <c r="E819" s="9"/>
    </row>
    <row r="820" spans="4:5">
      <c r="D820" s="9"/>
      <c r="E820" s="9"/>
    </row>
    <row r="821" spans="4:5">
      <c r="D821" s="9"/>
      <c r="E821" s="9"/>
    </row>
    <row r="822" spans="4:5">
      <c r="D822" s="9"/>
      <c r="E822" s="9"/>
    </row>
    <row r="823" spans="4:5">
      <c r="D823" s="9"/>
      <c r="E823" s="9"/>
    </row>
    <row r="824" spans="4:5">
      <c r="D824" s="9"/>
      <c r="E824" s="9"/>
    </row>
    <row r="825" spans="4:5">
      <c r="D825" s="9"/>
      <c r="E825" s="9"/>
    </row>
    <row r="826" spans="4:5">
      <c r="D826" s="9"/>
      <c r="E826" s="9"/>
    </row>
    <row r="827" spans="4:5">
      <c r="D827" s="9"/>
      <c r="E827" s="9"/>
    </row>
    <row r="828" spans="4:5">
      <c r="D828" s="9"/>
      <c r="E828" s="9"/>
    </row>
    <row r="829" spans="4:5">
      <c r="D829" s="9"/>
      <c r="E829" s="9"/>
    </row>
    <row r="830" spans="4:5">
      <c r="D830" s="9"/>
      <c r="E830" s="9"/>
    </row>
    <row r="831" spans="4:5">
      <c r="D831" s="9"/>
      <c r="E831" s="9"/>
    </row>
    <row r="832" spans="4:5">
      <c r="D832" s="9"/>
      <c r="E832" s="9"/>
    </row>
    <row r="833" spans="4:5">
      <c r="D833" s="9"/>
      <c r="E833" s="9"/>
    </row>
    <row r="834" spans="4:5">
      <c r="D834" s="9"/>
      <c r="E834" s="9"/>
    </row>
    <row r="835" spans="4:5">
      <c r="D835" s="9"/>
      <c r="E835" s="9"/>
    </row>
    <row r="836" spans="4:5">
      <c r="D836" s="9"/>
      <c r="E836" s="9"/>
    </row>
    <row r="837" spans="4:5">
      <c r="D837" s="9"/>
      <c r="E837" s="9"/>
    </row>
    <row r="838" spans="4:5">
      <c r="D838" s="9"/>
      <c r="E838" s="9"/>
    </row>
    <row r="839" spans="4:5">
      <c r="D839" s="9"/>
      <c r="E839" s="9"/>
    </row>
    <row r="840" spans="4:5">
      <c r="D840" s="9"/>
      <c r="E840" s="9"/>
    </row>
    <row r="841" spans="4:5">
      <c r="D841" s="9"/>
      <c r="E841" s="9"/>
    </row>
    <row r="842" spans="4:5">
      <c r="D842" s="9"/>
      <c r="E842" s="9"/>
    </row>
    <row r="843" spans="4:5">
      <c r="D843" s="9"/>
      <c r="E843" s="9"/>
    </row>
    <row r="844" spans="4:5">
      <c r="D844" s="9"/>
      <c r="E844" s="9"/>
    </row>
    <row r="845" spans="4:5">
      <c r="D845" s="9"/>
      <c r="E845" s="9"/>
    </row>
    <row r="846" spans="4:5">
      <c r="D846" s="9"/>
      <c r="E846" s="9"/>
    </row>
    <row r="847" spans="4:5">
      <c r="D847" s="9"/>
      <c r="E847" s="9"/>
    </row>
    <row r="848" spans="4:5">
      <c r="D848" s="9"/>
      <c r="E848" s="9"/>
    </row>
    <row r="849" spans="4:5">
      <c r="D849" s="9"/>
      <c r="E849" s="9"/>
    </row>
    <row r="850" spans="4:5">
      <c r="D850" s="9"/>
      <c r="E850" s="9"/>
    </row>
    <row r="851" spans="4:5">
      <c r="D851" s="9"/>
      <c r="E851" s="9"/>
    </row>
    <row r="852" spans="4:5">
      <c r="D852" s="9"/>
      <c r="E852" s="9"/>
    </row>
    <row r="853" spans="4:5">
      <c r="D853" s="9"/>
      <c r="E853" s="9"/>
    </row>
    <row r="854" spans="4:5">
      <c r="D854" s="9"/>
      <c r="E854" s="9"/>
    </row>
    <row r="855" spans="4:5">
      <c r="D855" s="9"/>
      <c r="E855" s="9"/>
    </row>
    <row r="856" spans="4:5">
      <c r="D856" s="9"/>
      <c r="E856" s="9"/>
    </row>
    <row r="857" spans="4:5">
      <c r="D857" s="9"/>
      <c r="E857" s="9"/>
    </row>
    <row r="858" spans="4:5">
      <c r="D858" s="9"/>
      <c r="E858" s="9"/>
    </row>
    <row r="859" spans="4:5">
      <c r="D859" s="9"/>
      <c r="E859" s="9"/>
    </row>
    <row r="860" spans="4:5">
      <c r="D860" s="9"/>
      <c r="E860" s="9"/>
    </row>
    <row r="861" spans="4:5">
      <c r="D861" s="9"/>
      <c r="E861" s="9"/>
    </row>
    <row r="862" spans="4:5">
      <c r="D862" s="9"/>
      <c r="E862" s="9"/>
    </row>
    <row r="863" spans="4:5">
      <c r="D863" s="9"/>
      <c r="E863" s="9"/>
    </row>
    <row r="864" spans="4:5">
      <c r="D864" s="9"/>
      <c r="E864" s="9"/>
    </row>
    <row r="865" spans="4:5">
      <c r="D865" s="9"/>
      <c r="E865" s="9"/>
    </row>
    <row r="866" spans="4:5">
      <c r="D866" s="9"/>
      <c r="E866" s="9"/>
    </row>
    <row r="867" spans="4:5">
      <c r="D867" s="9"/>
      <c r="E867" s="9"/>
    </row>
    <row r="868" spans="4:5">
      <c r="D868" s="9"/>
      <c r="E868" s="9"/>
    </row>
    <row r="869" spans="4:5">
      <c r="D869" s="9"/>
      <c r="E869" s="9"/>
    </row>
    <row r="870" spans="4:5">
      <c r="D870" s="9"/>
      <c r="E870" s="9"/>
    </row>
    <row r="871" spans="4:5">
      <c r="D871" s="9"/>
      <c r="E871" s="9"/>
    </row>
    <row r="872" spans="4:5">
      <c r="D872" s="9"/>
      <c r="E872" s="9"/>
    </row>
    <row r="873" spans="4:5">
      <c r="D873" s="9"/>
      <c r="E873" s="9"/>
    </row>
    <row r="874" spans="4:5">
      <c r="D874" s="9"/>
      <c r="E874" s="9"/>
    </row>
    <row r="875" spans="4:5">
      <c r="D875" s="9"/>
      <c r="E875" s="9"/>
    </row>
    <row r="876" spans="4:5">
      <c r="D876" s="9"/>
      <c r="E876" s="9"/>
    </row>
    <row r="877" spans="4:5">
      <c r="D877" s="9"/>
      <c r="E877" s="9"/>
    </row>
    <row r="878" spans="4:5">
      <c r="D878" s="9"/>
      <c r="E878" s="9"/>
    </row>
    <row r="879" spans="4:5">
      <c r="D879" s="9"/>
      <c r="E879" s="9"/>
    </row>
    <row r="880" spans="4:5">
      <c r="D880" s="9"/>
      <c r="E880" s="9"/>
    </row>
    <row r="881" spans="4:5">
      <c r="D881" s="9"/>
      <c r="E881" s="9"/>
    </row>
    <row r="882" spans="4:5">
      <c r="D882" s="9"/>
      <c r="E882" s="9"/>
    </row>
    <row r="883" spans="4:5">
      <c r="D883" s="9"/>
      <c r="E883" s="9"/>
    </row>
    <row r="884" spans="4:5">
      <c r="D884" s="9"/>
      <c r="E884" s="9"/>
    </row>
    <row r="885" spans="4:5">
      <c r="D885" s="9"/>
      <c r="E885" s="9"/>
    </row>
    <row r="886" spans="4:5">
      <c r="D886" s="9"/>
      <c r="E886" s="9"/>
    </row>
    <row r="887" spans="4:5">
      <c r="D887" s="9"/>
      <c r="E887" s="9"/>
    </row>
    <row r="888" spans="4:5">
      <c r="D888" s="9"/>
      <c r="E888" s="9"/>
    </row>
    <row r="889" spans="4:5">
      <c r="D889" s="9"/>
      <c r="E889" s="9"/>
    </row>
    <row r="890" spans="4:5">
      <c r="D890" s="9"/>
      <c r="E890" s="9"/>
    </row>
    <row r="891" spans="4:5">
      <c r="D891" s="9"/>
      <c r="E891" s="9"/>
    </row>
    <row r="892" spans="4:5">
      <c r="D892" s="9"/>
      <c r="E892" s="9"/>
    </row>
    <row r="893" spans="4:5">
      <c r="D893" s="9"/>
      <c r="E893" s="9"/>
    </row>
    <row r="894" spans="4:5">
      <c r="D894" s="9"/>
      <c r="E894" s="9"/>
    </row>
    <row r="895" spans="4:5">
      <c r="D895" s="9"/>
      <c r="E895" s="9"/>
    </row>
    <row r="896" spans="4:5">
      <c r="D896" s="9"/>
      <c r="E896" s="9"/>
    </row>
    <row r="897" spans="4:5">
      <c r="D897" s="9"/>
      <c r="E897" s="9"/>
    </row>
    <row r="898" spans="4:5">
      <c r="D898" s="9"/>
      <c r="E898" s="9"/>
    </row>
    <row r="899" spans="4:5">
      <c r="D899" s="9"/>
      <c r="E899" s="9"/>
    </row>
    <row r="900" spans="4:5">
      <c r="D900" s="9"/>
      <c r="E900" s="9"/>
    </row>
    <row r="901" spans="4:5">
      <c r="D901" s="9"/>
      <c r="E901" s="9"/>
    </row>
    <row r="902" spans="4:5">
      <c r="D902" s="9"/>
      <c r="E902" s="9"/>
    </row>
    <row r="903" spans="4:5">
      <c r="D903" s="9"/>
      <c r="E903" s="9"/>
    </row>
    <row r="904" spans="4:5">
      <c r="D904" s="9"/>
      <c r="E904" s="9"/>
    </row>
    <row r="905" spans="4:5">
      <c r="D905" s="9"/>
      <c r="E905" s="9"/>
    </row>
    <row r="906" spans="4:5">
      <c r="D906" s="9"/>
      <c r="E906" s="9"/>
    </row>
    <row r="907" spans="4:5">
      <c r="D907" s="9"/>
      <c r="E907" s="9"/>
    </row>
    <row r="908" spans="4:5">
      <c r="D908" s="9"/>
      <c r="E908" s="9"/>
    </row>
    <row r="909" spans="4:5">
      <c r="D909" s="9"/>
      <c r="E909" s="9"/>
    </row>
    <row r="910" spans="4:5">
      <c r="D910" s="9"/>
      <c r="E910" s="9"/>
    </row>
    <row r="911" spans="4:5">
      <c r="D911" s="9"/>
      <c r="E911" s="9"/>
    </row>
    <row r="912" spans="4:5">
      <c r="D912" s="9"/>
      <c r="E912" s="9"/>
    </row>
    <row r="913" spans="4:5">
      <c r="D913" s="9"/>
      <c r="E913" s="9"/>
    </row>
    <row r="914" spans="4:5">
      <c r="D914" s="9"/>
      <c r="E914" s="9"/>
    </row>
    <row r="915" spans="4:5">
      <c r="D915" s="9"/>
      <c r="E915" s="9"/>
    </row>
    <row r="916" spans="4:5">
      <c r="D916" s="9"/>
      <c r="E916" s="9"/>
    </row>
    <row r="917" spans="4:5">
      <c r="D917" s="9"/>
      <c r="E917" s="9"/>
    </row>
    <row r="918" spans="4:5">
      <c r="D918" s="9"/>
      <c r="E918" s="9"/>
    </row>
    <row r="919" spans="4:5">
      <c r="D919" s="9"/>
      <c r="E919" s="9"/>
    </row>
    <row r="920" spans="4:5">
      <c r="D920" s="9"/>
      <c r="E920" s="9"/>
    </row>
    <row r="921" spans="4:5">
      <c r="D921" s="9"/>
      <c r="E921" s="9"/>
    </row>
    <row r="922" spans="4:5">
      <c r="D922" s="9"/>
      <c r="E922" s="9"/>
    </row>
    <row r="923" spans="4:5">
      <c r="D923" s="9"/>
      <c r="E923" s="9"/>
    </row>
    <row r="924" spans="4:5">
      <c r="D924" s="9"/>
      <c r="E924" s="9"/>
    </row>
    <row r="925" spans="4:5">
      <c r="D925" s="9"/>
      <c r="E925" s="9"/>
    </row>
    <row r="926" spans="4:5">
      <c r="D926" s="9"/>
      <c r="E926" s="9"/>
    </row>
    <row r="927" spans="4:5">
      <c r="D927" s="9"/>
      <c r="E927" s="9"/>
    </row>
    <row r="928" spans="4:5">
      <c r="D928" s="9"/>
      <c r="E928" s="9"/>
    </row>
    <row r="929" spans="4:5">
      <c r="D929" s="9"/>
      <c r="E929" s="9"/>
    </row>
    <row r="930" spans="4:5">
      <c r="D930" s="9"/>
      <c r="E930" s="9"/>
    </row>
    <row r="931" spans="4:5">
      <c r="D931" s="9"/>
      <c r="E931" s="9"/>
    </row>
    <row r="932" spans="4:5">
      <c r="D932" s="9"/>
      <c r="E932" s="9"/>
    </row>
    <row r="933" spans="4:5">
      <c r="D933" s="9"/>
      <c r="E933" s="9"/>
    </row>
    <row r="934" spans="4:5">
      <c r="D934" s="9"/>
      <c r="E934" s="9"/>
    </row>
    <row r="935" spans="4:5">
      <c r="D935" s="9"/>
      <c r="E935" s="9"/>
    </row>
    <row r="936" spans="4:5">
      <c r="D936" s="9"/>
      <c r="E936" s="9"/>
    </row>
    <row r="937" spans="4:5">
      <c r="D937" s="9"/>
      <c r="E937" s="9"/>
    </row>
    <row r="938" spans="4:5">
      <c r="D938" s="9"/>
      <c r="E938" s="9"/>
    </row>
    <row r="939" spans="4:5">
      <c r="D939" s="9"/>
      <c r="E939" s="9"/>
    </row>
    <row r="940" spans="4:5">
      <c r="D940" s="9"/>
      <c r="E940" s="9"/>
    </row>
    <row r="941" spans="4:5">
      <c r="D941" s="9"/>
      <c r="E941" s="9"/>
    </row>
    <row r="942" spans="4:5">
      <c r="D942" s="9"/>
      <c r="E942" s="9"/>
    </row>
    <row r="943" spans="4:5">
      <c r="D943" s="9"/>
      <c r="E943" s="9"/>
    </row>
    <row r="944" spans="4:5">
      <c r="D944" s="9"/>
      <c r="E944" s="9"/>
    </row>
    <row r="945" spans="4:5">
      <c r="D945" s="9"/>
      <c r="E945" s="9"/>
    </row>
    <row r="946" spans="4:5">
      <c r="D946" s="9"/>
      <c r="E946" s="9"/>
    </row>
    <row r="947" spans="4:5">
      <c r="D947" s="9"/>
      <c r="E947" s="9"/>
    </row>
    <row r="948" spans="4:5">
      <c r="D948" s="9"/>
      <c r="E948" s="9"/>
    </row>
    <row r="949" spans="4:5">
      <c r="D949" s="9"/>
      <c r="E949" s="9"/>
    </row>
    <row r="950" spans="4:5">
      <c r="D950" s="9"/>
      <c r="E950" s="9"/>
    </row>
    <row r="951" spans="4:5">
      <c r="D951" s="9"/>
      <c r="E951" s="9"/>
    </row>
    <row r="952" spans="4:5">
      <c r="D952" s="9"/>
      <c r="E952" s="9"/>
    </row>
    <row r="953" spans="4:5">
      <c r="D953" s="9"/>
      <c r="E953" s="9"/>
    </row>
    <row r="954" spans="4:5">
      <c r="D954" s="9"/>
      <c r="E954" s="9"/>
    </row>
    <row r="955" spans="4:5">
      <c r="D955" s="9"/>
      <c r="E955" s="9"/>
    </row>
    <row r="956" spans="4:5">
      <c r="D956" s="9"/>
      <c r="E956" s="9"/>
    </row>
    <row r="957" spans="4:5">
      <c r="D957" s="9"/>
      <c r="E957" s="9"/>
    </row>
    <row r="958" spans="4:5">
      <c r="D958" s="9"/>
      <c r="E958" s="9"/>
    </row>
    <row r="959" spans="4:5">
      <c r="D959" s="9"/>
      <c r="E959" s="9"/>
    </row>
    <row r="960" spans="4:5">
      <c r="D960" s="9"/>
      <c r="E960" s="9"/>
    </row>
    <row r="961" spans="4:5">
      <c r="D961" s="9"/>
      <c r="E961" s="9"/>
    </row>
    <row r="962" spans="4:5">
      <c r="D962" s="9"/>
      <c r="E962" s="9"/>
    </row>
    <row r="963" spans="4:5">
      <c r="D963" s="9"/>
      <c r="E963" s="9"/>
    </row>
    <row r="964" spans="4:5">
      <c r="D964" s="9"/>
      <c r="E964" s="9"/>
    </row>
    <row r="965" spans="4:5">
      <c r="D965" s="9"/>
      <c r="E965" s="9"/>
    </row>
    <row r="966" spans="4:5">
      <c r="D966" s="9"/>
      <c r="E966" s="9"/>
    </row>
    <row r="967" spans="4:5">
      <c r="D967" s="9"/>
      <c r="E967" s="9"/>
    </row>
    <row r="968" spans="4:5">
      <c r="D968" s="9"/>
      <c r="E968" s="9"/>
    </row>
    <row r="969" spans="4:5">
      <c r="D969" s="9"/>
      <c r="E969" s="9"/>
    </row>
    <row r="970" spans="4:5">
      <c r="D970" s="9"/>
      <c r="E970" s="9"/>
    </row>
    <row r="971" spans="4:5">
      <c r="D971" s="9"/>
      <c r="E971" s="9"/>
    </row>
    <row r="972" spans="4:5">
      <c r="D972" s="9"/>
      <c r="E972" s="9"/>
    </row>
    <row r="973" spans="4:5">
      <c r="D973" s="9"/>
      <c r="E973" s="9"/>
    </row>
    <row r="974" spans="4:5">
      <c r="D974" s="9"/>
      <c r="E974" s="9"/>
    </row>
    <row r="975" spans="4:5">
      <c r="D975" s="9"/>
      <c r="E975" s="9"/>
    </row>
    <row r="976" spans="4:5">
      <c r="D976" s="9"/>
      <c r="E976" s="9"/>
    </row>
    <row r="977" spans="4:5">
      <c r="D977" s="9"/>
      <c r="E977" s="9"/>
    </row>
    <row r="978" spans="4:5">
      <c r="D978" s="9"/>
      <c r="E978" s="9"/>
    </row>
    <row r="979" spans="4:5">
      <c r="D979" s="9"/>
      <c r="E979" s="9"/>
    </row>
    <row r="980" spans="4:5">
      <c r="D980" s="9"/>
      <c r="E980" s="9"/>
    </row>
    <row r="981" spans="4:5">
      <c r="D981" s="9"/>
      <c r="E981" s="9"/>
    </row>
    <row r="982" spans="4:5">
      <c r="D982" s="9"/>
      <c r="E982" s="9"/>
    </row>
    <row r="983" spans="4:5">
      <c r="D983" s="9"/>
      <c r="E983" s="9"/>
    </row>
    <row r="984" spans="4:5">
      <c r="D984" s="9"/>
      <c r="E984" s="9"/>
    </row>
    <row r="985" spans="4:5">
      <c r="D985" s="9"/>
      <c r="E985" s="9"/>
    </row>
    <row r="986" spans="4:5">
      <c r="D986" s="9"/>
      <c r="E986" s="9"/>
    </row>
    <row r="987" spans="4:5">
      <c r="D987" s="9"/>
      <c r="E987" s="9"/>
    </row>
    <row r="988" spans="4:5">
      <c r="D988" s="9"/>
      <c r="E988" s="9"/>
    </row>
    <row r="989" spans="4:5">
      <c r="D989" s="9"/>
      <c r="E989" s="9"/>
    </row>
    <row r="990" spans="4:5">
      <c r="D990" s="9"/>
      <c r="E990" s="9"/>
    </row>
    <row r="991" spans="4:5">
      <c r="D991" s="9"/>
      <c r="E991" s="9"/>
    </row>
    <row r="992" spans="4:5">
      <c r="D992" s="9"/>
      <c r="E992" s="9"/>
    </row>
    <row r="993" spans="4:5">
      <c r="D993" s="9"/>
      <c r="E993" s="9"/>
    </row>
    <row r="994" spans="4:5">
      <c r="D994" s="9"/>
      <c r="E994" s="9"/>
    </row>
    <row r="995" spans="4:5">
      <c r="D995" s="9"/>
      <c r="E995" s="9"/>
    </row>
    <row r="996" spans="4:5">
      <c r="D996" s="9"/>
      <c r="E996" s="9"/>
    </row>
    <row r="997" spans="4:5">
      <c r="D997" s="9"/>
      <c r="E997" s="9"/>
    </row>
    <row r="998" spans="4:5">
      <c r="D998" s="9"/>
      <c r="E998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Lookups!$A$1:$A$6</xm:f>
          </x14:formula1>
          <xm:sqref>B2:B198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/>
  <sheetData>
    <row r="1" spans="1:1" ht="15.75" customHeight="1">
      <c r="A1" s="11" t="s">
        <v>51</v>
      </c>
    </row>
    <row r="2" spans="1:1" ht="15.75" customHeight="1">
      <c r="A2" s="11" t="s">
        <v>43</v>
      </c>
    </row>
    <row r="3" spans="1:1" ht="15.75" customHeight="1">
      <c r="A3" s="11" t="s">
        <v>9</v>
      </c>
    </row>
    <row r="4" spans="1:1" ht="15.75" customHeight="1">
      <c r="A4" s="11" t="s">
        <v>17</v>
      </c>
    </row>
    <row r="5" spans="1:1" ht="15.75" customHeight="1">
      <c r="A5" s="11" t="s">
        <v>23</v>
      </c>
    </row>
    <row r="6" spans="1:1" ht="15.75" customHeight="1">
      <c r="A6" s="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95"/>
  <sheetViews>
    <sheetView workbookViewId="0"/>
  </sheetViews>
  <sheetFormatPr baseColWidth="10" defaultColWidth="12.6640625" defaultRowHeight="15.75" customHeight="1"/>
  <cols>
    <col min="6" max="6" width="23.6640625" customWidth="1"/>
  </cols>
  <sheetData>
    <row r="1" spans="1:2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124</v>
      </c>
      <c r="B3" s="11" t="s">
        <v>17</v>
      </c>
      <c r="C3" s="12" t="s">
        <v>125</v>
      </c>
      <c r="D3" s="8">
        <f ca="1">IFERROR(__xludf.DUMMYFUNCTION("SPLIT(C3,"","")"),55.667496)</f>
        <v>55.667496</v>
      </c>
      <c r="E3" s="9">
        <f ca="1">IFERROR(__xludf.DUMMYFUNCTION("""COMPUTED_VALUE"""),12.531555)</f>
        <v>12.531555000000001</v>
      </c>
      <c r="F3" s="11" t="s">
        <v>126</v>
      </c>
      <c r="G3" s="11">
        <v>5</v>
      </c>
    </row>
    <row r="4" spans="1:26">
      <c r="A4" s="11" t="s">
        <v>127</v>
      </c>
      <c r="B4" s="11" t="s">
        <v>17</v>
      </c>
      <c r="C4" s="15" t="s">
        <v>128</v>
      </c>
      <c r="D4" s="8">
        <f ca="1">IFERROR(__xludf.DUMMYFUNCTION("SPLIT(C4,"","")"),56.160168)</f>
        <v>56.160167999999999</v>
      </c>
      <c r="E4" s="9">
        <f ca="1">IFERROR(__xludf.DUMMYFUNCTION("""COMPUTED_VALUE"""),10.2094531)</f>
        <v>10.209453099999999</v>
      </c>
      <c r="F4" s="11" t="s">
        <v>129</v>
      </c>
      <c r="G4" s="11">
        <v>5</v>
      </c>
    </row>
    <row r="5" spans="1:26">
      <c r="A5" s="11" t="s">
        <v>130</v>
      </c>
      <c r="B5" s="11" t="s">
        <v>17</v>
      </c>
      <c r="C5" s="12" t="s">
        <v>131</v>
      </c>
      <c r="D5" s="8">
        <f ca="1">IFERROR(__xludf.DUMMYFUNCTION("SPLIT(C5,"","")"),56.226767)</f>
        <v>56.226767000000002</v>
      </c>
      <c r="E5" s="9">
        <f ca="1">IFERROR(__xludf.DUMMYFUNCTION("""COMPUTED_VALUE"""),10.571884)</f>
        <v>10.571884000000001</v>
      </c>
      <c r="F5" s="11" t="s">
        <v>132</v>
      </c>
      <c r="G5" s="11">
        <v>5</v>
      </c>
    </row>
    <row r="6" spans="1:26">
      <c r="A6" s="11" t="s">
        <v>127</v>
      </c>
      <c r="B6" s="11" t="s">
        <v>17</v>
      </c>
      <c r="C6" s="12" t="s">
        <v>133</v>
      </c>
      <c r="D6" s="8">
        <f ca="1">IFERROR(__xludf.DUMMYFUNCTION("SPLIT(C6,"","")"),56.1485225)</f>
        <v>56.148522499999999</v>
      </c>
      <c r="E6" s="9">
        <f ca="1">IFERROR(__xludf.DUMMYFUNCTION("""COMPUTED_VALUE"""),10.1946845)</f>
        <v>10.194684499999999</v>
      </c>
      <c r="F6" s="11" t="s">
        <v>134</v>
      </c>
      <c r="G6" s="11">
        <v>5</v>
      </c>
    </row>
    <row r="7" spans="1:26">
      <c r="A7" s="11" t="s">
        <v>127</v>
      </c>
      <c r="B7" s="11" t="s">
        <v>17</v>
      </c>
      <c r="C7" s="16" t="s">
        <v>135</v>
      </c>
      <c r="D7" s="8">
        <f ca="1">IFERROR(__xludf.DUMMYFUNCTION("SPLIT(C7,"","")"),56.171234)</f>
        <v>56.171233999999998</v>
      </c>
      <c r="E7" s="9">
        <f ca="1">IFERROR(__xludf.DUMMYFUNCTION("""COMPUTED_VALUE"""),10.2003382)</f>
        <v>10.200338199999999</v>
      </c>
      <c r="F7" s="11" t="s">
        <v>136</v>
      </c>
      <c r="G7" s="11">
        <v>4</v>
      </c>
      <c r="H7" s="11" t="s">
        <v>137</v>
      </c>
    </row>
    <row r="8" spans="1:26">
      <c r="A8" s="11" t="s">
        <v>138</v>
      </c>
      <c r="B8" s="11" t="s">
        <v>17</v>
      </c>
      <c r="C8" s="12" t="s">
        <v>139</v>
      </c>
      <c r="D8" s="8">
        <f ca="1">IFERROR(__xludf.DUMMYFUNCTION("SPLIT(C8,"","")"),57.0442287431618)</f>
        <v>57.044228743161803</v>
      </c>
      <c r="E8" s="9">
        <f ca="1">IFERROR(__xludf.DUMMYFUNCTION("""COMPUTED_VALUE"""),8.48176468379532)</f>
        <v>8.4817646837953191</v>
      </c>
      <c r="F8" s="11" t="s">
        <v>140</v>
      </c>
      <c r="G8" s="11">
        <v>4</v>
      </c>
    </row>
    <row r="9" spans="1:26">
      <c r="A9" s="11" t="s">
        <v>141</v>
      </c>
      <c r="B9" s="11" t="s">
        <v>17</v>
      </c>
      <c r="C9" s="17" t="s">
        <v>142</v>
      </c>
      <c r="D9" s="8">
        <f ca="1">IFERROR(__xludf.DUMMYFUNCTION("SPLIT(C9,"","")"),55.728449)</f>
        <v>55.728448999999998</v>
      </c>
      <c r="E9" s="9">
        <f ca="1">IFERROR(__xludf.DUMMYFUNCTION("""COMPUTED_VALUE"""),9.112366)</f>
        <v>9.1123659999999997</v>
      </c>
      <c r="F9" s="11" t="s">
        <v>54</v>
      </c>
      <c r="G9" s="11">
        <v>5</v>
      </c>
    </row>
    <row r="10" spans="1:26">
      <c r="A10" s="11" t="s">
        <v>143</v>
      </c>
      <c r="B10" s="11" t="s">
        <v>144</v>
      </c>
      <c r="C10" s="12" t="s">
        <v>145</v>
      </c>
      <c r="D10" s="8">
        <f ca="1">IFERROR(__xludf.DUMMYFUNCTION("SPLIT(C10,"","")"),54.9090632334449)</f>
        <v>54.909063233444897</v>
      </c>
      <c r="E10" s="9">
        <f ca="1">IFERROR(__xludf.DUMMYFUNCTION("""COMPUTED_VALUE"""),9.75876201265655)</f>
        <v>9.7587620126565504</v>
      </c>
      <c r="F10" s="11" t="s">
        <v>146</v>
      </c>
      <c r="G10" s="11">
        <v>4</v>
      </c>
      <c r="H10" s="11" t="s">
        <v>147</v>
      </c>
    </row>
    <row r="11" spans="1:26">
      <c r="A11" s="11" t="s">
        <v>148</v>
      </c>
      <c r="B11" s="11" t="s">
        <v>144</v>
      </c>
      <c r="C11" s="12" t="s">
        <v>149</v>
      </c>
      <c r="D11" s="8">
        <f ca="1">IFERROR(__xludf.DUMMYFUNCTION("SPLIT(C11,"","")"),55.2713839379527)</f>
        <v>55.271383937952699</v>
      </c>
      <c r="E11" s="9">
        <f ca="1">IFERROR(__xludf.DUMMYFUNCTION("""COMPUTED_VALUE"""),14.7559533976851)</f>
        <v>14.755953397685101</v>
      </c>
      <c r="F11" s="11" t="s">
        <v>150</v>
      </c>
      <c r="G11" s="11">
        <v>3</v>
      </c>
    </row>
    <row r="12" spans="1:26">
      <c r="A12" s="11" t="s">
        <v>151</v>
      </c>
      <c r="B12" s="11" t="s">
        <v>152</v>
      </c>
      <c r="C12" s="12" t="s">
        <v>153</v>
      </c>
      <c r="D12" s="8">
        <f ca="1">IFERROR(__xludf.DUMMYFUNCTION("SPLIT(C12,"","")"),56.4571231)</f>
        <v>56.457123099999997</v>
      </c>
      <c r="E12" s="9">
        <f ca="1">IFERROR(__xludf.DUMMYFUNCTION("""COMPUTED_VALUE"""),10.0303439)</f>
        <v>10.0303439</v>
      </c>
      <c r="G12" s="11">
        <v>4</v>
      </c>
    </row>
    <row r="13" spans="1:26">
      <c r="A13" s="11" t="s">
        <v>154</v>
      </c>
      <c r="B13" s="11" t="s">
        <v>155</v>
      </c>
      <c r="C13" s="12" t="s">
        <v>156</v>
      </c>
      <c r="D13" s="8">
        <f ca="1">IFERROR(__xludf.DUMMYFUNCTION("SPLIT(C13,"","")"),56.5877969)</f>
        <v>56.587796900000001</v>
      </c>
      <c r="E13" s="9">
        <f ca="1">IFERROR(__xludf.DUMMYFUNCTION("""COMPUTED_VALUE"""),8.5213843)</f>
        <v>8.5213842999999994</v>
      </c>
      <c r="F13" s="11" t="s">
        <v>157</v>
      </c>
      <c r="G13" s="11">
        <v>5</v>
      </c>
      <c r="H13" s="11" t="s">
        <v>158</v>
      </c>
    </row>
    <row r="14" spans="1:26">
      <c r="A14" s="11" t="s">
        <v>159</v>
      </c>
      <c r="B14" s="11" t="s">
        <v>160</v>
      </c>
      <c r="C14" s="12" t="s">
        <v>161</v>
      </c>
      <c r="D14" s="8" t="str">
        <f ca="1">IFERROR(__xludf.DUMMYFUNCTION("SPLIT(C14,"","")"),"#REF!")</f>
        <v>#REF!</v>
      </c>
      <c r="E14" s="9">
        <v>9.7471356999999994</v>
      </c>
      <c r="F14" s="11" t="s">
        <v>162</v>
      </c>
      <c r="G14" s="11">
        <v>3</v>
      </c>
      <c r="H14" s="11" t="s">
        <v>163</v>
      </c>
    </row>
    <row r="15" spans="1:26">
      <c r="A15" s="11" t="s">
        <v>164</v>
      </c>
      <c r="B15" s="11" t="s">
        <v>165</v>
      </c>
      <c r="C15" s="12" t="s">
        <v>166</v>
      </c>
      <c r="D15" s="8">
        <f ca="1">IFERROR(__xludf.DUMMYFUNCTION("SPLIT(C15,"","")"),55.059329)</f>
        <v>55.059328999999998</v>
      </c>
      <c r="E15" s="11">
        <f ca="1">IFERROR(__xludf.DUMMYFUNCTION("""COMPUTED_VALUE"""),9.7471357)</f>
        <v>9.7471356999999994</v>
      </c>
      <c r="F15" s="11" t="s">
        <v>167</v>
      </c>
      <c r="G15" s="11">
        <v>5</v>
      </c>
      <c r="H15" s="11"/>
    </row>
    <row r="16" spans="1:26">
      <c r="A16" s="11" t="s">
        <v>168</v>
      </c>
      <c r="B16" s="11" t="s">
        <v>169</v>
      </c>
      <c r="C16" s="18" t="s">
        <v>170</v>
      </c>
      <c r="D16" s="8">
        <f ca="1">IFERROR(__xludf.DUMMYFUNCTION("SPLIT(C16,"","")"),57.74599)</f>
        <v>57.745989999999999</v>
      </c>
      <c r="E16" s="9">
        <f ca="1">IFERROR(__xludf.DUMMYFUNCTION("""COMPUTED_VALUE"""),10.65095)</f>
        <v>10.65095</v>
      </c>
      <c r="F16" s="11" t="s">
        <v>171</v>
      </c>
      <c r="G16" s="11">
        <v>3</v>
      </c>
    </row>
    <row r="17" spans="1:8">
      <c r="A17" s="11" t="s">
        <v>172</v>
      </c>
      <c r="B17" s="11" t="s">
        <v>173</v>
      </c>
      <c r="C17" s="19" t="s">
        <v>174</v>
      </c>
      <c r="D17" s="8">
        <f ca="1">IFERROR(__xludf.DUMMYFUNCTION("SPLIT(C17,"","")"),55.824976)</f>
        <v>55.824975999999999</v>
      </c>
      <c r="E17" s="9">
        <f ca="1">IFERROR(__xludf.DUMMYFUNCTION("""COMPUTED_VALUE"""),10.604435)</f>
        <v>10.604435</v>
      </c>
      <c r="F17" s="11" t="s">
        <v>175</v>
      </c>
      <c r="G17" s="11">
        <v>5</v>
      </c>
    </row>
    <row r="18" spans="1:8">
      <c r="A18" s="11" t="s">
        <v>176</v>
      </c>
      <c r="B18" s="11" t="s">
        <v>169</v>
      </c>
      <c r="C18" s="12" t="s">
        <v>177</v>
      </c>
      <c r="D18" s="8">
        <f ca="1">IFERROR(__xludf.DUMMYFUNCTION("SPLIT(C18,"","")"),55.4380599318111)</f>
        <v>55.438059931811097</v>
      </c>
      <c r="E18" s="9">
        <f ca="1">IFERROR(__xludf.DUMMYFUNCTION("""COMPUTED_VALUE"""),8.36010199877873)</f>
        <v>8.3601019987787293</v>
      </c>
      <c r="F18" s="11" t="s">
        <v>171</v>
      </c>
      <c r="G18" s="11">
        <v>5</v>
      </c>
    </row>
    <row r="19" spans="1:8">
      <c r="A19" s="11" t="s">
        <v>178</v>
      </c>
      <c r="B19" s="11" t="s">
        <v>179</v>
      </c>
      <c r="C19" s="12" t="s">
        <v>180</v>
      </c>
      <c r="D19" s="8">
        <f ca="1">IFERROR(__xludf.DUMMYFUNCTION("SPLIT(C19,"","")"),55.6772290735211)</f>
        <v>55.677229073521097</v>
      </c>
      <c r="E19" s="9">
        <f ca="1">IFERROR(__xludf.DUMMYFUNCTION("""COMPUTED_VALUE"""),12.5823327470042)</f>
        <v>12.5823327470042</v>
      </c>
      <c r="F19" s="11" t="s">
        <v>181</v>
      </c>
      <c r="G19" s="11">
        <v>5</v>
      </c>
      <c r="H19" s="11" t="s">
        <v>182</v>
      </c>
    </row>
    <row r="20" spans="1:8">
      <c r="A20" s="11" t="s">
        <v>183</v>
      </c>
      <c r="B20" s="11" t="s">
        <v>165</v>
      </c>
      <c r="C20" s="12" t="s">
        <v>184</v>
      </c>
      <c r="D20" s="8">
        <f ca="1">IFERROR(__xludf.DUMMYFUNCTION("SPLIT(C20,"","")"),55.3987223)</f>
        <v>55.398722300000003</v>
      </c>
      <c r="E20" s="9">
        <f ca="1">IFERROR(__xludf.DUMMYFUNCTION("""COMPUTED_VALUE"""),10.3886106)</f>
        <v>10.3886106</v>
      </c>
      <c r="F20" s="11" t="s">
        <v>185</v>
      </c>
      <c r="G20" s="11">
        <v>5</v>
      </c>
    </row>
    <row r="21" spans="1:8">
      <c r="A21" s="11" t="s">
        <v>186</v>
      </c>
      <c r="B21" s="11" t="s">
        <v>187</v>
      </c>
      <c r="C21" s="12" t="s">
        <v>188</v>
      </c>
      <c r="D21" s="8">
        <f ca="1">IFERROR(__xludf.DUMMYFUNCTION("SPLIT(C21,"","")"),56.1321311)</f>
        <v>56.132131100000002</v>
      </c>
      <c r="E21" s="9">
        <f ca="1">IFERROR(__xludf.DUMMYFUNCTION("""COMPUTED_VALUE"""),9.0200594)</f>
        <v>9.0200593999999992</v>
      </c>
      <c r="F21" s="11" t="s">
        <v>189</v>
      </c>
      <c r="G21" s="11">
        <v>3</v>
      </c>
      <c r="H21" s="11" t="s">
        <v>190</v>
      </c>
    </row>
    <row r="22" spans="1:8">
      <c r="A22" s="11" t="s">
        <v>191</v>
      </c>
      <c r="B22" s="11" t="s">
        <v>192</v>
      </c>
      <c r="C22" s="17" t="s">
        <v>193</v>
      </c>
      <c r="D22" s="8">
        <f ca="1">IFERROR(__xludf.DUMMYFUNCTION("SPLIT(C22,"","")"),55.9777778)</f>
        <v>55.977777799999998</v>
      </c>
      <c r="E22" s="9">
        <f ca="1">IFERROR(__xludf.DUMMYFUNCTION("""COMPUTED_VALUE"""),9.8330556)</f>
        <v>9.8330555999999998</v>
      </c>
      <c r="F22" s="11" t="s">
        <v>194</v>
      </c>
      <c r="G22" s="11">
        <v>3</v>
      </c>
    </row>
    <row r="23" spans="1:8">
      <c r="A23" s="11" t="s">
        <v>195</v>
      </c>
      <c r="B23" s="11" t="s">
        <v>196</v>
      </c>
      <c r="C23" s="12" t="s">
        <v>197</v>
      </c>
      <c r="D23" s="8">
        <f ca="1">IFERROR(__xludf.DUMMYFUNCTION("SPLIT(C23,"","")"),57.120834)</f>
        <v>57.120834000000002</v>
      </c>
      <c r="E23" s="9">
        <f ca="1">IFERROR(__xludf.DUMMYFUNCTION("""COMPUTED_VALUE"""),8.6143056)</f>
        <v>8.6143055999999998</v>
      </c>
      <c r="F23" s="11" t="s">
        <v>198</v>
      </c>
      <c r="G23" s="11">
        <v>4</v>
      </c>
      <c r="H23" s="11" t="s">
        <v>199</v>
      </c>
    </row>
    <row r="24" spans="1:8">
      <c r="A24" s="11" t="s">
        <v>200</v>
      </c>
      <c r="B24" s="11" t="s">
        <v>201</v>
      </c>
      <c r="C24" s="20" t="s">
        <v>202</v>
      </c>
      <c r="D24" s="8">
        <f ca="1">IFERROR(__xludf.DUMMYFUNCTION("SPLIT(C24,"","")"),55.62818)</f>
        <v>55.62818</v>
      </c>
      <c r="E24" s="9">
        <f ca="1">IFERROR(__xludf.DUMMYFUNCTION("""COMPUTED_VALUE"""),12.65571)</f>
        <v>12.655709999999999</v>
      </c>
      <c r="F24" s="11"/>
      <c r="G24" s="11">
        <v>4</v>
      </c>
      <c r="H24" s="11" t="s">
        <v>203</v>
      </c>
    </row>
    <row r="25" spans="1:8">
      <c r="A25" s="11" t="s">
        <v>204</v>
      </c>
      <c r="B25" s="11" t="s">
        <v>205</v>
      </c>
      <c r="C25" s="12" t="s">
        <v>206</v>
      </c>
      <c r="D25" s="8">
        <f ca="1">IFERROR(__xludf.DUMMYFUNCTION("SPLIT(C25,"","")"),55.0044807)</f>
        <v>55.004480700000002</v>
      </c>
      <c r="E25" s="9">
        <f ca="1">IFERROR(__xludf.DUMMYFUNCTION("""COMPUTED_VALUE"""),9.8836249)</f>
        <v>9.8836248999999992</v>
      </c>
      <c r="F25" s="11" t="s">
        <v>207</v>
      </c>
      <c r="G25" s="11">
        <v>2</v>
      </c>
      <c r="H25" s="11" t="s">
        <v>208</v>
      </c>
    </row>
    <row r="26" spans="1:8">
      <c r="A26" s="11" t="s">
        <v>209</v>
      </c>
      <c r="B26" s="11" t="s">
        <v>210</v>
      </c>
      <c r="C26" s="12" t="s">
        <v>211</v>
      </c>
      <c r="D26" s="8">
        <f ca="1">IFERROR(__xludf.DUMMYFUNCTION("SPLIT(C26,"","")"),55.6724123)</f>
        <v>55.672412299999998</v>
      </c>
      <c r="E26" s="9">
        <f ca="1">IFERROR(__xludf.DUMMYFUNCTION("""COMPUTED_VALUE"""),12.5191694)</f>
        <v>12.519169399999999</v>
      </c>
      <c r="F26" s="11" t="s">
        <v>212</v>
      </c>
      <c r="G26" s="11">
        <v>5</v>
      </c>
    </row>
    <row r="27" spans="1:8">
      <c r="A27" s="11" t="s">
        <v>213</v>
      </c>
      <c r="B27" s="11" t="s">
        <v>165</v>
      </c>
      <c r="C27" s="12" t="s">
        <v>214</v>
      </c>
      <c r="D27" s="8">
        <f ca="1">IFERROR(__xludf.DUMMYFUNCTION("SPLIT(C27,"","")"),56.5695813)</f>
        <v>56.569581300000003</v>
      </c>
      <c r="E27" s="9">
        <f ca="1">IFERROR(__xludf.DUMMYFUNCTION("""COMPUTED_VALUE"""),9.0344728)</f>
        <v>9.0344727999999996</v>
      </c>
      <c r="F27" s="11" t="s">
        <v>215</v>
      </c>
      <c r="G27" s="11">
        <v>5</v>
      </c>
      <c r="H27" s="11" t="s">
        <v>216</v>
      </c>
    </row>
    <row r="28" spans="1:8">
      <c r="A28" s="11" t="s">
        <v>141</v>
      </c>
      <c r="B28" s="11" t="s">
        <v>217</v>
      </c>
      <c r="C28" s="12" t="s">
        <v>218</v>
      </c>
      <c r="D28" s="8">
        <f ca="1">IFERROR(__xludf.DUMMYFUNCTION("SPLIT(C28,"","")"),55.7331014)</f>
        <v>55.733101400000002</v>
      </c>
      <c r="E28" s="9">
        <f ca="1">IFERROR(__xludf.DUMMYFUNCTION("""COMPUTED_VALUE"""),9.1355325)</f>
        <v>9.1355325000000001</v>
      </c>
      <c r="F28" s="11" t="s">
        <v>219</v>
      </c>
      <c r="G28" s="11">
        <v>5</v>
      </c>
      <c r="H28" s="11" t="s">
        <v>220</v>
      </c>
    </row>
    <row r="29" spans="1:8">
      <c r="A29" s="11" t="s">
        <v>221</v>
      </c>
      <c r="B29" s="11" t="s">
        <v>169</v>
      </c>
      <c r="C29" s="12" t="s">
        <v>222</v>
      </c>
      <c r="D29" s="8">
        <f ca="1">IFERROR(__xludf.DUMMYFUNCTION("SPLIT(C29,"","")"),56.2032959)</f>
        <v>56.203295900000001</v>
      </c>
      <c r="E29" s="9">
        <f ca="1">IFERROR(__xludf.DUMMYFUNCTION("""COMPUTED_VALUE"""),10.190962)</f>
        <v>10.190962000000001</v>
      </c>
      <c r="F29" s="11" t="s">
        <v>223</v>
      </c>
      <c r="G29" s="11">
        <v>4</v>
      </c>
      <c r="H29" s="11" t="s">
        <v>224</v>
      </c>
    </row>
    <row r="30" spans="1:8">
      <c r="A30" s="11" t="s">
        <v>127</v>
      </c>
      <c r="B30" s="11" t="s">
        <v>187</v>
      </c>
      <c r="C30" s="12" t="s">
        <v>225</v>
      </c>
      <c r="D30" s="8">
        <f ca="1">IFERROR(__xludf.DUMMYFUNCTION("SPLIT(C30,"","")"),56.1572237)</f>
        <v>56.157223700000003</v>
      </c>
      <c r="E30" s="9">
        <f ca="1">IFERROR(__xludf.DUMMYFUNCTION("""COMPUTED_VALUE"""),10.2092291)</f>
        <v>10.2092291</v>
      </c>
      <c r="F30" s="11" t="s">
        <v>226</v>
      </c>
      <c r="G30" s="11">
        <v>4</v>
      </c>
      <c r="H30" s="11" t="s">
        <v>227</v>
      </c>
    </row>
    <row r="31" spans="1:8">
      <c r="A31" s="11" t="s">
        <v>127</v>
      </c>
      <c r="B31" s="11" t="s">
        <v>169</v>
      </c>
      <c r="C31" s="12" t="s">
        <v>228</v>
      </c>
      <c r="D31" s="8">
        <f ca="1">IFERROR(__xludf.DUMMYFUNCTION("SPLIT(C31,"","")"),56.1761411)</f>
        <v>56.176141100000002</v>
      </c>
      <c r="E31" s="9">
        <f ca="1">IFERROR(__xludf.DUMMYFUNCTION("""COMPUTED_VALUE"""),10.2175407)</f>
        <v>10.217540700000001</v>
      </c>
      <c r="F31" s="11" t="s">
        <v>229</v>
      </c>
      <c r="G31" s="11">
        <v>4</v>
      </c>
      <c r="H31" s="11" t="s">
        <v>230</v>
      </c>
    </row>
    <row r="32" spans="1:8">
      <c r="A32" s="11" t="s">
        <v>231</v>
      </c>
      <c r="B32" s="11" t="s">
        <v>144</v>
      </c>
      <c r="C32" s="12" t="s">
        <v>232</v>
      </c>
      <c r="D32" s="8">
        <f ca="1">IFERROR(__xludf.DUMMYFUNCTION("SPLIT(C32,"","")"),55.491593)</f>
        <v>55.491593000000002</v>
      </c>
      <c r="E32" s="9">
        <f ca="1">IFERROR(__xludf.DUMMYFUNCTION("""COMPUTED_VALUE"""),9.4741576)</f>
        <v>9.4741575999999998</v>
      </c>
      <c r="F32" s="11" t="s">
        <v>233</v>
      </c>
      <c r="G32" s="11">
        <v>5</v>
      </c>
      <c r="H32" s="11" t="s">
        <v>234</v>
      </c>
    </row>
    <row r="33" spans="1:8">
      <c r="A33" s="11" t="s">
        <v>235</v>
      </c>
      <c r="B33" s="11" t="s">
        <v>187</v>
      </c>
      <c r="C33" s="12" t="s">
        <v>236</v>
      </c>
      <c r="D33" s="8">
        <f ca="1">IFERROR(__xludf.DUMMYFUNCTION("SPLIT(C33,"","")"),56.0864107)</f>
        <v>56.086410700000002</v>
      </c>
      <c r="E33" s="9">
        <f ca="1">IFERROR(__xludf.DUMMYFUNCTION("""COMPUTED_VALUE"""),12.3963899)</f>
        <v>12.396389900000001</v>
      </c>
      <c r="F33" s="21" t="s">
        <v>237</v>
      </c>
      <c r="G33" s="11">
        <v>4</v>
      </c>
      <c r="H33" s="11" t="s">
        <v>238</v>
      </c>
    </row>
    <row r="34" spans="1:8">
      <c r="A34" s="11" t="s">
        <v>239</v>
      </c>
      <c r="B34" s="11" t="s">
        <v>240</v>
      </c>
      <c r="C34" s="12" t="s">
        <v>241</v>
      </c>
      <c r="D34" s="8">
        <f ca="1">IFERROR(__xludf.DUMMYFUNCTION("SPLIT(C34,"","")"),55.4786324)</f>
        <v>55.478632400000002</v>
      </c>
      <c r="E34" s="9">
        <f ca="1">IFERROR(__xludf.DUMMYFUNCTION("""COMPUTED_VALUE"""),8.435908)</f>
        <v>8.4359079999999995</v>
      </c>
      <c r="F34" s="11" t="s">
        <v>242</v>
      </c>
      <c r="G34" s="11">
        <v>4</v>
      </c>
    </row>
    <row r="35" spans="1:8">
      <c r="A35" s="11" t="s">
        <v>243</v>
      </c>
      <c r="B35" s="11" t="s">
        <v>244</v>
      </c>
      <c r="C35" s="12" t="s">
        <v>245</v>
      </c>
      <c r="D35" s="8">
        <f ca="1">IFERROR(__xludf.DUMMYFUNCTION("SPLIT(C35,"","")"),56.1588841330794)</f>
        <v>56.158884133079397</v>
      </c>
      <c r="E35" s="9">
        <f ca="1">IFERROR(__xludf.DUMMYFUNCTION("""COMPUTED_VALUE"""),10.1921259346043)</f>
        <v>10.1921259346043</v>
      </c>
      <c r="F35" s="11" t="s">
        <v>246</v>
      </c>
      <c r="G35" s="11">
        <v>4</v>
      </c>
    </row>
    <row r="36" spans="1:8">
      <c r="A36" s="11" t="s">
        <v>247</v>
      </c>
      <c r="B36" s="11" t="s">
        <v>248</v>
      </c>
      <c r="C36" s="12" t="s">
        <v>249</v>
      </c>
      <c r="D36" s="8">
        <f ca="1">IFERROR(__xludf.DUMMYFUNCTION("SPLIT(C36,"","")"),56.1053065)</f>
        <v>56.105306499999998</v>
      </c>
      <c r="E36" s="9">
        <f ca="1">IFERROR(__xludf.DUMMYFUNCTION("""COMPUTED_VALUE"""),9.6848622)</f>
        <v>9.6848621999999995</v>
      </c>
      <c r="F36" s="11">
        <f ca="1">IFERROR(__xludf.DUMMYFUNCTION("""COMPUTED_VALUE"""),15)</f>
        <v>15</v>
      </c>
    </row>
    <row r="37" spans="1:8">
      <c r="A37" s="11" t="s">
        <v>250</v>
      </c>
      <c r="B37" s="11" t="s">
        <v>251</v>
      </c>
      <c r="C37" s="12" t="s">
        <v>252</v>
      </c>
      <c r="D37" s="8">
        <f ca="1">IFERROR(__xludf.DUMMYFUNCTION("SPLIT(C37,"","")"),56.1731742972829)</f>
        <v>56.173174297282898</v>
      </c>
      <c r="E37" s="9">
        <f ca="1">IFERROR(__xludf.DUMMYFUNCTION("""COMPUTED_VALUE"""),9.55695752018396)</f>
        <v>9.5569575201839605</v>
      </c>
      <c r="F37" s="11" t="s">
        <v>253</v>
      </c>
      <c r="G37" s="11">
        <v>5</v>
      </c>
    </row>
    <row r="38" spans="1:8">
      <c r="A38" s="11" t="s">
        <v>254</v>
      </c>
      <c r="B38" s="11" t="s">
        <v>169</v>
      </c>
      <c r="C38" s="12" t="s">
        <v>255</v>
      </c>
      <c r="D38" s="8">
        <f ca="1">IFERROR(__xludf.DUMMYFUNCTION("SPLIT(C38,"","")"),56.2010145)</f>
        <v>56.201014499999999</v>
      </c>
      <c r="E38" s="9">
        <f ca="1">IFERROR(__xludf.DUMMYFUNCTION("""COMPUTED_VALUE"""),8.9632962)</f>
        <v>8.9632962000000003</v>
      </c>
      <c r="F38" s="11" t="s">
        <v>254</v>
      </c>
    </row>
    <row r="39" spans="1:8">
      <c r="A39" s="11" t="s">
        <v>256</v>
      </c>
      <c r="B39" s="11" t="s">
        <v>43</v>
      </c>
      <c r="C39" s="12" t="s">
        <v>257</v>
      </c>
      <c r="D39" s="8">
        <f ca="1">IFERROR(__xludf.DUMMYFUNCTION("SPLIT(C39,"","")"),56.104165)</f>
        <v>56.104165000000002</v>
      </c>
      <c r="E39" s="9">
        <f ca="1">IFERROR(__xludf.DUMMYFUNCTION("""COMPUTED_VALUE"""),9.669434)</f>
        <v>9.6694340000000008</v>
      </c>
      <c r="F39" s="11" t="s">
        <v>258</v>
      </c>
      <c r="G39" s="11">
        <v>3</v>
      </c>
      <c r="H39" s="11" t="s">
        <v>259</v>
      </c>
    </row>
    <row r="40" spans="1:8">
      <c r="A40" s="11" t="s">
        <v>260</v>
      </c>
      <c r="B40" s="11" t="s">
        <v>261</v>
      </c>
      <c r="C40" s="12" t="s">
        <v>262</v>
      </c>
      <c r="D40" s="8">
        <f ca="1">IFERROR(__xludf.DUMMYFUNCTION("SPLIT(C40,"","")"),55.3953875)</f>
        <v>55.395387499999998</v>
      </c>
      <c r="E40" s="9">
        <f ca="1">IFERROR(__xludf.DUMMYFUNCTION("""COMPUTED_VALUE"""),10.389136)</f>
        <v>10.389136000000001</v>
      </c>
      <c r="F40" s="11" t="s">
        <v>263</v>
      </c>
    </row>
    <row r="41" spans="1:8">
      <c r="A41" s="11" t="s">
        <v>264</v>
      </c>
      <c r="B41" s="11" t="s">
        <v>265</v>
      </c>
      <c r="C41" s="12" t="s">
        <v>266</v>
      </c>
      <c r="D41" s="8">
        <f ca="1">IFERROR(__xludf.DUMMYFUNCTION("SPLIT(C41,"","")"),56.1725556)</f>
        <v>56.172555600000003</v>
      </c>
      <c r="E41" s="9">
        <f ca="1">IFERROR(__xludf.DUMMYFUNCTION("""COMPUTED_VALUE"""),10.205593)</f>
        <v>10.205593</v>
      </c>
      <c r="F41" s="11" t="s">
        <v>264</v>
      </c>
      <c r="G41" s="11">
        <v>5</v>
      </c>
    </row>
    <row r="42" spans="1:8">
      <c r="A42" s="11" t="s">
        <v>267</v>
      </c>
      <c r="B42" s="11" t="s">
        <v>268</v>
      </c>
      <c r="C42" s="12" t="s">
        <v>269</v>
      </c>
      <c r="D42" s="8">
        <f ca="1">IFERROR(__xludf.DUMMYFUNCTION("SPLIT(C42,"","")"),56.205574)</f>
        <v>56.205573999999999</v>
      </c>
      <c r="E42" s="9">
        <f ca="1">IFERROR(__xludf.DUMMYFUNCTION("""COMPUTED_VALUE"""),8.9065236)</f>
        <v>8.9065235999999999</v>
      </c>
      <c r="F42" s="11" t="s">
        <v>270</v>
      </c>
      <c r="G42" s="11">
        <v>4</v>
      </c>
      <c r="H42" s="11" t="s">
        <v>271</v>
      </c>
    </row>
    <row r="43" spans="1:8">
      <c r="A43" s="11" t="s">
        <v>272</v>
      </c>
      <c r="B43" s="11" t="s">
        <v>273</v>
      </c>
      <c r="C43" s="12" t="s">
        <v>274</v>
      </c>
      <c r="D43" s="8">
        <f ca="1">IFERROR(__xludf.DUMMYFUNCTION("SPLIT(C43,"","")"),56.2814)</f>
        <v>56.281399999999998</v>
      </c>
      <c r="E43" s="9">
        <f ca="1">IFERROR(__xludf.DUMMYFUNCTION("""COMPUTED_VALUE"""),10.69054)</f>
        <v>10.69054</v>
      </c>
      <c r="F43" s="11" t="s">
        <v>275</v>
      </c>
      <c r="G43" s="11">
        <v>5</v>
      </c>
    </row>
    <row r="44" spans="1:8">
      <c r="C44" s="12"/>
      <c r="D44" s="8" t="str">
        <f ca="1">IFERROR(__xludf.DUMMYFUNCTION("SPLIT(C44,"","")"),"#VALUE!")</f>
        <v>#VALUE!</v>
      </c>
      <c r="E44" s="9"/>
    </row>
    <row r="45" spans="1:8">
      <c r="C45" s="12"/>
      <c r="D45" s="8" t="str">
        <f ca="1">IFERROR(__xludf.DUMMYFUNCTION("SPLIT(C45,"","")"),"#VALUE!")</f>
        <v>#VALUE!</v>
      </c>
      <c r="E45" s="9"/>
    </row>
    <row r="46" spans="1:8">
      <c r="C46" s="12"/>
      <c r="E46" s="9"/>
    </row>
    <row r="47" spans="1:8" ht="15.75" customHeight="1">
      <c r="C47" s="12"/>
    </row>
    <row r="48" spans="1:8" ht="15.75" customHeight="1">
      <c r="C48" s="12"/>
    </row>
    <row r="49" spans="3:3" ht="15.75" customHeight="1">
      <c r="C49" s="12"/>
    </row>
    <row r="50" spans="3:3" ht="15.75" customHeight="1">
      <c r="C50" s="12"/>
    </row>
    <row r="51" spans="3:3" ht="15.75" customHeight="1">
      <c r="C51" s="12"/>
    </row>
    <row r="52" spans="3:3" ht="15.75" customHeight="1">
      <c r="C52" s="12"/>
    </row>
    <row r="53" spans="3:3" ht="15.75" customHeight="1">
      <c r="C53" s="12"/>
    </row>
    <row r="54" spans="3:3" ht="15.75" customHeight="1">
      <c r="C54" s="12"/>
    </row>
    <row r="55" spans="3:3" ht="15.75" customHeight="1">
      <c r="C55" s="12"/>
    </row>
    <row r="56" spans="3:3" ht="15.75" customHeight="1">
      <c r="C56" s="12"/>
    </row>
    <row r="57" spans="3:3" ht="15.75" customHeight="1">
      <c r="C57" s="12"/>
    </row>
    <row r="58" spans="3:3" ht="15.75" customHeight="1">
      <c r="C58" s="12"/>
    </row>
    <row r="59" spans="3:3" ht="15.75" customHeight="1">
      <c r="C59" s="12"/>
    </row>
    <row r="60" spans="3:3" ht="15.75" customHeight="1">
      <c r="C60" s="12"/>
    </row>
    <row r="61" spans="3:3" ht="15.75" customHeight="1">
      <c r="C61" s="12"/>
    </row>
    <row r="62" spans="3:3" ht="15.75" customHeight="1">
      <c r="C62" s="12"/>
    </row>
    <row r="63" spans="3:3" ht="15.75" customHeight="1">
      <c r="C63" s="12"/>
    </row>
    <row r="64" spans="3:3" ht="15.75" customHeight="1">
      <c r="C64" s="12"/>
    </row>
    <row r="65" spans="3:3" ht="15.75" customHeight="1">
      <c r="C65" s="12"/>
    </row>
    <row r="66" spans="3:3" ht="15.75" customHeight="1">
      <c r="C66" s="12"/>
    </row>
    <row r="67" spans="3:3" ht="15.75" customHeight="1">
      <c r="C67" s="12"/>
    </row>
    <row r="68" spans="3:3" ht="15.75" customHeight="1">
      <c r="C68" s="12"/>
    </row>
    <row r="69" spans="3:3" ht="15.75" customHeight="1">
      <c r="C69" s="12"/>
    </row>
    <row r="70" spans="3:3" ht="15.75" customHeight="1">
      <c r="C70" s="12"/>
    </row>
    <row r="71" spans="3:3" ht="15.75" customHeight="1">
      <c r="C71" s="12"/>
    </row>
    <row r="72" spans="3:3" ht="15.75" customHeight="1">
      <c r="C72" s="12"/>
    </row>
    <row r="73" spans="3:3" ht="15.75" customHeight="1">
      <c r="C73" s="12"/>
    </row>
    <row r="74" spans="3:3" ht="15.75" customHeight="1">
      <c r="C74" s="12"/>
    </row>
    <row r="75" spans="3:3" ht="15.75" customHeight="1">
      <c r="C75" s="12"/>
    </row>
    <row r="76" spans="3:3" ht="15.75" customHeight="1">
      <c r="C76" s="12"/>
    </row>
    <row r="77" spans="3:3" ht="15.75" customHeight="1">
      <c r="C77" s="12"/>
    </row>
    <row r="78" spans="3:3" ht="15.75" customHeight="1">
      <c r="C78" s="12"/>
    </row>
    <row r="79" spans="3:3" ht="15.75" customHeight="1">
      <c r="C79" s="12"/>
    </row>
    <row r="80" spans="3:3" ht="15.75" customHeight="1">
      <c r="C80" s="12"/>
    </row>
    <row r="81" spans="3:3" ht="15.75" customHeight="1">
      <c r="C81" s="12"/>
    </row>
    <row r="82" spans="3:3" ht="15.75" customHeight="1">
      <c r="C82" s="12"/>
    </row>
    <row r="83" spans="3:3" ht="15.75" customHeight="1">
      <c r="C83" s="12"/>
    </row>
    <row r="84" spans="3:3" ht="15.75" customHeight="1">
      <c r="C84" s="12"/>
    </row>
    <row r="85" spans="3:3" ht="15.75" customHeight="1">
      <c r="C85" s="12"/>
    </row>
    <row r="86" spans="3:3" ht="15.75" customHeight="1">
      <c r="C86" s="12"/>
    </row>
    <row r="87" spans="3:3" ht="15.75" customHeight="1">
      <c r="C87" s="12"/>
    </row>
    <row r="88" spans="3:3" ht="15.75" customHeight="1">
      <c r="C88" s="12"/>
    </row>
    <row r="89" spans="3:3" ht="15.75" customHeight="1">
      <c r="C89" s="12"/>
    </row>
    <row r="90" spans="3:3" ht="15.75" customHeight="1">
      <c r="C90" s="12"/>
    </row>
    <row r="91" spans="3:3" ht="15.75" customHeight="1">
      <c r="C91" s="12"/>
    </row>
    <row r="92" spans="3:3" ht="15.75" customHeight="1">
      <c r="C92" s="12"/>
    </row>
    <row r="93" spans="3:3" ht="15.75" customHeight="1">
      <c r="C93" s="12"/>
    </row>
    <row r="94" spans="3:3" ht="15.75" customHeight="1">
      <c r="C94" s="12"/>
    </row>
    <row r="95" spans="3:3" ht="15.75" customHeight="1">
      <c r="C95" s="12"/>
    </row>
    <row r="96" spans="3:3" ht="15.75" customHeight="1">
      <c r="C96" s="12"/>
    </row>
    <row r="97" spans="3:3" ht="15.75" customHeight="1">
      <c r="C97" s="12"/>
    </row>
    <row r="98" spans="3:3" ht="15.75" customHeight="1">
      <c r="C98" s="12"/>
    </row>
    <row r="99" spans="3:3" ht="15.75" customHeight="1">
      <c r="C99" s="12"/>
    </row>
    <row r="100" spans="3:3" ht="15.75" customHeight="1">
      <c r="C100" s="12"/>
    </row>
    <row r="101" spans="3:3" ht="15.75" customHeight="1">
      <c r="C101" s="12"/>
    </row>
    <row r="102" spans="3:3" ht="15.75" customHeight="1">
      <c r="C102" s="12"/>
    </row>
    <row r="103" spans="3:3" ht="15.75" customHeight="1">
      <c r="C103" s="12"/>
    </row>
    <row r="104" spans="3:3" ht="15.75" customHeight="1">
      <c r="C104" s="12"/>
    </row>
    <row r="105" spans="3:3" ht="15.75" customHeight="1">
      <c r="C105" s="12"/>
    </row>
    <row r="106" spans="3:3" ht="15.75" customHeight="1">
      <c r="C106" s="12"/>
    </row>
    <row r="107" spans="3:3" ht="15.75" customHeight="1">
      <c r="C107" s="12"/>
    </row>
    <row r="108" spans="3:3" ht="15.75" customHeight="1">
      <c r="C108" s="12"/>
    </row>
    <row r="109" spans="3:3" ht="15.75" customHeight="1">
      <c r="C109" s="12"/>
    </row>
    <row r="110" spans="3:3" ht="15.75" customHeight="1">
      <c r="C110" s="12"/>
    </row>
    <row r="111" spans="3:3" ht="15.75" customHeight="1">
      <c r="C111" s="12"/>
    </row>
    <row r="112" spans="3:3" ht="15.75" customHeight="1">
      <c r="C112" s="12"/>
    </row>
    <row r="113" spans="3:3" ht="15.75" customHeight="1">
      <c r="C113" s="12"/>
    </row>
    <row r="114" spans="3:3" ht="15.75" customHeight="1">
      <c r="C114" s="12"/>
    </row>
    <row r="115" spans="3:3" ht="15.75" customHeight="1">
      <c r="C115" s="12"/>
    </row>
    <row r="116" spans="3:3" ht="15.75" customHeight="1">
      <c r="C116" s="12"/>
    </row>
    <row r="117" spans="3:3" ht="15.75" customHeight="1">
      <c r="C117" s="12"/>
    </row>
    <row r="118" spans="3:3" ht="15.75" customHeight="1">
      <c r="C118" s="12"/>
    </row>
    <row r="119" spans="3:3" ht="15.75" customHeight="1">
      <c r="C119" s="12"/>
    </row>
    <row r="120" spans="3:3" ht="15.75" customHeight="1">
      <c r="C120" s="12"/>
    </row>
    <row r="121" spans="3:3" ht="15.75" customHeight="1">
      <c r="C121" s="12"/>
    </row>
    <row r="122" spans="3:3" ht="15.75" customHeight="1">
      <c r="C122" s="12"/>
    </row>
    <row r="123" spans="3:3" ht="15.75" customHeight="1">
      <c r="C123" s="12"/>
    </row>
    <row r="124" spans="3:3" ht="15.75" customHeight="1">
      <c r="C124" s="12"/>
    </row>
    <row r="125" spans="3:3" ht="15.75" customHeight="1">
      <c r="C125" s="12"/>
    </row>
    <row r="126" spans="3:3" ht="15.75" customHeight="1">
      <c r="C126" s="12"/>
    </row>
    <row r="127" spans="3:3" ht="15.75" customHeight="1">
      <c r="C127" s="12"/>
    </row>
    <row r="128" spans="3:3" ht="15.75" customHeight="1">
      <c r="C128" s="12"/>
    </row>
    <row r="129" spans="3:3" ht="15.75" customHeight="1">
      <c r="C129" s="12"/>
    </row>
    <row r="130" spans="3:3" ht="15.75" customHeight="1">
      <c r="C130" s="12"/>
    </row>
    <row r="131" spans="3:3" ht="15.75" customHeight="1">
      <c r="C131" s="12"/>
    </row>
    <row r="132" spans="3:3" ht="15.75" customHeight="1">
      <c r="C132" s="12"/>
    </row>
    <row r="133" spans="3:3" ht="15.75" customHeight="1">
      <c r="C133" s="12"/>
    </row>
    <row r="134" spans="3:3" ht="15.75" customHeight="1">
      <c r="C134" s="12"/>
    </row>
    <row r="135" spans="3:3" ht="15.75" customHeight="1">
      <c r="C135" s="12"/>
    </row>
    <row r="136" spans="3:3" ht="15.75" customHeight="1">
      <c r="C136" s="12"/>
    </row>
    <row r="137" spans="3:3" ht="15.75" customHeight="1">
      <c r="C137" s="12"/>
    </row>
    <row r="138" spans="3:3" ht="15.75" customHeight="1">
      <c r="C138" s="12"/>
    </row>
    <row r="139" spans="3:3" ht="15.75" customHeight="1">
      <c r="C139" s="12"/>
    </row>
    <row r="140" spans="3:3" ht="15.75" customHeight="1">
      <c r="C140" s="12"/>
    </row>
    <row r="141" spans="3:3" ht="15.75" customHeight="1">
      <c r="C141" s="12"/>
    </row>
    <row r="142" spans="3:3" ht="15.75" customHeight="1">
      <c r="C142" s="12"/>
    </row>
    <row r="143" spans="3:3" ht="15.75" customHeight="1">
      <c r="C143" s="12"/>
    </row>
    <row r="144" spans="3:3" ht="15.75" customHeight="1">
      <c r="C144" s="12"/>
    </row>
    <row r="145" spans="3:3" ht="15.75" customHeight="1">
      <c r="C145" s="12"/>
    </row>
    <row r="146" spans="3:3" ht="15.75" customHeight="1">
      <c r="C146" s="12"/>
    </row>
    <row r="147" spans="3:3" ht="15.75" customHeight="1">
      <c r="C147" s="12"/>
    </row>
    <row r="148" spans="3:3" ht="15.75" customHeight="1">
      <c r="C148" s="12"/>
    </row>
    <row r="149" spans="3:3" ht="15.75" customHeight="1">
      <c r="C149" s="12"/>
    </row>
    <row r="150" spans="3:3" ht="15.75" customHeight="1">
      <c r="C150" s="12"/>
    </row>
    <row r="151" spans="3:3" ht="15.75" customHeight="1">
      <c r="C151" s="12"/>
    </row>
    <row r="152" spans="3:3" ht="15.75" customHeight="1">
      <c r="C152" s="12"/>
    </row>
    <row r="153" spans="3:3" ht="15.75" customHeight="1">
      <c r="C153" s="12"/>
    </row>
    <row r="154" spans="3:3" ht="15.75" customHeight="1">
      <c r="C154" s="12"/>
    </row>
    <row r="155" spans="3:3" ht="15.75" customHeight="1">
      <c r="C155" s="12"/>
    </row>
    <row r="156" spans="3:3" ht="15.75" customHeight="1">
      <c r="C156" s="12"/>
    </row>
    <row r="157" spans="3:3" ht="15.75" customHeight="1">
      <c r="C157" s="12"/>
    </row>
    <row r="158" spans="3:3" ht="15.75" customHeight="1">
      <c r="C158" s="12"/>
    </row>
    <row r="159" spans="3:3" ht="15.75" customHeight="1">
      <c r="C159" s="12"/>
    </row>
    <row r="160" spans="3:3" ht="15.75" customHeight="1">
      <c r="C160" s="12"/>
    </row>
    <row r="161" spans="3:3" ht="15.75" customHeight="1">
      <c r="C161" s="12"/>
    </row>
    <row r="162" spans="3:3" ht="15.75" customHeight="1">
      <c r="C162" s="12"/>
    </row>
    <row r="163" spans="3:3" ht="15.75" customHeight="1">
      <c r="C163" s="12"/>
    </row>
    <row r="164" spans="3:3" ht="15.75" customHeight="1">
      <c r="C164" s="12"/>
    </row>
    <row r="165" spans="3:3" ht="15.75" customHeight="1">
      <c r="C165" s="12"/>
    </row>
    <row r="166" spans="3:3" ht="15.75" customHeight="1">
      <c r="C166" s="12"/>
    </row>
    <row r="167" spans="3:3" ht="15.75" customHeight="1">
      <c r="C167" s="12"/>
    </row>
    <row r="168" spans="3:3" ht="15.75" customHeight="1">
      <c r="C168" s="12"/>
    </row>
    <row r="169" spans="3:3" ht="15.75" customHeight="1">
      <c r="C169" s="12"/>
    </row>
    <row r="170" spans="3:3" ht="15.75" customHeight="1">
      <c r="C170" s="12"/>
    </row>
    <row r="171" spans="3:3" ht="15.75" customHeight="1">
      <c r="C171" s="12"/>
    </row>
    <row r="172" spans="3:3" ht="15.75" customHeight="1">
      <c r="C172" s="12"/>
    </row>
    <row r="173" spans="3:3" ht="15.75" customHeight="1">
      <c r="C173" s="12"/>
    </row>
    <row r="174" spans="3:3" ht="15.75" customHeight="1">
      <c r="C174" s="12"/>
    </row>
    <row r="175" spans="3:3" ht="15.75" customHeight="1">
      <c r="C175" s="12"/>
    </row>
    <row r="176" spans="3:3" ht="15.75" customHeight="1">
      <c r="C176" s="12"/>
    </row>
    <row r="177" spans="3:3" ht="15.75" customHeight="1">
      <c r="C177" s="12"/>
    </row>
    <row r="178" spans="3:3" ht="15.75" customHeight="1">
      <c r="C178" s="12"/>
    </row>
    <row r="179" spans="3:3" ht="15.75" customHeight="1">
      <c r="C179" s="12"/>
    </row>
    <row r="180" spans="3:3" ht="15.75" customHeight="1">
      <c r="C180" s="12"/>
    </row>
    <row r="181" spans="3:3" ht="15.75" customHeight="1">
      <c r="C181" s="12"/>
    </row>
    <row r="182" spans="3:3" ht="15.75" customHeight="1">
      <c r="C182" s="12"/>
    </row>
    <row r="183" spans="3:3" ht="15.75" customHeight="1">
      <c r="C183" s="12"/>
    </row>
    <row r="184" spans="3:3" ht="15.75" customHeight="1">
      <c r="C184" s="12"/>
    </row>
    <row r="185" spans="3:3" ht="15.75" customHeight="1">
      <c r="C185" s="12"/>
    </row>
    <row r="186" spans="3:3" ht="15.75" customHeight="1">
      <c r="C186" s="12"/>
    </row>
    <row r="187" spans="3:3" ht="15.75" customHeight="1">
      <c r="C187" s="12"/>
    </row>
    <row r="188" spans="3:3" ht="15.75" customHeight="1">
      <c r="C188" s="12"/>
    </row>
    <row r="189" spans="3:3" ht="15.75" customHeight="1">
      <c r="C189" s="12"/>
    </row>
    <row r="190" spans="3:3" ht="15.75" customHeight="1">
      <c r="C190" s="12"/>
    </row>
    <row r="191" spans="3:3" ht="15.75" customHeight="1">
      <c r="C191" s="12"/>
    </row>
    <row r="192" spans="3:3" ht="15.75" customHeight="1">
      <c r="C192" s="12"/>
    </row>
    <row r="193" spans="3:3" ht="15.75" customHeight="1">
      <c r="C193" s="12"/>
    </row>
    <row r="194" spans="3:3" ht="15.75" customHeight="1">
      <c r="C194" s="12"/>
    </row>
    <row r="195" spans="3:3" ht="15.75" customHeight="1">
      <c r="C195" s="12"/>
    </row>
    <row r="196" spans="3:3" ht="15.75" customHeight="1">
      <c r="C196" s="12"/>
    </row>
    <row r="197" spans="3:3" ht="15.75" customHeight="1">
      <c r="C197" s="12"/>
    </row>
    <row r="198" spans="3:3" ht="15.75" customHeight="1">
      <c r="C198" s="12"/>
    </row>
    <row r="199" spans="3:3" ht="15.75" customHeight="1">
      <c r="C199" s="12"/>
    </row>
    <row r="200" spans="3:3" ht="15.75" customHeight="1">
      <c r="C200" s="12"/>
    </row>
    <row r="201" spans="3:3" ht="15.75" customHeight="1">
      <c r="C201" s="12"/>
    </row>
    <row r="202" spans="3:3" ht="15.75" customHeight="1">
      <c r="C202" s="12"/>
    </row>
    <row r="203" spans="3:3" ht="15.75" customHeight="1">
      <c r="C203" s="12"/>
    </row>
    <row r="204" spans="3:3" ht="15.75" customHeight="1">
      <c r="C204" s="12"/>
    </row>
    <row r="205" spans="3:3" ht="15.75" customHeight="1">
      <c r="C205" s="12"/>
    </row>
    <row r="206" spans="3:3" ht="15.75" customHeight="1">
      <c r="C206" s="12"/>
    </row>
    <row r="207" spans="3:3" ht="15.75" customHeight="1">
      <c r="C207" s="12"/>
    </row>
    <row r="208" spans="3:3" ht="15.75" customHeight="1">
      <c r="C208" s="12"/>
    </row>
    <row r="209" spans="3:3" ht="15.75" customHeight="1">
      <c r="C209" s="12"/>
    </row>
    <row r="210" spans="3:3" ht="15.75" customHeight="1">
      <c r="C210" s="12"/>
    </row>
    <row r="211" spans="3:3" ht="15.75" customHeight="1">
      <c r="C211" s="12"/>
    </row>
    <row r="212" spans="3:3" ht="15.75" customHeight="1">
      <c r="C212" s="12"/>
    </row>
    <row r="213" spans="3:3" ht="15.75" customHeight="1">
      <c r="C213" s="12"/>
    </row>
    <row r="214" spans="3:3" ht="15.75" customHeight="1">
      <c r="C214" s="12"/>
    </row>
    <row r="215" spans="3:3" ht="15.75" customHeight="1">
      <c r="C215" s="12"/>
    </row>
    <row r="216" spans="3:3" ht="15.75" customHeight="1">
      <c r="C216" s="12"/>
    </row>
    <row r="217" spans="3:3" ht="15.75" customHeight="1">
      <c r="C217" s="12"/>
    </row>
    <row r="218" spans="3:3" ht="15.75" customHeight="1">
      <c r="C218" s="12"/>
    </row>
    <row r="219" spans="3:3" ht="15.75" customHeight="1">
      <c r="C219" s="12"/>
    </row>
    <row r="220" spans="3:3" ht="15.75" customHeight="1">
      <c r="C220" s="12"/>
    </row>
    <row r="221" spans="3:3" ht="15.75" customHeight="1">
      <c r="C221" s="12"/>
    </row>
    <row r="222" spans="3:3" ht="15.75" customHeight="1">
      <c r="C222" s="12"/>
    </row>
    <row r="223" spans="3:3" ht="15.75" customHeight="1">
      <c r="C223" s="12"/>
    </row>
    <row r="224" spans="3:3" ht="15.75" customHeight="1">
      <c r="C224" s="12"/>
    </row>
    <row r="225" spans="3:3" ht="15.75" customHeight="1">
      <c r="C225" s="12"/>
    </row>
    <row r="226" spans="3:3" ht="15.75" customHeight="1">
      <c r="C226" s="12"/>
    </row>
    <row r="227" spans="3:3" ht="15.75" customHeight="1">
      <c r="C227" s="12"/>
    </row>
    <row r="228" spans="3:3" ht="15.75" customHeight="1">
      <c r="C228" s="12"/>
    </row>
    <row r="229" spans="3:3" ht="15.75" customHeight="1">
      <c r="C229" s="12"/>
    </row>
    <row r="230" spans="3:3" ht="15.75" customHeight="1">
      <c r="C230" s="12"/>
    </row>
    <row r="231" spans="3:3" ht="15.75" customHeight="1">
      <c r="C231" s="12"/>
    </row>
    <row r="232" spans="3:3" ht="15.75" customHeight="1">
      <c r="C232" s="12"/>
    </row>
    <row r="233" spans="3:3" ht="15.75" customHeight="1">
      <c r="C233" s="12"/>
    </row>
    <row r="234" spans="3:3" ht="15.75" customHeight="1">
      <c r="C234" s="12"/>
    </row>
    <row r="235" spans="3:3" ht="15.75" customHeight="1">
      <c r="C235" s="12"/>
    </row>
    <row r="236" spans="3:3" ht="15.75" customHeight="1">
      <c r="C236" s="12"/>
    </row>
    <row r="237" spans="3:3" ht="15.75" customHeight="1">
      <c r="C237" s="12"/>
    </row>
    <row r="238" spans="3:3" ht="15.75" customHeight="1">
      <c r="C238" s="12"/>
    </row>
    <row r="239" spans="3:3" ht="15.75" customHeight="1">
      <c r="C239" s="12"/>
    </row>
    <row r="240" spans="3:3" ht="15.75" customHeight="1">
      <c r="C240" s="12"/>
    </row>
    <row r="241" spans="3:3" ht="15.75" customHeight="1">
      <c r="C241" s="12"/>
    </row>
    <row r="242" spans="3:3" ht="15.75" customHeight="1">
      <c r="C242" s="12"/>
    </row>
    <row r="243" spans="3:3" ht="15.75" customHeight="1">
      <c r="C243" s="12"/>
    </row>
    <row r="244" spans="3:3" ht="15.75" customHeight="1">
      <c r="C244" s="12"/>
    </row>
    <row r="245" spans="3:3" ht="15.75" customHeight="1">
      <c r="C245" s="12"/>
    </row>
    <row r="246" spans="3:3" ht="15.75" customHeight="1">
      <c r="C246" s="12"/>
    </row>
    <row r="247" spans="3:3" ht="15.75" customHeight="1">
      <c r="C247" s="12"/>
    </row>
    <row r="248" spans="3:3" ht="15.75" customHeight="1">
      <c r="C248" s="12"/>
    </row>
    <row r="249" spans="3:3" ht="15.75" customHeight="1">
      <c r="C249" s="12"/>
    </row>
    <row r="250" spans="3:3" ht="15.75" customHeight="1">
      <c r="C250" s="12"/>
    </row>
    <row r="251" spans="3:3" ht="15.75" customHeight="1">
      <c r="C251" s="12"/>
    </row>
    <row r="252" spans="3:3" ht="15.75" customHeight="1">
      <c r="C252" s="12"/>
    </row>
    <row r="253" spans="3:3" ht="15.75" customHeight="1">
      <c r="C253" s="12"/>
    </row>
    <row r="254" spans="3:3" ht="15.75" customHeight="1">
      <c r="C254" s="12"/>
    </row>
    <row r="255" spans="3:3" ht="15.75" customHeight="1">
      <c r="C255" s="12"/>
    </row>
    <row r="256" spans="3:3" ht="15.75" customHeight="1">
      <c r="C256" s="12"/>
    </row>
    <row r="257" spans="3:3" ht="15.75" customHeight="1">
      <c r="C257" s="12"/>
    </row>
    <row r="258" spans="3:3" ht="15.75" customHeight="1">
      <c r="C258" s="12"/>
    </row>
    <row r="259" spans="3:3" ht="15.75" customHeight="1">
      <c r="C259" s="12"/>
    </row>
    <row r="260" spans="3:3" ht="15.75" customHeight="1">
      <c r="C260" s="12"/>
    </row>
    <row r="261" spans="3:3" ht="15.75" customHeight="1">
      <c r="C261" s="12"/>
    </row>
    <row r="262" spans="3:3" ht="15.75" customHeight="1">
      <c r="C262" s="12"/>
    </row>
    <row r="263" spans="3:3" ht="15.75" customHeight="1">
      <c r="C263" s="12"/>
    </row>
    <row r="264" spans="3:3" ht="15.75" customHeight="1">
      <c r="C264" s="12"/>
    </row>
    <row r="265" spans="3:3" ht="15.75" customHeight="1">
      <c r="C265" s="12"/>
    </row>
    <row r="266" spans="3:3" ht="15.75" customHeight="1">
      <c r="C266" s="12"/>
    </row>
    <row r="267" spans="3:3" ht="15.75" customHeight="1">
      <c r="C267" s="12"/>
    </row>
    <row r="268" spans="3:3" ht="15.75" customHeight="1">
      <c r="C268" s="12"/>
    </row>
    <row r="269" spans="3:3" ht="15.75" customHeight="1">
      <c r="C269" s="12"/>
    </row>
    <row r="270" spans="3:3" ht="15.75" customHeight="1">
      <c r="C270" s="12"/>
    </row>
    <row r="271" spans="3:3" ht="15.75" customHeight="1">
      <c r="C271" s="12"/>
    </row>
    <row r="272" spans="3:3" ht="15.75" customHeight="1">
      <c r="C272" s="12"/>
    </row>
    <row r="273" spans="3:3" ht="15.75" customHeight="1">
      <c r="C273" s="12"/>
    </row>
    <row r="274" spans="3:3" ht="15.75" customHeight="1">
      <c r="C274" s="12"/>
    </row>
    <row r="275" spans="3:3" ht="15.75" customHeight="1">
      <c r="C275" s="12"/>
    </row>
    <row r="276" spans="3:3" ht="15.75" customHeight="1">
      <c r="C276" s="12"/>
    </row>
    <row r="277" spans="3:3" ht="15.75" customHeight="1">
      <c r="C277" s="12"/>
    </row>
    <row r="278" spans="3:3" ht="15.75" customHeight="1">
      <c r="C278" s="12"/>
    </row>
    <row r="279" spans="3:3" ht="15.75" customHeight="1">
      <c r="C279" s="12"/>
    </row>
    <row r="280" spans="3:3" ht="15.75" customHeight="1">
      <c r="C280" s="12"/>
    </row>
    <row r="281" spans="3:3" ht="15.75" customHeight="1">
      <c r="C281" s="12"/>
    </row>
    <row r="282" spans="3:3" ht="15.75" customHeight="1">
      <c r="C282" s="12"/>
    </row>
    <row r="283" spans="3:3" ht="15.75" customHeight="1">
      <c r="C283" s="12"/>
    </row>
    <row r="284" spans="3:3" ht="15.75" customHeight="1">
      <c r="C284" s="12"/>
    </row>
    <row r="285" spans="3:3" ht="15.75" customHeight="1">
      <c r="C285" s="12"/>
    </row>
    <row r="286" spans="3:3" ht="15.75" customHeight="1">
      <c r="C286" s="12"/>
    </row>
    <row r="287" spans="3:3" ht="15.75" customHeight="1">
      <c r="C287" s="12"/>
    </row>
    <row r="288" spans="3:3" ht="15.75" customHeight="1">
      <c r="C288" s="12"/>
    </row>
    <row r="289" spans="3:3" ht="15.75" customHeight="1">
      <c r="C289" s="12"/>
    </row>
    <row r="290" spans="3:3" ht="15.75" customHeight="1">
      <c r="C290" s="12"/>
    </row>
    <row r="291" spans="3:3" ht="15.75" customHeight="1">
      <c r="C291" s="12"/>
    </row>
    <row r="292" spans="3:3" ht="15.75" customHeight="1">
      <c r="C292" s="12"/>
    </row>
    <row r="293" spans="3:3" ht="15.75" customHeight="1">
      <c r="C293" s="12"/>
    </row>
    <row r="294" spans="3:3" ht="15.75" customHeight="1">
      <c r="C294" s="12"/>
    </row>
    <row r="295" spans="3:3" ht="15.75" customHeight="1">
      <c r="C295" s="12"/>
    </row>
    <row r="296" spans="3:3" ht="15.75" customHeight="1">
      <c r="C296" s="12"/>
    </row>
    <row r="297" spans="3:3" ht="15.75" customHeight="1">
      <c r="C297" s="12"/>
    </row>
    <row r="298" spans="3:3" ht="15.75" customHeight="1">
      <c r="C298" s="12"/>
    </row>
    <row r="299" spans="3:3" ht="15.75" customHeight="1">
      <c r="C299" s="12"/>
    </row>
    <row r="300" spans="3:3" ht="15.75" customHeight="1">
      <c r="C300" s="12"/>
    </row>
    <row r="301" spans="3:3" ht="15.75" customHeight="1">
      <c r="C301" s="12"/>
    </row>
    <row r="302" spans="3:3" ht="15.75" customHeight="1">
      <c r="C302" s="12"/>
    </row>
    <row r="303" spans="3:3" ht="15.75" customHeight="1">
      <c r="C303" s="12"/>
    </row>
    <row r="304" spans="3:3" ht="15.75" customHeight="1">
      <c r="C304" s="12"/>
    </row>
    <row r="305" spans="3:3" ht="15.75" customHeight="1">
      <c r="C305" s="12"/>
    </row>
    <row r="306" spans="3:3" ht="15.75" customHeight="1">
      <c r="C306" s="12"/>
    </row>
    <row r="307" spans="3:3" ht="15.75" customHeight="1">
      <c r="C307" s="12"/>
    </row>
    <row r="308" spans="3:3" ht="15.75" customHeight="1">
      <c r="C308" s="12"/>
    </row>
    <row r="309" spans="3:3" ht="15.75" customHeight="1">
      <c r="C309" s="12"/>
    </row>
    <row r="310" spans="3:3" ht="15.75" customHeight="1">
      <c r="C310" s="12"/>
    </row>
    <row r="311" spans="3:3" ht="15.75" customHeight="1">
      <c r="C311" s="12"/>
    </row>
    <row r="312" spans="3:3" ht="15.75" customHeight="1">
      <c r="C312" s="12"/>
    </row>
    <row r="313" spans="3:3" ht="15.75" customHeight="1">
      <c r="C313" s="12"/>
    </row>
    <row r="314" spans="3:3" ht="15.75" customHeight="1">
      <c r="C314" s="12"/>
    </row>
    <row r="315" spans="3:3" ht="15.75" customHeight="1">
      <c r="C315" s="12"/>
    </row>
    <row r="316" spans="3:3" ht="15.75" customHeight="1">
      <c r="C316" s="12"/>
    </row>
    <row r="317" spans="3:3" ht="15.75" customHeight="1">
      <c r="C317" s="12"/>
    </row>
    <row r="318" spans="3:3" ht="15.75" customHeight="1">
      <c r="C318" s="12"/>
    </row>
    <row r="319" spans="3:3" ht="15.75" customHeight="1">
      <c r="C319" s="12"/>
    </row>
    <row r="320" spans="3:3" ht="15.75" customHeight="1">
      <c r="C320" s="12"/>
    </row>
    <row r="321" spans="3:3" ht="15.75" customHeight="1">
      <c r="C321" s="12"/>
    </row>
    <row r="322" spans="3:3" ht="15.75" customHeight="1">
      <c r="C322" s="12"/>
    </row>
    <row r="323" spans="3:3" ht="15.75" customHeight="1">
      <c r="C323" s="12"/>
    </row>
    <row r="324" spans="3:3" ht="15.75" customHeight="1">
      <c r="C324" s="12"/>
    </row>
    <row r="325" spans="3:3" ht="15.75" customHeight="1">
      <c r="C325" s="12"/>
    </row>
    <row r="326" spans="3:3" ht="15.75" customHeight="1">
      <c r="C326" s="12"/>
    </row>
    <row r="327" spans="3:3" ht="15.75" customHeight="1">
      <c r="C327" s="12"/>
    </row>
    <row r="328" spans="3:3" ht="15.75" customHeight="1">
      <c r="C328" s="12"/>
    </row>
    <row r="329" spans="3:3" ht="15.75" customHeight="1">
      <c r="C329" s="12"/>
    </row>
    <row r="330" spans="3:3" ht="15.75" customHeight="1">
      <c r="C330" s="12"/>
    </row>
    <row r="331" spans="3:3" ht="15.75" customHeight="1">
      <c r="C331" s="12"/>
    </row>
    <row r="332" spans="3:3" ht="15.75" customHeight="1">
      <c r="C332" s="12"/>
    </row>
    <row r="333" spans="3:3" ht="15.75" customHeight="1">
      <c r="C333" s="12"/>
    </row>
    <row r="334" spans="3:3" ht="15.75" customHeight="1">
      <c r="C334" s="12"/>
    </row>
    <row r="335" spans="3:3" ht="15.75" customHeight="1">
      <c r="C335" s="12"/>
    </row>
    <row r="336" spans="3:3" ht="15.75" customHeight="1">
      <c r="C336" s="12"/>
    </row>
    <row r="337" spans="3:3" ht="15.75" customHeight="1">
      <c r="C337" s="12"/>
    </row>
    <row r="338" spans="3:3" ht="15.75" customHeight="1">
      <c r="C338" s="12"/>
    </row>
    <row r="339" spans="3:3" ht="15.75" customHeight="1">
      <c r="C339" s="12"/>
    </row>
    <row r="340" spans="3:3" ht="15.75" customHeight="1">
      <c r="C340" s="12"/>
    </row>
    <row r="341" spans="3:3" ht="15.75" customHeight="1">
      <c r="C341" s="12"/>
    </row>
    <row r="342" spans="3:3" ht="15.75" customHeight="1">
      <c r="C342" s="12"/>
    </row>
    <row r="343" spans="3:3" ht="15.75" customHeight="1">
      <c r="C343" s="12"/>
    </row>
    <row r="344" spans="3:3" ht="15.75" customHeight="1">
      <c r="C344" s="12"/>
    </row>
    <row r="345" spans="3:3" ht="15.75" customHeight="1">
      <c r="C345" s="12"/>
    </row>
    <row r="346" spans="3:3" ht="15.75" customHeight="1">
      <c r="C346" s="12"/>
    </row>
    <row r="347" spans="3:3" ht="15.75" customHeight="1">
      <c r="C347" s="12"/>
    </row>
    <row r="348" spans="3:3" ht="15.75" customHeight="1">
      <c r="C348" s="12"/>
    </row>
    <row r="349" spans="3:3" ht="15.75" customHeight="1">
      <c r="C349" s="12"/>
    </row>
    <row r="350" spans="3:3" ht="15.75" customHeight="1">
      <c r="C350" s="12"/>
    </row>
    <row r="351" spans="3:3" ht="15.75" customHeight="1">
      <c r="C351" s="12"/>
    </row>
    <row r="352" spans="3:3" ht="15.75" customHeight="1">
      <c r="C352" s="12"/>
    </row>
    <row r="353" spans="3:3" ht="15.75" customHeight="1">
      <c r="C353" s="12"/>
    </row>
    <row r="354" spans="3:3" ht="15.75" customHeight="1">
      <c r="C354" s="12"/>
    </row>
    <row r="355" spans="3:3" ht="15.75" customHeight="1">
      <c r="C355" s="12"/>
    </row>
    <row r="356" spans="3:3" ht="15.75" customHeight="1">
      <c r="C356" s="12"/>
    </row>
    <row r="357" spans="3:3" ht="15.75" customHeight="1">
      <c r="C357" s="12"/>
    </row>
    <row r="358" spans="3:3" ht="15.75" customHeight="1">
      <c r="C358" s="12"/>
    </row>
    <row r="359" spans="3:3" ht="15.75" customHeight="1">
      <c r="C359" s="12"/>
    </row>
    <row r="360" spans="3:3" ht="15.75" customHeight="1">
      <c r="C360" s="12"/>
    </row>
    <row r="361" spans="3:3" ht="15.75" customHeight="1">
      <c r="C361" s="12"/>
    </row>
    <row r="362" spans="3:3" ht="15.75" customHeight="1">
      <c r="C362" s="12"/>
    </row>
    <row r="363" spans="3:3" ht="15.75" customHeight="1">
      <c r="C363" s="12"/>
    </row>
    <row r="364" spans="3:3" ht="15.75" customHeight="1">
      <c r="C364" s="12"/>
    </row>
    <row r="365" spans="3:3" ht="15.75" customHeight="1">
      <c r="C365" s="12"/>
    </row>
    <row r="366" spans="3:3" ht="15.75" customHeight="1">
      <c r="C366" s="12"/>
    </row>
    <row r="367" spans="3:3" ht="15.75" customHeight="1">
      <c r="C367" s="12"/>
    </row>
    <row r="368" spans="3:3" ht="15.75" customHeight="1">
      <c r="C368" s="12"/>
    </row>
    <row r="369" spans="3:3" ht="15.75" customHeight="1">
      <c r="C369" s="12"/>
    </row>
    <row r="370" spans="3:3" ht="15.75" customHeight="1">
      <c r="C370" s="12"/>
    </row>
    <row r="371" spans="3:3" ht="15.75" customHeight="1">
      <c r="C371" s="12"/>
    </row>
    <row r="372" spans="3:3" ht="15.75" customHeight="1">
      <c r="C372" s="12"/>
    </row>
    <row r="373" spans="3:3" ht="15.75" customHeight="1">
      <c r="C373" s="12"/>
    </row>
    <row r="374" spans="3:3" ht="15.75" customHeight="1">
      <c r="C374" s="12"/>
    </row>
    <row r="375" spans="3:3" ht="15.75" customHeight="1">
      <c r="C375" s="12"/>
    </row>
    <row r="376" spans="3:3" ht="15.75" customHeight="1">
      <c r="C376" s="12"/>
    </row>
    <row r="377" spans="3:3" ht="15.75" customHeight="1">
      <c r="C377" s="12"/>
    </row>
    <row r="378" spans="3:3" ht="15.75" customHeight="1">
      <c r="C378" s="12"/>
    </row>
    <row r="379" spans="3:3" ht="15.75" customHeight="1">
      <c r="C379" s="12"/>
    </row>
    <row r="380" spans="3:3" ht="15.75" customHeight="1">
      <c r="C380" s="12"/>
    </row>
    <row r="381" spans="3:3" ht="15.75" customHeight="1">
      <c r="C381" s="12"/>
    </row>
    <row r="382" spans="3:3" ht="15.75" customHeight="1">
      <c r="C382" s="12"/>
    </row>
    <row r="383" spans="3:3" ht="15.75" customHeight="1">
      <c r="C383" s="12"/>
    </row>
    <row r="384" spans="3:3" ht="15.75" customHeight="1">
      <c r="C384" s="12"/>
    </row>
    <row r="385" spans="3:3" ht="15.75" customHeight="1">
      <c r="C385" s="12"/>
    </row>
    <row r="386" spans="3:3" ht="15.75" customHeight="1">
      <c r="C386" s="12"/>
    </row>
    <row r="387" spans="3:3" ht="15.75" customHeight="1">
      <c r="C387" s="12"/>
    </row>
    <row r="388" spans="3:3" ht="15.75" customHeight="1">
      <c r="C388" s="12"/>
    </row>
    <row r="389" spans="3:3" ht="15.75" customHeight="1">
      <c r="C389" s="12"/>
    </row>
    <row r="390" spans="3:3" ht="15.75" customHeight="1">
      <c r="C390" s="12"/>
    </row>
    <row r="391" spans="3:3" ht="15.75" customHeight="1">
      <c r="C391" s="12"/>
    </row>
    <row r="392" spans="3:3" ht="15.75" customHeight="1">
      <c r="C392" s="12"/>
    </row>
    <row r="393" spans="3:3" ht="15.75" customHeight="1">
      <c r="C393" s="12"/>
    </row>
    <row r="394" spans="3:3" ht="15.75" customHeight="1">
      <c r="C394" s="12"/>
    </row>
    <row r="395" spans="3:3" ht="15.75" customHeight="1">
      <c r="C395" s="12"/>
    </row>
    <row r="396" spans="3:3" ht="15.75" customHeight="1">
      <c r="C396" s="12"/>
    </row>
    <row r="397" spans="3:3" ht="15.75" customHeight="1">
      <c r="C397" s="12"/>
    </row>
    <row r="398" spans="3:3" ht="15.75" customHeight="1">
      <c r="C398" s="12"/>
    </row>
    <row r="399" spans="3:3" ht="15.75" customHeight="1">
      <c r="C399" s="12"/>
    </row>
    <row r="400" spans="3:3" ht="15.75" customHeight="1">
      <c r="C400" s="12"/>
    </row>
    <row r="401" spans="3:3" ht="15.75" customHeight="1">
      <c r="C401" s="12"/>
    </row>
    <row r="402" spans="3:3" ht="15.75" customHeight="1">
      <c r="C402" s="12"/>
    </row>
    <row r="403" spans="3:3" ht="15.75" customHeight="1">
      <c r="C403" s="12"/>
    </row>
    <row r="404" spans="3:3" ht="15.75" customHeight="1">
      <c r="C404" s="12"/>
    </row>
    <row r="405" spans="3:3" ht="15.75" customHeight="1">
      <c r="C405" s="12"/>
    </row>
    <row r="406" spans="3:3" ht="15.75" customHeight="1">
      <c r="C406" s="12"/>
    </row>
    <row r="407" spans="3:3" ht="15.75" customHeight="1">
      <c r="C407" s="12"/>
    </row>
    <row r="408" spans="3:3" ht="15.75" customHeight="1">
      <c r="C408" s="12"/>
    </row>
    <row r="409" spans="3:3" ht="15.75" customHeight="1">
      <c r="C409" s="12"/>
    </row>
    <row r="410" spans="3:3" ht="15.75" customHeight="1">
      <c r="C410" s="12"/>
    </row>
    <row r="411" spans="3:3" ht="15.75" customHeight="1">
      <c r="C411" s="12"/>
    </row>
    <row r="412" spans="3:3" ht="15.75" customHeight="1">
      <c r="C412" s="12"/>
    </row>
    <row r="413" spans="3:3" ht="15.75" customHeight="1">
      <c r="C413" s="12"/>
    </row>
    <row r="414" spans="3:3" ht="15.75" customHeight="1">
      <c r="C414" s="12"/>
    </row>
    <row r="415" spans="3:3" ht="15.75" customHeight="1">
      <c r="C415" s="12"/>
    </row>
    <row r="416" spans="3:3" ht="15.75" customHeight="1">
      <c r="C416" s="12"/>
    </row>
    <row r="417" spans="3:3" ht="15.75" customHeight="1">
      <c r="C417" s="12"/>
    </row>
    <row r="418" spans="3:3" ht="15.75" customHeight="1">
      <c r="C418" s="12"/>
    </row>
    <row r="419" spans="3:3" ht="15.75" customHeight="1">
      <c r="C419" s="12"/>
    </row>
    <row r="420" spans="3:3" ht="15.75" customHeight="1">
      <c r="C420" s="12"/>
    </row>
    <row r="421" spans="3:3" ht="15.75" customHeight="1">
      <c r="C421" s="12"/>
    </row>
    <row r="422" spans="3:3" ht="15.75" customHeight="1">
      <c r="C422" s="12"/>
    </row>
    <row r="423" spans="3:3" ht="15.75" customHeight="1">
      <c r="C423" s="12"/>
    </row>
    <row r="424" spans="3:3" ht="15.75" customHeight="1">
      <c r="C424" s="12"/>
    </row>
    <row r="425" spans="3:3" ht="15.75" customHeight="1">
      <c r="C425" s="12"/>
    </row>
    <row r="426" spans="3:3" ht="15.75" customHeight="1">
      <c r="C426" s="12"/>
    </row>
    <row r="427" spans="3:3" ht="15.75" customHeight="1">
      <c r="C427" s="12"/>
    </row>
    <row r="428" spans="3:3" ht="15.75" customHeight="1">
      <c r="C428" s="12"/>
    </row>
    <row r="429" spans="3:3" ht="15.75" customHeight="1">
      <c r="C429" s="12"/>
    </row>
    <row r="430" spans="3:3" ht="15.75" customHeight="1">
      <c r="C430" s="12"/>
    </row>
    <row r="431" spans="3:3" ht="15.75" customHeight="1">
      <c r="C431" s="12"/>
    </row>
    <row r="432" spans="3:3" ht="15.75" customHeight="1">
      <c r="C432" s="12"/>
    </row>
    <row r="433" spans="3:3" ht="15.75" customHeight="1">
      <c r="C433" s="12"/>
    </row>
    <row r="434" spans="3:3" ht="15.75" customHeight="1">
      <c r="C434" s="12"/>
    </row>
    <row r="435" spans="3:3" ht="15.75" customHeight="1">
      <c r="C435" s="12"/>
    </row>
    <row r="436" spans="3:3" ht="15.75" customHeight="1">
      <c r="C436" s="12"/>
    </row>
    <row r="437" spans="3:3" ht="15.75" customHeight="1">
      <c r="C437" s="12"/>
    </row>
    <row r="438" spans="3:3" ht="15.75" customHeight="1">
      <c r="C438" s="12"/>
    </row>
    <row r="439" spans="3:3" ht="15.75" customHeight="1">
      <c r="C439" s="12"/>
    </row>
    <row r="440" spans="3:3" ht="15.75" customHeight="1">
      <c r="C440" s="12"/>
    </row>
    <row r="441" spans="3:3" ht="15.75" customHeight="1">
      <c r="C441" s="12"/>
    </row>
    <row r="442" spans="3:3" ht="15.75" customHeight="1">
      <c r="C442" s="12"/>
    </row>
    <row r="443" spans="3:3" ht="15.75" customHeight="1">
      <c r="C443" s="12"/>
    </row>
    <row r="444" spans="3:3" ht="15.75" customHeight="1">
      <c r="C444" s="12"/>
    </row>
    <row r="445" spans="3:3" ht="15.75" customHeight="1">
      <c r="C445" s="12"/>
    </row>
    <row r="446" spans="3:3" ht="15.75" customHeight="1">
      <c r="C446" s="12"/>
    </row>
    <row r="447" spans="3:3" ht="15.75" customHeight="1">
      <c r="C447" s="12"/>
    </row>
    <row r="448" spans="3:3" ht="15.75" customHeight="1">
      <c r="C448" s="12"/>
    </row>
    <row r="449" spans="3:3" ht="15.75" customHeight="1">
      <c r="C449" s="12"/>
    </row>
    <row r="450" spans="3:3" ht="15.75" customHeight="1">
      <c r="C450" s="12"/>
    </row>
    <row r="451" spans="3:3" ht="15.75" customHeight="1">
      <c r="C451" s="12"/>
    </row>
    <row r="452" spans="3:3" ht="15.75" customHeight="1">
      <c r="C452" s="12"/>
    </row>
    <row r="453" spans="3:3" ht="15.75" customHeight="1">
      <c r="C453" s="12"/>
    </row>
    <row r="454" spans="3:3" ht="15.75" customHeight="1">
      <c r="C454" s="12"/>
    </row>
    <row r="455" spans="3:3" ht="15.75" customHeight="1">
      <c r="C455" s="12"/>
    </row>
    <row r="456" spans="3:3" ht="15.75" customHeight="1">
      <c r="C456" s="12"/>
    </row>
    <row r="457" spans="3:3" ht="15.75" customHeight="1">
      <c r="C457" s="12"/>
    </row>
    <row r="458" spans="3:3" ht="15.75" customHeight="1">
      <c r="C458" s="12"/>
    </row>
    <row r="459" spans="3:3" ht="15.75" customHeight="1">
      <c r="C459" s="12"/>
    </row>
    <row r="460" spans="3:3" ht="15.75" customHeight="1">
      <c r="C460" s="12"/>
    </row>
    <row r="461" spans="3:3" ht="15.75" customHeight="1">
      <c r="C461" s="12"/>
    </row>
    <row r="462" spans="3:3" ht="15.75" customHeight="1">
      <c r="C462" s="12"/>
    </row>
    <row r="463" spans="3:3" ht="15.75" customHeight="1">
      <c r="C463" s="12"/>
    </row>
    <row r="464" spans="3:3" ht="15.75" customHeight="1">
      <c r="C464" s="12"/>
    </row>
    <row r="465" spans="3:3" ht="15.75" customHeight="1">
      <c r="C465" s="12"/>
    </row>
    <row r="466" spans="3:3" ht="15.75" customHeight="1">
      <c r="C466" s="12"/>
    </row>
    <row r="467" spans="3:3" ht="15.75" customHeight="1">
      <c r="C467" s="12"/>
    </row>
    <row r="468" spans="3:3" ht="15.75" customHeight="1">
      <c r="C468" s="12"/>
    </row>
    <row r="469" spans="3:3" ht="15.75" customHeight="1">
      <c r="C469" s="12"/>
    </row>
    <row r="470" spans="3:3" ht="15.75" customHeight="1">
      <c r="C470" s="12"/>
    </row>
    <row r="471" spans="3:3" ht="15.75" customHeight="1">
      <c r="C471" s="12"/>
    </row>
    <row r="472" spans="3:3" ht="15.75" customHeight="1">
      <c r="C472" s="12"/>
    </row>
    <row r="473" spans="3:3" ht="15.75" customHeight="1">
      <c r="C473" s="12"/>
    </row>
    <row r="474" spans="3:3" ht="15.75" customHeight="1">
      <c r="C474" s="12"/>
    </row>
    <row r="475" spans="3:3" ht="15.75" customHeight="1">
      <c r="C475" s="12"/>
    </row>
    <row r="476" spans="3:3" ht="15.75" customHeight="1">
      <c r="C476" s="12"/>
    </row>
    <row r="477" spans="3:3" ht="15.75" customHeight="1">
      <c r="C477" s="12"/>
    </row>
    <row r="478" spans="3:3" ht="15.75" customHeight="1">
      <c r="C478" s="12"/>
    </row>
    <row r="479" spans="3:3" ht="15.75" customHeight="1">
      <c r="C479" s="12"/>
    </row>
    <row r="480" spans="3:3" ht="15.75" customHeight="1">
      <c r="C480" s="12"/>
    </row>
    <row r="481" spans="3:3" ht="15.75" customHeight="1">
      <c r="C481" s="12"/>
    </row>
    <row r="482" spans="3:3" ht="15.75" customHeight="1">
      <c r="C482" s="12"/>
    </row>
    <row r="483" spans="3:3" ht="15.75" customHeight="1">
      <c r="C483" s="12"/>
    </row>
    <row r="484" spans="3:3" ht="15.75" customHeight="1">
      <c r="C484" s="12"/>
    </row>
    <row r="485" spans="3:3" ht="15.75" customHeight="1">
      <c r="C485" s="12"/>
    </row>
    <row r="486" spans="3:3" ht="15.75" customHeight="1">
      <c r="C486" s="12"/>
    </row>
    <row r="487" spans="3:3" ht="15.75" customHeight="1">
      <c r="C487" s="12"/>
    </row>
    <row r="488" spans="3:3" ht="15.75" customHeight="1">
      <c r="C488" s="12"/>
    </row>
    <row r="489" spans="3:3" ht="15.75" customHeight="1">
      <c r="C489" s="12"/>
    </row>
    <row r="490" spans="3:3" ht="15.75" customHeight="1">
      <c r="C490" s="12"/>
    </row>
    <row r="491" spans="3:3" ht="15.75" customHeight="1">
      <c r="C491" s="12"/>
    </row>
    <row r="492" spans="3:3" ht="15.75" customHeight="1">
      <c r="C492" s="12"/>
    </row>
    <row r="493" spans="3:3" ht="15.75" customHeight="1">
      <c r="C493" s="12"/>
    </row>
    <row r="494" spans="3:3" ht="15.75" customHeight="1">
      <c r="C494" s="12"/>
    </row>
    <row r="495" spans="3:3" ht="15.75" customHeight="1">
      <c r="C495" s="12"/>
    </row>
    <row r="496" spans="3:3" ht="15.75" customHeight="1">
      <c r="C496" s="12"/>
    </row>
    <row r="497" spans="3:3" ht="15.75" customHeight="1">
      <c r="C497" s="12"/>
    </row>
    <row r="498" spans="3:3" ht="15.75" customHeight="1">
      <c r="C498" s="12"/>
    </row>
    <row r="499" spans="3:3" ht="15.75" customHeight="1">
      <c r="C499" s="12"/>
    </row>
    <row r="500" spans="3:3" ht="15.75" customHeight="1">
      <c r="C500" s="12"/>
    </row>
    <row r="501" spans="3:3" ht="15.75" customHeight="1">
      <c r="C501" s="12"/>
    </row>
    <row r="502" spans="3:3" ht="15.75" customHeight="1">
      <c r="C502" s="12"/>
    </row>
    <row r="503" spans="3:3" ht="15.75" customHeight="1">
      <c r="C503" s="12"/>
    </row>
    <row r="504" spans="3:3" ht="15.75" customHeight="1">
      <c r="C504" s="12"/>
    </row>
    <row r="505" spans="3:3" ht="15.75" customHeight="1">
      <c r="C505" s="12"/>
    </row>
    <row r="506" spans="3:3" ht="15.75" customHeight="1">
      <c r="C506" s="12"/>
    </row>
    <row r="507" spans="3:3" ht="15.75" customHeight="1">
      <c r="C507" s="12"/>
    </row>
    <row r="508" spans="3:3" ht="15.75" customHeight="1">
      <c r="C508" s="12"/>
    </row>
    <row r="509" spans="3:3" ht="15.75" customHeight="1">
      <c r="C509" s="12"/>
    </row>
    <row r="510" spans="3:3" ht="15.75" customHeight="1">
      <c r="C510" s="12"/>
    </row>
    <row r="511" spans="3:3" ht="15.75" customHeight="1">
      <c r="C511" s="12"/>
    </row>
    <row r="512" spans="3:3" ht="15.75" customHeight="1">
      <c r="C512" s="12"/>
    </row>
    <row r="513" spans="3:3" ht="15.75" customHeight="1">
      <c r="C513" s="12"/>
    </row>
    <row r="514" spans="3:3" ht="15.75" customHeight="1">
      <c r="C514" s="12"/>
    </row>
    <row r="515" spans="3:3" ht="15.75" customHeight="1">
      <c r="C515" s="12"/>
    </row>
    <row r="516" spans="3:3" ht="15.75" customHeight="1">
      <c r="C516" s="12"/>
    </row>
    <row r="517" spans="3:3" ht="15.75" customHeight="1">
      <c r="C517" s="12"/>
    </row>
    <row r="518" spans="3:3" ht="15.75" customHeight="1">
      <c r="C518" s="12"/>
    </row>
    <row r="519" spans="3:3" ht="15.75" customHeight="1">
      <c r="C519" s="12"/>
    </row>
    <row r="520" spans="3:3" ht="15.75" customHeight="1">
      <c r="C520" s="12"/>
    </row>
    <row r="521" spans="3:3" ht="15.75" customHeight="1">
      <c r="C521" s="12"/>
    </row>
    <row r="522" spans="3:3" ht="15.75" customHeight="1">
      <c r="C522" s="12"/>
    </row>
    <row r="523" spans="3:3" ht="15.75" customHeight="1">
      <c r="C523" s="12"/>
    </row>
    <row r="524" spans="3:3" ht="15.75" customHeight="1">
      <c r="C524" s="12"/>
    </row>
    <row r="525" spans="3:3" ht="15.75" customHeight="1">
      <c r="C525" s="12"/>
    </row>
    <row r="526" spans="3:3" ht="15.75" customHeight="1">
      <c r="C526" s="12"/>
    </row>
    <row r="527" spans="3:3" ht="15.75" customHeight="1">
      <c r="C527" s="12"/>
    </row>
    <row r="528" spans="3:3" ht="15.75" customHeight="1">
      <c r="C528" s="12"/>
    </row>
    <row r="529" spans="3:3" ht="15.75" customHeight="1">
      <c r="C529" s="12"/>
    </row>
    <row r="530" spans="3:3" ht="15.75" customHeight="1">
      <c r="C530" s="12"/>
    </row>
    <row r="531" spans="3:3" ht="15.75" customHeight="1">
      <c r="C531" s="12"/>
    </row>
    <row r="532" spans="3:3" ht="15.75" customHeight="1">
      <c r="C532" s="12"/>
    </row>
    <row r="533" spans="3:3" ht="15.75" customHeight="1">
      <c r="C533" s="12"/>
    </row>
    <row r="534" spans="3:3" ht="15.75" customHeight="1">
      <c r="C534" s="12"/>
    </row>
    <row r="535" spans="3:3" ht="15.75" customHeight="1">
      <c r="C535" s="12"/>
    </row>
    <row r="536" spans="3:3" ht="15.75" customHeight="1">
      <c r="C536" s="12"/>
    </row>
    <row r="537" spans="3:3" ht="15.75" customHeight="1">
      <c r="C537" s="12"/>
    </row>
    <row r="538" spans="3:3" ht="15.75" customHeight="1">
      <c r="C538" s="12"/>
    </row>
    <row r="539" spans="3:3" ht="15.75" customHeight="1">
      <c r="C539" s="12"/>
    </row>
    <row r="540" spans="3:3" ht="15.75" customHeight="1">
      <c r="C540" s="12"/>
    </row>
    <row r="541" spans="3:3" ht="15.75" customHeight="1">
      <c r="C541" s="12"/>
    </row>
    <row r="542" spans="3:3" ht="15.75" customHeight="1">
      <c r="C542" s="12"/>
    </row>
    <row r="543" spans="3:3" ht="15.75" customHeight="1">
      <c r="C543" s="12"/>
    </row>
    <row r="544" spans="3:3" ht="15.75" customHeight="1">
      <c r="C544" s="12"/>
    </row>
    <row r="545" spans="3:3" ht="15.75" customHeight="1">
      <c r="C545" s="12"/>
    </row>
    <row r="546" spans="3:3" ht="15.75" customHeight="1">
      <c r="C546" s="12"/>
    </row>
    <row r="547" spans="3:3" ht="15.75" customHeight="1">
      <c r="C547" s="12"/>
    </row>
    <row r="548" spans="3:3" ht="15.75" customHeight="1">
      <c r="C548" s="12"/>
    </row>
    <row r="549" spans="3:3" ht="15.75" customHeight="1">
      <c r="C549" s="12"/>
    </row>
    <row r="550" spans="3:3" ht="15.75" customHeight="1">
      <c r="C550" s="12"/>
    </row>
    <row r="551" spans="3:3" ht="15.75" customHeight="1">
      <c r="C551" s="12"/>
    </row>
    <row r="552" spans="3:3" ht="15.75" customHeight="1">
      <c r="C552" s="12"/>
    </row>
    <row r="553" spans="3:3" ht="15.75" customHeight="1">
      <c r="C553" s="12"/>
    </row>
    <row r="554" spans="3:3" ht="15.75" customHeight="1">
      <c r="C554" s="12"/>
    </row>
    <row r="555" spans="3:3" ht="15.75" customHeight="1">
      <c r="C555" s="12"/>
    </row>
    <row r="556" spans="3:3" ht="15.75" customHeight="1">
      <c r="C556" s="12"/>
    </row>
    <row r="557" spans="3:3" ht="15.75" customHeight="1">
      <c r="C557" s="12"/>
    </row>
    <row r="558" spans="3:3" ht="15.75" customHeight="1">
      <c r="C558" s="12"/>
    </row>
    <row r="559" spans="3:3" ht="15.75" customHeight="1">
      <c r="C559" s="12"/>
    </row>
    <row r="560" spans="3:3" ht="15.75" customHeight="1">
      <c r="C560" s="12"/>
    </row>
    <row r="561" spans="3:3" ht="15.75" customHeight="1">
      <c r="C561" s="12"/>
    </row>
    <row r="562" spans="3:3" ht="15.75" customHeight="1">
      <c r="C562" s="12"/>
    </row>
    <row r="563" spans="3:3" ht="15.75" customHeight="1">
      <c r="C563" s="12"/>
    </row>
    <row r="564" spans="3:3" ht="15.75" customHeight="1">
      <c r="C564" s="12"/>
    </row>
    <row r="565" spans="3:3" ht="15.75" customHeight="1">
      <c r="C565" s="12"/>
    </row>
    <row r="566" spans="3:3" ht="15.75" customHeight="1">
      <c r="C566" s="12"/>
    </row>
    <row r="567" spans="3:3" ht="15.75" customHeight="1">
      <c r="C567" s="12"/>
    </row>
    <row r="568" spans="3:3" ht="15.75" customHeight="1">
      <c r="C568" s="12"/>
    </row>
    <row r="569" spans="3:3" ht="15.75" customHeight="1">
      <c r="C569" s="12"/>
    </row>
    <row r="570" spans="3:3" ht="15.75" customHeight="1">
      <c r="C570" s="12"/>
    </row>
    <row r="571" spans="3:3" ht="15.75" customHeight="1">
      <c r="C571" s="12"/>
    </row>
    <row r="572" spans="3:3" ht="15.75" customHeight="1">
      <c r="C572" s="12"/>
    </row>
    <row r="573" spans="3:3" ht="15.75" customHeight="1">
      <c r="C573" s="12"/>
    </row>
    <row r="574" spans="3:3" ht="15.75" customHeight="1">
      <c r="C574" s="12"/>
    </row>
    <row r="575" spans="3:3" ht="15.75" customHeight="1">
      <c r="C575" s="12"/>
    </row>
    <row r="576" spans="3:3" ht="15.75" customHeight="1">
      <c r="C576" s="12"/>
    </row>
    <row r="577" spans="3:3" ht="15.75" customHeight="1">
      <c r="C577" s="12"/>
    </row>
    <row r="578" spans="3:3" ht="15.75" customHeight="1">
      <c r="C578" s="12"/>
    </row>
    <row r="579" spans="3:3" ht="15.75" customHeight="1">
      <c r="C579" s="12"/>
    </row>
    <row r="580" spans="3:3" ht="15.75" customHeight="1">
      <c r="C580" s="12"/>
    </row>
    <row r="581" spans="3:3" ht="15.75" customHeight="1">
      <c r="C581" s="12"/>
    </row>
    <row r="582" spans="3:3" ht="15.75" customHeight="1">
      <c r="C582" s="12"/>
    </row>
    <row r="583" spans="3:3" ht="15.75" customHeight="1">
      <c r="C583" s="12"/>
    </row>
    <row r="584" spans="3:3" ht="15.75" customHeight="1">
      <c r="C584" s="12"/>
    </row>
    <row r="585" spans="3:3" ht="15.75" customHeight="1">
      <c r="C585" s="12"/>
    </row>
    <row r="586" spans="3:3" ht="15.75" customHeight="1">
      <c r="C586" s="12"/>
    </row>
    <row r="587" spans="3:3" ht="15.75" customHeight="1">
      <c r="C587" s="12"/>
    </row>
    <row r="588" spans="3:3" ht="15.75" customHeight="1">
      <c r="C588" s="12"/>
    </row>
    <row r="589" spans="3:3" ht="15.75" customHeight="1">
      <c r="C589" s="12"/>
    </row>
    <row r="590" spans="3:3" ht="15.75" customHeight="1">
      <c r="C590" s="12"/>
    </row>
    <row r="591" spans="3:3" ht="15.75" customHeight="1">
      <c r="C591" s="12"/>
    </row>
    <row r="592" spans="3:3" ht="15.75" customHeight="1">
      <c r="C592" s="12"/>
    </row>
    <row r="593" spans="3:3" ht="15.75" customHeight="1">
      <c r="C593" s="12"/>
    </row>
    <row r="594" spans="3:3" ht="15.75" customHeight="1">
      <c r="C594" s="12"/>
    </row>
    <row r="595" spans="3:3" ht="15.75" customHeight="1">
      <c r="C595" s="12"/>
    </row>
    <row r="596" spans="3:3" ht="15.75" customHeight="1">
      <c r="C596" s="12"/>
    </row>
    <row r="597" spans="3:3" ht="15.75" customHeight="1">
      <c r="C597" s="12"/>
    </row>
    <row r="598" spans="3:3" ht="15.75" customHeight="1">
      <c r="C598" s="12"/>
    </row>
    <row r="599" spans="3:3" ht="15.75" customHeight="1">
      <c r="C599" s="12"/>
    </row>
    <row r="600" spans="3:3" ht="15.75" customHeight="1">
      <c r="C600" s="12"/>
    </row>
    <row r="601" spans="3:3" ht="15.75" customHeight="1">
      <c r="C601" s="12"/>
    </row>
    <row r="602" spans="3:3" ht="15.75" customHeight="1">
      <c r="C602" s="12"/>
    </row>
    <row r="603" spans="3:3" ht="15.75" customHeight="1">
      <c r="C603" s="12"/>
    </row>
    <row r="604" spans="3:3" ht="15.75" customHeight="1">
      <c r="C604" s="12"/>
    </row>
    <row r="605" spans="3:3" ht="15.75" customHeight="1">
      <c r="C605" s="12"/>
    </row>
    <row r="606" spans="3:3" ht="15.75" customHeight="1">
      <c r="C606" s="12"/>
    </row>
    <row r="607" spans="3:3" ht="15.75" customHeight="1">
      <c r="C607" s="12"/>
    </row>
    <row r="608" spans="3:3" ht="15.75" customHeight="1">
      <c r="C608" s="12"/>
    </row>
    <row r="609" spans="3:3" ht="15.75" customHeight="1">
      <c r="C609" s="12"/>
    </row>
    <row r="610" spans="3:3" ht="15.75" customHeight="1">
      <c r="C610" s="12"/>
    </row>
    <row r="611" spans="3:3" ht="15.75" customHeight="1">
      <c r="C611" s="12"/>
    </row>
    <row r="612" spans="3:3" ht="15.75" customHeight="1">
      <c r="C612" s="12"/>
    </row>
    <row r="613" spans="3:3" ht="15.75" customHeight="1">
      <c r="C613" s="12"/>
    </row>
    <row r="614" spans="3:3" ht="15.75" customHeight="1">
      <c r="C614" s="12"/>
    </row>
    <row r="615" spans="3:3" ht="15.75" customHeight="1">
      <c r="C615" s="12"/>
    </row>
    <row r="616" spans="3:3" ht="15.75" customHeight="1">
      <c r="C616" s="12"/>
    </row>
    <row r="617" spans="3:3" ht="15.75" customHeight="1">
      <c r="C617" s="12"/>
    </row>
    <row r="618" spans="3:3" ht="15.75" customHeight="1">
      <c r="C618" s="12"/>
    </row>
    <row r="619" spans="3:3" ht="15.75" customHeight="1">
      <c r="C619" s="12"/>
    </row>
    <row r="620" spans="3:3" ht="15.75" customHeight="1">
      <c r="C620" s="12"/>
    </row>
    <row r="621" spans="3:3" ht="15.75" customHeight="1">
      <c r="C621" s="12"/>
    </row>
    <row r="622" spans="3:3" ht="15.75" customHeight="1">
      <c r="C622" s="12"/>
    </row>
    <row r="623" spans="3:3" ht="15.75" customHeight="1">
      <c r="C623" s="12"/>
    </row>
    <row r="624" spans="3:3" ht="15.75" customHeight="1">
      <c r="C624" s="12"/>
    </row>
    <row r="625" spans="3:3" ht="15.75" customHeight="1">
      <c r="C625" s="12"/>
    </row>
    <row r="626" spans="3:3" ht="15.75" customHeight="1">
      <c r="C626" s="12"/>
    </row>
    <row r="627" spans="3:3" ht="15.75" customHeight="1">
      <c r="C627" s="12"/>
    </row>
    <row r="628" spans="3:3" ht="15.75" customHeight="1">
      <c r="C628" s="12"/>
    </row>
    <row r="629" spans="3:3" ht="15.75" customHeight="1">
      <c r="C629" s="12"/>
    </row>
    <row r="630" spans="3:3" ht="15.75" customHeight="1">
      <c r="C630" s="12"/>
    </row>
    <row r="631" spans="3:3" ht="15.75" customHeight="1">
      <c r="C631" s="12"/>
    </row>
    <row r="632" spans="3:3" ht="15.75" customHeight="1">
      <c r="C632" s="12"/>
    </row>
    <row r="633" spans="3:3" ht="15.75" customHeight="1">
      <c r="C633" s="12"/>
    </row>
    <row r="634" spans="3:3" ht="15.75" customHeight="1">
      <c r="C634" s="12"/>
    </row>
    <row r="635" spans="3:3" ht="15.75" customHeight="1">
      <c r="C635" s="12"/>
    </row>
    <row r="636" spans="3:3" ht="15.75" customHeight="1">
      <c r="C636" s="12"/>
    </row>
    <row r="637" spans="3:3" ht="15.75" customHeight="1">
      <c r="C637" s="12"/>
    </row>
    <row r="638" spans="3:3" ht="15.75" customHeight="1">
      <c r="C638" s="12"/>
    </row>
    <row r="639" spans="3:3" ht="15.75" customHeight="1">
      <c r="C639" s="12"/>
    </row>
    <row r="640" spans="3:3" ht="15.75" customHeight="1">
      <c r="C640" s="12"/>
    </row>
    <row r="641" spans="3:3" ht="15.75" customHeight="1">
      <c r="C641" s="12"/>
    </row>
    <row r="642" spans="3:3" ht="15.75" customHeight="1">
      <c r="C642" s="12"/>
    </row>
    <row r="643" spans="3:3" ht="15.75" customHeight="1">
      <c r="C643" s="12"/>
    </row>
    <row r="644" spans="3:3" ht="15.75" customHeight="1">
      <c r="C644" s="12"/>
    </row>
    <row r="645" spans="3:3" ht="15.75" customHeight="1">
      <c r="C645" s="12"/>
    </row>
    <row r="646" spans="3:3" ht="15.75" customHeight="1">
      <c r="C646" s="12"/>
    </row>
    <row r="647" spans="3:3" ht="15.75" customHeight="1">
      <c r="C647" s="12"/>
    </row>
    <row r="648" spans="3:3" ht="15.75" customHeight="1">
      <c r="C648" s="12"/>
    </row>
    <row r="649" spans="3:3" ht="15.75" customHeight="1">
      <c r="C649" s="12"/>
    </row>
    <row r="650" spans="3:3" ht="15.75" customHeight="1">
      <c r="C650" s="12"/>
    </row>
    <row r="651" spans="3:3" ht="15.75" customHeight="1">
      <c r="C651" s="12"/>
    </row>
    <row r="652" spans="3:3" ht="15.75" customHeight="1">
      <c r="C652" s="12"/>
    </row>
    <row r="653" spans="3:3" ht="15.75" customHeight="1">
      <c r="C653" s="12"/>
    </row>
    <row r="654" spans="3:3" ht="15.75" customHeight="1">
      <c r="C654" s="12"/>
    </row>
    <row r="655" spans="3:3" ht="15.75" customHeight="1">
      <c r="C655" s="12"/>
    </row>
    <row r="656" spans="3:3" ht="15.75" customHeight="1">
      <c r="C656" s="12"/>
    </row>
    <row r="657" spans="3:3" ht="15.75" customHeight="1">
      <c r="C657" s="12"/>
    </row>
    <row r="658" spans="3:3" ht="15.75" customHeight="1">
      <c r="C658" s="12"/>
    </row>
    <row r="659" spans="3:3" ht="15.75" customHeight="1">
      <c r="C659" s="12"/>
    </row>
    <row r="660" spans="3:3" ht="15.75" customHeight="1">
      <c r="C660" s="12"/>
    </row>
    <row r="661" spans="3:3" ht="15.75" customHeight="1">
      <c r="C661" s="12"/>
    </row>
    <row r="662" spans="3:3" ht="15.75" customHeight="1">
      <c r="C662" s="12"/>
    </row>
    <row r="663" spans="3:3" ht="15.75" customHeight="1">
      <c r="C663" s="12"/>
    </row>
    <row r="664" spans="3:3" ht="15.75" customHeight="1">
      <c r="C664" s="12"/>
    </row>
    <row r="665" spans="3:3" ht="15.75" customHeight="1">
      <c r="C665" s="12"/>
    </row>
    <row r="666" spans="3:3" ht="15.75" customHeight="1">
      <c r="C666" s="12"/>
    </row>
    <row r="667" spans="3:3" ht="15.75" customHeight="1">
      <c r="C667" s="12"/>
    </row>
    <row r="668" spans="3:3" ht="15.75" customHeight="1">
      <c r="C668" s="12"/>
    </row>
    <row r="669" spans="3:3" ht="15.75" customHeight="1">
      <c r="C669" s="12"/>
    </row>
    <row r="670" spans="3:3" ht="15.75" customHeight="1">
      <c r="C670" s="12"/>
    </row>
    <row r="671" spans="3:3" ht="15.75" customHeight="1">
      <c r="C671" s="12"/>
    </row>
    <row r="672" spans="3:3" ht="15.75" customHeight="1">
      <c r="C672" s="12"/>
    </row>
    <row r="673" spans="3:3" ht="15.75" customHeight="1">
      <c r="C673" s="12"/>
    </row>
    <row r="674" spans="3:3" ht="15.75" customHeight="1">
      <c r="C674" s="12"/>
    </row>
    <row r="675" spans="3:3" ht="15.75" customHeight="1">
      <c r="C675" s="12"/>
    </row>
    <row r="676" spans="3:3" ht="15.75" customHeight="1">
      <c r="C676" s="12"/>
    </row>
    <row r="677" spans="3:3" ht="15.75" customHeight="1">
      <c r="C677" s="12"/>
    </row>
    <row r="678" spans="3:3" ht="15.75" customHeight="1">
      <c r="C678" s="12"/>
    </row>
    <row r="679" spans="3:3" ht="15.75" customHeight="1">
      <c r="C679" s="12"/>
    </row>
    <row r="680" spans="3:3" ht="15.75" customHeight="1">
      <c r="C680" s="12"/>
    </row>
    <row r="681" spans="3:3" ht="15.75" customHeight="1">
      <c r="C681" s="12"/>
    </row>
    <row r="682" spans="3:3" ht="15.75" customHeight="1">
      <c r="C682" s="12"/>
    </row>
    <row r="683" spans="3:3" ht="15.75" customHeight="1">
      <c r="C683" s="12"/>
    </row>
    <row r="684" spans="3:3" ht="15.75" customHeight="1">
      <c r="C684" s="12"/>
    </row>
    <row r="685" spans="3:3" ht="15.75" customHeight="1">
      <c r="C685" s="12"/>
    </row>
    <row r="686" spans="3:3" ht="15.75" customHeight="1">
      <c r="C686" s="12"/>
    </row>
    <row r="687" spans="3:3" ht="15.75" customHeight="1">
      <c r="C687" s="12"/>
    </row>
    <row r="688" spans="3:3" ht="15.75" customHeight="1">
      <c r="C688" s="12"/>
    </row>
    <row r="689" spans="3:3" ht="15.75" customHeight="1">
      <c r="C689" s="12"/>
    </row>
    <row r="690" spans="3:3" ht="15.75" customHeight="1">
      <c r="C690" s="12"/>
    </row>
    <row r="691" spans="3:3" ht="15.75" customHeight="1">
      <c r="C691" s="12"/>
    </row>
    <row r="692" spans="3:3" ht="15.75" customHeight="1">
      <c r="C692" s="12"/>
    </row>
    <row r="693" spans="3:3" ht="15.75" customHeight="1">
      <c r="C693" s="12"/>
    </row>
    <row r="694" spans="3:3" ht="15.75" customHeight="1">
      <c r="C694" s="12"/>
    </row>
    <row r="695" spans="3:3" ht="15.75" customHeight="1">
      <c r="C695" s="12"/>
    </row>
  </sheetData>
  <conditionalFormatting sqref="C11">
    <cfRule type="notContainsBlanks" dxfId="0" priority="1">
      <formula>LEN(TRIM(C11))&gt;0</formula>
    </cfRule>
  </conditionalFormatting>
  <hyperlinks>
    <hyperlink ref="C4" r:id="rId1" location="map=18/56.1601680/10.2094531" xr:uid="{00000000-0004-0000-0100-000000000000}"/>
    <hyperlink ref="C7" r:id="rId2" location="map=18/56.1712340/10.2003382" xr:uid="{00000000-0004-0000-01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Lookups!$A$1:$A$6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7"/>
  <sheetViews>
    <sheetView workbookViewId="0"/>
  </sheetViews>
  <sheetFormatPr baseColWidth="10" defaultColWidth="12.6640625" defaultRowHeight="15.75" customHeight="1"/>
  <cols>
    <col min="3" max="3" width="35.33203125" customWidth="1"/>
    <col min="6" max="6" width="28.1640625" customWidth="1"/>
  </cols>
  <sheetData>
    <row r="1" spans="1:26">
      <c r="A1" s="1" t="s">
        <v>0</v>
      </c>
      <c r="B1" s="1" t="s">
        <v>1</v>
      </c>
      <c r="C1" s="2" t="s">
        <v>276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8</v>
      </c>
      <c r="B3" s="11" t="s">
        <v>9</v>
      </c>
      <c r="C3" s="11" t="s">
        <v>277</v>
      </c>
      <c r="D3" s="8">
        <f ca="1">IFERROR(__xludf.DUMMYFUNCTION("SPLIT(C3,"","")"),57.0782773)</f>
        <v>57.078277300000003</v>
      </c>
      <c r="E3" s="11">
        <f ca="1">IFERROR(__xludf.DUMMYFUNCTION("""COMPUTED_VALUE"""),9.9121597)</f>
        <v>9.9121597000000001</v>
      </c>
      <c r="F3" s="11" t="s">
        <v>278</v>
      </c>
      <c r="G3" s="11">
        <v>4</v>
      </c>
    </row>
    <row r="4" spans="1:26">
      <c r="A4" s="11" t="s">
        <v>127</v>
      </c>
      <c r="B4" s="11" t="s">
        <v>43</v>
      </c>
      <c r="C4" s="11" t="s">
        <v>279</v>
      </c>
      <c r="D4" s="8">
        <f ca="1">IFERROR(__xludf.DUMMYFUNCTION("SPLIT(C4,"","")"),56.1212154)</f>
        <v>56.121215399999997</v>
      </c>
      <c r="E4" s="11">
        <f ca="1">IFERROR(__xludf.DUMMYFUNCTION("""COMPUTED_VALUE"""),10.2263854)</f>
        <v>10.2263854</v>
      </c>
      <c r="F4" s="11" t="s">
        <v>280</v>
      </c>
      <c r="G4" s="11">
        <v>5</v>
      </c>
    </row>
    <row r="5" spans="1:26">
      <c r="A5" s="11" t="s">
        <v>127</v>
      </c>
      <c r="B5" s="11" t="s">
        <v>43</v>
      </c>
      <c r="C5" s="11" t="s">
        <v>281</v>
      </c>
      <c r="D5" s="8">
        <f ca="1">IFERROR(__xludf.DUMMYFUNCTION("SPLIT(C5,"","")"),56.1604056)</f>
        <v>56.160405599999997</v>
      </c>
      <c r="E5" s="11">
        <f ca="1">IFERROR(__xludf.DUMMYFUNCTION("""COMPUTED_VALUE"""),10.2227878)</f>
        <v>10.222787800000001</v>
      </c>
    </row>
    <row r="6" spans="1:26">
      <c r="A6" s="11" t="s">
        <v>282</v>
      </c>
      <c r="B6" s="11" t="s">
        <v>283</v>
      </c>
      <c r="C6" s="11" t="s">
        <v>284</v>
      </c>
      <c r="D6" s="8">
        <f ca="1">IFERROR(__xludf.DUMMYFUNCTION("SPLIT(C6,"","")"),56.7243699)</f>
        <v>56.724369899999999</v>
      </c>
      <c r="E6" s="11">
        <f ca="1">IFERROR(__xludf.DUMMYFUNCTION("""COMPUTED_VALUE"""),9.8218164)</f>
        <v>9.8218163999999994</v>
      </c>
      <c r="F6" s="11" t="s">
        <v>285</v>
      </c>
    </row>
    <row r="7" spans="1:26">
      <c r="A7" s="11" t="s">
        <v>286</v>
      </c>
      <c r="B7" s="11" t="s">
        <v>43</v>
      </c>
      <c r="C7" s="11" t="s">
        <v>287</v>
      </c>
      <c r="D7" s="8">
        <f ca="1">IFERROR(__xludf.DUMMYFUNCTION("SPLIT(C7,"","")"),56.8949441)</f>
        <v>56.894944099999996</v>
      </c>
      <c r="E7" s="11">
        <f ca="1">IFERROR(__xludf.DUMMYFUNCTION("""COMPUTED_VALUE"""),8.7517242)</f>
        <v>8.7517242</v>
      </c>
      <c r="F7" s="11" t="s">
        <v>288</v>
      </c>
      <c r="G7" s="11">
        <v>5</v>
      </c>
    </row>
    <row r="8" spans="1:26">
      <c r="A8" s="11" t="s">
        <v>289</v>
      </c>
      <c r="B8" s="11" t="s">
        <v>9</v>
      </c>
      <c r="C8" s="11" t="s">
        <v>290</v>
      </c>
      <c r="D8" s="8">
        <f ca="1">IFERROR(__xludf.DUMMYFUNCTION("SPLIT(C8,"","")"),56.4494857)</f>
        <v>56.449485699999997</v>
      </c>
      <c r="E8" s="11">
        <f ca="1">IFERROR(__xludf.DUMMYFUNCTION("""COMPUTED_VALUE"""),9.4079267)</f>
        <v>9.4079267000000009</v>
      </c>
      <c r="F8" s="11" t="s">
        <v>291</v>
      </c>
    </row>
    <row r="9" spans="1:26">
      <c r="A9" s="11" t="s">
        <v>127</v>
      </c>
      <c r="B9" s="11" t="s">
        <v>51</v>
      </c>
      <c r="C9" s="22" t="s">
        <v>292</v>
      </c>
      <c r="D9" s="8">
        <f ca="1">IFERROR(__xludf.DUMMYFUNCTION("SPLIT(C9,"","")"),56.1724375)</f>
        <v>56.172437500000001</v>
      </c>
      <c r="E9" s="11">
        <f ca="1">IFERROR(__xludf.DUMMYFUNCTION("""COMPUTED_VALUE"""),10.2006663)</f>
        <v>10.2006663</v>
      </c>
      <c r="F9" s="11" t="s">
        <v>293</v>
      </c>
      <c r="G9" s="11">
        <v>1</v>
      </c>
    </row>
    <row r="10" spans="1:26">
      <c r="A10" s="11" t="s">
        <v>294</v>
      </c>
      <c r="B10" s="11"/>
      <c r="C10" s="11" t="s">
        <v>295</v>
      </c>
      <c r="D10" s="8">
        <f ca="1">IFERROR(__xludf.DUMMYFUNCTION("SPLIT(C10,"","")"),56.0005861)</f>
        <v>56.0005861</v>
      </c>
      <c r="E10" s="11">
        <f ca="1">IFERROR(__xludf.DUMMYFUNCTION("""COMPUTED_VALUE"""),10.0823332)</f>
        <v>10.082333200000001</v>
      </c>
      <c r="F10" s="23" t="s">
        <v>296</v>
      </c>
    </row>
    <row r="11" spans="1:26">
      <c r="A11" s="11" t="s">
        <v>127</v>
      </c>
      <c r="B11" s="11" t="s">
        <v>9</v>
      </c>
      <c r="C11" s="11" t="s">
        <v>297</v>
      </c>
      <c r="D11" s="8">
        <f ca="1">IFERROR(__xludf.DUMMYFUNCTION("SPLIT(C11,"","")"),56.1373784)</f>
        <v>56.137378400000003</v>
      </c>
      <c r="E11" s="11">
        <f ca="1">IFERROR(__xludf.DUMMYFUNCTION("""COMPUTED_VALUE"""),10.1961905)</f>
        <v>10.1961905</v>
      </c>
      <c r="F11" s="11" t="s">
        <v>298</v>
      </c>
      <c r="G11" s="11">
        <v>1</v>
      </c>
    </row>
    <row r="12" spans="1:26">
      <c r="A12" s="11" t="s">
        <v>127</v>
      </c>
      <c r="B12" s="11"/>
      <c r="C12" s="11" t="s">
        <v>299</v>
      </c>
      <c r="D12" s="8">
        <f ca="1">IFERROR(__xludf.DUMMYFUNCTION("SPLIT(C12,"","")"),56.1825118)</f>
        <v>56.1825118</v>
      </c>
      <c r="E12" s="11">
        <f ca="1">IFERROR(__xludf.DUMMYFUNCTION("""COMPUTED_VALUE"""),10.1820681)</f>
        <v>10.1820681</v>
      </c>
      <c r="F12" s="11" t="s">
        <v>300</v>
      </c>
      <c r="G12" s="11">
        <v>1</v>
      </c>
    </row>
    <row r="13" spans="1:26">
      <c r="A13" s="11" t="s">
        <v>301</v>
      </c>
      <c r="B13" s="11" t="s">
        <v>17</v>
      </c>
      <c r="C13" s="11" t="s">
        <v>302</v>
      </c>
      <c r="D13" s="8">
        <f ca="1">IFERROR(__xludf.DUMMYFUNCTION("SPLIT(C13,"","")"),54.8596096)</f>
        <v>54.859609599999999</v>
      </c>
      <c r="E13" s="11">
        <f ca="1">IFERROR(__xludf.DUMMYFUNCTION("""COMPUTED_VALUE"""),9.4962192)</f>
        <v>9.4962192000000005</v>
      </c>
      <c r="F13" s="11" t="s">
        <v>303</v>
      </c>
    </row>
    <row r="14" spans="1:26">
      <c r="A14" s="11" t="s">
        <v>289</v>
      </c>
      <c r="B14" s="11" t="s">
        <v>43</v>
      </c>
      <c r="C14" s="11" t="s">
        <v>304</v>
      </c>
      <c r="D14" s="8">
        <f ca="1">IFERROR(__xludf.DUMMYFUNCTION("SPLIT(C14,"","")"),56.4793265)</f>
        <v>56.479326499999999</v>
      </c>
      <c r="E14" s="11">
        <f ca="1">IFERROR(__xludf.DUMMYFUNCTION("""COMPUTED_VALUE"""),9.3751815)</f>
        <v>9.3751815000000001</v>
      </c>
      <c r="F14" s="11" t="s">
        <v>305</v>
      </c>
      <c r="G14" s="11">
        <v>4</v>
      </c>
    </row>
    <row r="15" spans="1:26">
      <c r="A15" s="11" t="s">
        <v>127</v>
      </c>
      <c r="B15" s="11" t="s">
        <v>43</v>
      </c>
      <c r="C15" s="11" t="s">
        <v>306</v>
      </c>
      <c r="D15" s="8">
        <f ca="1">IFERROR(__xludf.DUMMYFUNCTION("SPLIT(C15,"","")"),56.2024179)</f>
        <v>56.2024179</v>
      </c>
      <c r="E15" s="11">
        <f ca="1">IFERROR(__xludf.DUMMYFUNCTION("""COMPUTED_VALUE"""),10.2021879)</f>
        <v>10.2021879</v>
      </c>
      <c r="F15" s="11" t="s">
        <v>307</v>
      </c>
      <c r="G15" s="11">
        <v>4</v>
      </c>
    </row>
    <row r="16" spans="1:26">
      <c r="B16" s="11"/>
      <c r="D16" s="8" t="str">
        <f ca="1">IFERROR(__xludf.DUMMYFUNCTION("SPLIT(C16,"","")"),"#VALUE!")</f>
        <v>#VALUE!</v>
      </c>
    </row>
    <row r="17" spans="1:7">
      <c r="A17" s="11" t="s">
        <v>183</v>
      </c>
      <c r="B17" s="11" t="s">
        <v>9</v>
      </c>
      <c r="C17" s="11" t="s">
        <v>308</v>
      </c>
      <c r="D17" s="8">
        <f ca="1">IFERROR(__xludf.DUMMYFUNCTION("SPLIT(C17,"","")"),55.3984075)</f>
        <v>55.398407499999998</v>
      </c>
      <c r="E17" s="11">
        <f ca="1">IFERROR(__xludf.DUMMYFUNCTION("""COMPUTED_VALUE"""),10.3879438)</f>
        <v>10.3879438</v>
      </c>
      <c r="F17" s="11" t="s">
        <v>309</v>
      </c>
    </row>
    <row r="18" spans="1:7">
      <c r="B18" s="11"/>
      <c r="D18" s="8" t="str">
        <f ca="1">IFERROR(__xludf.DUMMYFUNCTION("SPLIT(C18,"","")"),"#VALUE!")</f>
        <v>#VALUE!</v>
      </c>
    </row>
    <row r="19" spans="1:7">
      <c r="B19" s="11"/>
      <c r="D19" s="8" t="str">
        <f ca="1">IFERROR(__xludf.DUMMYFUNCTION("SPLIT(C19,"","")"),"#VALUE!")</f>
        <v>#VALUE!</v>
      </c>
    </row>
    <row r="20" spans="1:7">
      <c r="A20" s="11" t="s">
        <v>8</v>
      </c>
      <c r="B20" s="11" t="s">
        <v>51</v>
      </c>
      <c r="C20" s="11" t="s">
        <v>310</v>
      </c>
      <c r="D20" s="8">
        <f ca="1">IFERROR(__xludf.DUMMYFUNCTION("SPLIT(C20,"","")"),57.0515096)</f>
        <v>57.051509600000003</v>
      </c>
      <c r="E20" s="11">
        <f ca="1">IFERROR(__xludf.DUMMYFUNCTION("""COMPUTED_VALUE"""),9.9137669)</f>
        <v>9.9137669000000006</v>
      </c>
      <c r="F20" s="11" t="s">
        <v>311</v>
      </c>
      <c r="G20" s="11">
        <v>4</v>
      </c>
    </row>
    <row r="21" spans="1:7">
      <c r="A21" s="11" t="s">
        <v>312</v>
      </c>
      <c r="B21" s="11" t="s">
        <v>43</v>
      </c>
      <c r="C21" s="11" t="s">
        <v>313</v>
      </c>
      <c r="D21" s="8">
        <f ca="1">IFERROR(__xludf.DUMMYFUNCTION("SPLIT(C21,"","")"),55.6258852)</f>
        <v>55.625885199999999</v>
      </c>
      <c r="E21" s="11">
        <f ca="1">IFERROR(__xludf.DUMMYFUNCTION("""COMPUTED_VALUE"""),12.1728262)</f>
        <v>12.172826199999999</v>
      </c>
      <c r="F21" s="11" t="s">
        <v>314</v>
      </c>
      <c r="G21" s="11">
        <v>4</v>
      </c>
    </row>
    <row r="22" spans="1:7">
      <c r="A22" s="11" t="s">
        <v>127</v>
      </c>
      <c r="B22" s="11" t="s">
        <v>17</v>
      </c>
      <c r="C22" s="11" t="s">
        <v>315</v>
      </c>
      <c r="D22" s="8">
        <f ca="1">IFERROR(__xludf.DUMMYFUNCTION("SPLIT(C22,"","")"),56.1586863)</f>
        <v>56.158686299999999</v>
      </c>
      <c r="E22" s="11">
        <f ca="1">IFERROR(__xludf.DUMMYFUNCTION("""COMPUTED_VALUE"""),10.2104028)</f>
        <v>10.210402800000001</v>
      </c>
      <c r="F22" s="11" t="s">
        <v>316</v>
      </c>
      <c r="G22" s="11">
        <v>4</v>
      </c>
    </row>
    <row r="23" spans="1:7">
      <c r="A23" s="11" t="s">
        <v>317</v>
      </c>
      <c r="B23" s="11" t="s">
        <v>43</v>
      </c>
      <c r="C23" s="11" t="s">
        <v>318</v>
      </c>
      <c r="D23" s="8">
        <f ca="1">IFERROR(__xludf.DUMMYFUNCTION("SPLIT(C23,"","")"),55.5678293)</f>
        <v>55.5678293</v>
      </c>
      <c r="E23" s="11">
        <f ca="1">IFERROR(__xludf.DUMMYFUNCTION("""COMPUTED_VALUE"""),9.7483656)</f>
        <v>9.7483655999999996</v>
      </c>
      <c r="F23" s="11" t="s">
        <v>319</v>
      </c>
      <c r="G23" s="11">
        <v>4</v>
      </c>
    </row>
    <row r="24" spans="1:7">
      <c r="A24" s="24" t="s">
        <v>320</v>
      </c>
      <c r="B24" s="11" t="s">
        <v>43</v>
      </c>
      <c r="C24" s="11" t="s">
        <v>321</v>
      </c>
      <c r="D24" s="8">
        <f ca="1">IFERROR(__xludf.DUMMYFUNCTION("SPLIT(C24,"","")"),54.9657332)</f>
        <v>54.965733200000003</v>
      </c>
      <c r="E24" s="11">
        <f ca="1">IFERROR(__xludf.DUMMYFUNCTION("""COMPUTED_VALUE"""),12.5480077)</f>
        <v>12.548007699999999</v>
      </c>
      <c r="F24" s="11" t="s">
        <v>322</v>
      </c>
      <c r="G24" s="11">
        <v>5</v>
      </c>
    </row>
    <row r="25" spans="1:7">
      <c r="B25" s="11"/>
      <c r="D25" s="8" t="str">
        <f ca="1">IFERROR(__xludf.DUMMYFUNCTION("SPLIT(C25,"","")"),"#VALUE!")</f>
        <v>#VALUE!</v>
      </c>
    </row>
    <row r="26" spans="1:7">
      <c r="A26" s="11" t="s">
        <v>323</v>
      </c>
      <c r="B26" s="11" t="s">
        <v>43</v>
      </c>
      <c r="C26" s="11" t="s">
        <v>324</v>
      </c>
      <c r="D26" s="8">
        <f ca="1">IFERROR(__xludf.DUMMYFUNCTION("SPLIT(C26,"","")"),55.6784866)</f>
        <v>55.678486599999999</v>
      </c>
      <c r="E26" s="11">
        <f ca="1">IFERROR(__xludf.DUMMYFUNCTION("""COMPUTED_VALUE"""),9.810002)</f>
        <v>9.8100020000000008</v>
      </c>
      <c r="F26" s="11" t="s">
        <v>325</v>
      </c>
    </row>
    <row r="27" spans="1:7">
      <c r="A27" s="11" t="s">
        <v>186</v>
      </c>
      <c r="B27" s="11" t="s">
        <v>9</v>
      </c>
      <c r="C27" s="25" t="s">
        <v>326</v>
      </c>
      <c r="D27" s="8">
        <f ca="1">IFERROR(__xludf.DUMMYFUNCTION("SPLIT(C27,"","")"),56.1168184)</f>
        <v>56.1168184</v>
      </c>
      <c r="E27" s="11">
        <f ca="1">IFERROR(__xludf.DUMMYFUNCTION("""COMPUTED_VALUE"""),8.8693314)</f>
        <v>8.8693314000000001</v>
      </c>
      <c r="F27" s="25" t="s">
        <v>327</v>
      </c>
      <c r="G27" s="11">
        <v>4</v>
      </c>
    </row>
    <row r="28" spans="1:7">
      <c r="B28" s="11"/>
      <c r="D28" s="8" t="str">
        <f ca="1">IFERROR(__xludf.DUMMYFUNCTION("SPLIT(C28,"","")"),"#VALUE!")</f>
        <v>#VALUE!</v>
      </c>
    </row>
    <row r="29" spans="1:7">
      <c r="B29" s="11"/>
      <c r="D29" s="8" t="str">
        <f ca="1">IFERROR(__xludf.DUMMYFUNCTION("SPLIT(C29,"","")"),"#VALUE!")</f>
        <v>#VALUE!</v>
      </c>
    </row>
    <row r="30" spans="1:7">
      <c r="B30" s="11"/>
      <c r="D30" s="8" t="str">
        <f ca="1">IFERROR(__xludf.DUMMYFUNCTION("SPLIT(C30,"","")"),"#VALUE!")</f>
        <v>#VALUE!</v>
      </c>
    </row>
    <row r="31" spans="1:7">
      <c r="D31" s="8" t="str">
        <f ca="1">IFERROR(__xludf.DUMMYFUNCTION("SPLIT(C31,"","")"),"#VALUE!")</f>
        <v>#VALUE!</v>
      </c>
    </row>
    <row r="32" spans="1:7">
      <c r="D32" s="8" t="str">
        <f ca="1">IFERROR(__xludf.DUMMYFUNCTION("SPLIT(C32,"","")"),"#VALUE!")</f>
        <v>#VALUE!</v>
      </c>
    </row>
    <row r="33" spans="4:4">
      <c r="D33" s="8" t="str">
        <f ca="1">IFERROR(__xludf.DUMMYFUNCTION("SPLIT(C33,"","")"),"#VALUE!")</f>
        <v>#VALUE!</v>
      </c>
    </row>
    <row r="34" spans="4:4">
      <c r="D34" s="8" t="str">
        <f ca="1">IFERROR(__xludf.DUMMYFUNCTION("SPLIT(C34,"","")"),"#VALUE!")</f>
        <v>#VALUE!</v>
      </c>
    </row>
    <row r="35" spans="4:4">
      <c r="D35" s="8" t="str">
        <f ca="1">IFERROR(__xludf.DUMMYFUNCTION("SPLIT(C35,"","")"),"#VALUE!")</f>
        <v>#VALUE!</v>
      </c>
    </row>
    <row r="36" spans="4:4">
      <c r="D36" s="8" t="str">
        <f ca="1">IFERROR(__xludf.DUMMYFUNCTION("SPLIT(C36,"","")"),"#VALUE!")</f>
        <v>#VALUE!</v>
      </c>
    </row>
    <row r="37" spans="4:4" ht="15.75" customHeight="1">
      <c r="D37" s="11" t="str">
        <f ca="1">IFERROR(__xludf.DUMMYFUNCTION("SPLIT(C37,"","")"),"#VALUE!")</f>
        <v>#VALUE!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Lookups!$A$1:$A$6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17" customWidth="1"/>
    <col min="3" max="3" width="22.6640625" customWidth="1"/>
    <col min="6" max="6" width="32.5" customWidth="1"/>
  </cols>
  <sheetData>
    <row r="1" spans="1:26">
      <c r="A1" s="1" t="s">
        <v>0</v>
      </c>
      <c r="B1" s="1" t="s">
        <v>1</v>
      </c>
      <c r="C1" s="2" t="s">
        <v>276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328</v>
      </c>
      <c r="C3" s="12" t="s">
        <v>329</v>
      </c>
      <c r="D3" s="8">
        <f ca="1">IFERROR(__xludf.DUMMYFUNCTION("SPLIT(C3,"","")"),55.4905388)</f>
        <v>55.490538800000003</v>
      </c>
      <c r="E3" s="9">
        <f ca="1">IFERROR(__xludf.DUMMYFUNCTION("""COMPUTED_VALUE"""),9.4799818)</f>
        <v>9.4799817999999991</v>
      </c>
      <c r="F3" s="11" t="s">
        <v>330</v>
      </c>
      <c r="G3" s="11">
        <v>5</v>
      </c>
    </row>
    <row r="4" spans="1:26">
      <c r="A4" s="11" t="s">
        <v>331</v>
      </c>
      <c r="C4" s="12" t="s">
        <v>332</v>
      </c>
      <c r="D4" s="8">
        <f ca="1">IFERROR(__xludf.DUMMYFUNCTION("SPLIT(C4,"","")"),55.0375842)</f>
        <v>55.037584199999998</v>
      </c>
      <c r="E4" s="9">
        <f ca="1">IFERROR(__xludf.DUMMYFUNCTION("""COMPUTED_VALUE"""),9.3623004)</f>
        <v>9.3623004000000005</v>
      </c>
      <c r="F4" s="11" t="s">
        <v>333</v>
      </c>
      <c r="G4" s="11">
        <v>3</v>
      </c>
    </row>
    <row r="5" spans="1:26">
      <c r="A5" s="11" t="s">
        <v>76</v>
      </c>
      <c r="C5" s="12" t="s">
        <v>334</v>
      </c>
      <c r="D5" s="8">
        <f ca="1">IFERROR(__xludf.DUMMYFUNCTION("SPLIT(C5,"","")"),55.673992)</f>
        <v>55.673991999999998</v>
      </c>
      <c r="E5" s="9">
        <f ca="1">IFERROR(__xludf.DUMMYFUNCTION("""COMPUTED_VALUE"""),12.5925423)</f>
        <v>12.5925423</v>
      </c>
      <c r="F5" s="11" t="s">
        <v>335</v>
      </c>
      <c r="G5" s="11">
        <v>4</v>
      </c>
    </row>
    <row r="6" spans="1:26">
      <c r="A6" s="11" t="s">
        <v>336</v>
      </c>
      <c r="C6" s="12" t="s">
        <v>337</v>
      </c>
      <c r="D6" s="8">
        <f ca="1">IFERROR(__xludf.DUMMYFUNCTION("SPLIT(C6,"","")"),55.2516569)</f>
        <v>55.2516569</v>
      </c>
      <c r="E6" s="9">
        <f ca="1">IFERROR(__xludf.DUMMYFUNCTION("""COMPUTED_VALUE"""),9.485808)</f>
        <v>9.4858080000000005</v>
      </c>
      <c r="F6" s="11" t="s">
        <v>338</v>
      </c>
      <c r="G6" s="11">
        <v>4</v>
      </c>
    </row>
    <row r="7" spans="1:26">
      <c r="A7" s="11" t="s">
        <v>339</v>
      </c>
      <c r="C7" s="12" t="s">
        <v>340</v>
      </c>
      <c r="D7" s="8">
        <f ca="1">IFERROR(__xludf.DUMMYFUNCTION("SPLIT(C7,"","")"),56.17305)</f>
        <v>56.173050000000003</v>
      </c>
      <c r="E7" s="9">
        <f ca="1">IFERROR(__xludf.DUMMYFUNCTION("""COMPUTED_VALUE"""),10.20657)</f>
        <v>10.206569999999999</v>
      </c>
      <c r="F7" s="11" t="s">
        <v>341</v>
      </c>
      <c r="G7" s="11">
        <v>4</v>
      </c>
      <c r="H7" s="11" t="s">
        <v>342</v>
      </c>
    </row>
    <row r="8" spans="1:26" ht="15.75" customHeight="1">
      <c r="A8" s="11" t="s">
        <v>343</v>
      </c>
      <c r="C8" s="12" t="s">
        <v>344</v>
      </c>
      <c r="D8" s="26">
        <v>57.720930000000003</v>
      </c>
      <c r="E8" s="26">
        <v>10.58394</v>
      </c>
      <c r="F8" s="11" t="s">
        <v>345</v>
      </c>
      <c r="G8" s="11">
        <v>4</v>
      </c>
    </row>
    <row r="9" spans="1:26">
      <c r="A9" s="11" t="s">
        <v>127</v>
      </c>
      <c r="C9" s="12" t="s">
        <v>346</v>
      </c>
      <c r="D9" s="8">
        <v>56.156607528060803</v>
      </c>
      <c r="E9" s="9">
        <v>10.2067652576076</v>
      </c>
      <c r="F9" s="11" t="s">
        <v>347</v>
      </c>
    </row>
    <row r="10" spans="1:26">
      <c r="A10" s="11" t="s">
        <v>320</v>
      </c>
      <c r="C10" s="12" t="s">
        <v>348</v>
      </c>
      <c r="D10" s="8">
        <v>54.96</v>
      </c>
      <c r="E10" s="9">
        <v>12.55</v>
      </c>
      <c r="F10" s="11" t="s">
        <v>349</v>
      </c>
    </row>
    <row r="11" spans="1:26">
      <c r="A11" s="11" t="s">
        <v>350</v>
      </c>
      <c r="C11" s="27" t="s">
        <v>351</v>
      </c>
      <c r="D11" s="8">
        <v>55.963700000000003</v>
      </c>
      <c r="E11" s="9">
        <v>10.552899999999999</v>
      </c>
      <c r="F11" s="11" t="s">
        <v>352</v>
      </c>
      <c r="G11" s="11">
        <v>5</v>
      </c>
    </row>
    <row r="12" spans="1:26">
      <c r="A12" s="11" t="s">
        <v>353</v>
      </c>
      <c r="C12" s="12" t="s">
        <v>354</v>
      </c>
      <c r="D12" s="8">
        <v>55.73</v>
      </c>
      <c r="E12" s="9">
        <v>9.1300000000000008</v>
      </c>
      <c r="F12" s="11" t="s">
        <v>355</v>
      </c>
    </row>
    <row r="13" spans="1:26">
      <c r="A13" s="11" t="s">
        <v>356</v>
      </c>
      <c r="C13" s="12" t="s">
        <v>357</v>
      </c>
      <c r="D13" s="8">
        <v>56.158695803744799</v>
      </c>
      <c r="E13" s="9">
        <v>10.210772170814201</v>
      </c>
      <c r="F13" s="11" t="s">
        <v>358</v>
      </c>
    </row>
    <row r="14" spans="1:26">
      <c r="A14" s="11" t="s">
        <v>359</v>
      </c>
      <c r="C14" s="12" t="s">
        <v>360</v>
      </c>
      <c r="D14" s="8">
        <v>56.702940224390801</v>
      </c>
      <c r="E14" s="9">
        <v>11.5679014224197</v>
      </c>
      <c r="F14" s="11" t="s">
        <v>359</v>
      </c>
      <c r="G14" s="11">
        <v>4</v>
      </c>
    </row>
    <row r="15" spans="1:26">
      <c r="A15" s="11" t="s">
        <v>361</v>
      </c>
      <c r="C15" s="12" t="s">
        <v>362</v>
      </c>
      <c r="D15" s="8">
        <v>56.152474528784197</v>
      </c>
      <c r="E15" s="9">
        <v>9.5434411505116898</v>
      </c>
    </row>
    <row r="16" spans="1:26" ht="15.75" customHeight="1">
      <c r="A16" s="11" t="s">
        <v>363</v>
      </c>
      <c r="C16" s="28" t="s">
        <v>364</v>
      </c>
      <c r="D16" s="29">
        <v>53.38297</v>
      </c>
      <c r="E16" s="29">
        <v>-1.4659</v>
      </c>
      <c r="F16" s="11" t="s">
        <v>365</v>
      </c>
      <c r="G16" s="11">
        <v>4</v>
      </c>
    </row>
    <row r="17" spans="1:8">
      <c r="A17" s="11" t="s">
        <v>366</v>
      </c>
      <c r="C17" s="12" t="s">
        <v>367</v>
      </c>
      <c r="D17" s="8">
        <v>55.095491460231599</v>
      </c>
      <c r="E17" s="9">
        <v>10.2394677882558</v>
      </c>
      <c r="F17" s="11" t="s">
        <v>368</v>
      </c>
      <c r="G17" s="11">
        <v>5</v>
      </c>
      <c r="H17" s="11">
        <v>5</v>
      </c>
    </row>
    <row r="18" spans="1:8">
      <c r="A18" s="11" t="s">
        <v>369</v>
      </c>
      <c r="C18" s="12" t="s">
        <v>370</v>
      </c>
      <c r="D18" s="8">
        <v>55.999476408100499</v>
      </c>
      <c r="E18" s="9">
        <v>9.6342933567821802</v>
      </c>
      <c r="F18" s="11" t="s">
        <v>369</v>
      </c>
    </row>
    <row r="19" spans="1:8">
      <c r="A19" s="11" t="s">
        <v>371</v>
      </c>
      <c r="C19" s="12" t="s">
        <v>372</v>
      </c>
      <c r="D19" s="8">
        <v>57.649870634440198</v>
      </c>
      <c r="E19" s="9">
        <v>10.409877079504501</v>
      </c>
      <c r="F19" s="11" t="s">
        <v>373</v>
      </c>
      <c r="G19" s="11">
        <v>4</v>
      </c>
    </row>
    <row r="20" spans="1:8">
      <c r="A20" s="11" t="s">
        <v>374</v>
      </c>
      <c r="C20" s="12" t="s">
        <v>375</v>
      </c>
      <c r="D20" s="8">
        <v>55.9724024</v>
      </c>
      <c r="E20" s="9">
        <v>10.5516869</v>
      </c>
      <c r="F20" s="11" t="s">
        <v>376</v>
      </c>
      <c r="G20" s="11">
        <v>4</v>
      </c>
    </row>
    <row r="21" spans="1:8">
      <c r="A21" s="11" t="s">
        <v>377</v>
      </c>
      <c r="C21" s="12" t="s">
        <v>378</v>
      </c>
      <c r="D21" s="8">
        <v>56.161948541817203</v>
      </c>
      <c r="E21" s="9">
        <v>9.5582653459161602</v>
      </c>
      <c r="F21" s="11" t="s">
        <v>379</v>
      </c>
      <c r="G21" s="11">
        <v>4</v>
      </c>
    </row>
    <row r="22" spans="1:8">
      <c r="A22" s="11" t="s">
        <v>380</v>
      </c>
      <c r="C22" s="12" t="s">
        <v>381</v>
      </c>
      <c r="D22" s="8">
        <v>55.282316899999998</v>
      </c>
      <c r="E22" s="9">
        <v>14.7584575</v>
      </c>
      <c r="F22" s="11" t="s">
        <v>382</v>
      </c>
      <c r="G22" s="11">
        <v>4</v>
      </c>
    </row>
    <row r="23" spans="1:8">
      <c r="C23" s="12"/>
      <c r="D23" s="8"/>
      <c r="E23" s="9"/>
    </row>
    <row r="24" spans="1:8">
      <c r="C24" s="12"/>
      <c r="D24" s="8"/>
      <c r="E24" s="9"/>
    </row>
    <row r="25" spans="1:8">
      <c r="C25" s="12"/>
      <c r="D25" s="8"/>
      <c r="E25" s="9"/>
    </row>
    <row r="26" spans="1:8">
      <c r="C26" s="12"/>
      <c r="D26" s="8"/>
      <c r="E26" s="9"/>
    </row>
    <row r="27" spans="1:8">
      <c r="C27" s="12"/>
      <c r="D27" s="8"/>
      <c r="E27" s="9"/>
    </row>
    <row r="28" spans="1:8">
      <c r="C28" s="12"/>
      <c r="D28" s="9"/>
      <c r="E28" s="9"/>
    </row>
    <row r="29" spans="1:8">
      <c r="C29" s="12"/>
      <c r="D29" s="9"/>
      <c r="E29" s="9"/>
    </row>
    <row r="30" spans="1:8">
      <c r="C30" s="12"/>
      <c r="D30" s="9"/>
      <c r="E30" s="9"/>
    </row>
    <row r="31" spans="1:8">
      <c r="C31" s="12"/>
      <c r="D31" s="9"/>
      <c r="E31" s="9"/>
    </row>
    <row r="32" spans="1:8">
      <c r="C32" s="12"/>
      <c r="D32" s="9"/>
      <c r="E32" s="9"/>
    </row>
    <row r="33" spans="3:5">
      <c r="C33" s="12"/>
      <c r="D33" s="9"/>
      <c r="E33" s="9"/>
    </row>
    <row r="34" spans="3:5">
      <c r="C34" s="12"/>
      <c r="D34" s="9"/>
      <c r="E34" s="9"/>
    </row>
    <row r="35" spans="3:5">
      <c r="C35" s="12"/>
      <c r="D35" s="9"/>
      <c r="E35" s="9"/>
    </row>
    <row r="36" spans="3:5">
      <c r="C36" s="12"/>
      <c r="D36" s="9"/>
      <c r="E36" s="9"/>
    </row>
    <row r="37" spans="3:5">
      <c r="C37" s="12"/>
      <c r="D37" s="9"/>
      <c r="E37" s="9"/>
    </row>
    <row r="38" spans="3:5">
      <c r="C38" s="12"/>
      <c r="D38" s="9"/>
      <c r="E38" s="9"/>
    </row>
    <row r="39" spans="3:5">
      <c r="C39" s="12"/>
      <c r="D39" s="9"/>
      <c r="E39" s="9"/>
    </row>
    <row r="40" spans="3:5">
      <c r="C40" s="12"/>
      <c r="D40" s="9"/>
      <c r="E40" s="9"/>
    </row>
    <row r="41" spans="3:5">
      <c r="C41" s="12"/>
      <c r="D41" s="9"/>
      <c r="E41" s="9"/>
    </row>
    <row r="42" spans="3:5">
      <c r="C42" s="12"/>
      <c r="D42" s="9"/>
      <c r="E42" s="9"/>
    </row>
    <row r="43" spans="3:5">
      <c r="C43" s="12"/>
      <c r="D43" s="9"/>
      <c r="E43" s="9"/>
    </row>
    <row r="44" spans="3:5">
      <c r="C44" s="12"/>
      <c r="D44" s="9"/>
      <c r="E44" s="9"/>
    </row>
    <row r="45" spans="3:5">
      <c r="C45" s="12"/>
      <c r="D45" s="9"/>
      <c r="E45" s="9"/>
    </row>
    <row r="46" spans="3:5" ht="14">
      <c r="C46" s="12"/>
      <c r="D46" s="9"/>
      <c r="E46" s="9"/>
    </row>
    <row r="47" spans="3:5" ht="14">
      <c r="C47" s="12"/>
      <c r="D47" s="9"/>
      <c r="E47" s="9"/>
    </row>
    <row r="48" spans="3:5" ht="14">
      <c r="C48" s="12"/>
      <c r="D48" s="9"/>
      <c r="E48" s="9"/>
    </row>
    <row r="49" spans="3:5" ht="14">
      <c r="C49" s="12"/>
      <c r="D49" s="9"/>
      <c r="E49" s="9"/>
    </row>
    <row r="50" spans="3:5" ht="14">
      <c r="C50" s="12"/>
      <c r="D50" s="9"/>
      <c r="E50" s="9"/>
    </row>
    <row r="51" spans="3:5" ht="14">
      <c r="C51" s="12"/>
      <c r="D51" s="9"/>
      <c r="E51" s="9"/>
    </row>
    <row r="52" spans="3:5" ht="14">
      <c r="C52" s="12"/>
      <c r="D52" s="9"/>
      <c r="E52" s="9"/>
    </row>
    <row r="53" spans="3:5" ht="14">
      <c r="C53" s="12"/>
      <c r="D53" s="9"/>
      <c r="E53" s="9"/>
    </row>
    <row r="54" spans="3:5" ht="14">
      <c r="C54" s="12"/>
      <c r="D54" s="9"/>
      <c r="E54" s="9"/>
    </row>
    <row r="55" spans="3:5" ht="14">
      <c r="C55" s="12"/>
      <c r="D55" s="9"/>
      <c r="E55" s="9"/>
    </row>
    <row r="56" spans="3:5" ht="14">
      <c r="C56" s="12"/>
      <c r="D56" s="9"/>
      <c r="E56" s="9"/>
    </row>
    <row r="57" spans="3:5" ht="14">
      <c r="C57" s="12"/>
      <c r="D57" s="9"/>
      <c r="E57" s="9"/>
    </row>
    <row r="58" spans="3:5" ht="14">
      <c r="C58" s="12"/>
      <c r="D58" s="9"/>
      <c r="E58" s="9"/>
    </row>
    <row r="59" spans="3:5" ht="14">
      <c r="C59" s="12"/>
      <c r="D59" s="9"/>
      <c r="E59" s="9"/>
    </row>
    <row r="60" spans="3:5" ht="14">
      <c r="C60" s="12"/>
      <c r="D60" s="9"/>
      <c r="E60" s="9"/>
    </row>
    <row r="61" spans="3:5" ht="14">
      <c r="C61" s="12"/>
      <c r="D61" s="9"/>
      <c r="E61" s="9"/>
    </row>
    <row r="62" spans="3:5" ht="14">
      <c r="C62" s="12"/>
      <c r="D62" s="9"/>
      <c r="E62" s="9"/>
    </row>
    <row r="63" spans="3:5" ht="14">
      <c r="C63" s="12"/>
      <c r="D63" s="9"/>
      <c r="E63" s="9"/>
    </row>
    <row r="64" spans="3:5" ht="14">
      <c r="C64" s="12"/>
      <c r="D64" s="9"/>
      <c r="E64" s="9"/>
    </row>
    <row r="65" spans="3:5" ht="14">
      <c r="C65" s="12"/>
      <c r="D65" s="9"/>
      <c r="E65" s="9"/>
    </row>
    <row r="66" spans="3:5" ht="14">
      <c r="C66" s="12"/>
      <c r="D66" s="9"/>
      <c r="E66" s="9"/>
    </row>
    <row r="67" spans="3:5" ht="14">
      <c r="C67" s="12"/>
      <c r="D67" s="9"/>
      <c r="E67" s="9"/>
    </row>
    <row r="68" spans="3:5" ht="14">
      <c r="C68" s="12"/>
      <c r="D68" s="9"/>
      <c r="E68" s="9"/>
    </row>
    <row r="69" spans="3:5" ht="14">
      <c r="C69" s="12"/>
      <c r="D69" s="9"/>
      <c r="E69" s="9"/>
    </row>
    <row r="70" spans="3:5" ht="14">
      <c r="C70" s="12"/>
      <c r="D70" s="9"/>
      <c r="E70" s="9"/>
    </row>
    <row r="71" spans="3:5" ht="14">
      <c r="C71" s="12"/>
      <c r="D71" s="9"/>
      <c r="E71" s="9"/>
    </row>
    <row r="72" spans="3:5" ht="14">
      <c r="C72" s="12"/>
      <c r="D72" s="9"/>
      <c r="E72" s="9"/>
    </row>
    <row r="73" spans="3:5" ht="14">
      <c r="C73" s="12"/>
      <c r="D73" s="9"/>
      <c r="E73" s="9"/>
    </row>
    <row r="74" spans="3:5" ht="14">
      <c r="C74" s="12"/>
      <c r="D74" s="9"/>
      <c r="E74" s="9"/>
    </row>
    <row r="75" spans="3:5" ht="14">
      <c r="C75" s="12"/>
      <c r="D75" s="9"/>
      <c r="E75" s="9"/>
    </row>
    <row r="76" spans="3:5" ht="14">
      <c r="C76" s="12"/>
      <c r="D76" s="9"/>
      <c r="E76" s="9"/>
    </row>
    <row r="77" spans="3:5" ht="14">
      <c r="C77" s="12"/>
      <c r="D77" s="9"/>
      <c r="E77" s="9"/>
    </row>
    <row r="78" spans="3:5" ht="14">
      <c r="C78" s="12"/>
      <c r="D78" s="9"/>
      <c r="E78" s="9"/>
    </row>
    <row r="79" spans="3:5" ht="14">
      <c r="C79" s="12"/>
      <c r="D79" s="9"/>
      <c r="E79" s="9"/>
    </row>
    <row r="80" spans="3:5" ht="14">
      <c r="C80" s="12"/>
      <c r="D80" s="9"/>
      <c r="E80" s="9"/>
    </row>
    <row r="81" spans="3:5" ht="14">
      <c r="C81" s="12"/>
      <c r="D81" s="9"/>
      <c r="E81" s="9"/>
    </row>
    <row r="82" spans="3:5" ht="14">
      <c r="C82" s="12"/>
      <c r="D82" s="9"/>
      <c r="E82" s="9"/>
    </row>
    <row r="83" spans="3:5" ht="14">
      <c r="C83" s="12"/>
      <c r="D83" s="9"/>
      <c r="E83" s="9"/>
    </row>
    <row r="84" spans="3:5" ht="14">
      <c r="C84" s="12"/>
      <c r="D84" s="9"/>
      <c r="E84" s="9"/>
    </row>
    <row r="85" spans="3:5" ht="14">
      <c r="C85" s="12"/>
      <c r="D85" s="9"/>
      <c r="E85" s="9"/>
    </row>
    <row r="86" spans="3:5" ht="14">
      <c r="C86" s="12"/>
      <c r="D86" s="9"/>
      <c r="E86" s="9"/>
    </row>
    <row r="87" spans="3:5" ht="14">
      <c r="C87" s="12"/>
      <c r="D87" s="9"/>
      <c r="E87" s="9"/>
    </row>
    <row r="88" spans="3:5" ht="14">
      <c r="C88" s="12"/>
      <c r="D88" s="9"/>
      <c r="E88" s="9"/>
    </row>
    <row r="89" spans="3:5" ht="14">
      <c r="C89" s="12"/>
      <c r="D89" s="9"/>
      <c r="E89" s="9"/>
    </row>
    <row r="90" spans="3:5" ht="14">
      <c r="C90" s="12"/>
      <c r="D90" s="9"/>
      <c r="E90" s="9"/>
    </row>
    <row r="91" spans="3:5" ht="14">
      <c r="C91" s="12"/>
      <c r="D91" s="9"/>
      <c r="E91" s="9"/>
    </row>
    <row r="92" spans="3:5" ht="14">
      <c r="C92" s="12"/>
      <c r="D92" s="9"/>
      <c r="E92" s="9"/>
    </row>
    <row r="93" spans="3:5" ht="14">
      <c r="C93" s="12"/>
      <c r="D93" s="9"/>
      <c r="E93" s="9"/>
    </row>
    <row r="94" spans="3:5" ht="14">
      <c r="C94" s="12"/>
      <c r="D94" s="9"/>
      <c r="E94" s="9"/>
    </row>
    <row r="95" spans="3:5" ht="14">
      <c r="C95" s="12"/>
      <c r="D95" s="9"/>
      <c r="E95" s="9"/>
    </row>
    <row r="96" spans="3:5" ht="14">
      <c r="C96" s="12"/>
      <c r="D96" s="9"/>
      <c r="E96" s="9"/>
    </row>
    <row r="97" spans="3:5" ht="14">
      <c r="C97" s="12"/>
      <c r="D97" s="9"/>
      <c r="E97" s="9"/>
    </row>
    <row r="98" spans="3:5" ht="14">
      <c r="C98" s="12"/>
      <c r="D98" s="9"/>
      <c r="E98" s="9"/>
    </row>
    <row r="99" spans="3:5" ht="14">
      <c r="C99" s="12"/>
      <c r="D99" s="9"/>
      <c r="E99" s="9"/>
    </row>
    <row r="100" spans="3:5" ht="14">
      <c r="C100" s="12"/>
      <c r="D100" s="9"/>
      <c r="E100" s="9"/>
    </row>
    <row r="101" spans="3:5" ht="14">
      <c r="C101" s="12"/>
      <c r="D101" s="9"/>
      <c r="E101" s="9"/>
    </row>
    <row r="102" spans="3:5" ht="14">
      <c r="C102" s="12"/>
      <c r="D102" s="9"/>
      <c r="E102" s="9"/>
    </row>
    <row r="103" spans="3:5" ht="14">
      <c r="C103" s="12"/>
      <c r="D103" s="9"/>
      <c r="E103" s="9"/>
    </row>
    <row r="104" spans="3:5" ht="14">
      <c r="C104" s="12"/>
      <c r="D104" s="9"/>
      <c r="E104" s="9"/>
    </row>
    <row r="105" spans="3:5" ht="14">
      <c r="C105" s="12"/>
      <c r="D105" s="9"/>
      <c r="E105" s="9"/>
    </row>
    <row r="106" spans="3:5" ht="14">
      <c r="C106" s="12"/>
      <c r="D106" s="9"/>
      <c r="E106" s="9"/>
    </row>
    <row r="107" spans="3:5" ht="14">
      <c r="C107" s="12"/>
      <c r="D107" s="9"/>
      <c r="E107" s="9"/>
    </row>
    <row r="108" spans="3:5" ht="14">
      <c r="C108" s="12"/>
      <c r="D108" s="9"/>
      <c r="E108" s="9"/>
    </row>
    <row r="109" spans="3:5" ht="14">
      <c r="C109" s="12"/>
      <c r="D109" s="9"/>
      <c r="E109" s="9"/>
    </row>
    <row r="110" spans="3:5" ht="14">
      <c r="C110" s="12"/>
      <c r="D110" s="9"/>
      <c r="E110" s="9"/>
    </row>
    <row r="111" spans="3:5" ht="14">
      <c r="C111" s="12"/>
      <c r="D111" s="9"/>
      <c r="E111" s="9"/>
    </row>
    <row r="112" spans="3:5" ht="14">
      <c r="C112" s="12"/>
      <c r="D112" s="9"/>
      <c r="E112" s="9"/>
    </row>
    <row r="113" spans="3:5" ht="14">
      <c r="C113" s="12"/>
      <c r="D113" s="9"/>
      <c r="E113" s="9"/>
    </row>
    <row r="114" spans="3:5" ht="14">
      <c r="C114" s="12"/>
      <c r="D114" s="9"/>
      <c r="E114" s="9"/>
    </row>
    <row r="115" spans="3:5" ht="14">
      <c r="C115" s="12"/>
      <c r="D115" s="9"/>
      <c r="E115" s="9"/>
    </row>
    <row r="116" spans="3:5" ht="14">
      <c r="C116" s="12"/>
      <c r="D116" s="9"/>
      <c r="E116" s="9"/>
    </row>
    <row r="117" spans="3:5" ht="14">
      <c r="C117" s="12"/>
      <c r="D117" s="9"/>
      <c r="E117" s="9"/>
    </row>
    <row r="118" spans="3:5" ht="14">
      <c r="C118" s="12"/>
      <c r="D118" s="9"/>
      <c r="E118" s="9"/>
    </row>
    <row r="119" spans="3:5" ht="14">
      <c r="C119" s="12"/>
      <c r="D119" s="9"/>
      <c r="E119" s="9"/>
    </row>
    <row r="120" spans="3:5" ht="14">
      <c r="C120" s="12"/>
      <c r="D120" s="9"/>
      <c r="E120" s="9"/>
    </row>
    <row r="121" spans="3:5" ht="14">
      <c r="C121" s="12"/>
      <c r="D121" s="9"/>
      <c r="E121" s="9"/>
    </row>
    <row r="122" spans="3:5" ht="14">
      <c r="C122" s="12"/>
      <c r="D122" s="9"/>
      <c r="E122" s="9"/>
    </row>
    <row r="123" spans="3:5" ht="14">
      <c r="C123" s="12"/>
      <c r="D123" s="9"/>
      <c r="E123" s="9"/>
    </row>
    <row r="124" spans="3:5" ht="14">
      <c r="C124" s="12"/>
      <c r="D124" s="9"/>
      <c r="E124" s="9"/>
    </row>
    <row r="125" spans="3:5" ht="14">
      <c r="C125" s="12"/>
      <c r="D125" s="9"/>
      <c r="E125" s="9"/>
    </row>
    <row r="126" spans="3:5" ht="14">
      <c r="C126" s="12"/>
      <c r="D126" s="9"/>
      <c r="E126" s="9"/>
    </row>
    <row r="127" spans="3:5" ht="14">
      <c r="C127" s="12"/>
      <c r="D127" s="9"/>
      <c r="E127" s="9"/>
    </row>
    <row r="128" spans="3:5" ht="14">
      <c r="C128" s="12"/>
      <c r="D128" s="9"/>
      <c r="E128" s="9"/>
    </row>
    <row r="129" spans="3:5" ht="14">
      <c r="C129" s="12"/>
      <c r="D129" s="9"/>
      <c r="E129" s="9"/>
    </row>
    <row r="130" spans="3:5" ht="14">
      <c r="C130" s="12"/>
      <c r="D130" s="9"/>
      <c r="E130" s="9"/>
    </row>
    <row r="131" spans="3:5" ht="14">
      <c r="C131" s="12"/>
      <c r="D131" s="9"/>
      <c r="E131" s="9"/>
    </row>
    <row r="132" spans="3:5" ht="14">
      <c r="C132" s="12"/>
      <c r="D132" s="9"/>
      <c r="E132" s="9"/>
    </row>
    <row r="133" spans="3:5" ht="14">
      <c r="C133" s="12"/>
      <c r="D133" s="9"/>
      <c r="E133" s="9"/>
    </row>
    <row r="134" spans="3:5" ht="14">
      <c r="C134" s="12"/>
      <c r="D134" s="9"/>
      <c r="E134" s="9"/>
    </row>
    <row r="135" spans="3:5" ht="14">
      <c r="C135" s="12"/>
      <c r="D135" s="9"/>
      <c r="E135" s="9"/>
    </row>
    <row r="136" spans="3:5" ht="14">
      <c r="C136" s="12"/>
      <c r="D136" s="9"/>
      <c r="E136" s="9"/>
    </row>
    <row r="137" spans="3:5" ht="14">
      <c r="C137" s="12"/>
      <c r="D137" s="9"/>
      <c r="E137" s="9"/>
    </row>
    <row r="138" spans="3:5" ht="14">
      <c r="C138" s="12"/>
      <c r="D138" s="9"/>
      <c r="E138" s="9"/>
    </row>
    <row r="139" spans="3:5" ht="14">
      <c r="C139" s="12"/>
      <c r="D139" s="9"/>
      <c r="E139" s="9"/>
    </row>
    <row r="140" spans="3:5" ht="14">
      <c r="C140" s="12"/>
      <c r="D140" s="9"/>
      <c r="E140" s="9"/>
    </row>
    <row r="141" spans="3:5" ht="14">
      <c r="C141" s="12"/>
      <c r="D141" s="9"/>
      <c r="E141" s="9"/>
    </row>
    <row r="142" spans="3:5" ht="14">
      <c r="C142" s="12"/>
      <c r="D142" s="9"/>
      <c r="E142" s="9"/>
    </row>
    <row r="143" spans="3:5" ht="14">
      <c r="C143" s="12"/>
      <c r="D143" s="9"/>
      <c r="E143" s="9"/>
    </row>
    <row r="144" spans="3:5" ht="14">
      <c r="C144" s="12"/>
      <c r="D144" s="9"/>
      <c r="E144" s="9"/>
    </row>
    <row r="145" spans="3:5" ht="14">
      <c r="C145" s="12"/>
      <c r="D145" s="9"/>
      <c r="E145" s="9"/>
    </row>
    <row r="146" spans="3:5" ht="14">
      <c r="C146" s="12"/>
      <c r="D146" s="9"/>
      <c r="E146" s="9"/>
    </row>
    <row r="147" spans="3:5" ht="14">
      <c r="C147" s="12"/>
      <c r="D147" s="9"/>
      <c r="E147" s="9"/>
    </row>
    <row r="148" spans="3:5" ht="14">
      <c r="C148" s="12"/>
      <c r="D148" s="9"/>
      <c r="E148" s="9"/>
    </row>
    <row r="149" spans="3:5" ht="14">
      <c r="C149" s="12"/>
      <c r="D149" s="9"/>
      <c r="E149" s="9"/>
    </row>
    <row r="150" spans="3:5" ht="14">
      <c r="C150" s="12"/>
      <c r="D150" s="9"/>
      <c r="E150" s="9"/>
    </row>
    <row r="151" spans="3:5" ht="14">
      <c r="C151" s="12"/>
      <c r="D151" s="9"/>
      <c r="E151" s="9"/>
    </row>
    <row r="152" spans="3:5" ht="14">
      <c r="C152" s="12"/>
      <c r="D152" s="9"/>
      <c r="E152" s="9"/>
    </row>
    <row r="153" spans="3:5" ht="14">
      <c r="C153" s="12"/>
      <c r="D153" s="9"/>
      <c r="E153" s="9"/>
    </row>
    <row r="154" spans="3:5" ht="14">
      <c r="C154" s="12"/>
      <c r="D154" s="9"/>
      <c r="E154" s="9"/>
    </row>
    <row r="155" spans="3:5" ht="14">
      <c r="C155" s="12"/>
      <c r="D155" s="9"/>
      <c r="E155" s="9"/>
    </row>
    <row r="156" spans="3:5" ht="14">
      <c r="C156" s="12"/>
      <c r="D156" s="9"/>
      <c r="E156" s="9"/>
    </row>
    <row r="157" spans="3:5" ht="14">
      <c r="C157" s="12"/>
      <c r="D157" s="9"/>
      <c r="E157" s="9"/>
    </row>
    <row r="158" spans="3:5" ht="14">
      <c r="C158" s="12"/>
      <c r="D158" s="9"/>
      <c r="E158" s="9"/>
    </row>
    <row r="159" spans="3:5" ht="14">
      <c r="C159" s="12"/>
      <c r="D159" s="9"/>
      <c r="E159" s="9"/>
    </row>
    <row r="160" spans="3:5" ht="14">
      <c r="C160" s="12"/>
      <c r="D160" s="9"/>
      <c r="E160" s="9"/>
    </row>
    <row r="161" spans="3:5" ht="14">
      <c r="C161" s="12"/>
      <c r="D161" s="9"/>
      <c r="E161" s="9"/>
    </row>
    <row r="162" spans="3:5" ht="14">
      <c r="C162" s="12"/>
      <c r="D162" s="9"/>
      <c r="E162" s="9"/>
    </row>
    <row r="163" spans="3:5" ht="14">
      <c r="C163" s="12"/>
      <c r="D163" s="9"/>
      <c r="E163" s="9"/>
    </row>
    <row r="164" spans="3:5" ht="14">
      <c r="C164" s="12"/>
      <c r="D164" s="9"/>
      <c r="E164" s="9"/>
    </row>
    <row r="165" spans="3:5" ht="14">
      <c r="C165" s="12"/>
      <c r="D165" s="9"/>
      <c r="E165" s="9"/>
    </row>
    <row r="166" spans="3:5" ht="14">
      <c r="C166" s="12"/>
      <c r="D166" s="9"/>
      <c r="E166" s="9"/>
    </row>
    <row r="167" spans="3:5" ht="14">
      <c r="C167" s="12"/>
      <c r="D167" s="9"/>
      <c r="E167" s="9"/>
    </row>
    <row r="168" spans="3:5" ht="14">
      <c r="C168" s="12"/>
      <c r="D168" s="9"/>
      <c r="E168" s="9"/>
    </row>
    <row r="169" spans="3:5" ht="14">
      <c r="C169" s="12"/>
      <c r="D169" s="9"/>
      <c r="E169" s="9"/>
    </row>
    <row r="170" spans="3:5" ht="14">
      <c r="C170" s="12"/>
      <c r="D170" s="9"/>
      <c r="E170" s="9"/>
    </row>
    <row r="171" spans="3:5" ht="14">
      <c r="C171" s="12"/>
      <c r="D171" s="9"/>
      <c r="E171" s="9"/>
    </row>
    <row r="172" spans="3:5" ht="14">
      <c r="C172" s="12"/>
      <c r="D172" s="9"/>
      <c r="E172" s="9"/>
    </row>
    <row r="173" spans="3:5" ht="14">
      <c r="C173" s="12"/>
      <c r="D173" s="9"/>
      <c r="E173" s="9"/>
    </row>
    <row r="174" spans="3:5" ht="14">
      <c r="C174" s="12"/>
      <c r="D174" s="9"/>
      <c r="E174" s="9"/>
    </row>
    <row r="175" spans="3:5" ht="14">
      <c r="C175" s="12"/>
      <c r="D175" s="9"/>
      <c r="E175" s="9"/>
    </row>
    <row r="176" spans="3:5" ht="14">
      <c r="C176" s="12"/>
      <c r="D176" s="9"/>
      <c r="E176" s="9"/>
    </row>
    <row r="177" spans="3:5" ht="14">
      <c r="C177" s="12"/>
      <c r="D177" s="9"/>
      <c r="E177" s="9"/>
    </row>
    <row r="178" spans="3:5" ht="14">
      <c r="C178" s="12"/>
      <c r="D178" s="9"/>
      <c r="E178" s="9"/>
    </row>
    <row r="179" spans="3:5" ht="14">
      <c r="C179" s="12"/>
      <c r="D179" s="9"/>
      <c r="E179" s="9"/>
    </row>
    <row r="180" spans="3:5" ht="14">
      <c r="C180" s="12"/>
      <c r="D180" s="9"/>
      <c r="E180" s="9"/>
    </row>
    <row r="181" spans="3:5" ht="14">
      <c r="C181" s="12"/>
      <c r="D181" s="9"/>
      <c r="E181" s="9"/>
    </row>
    <row r="182" spans="3:5" ht="14">
      <c r="C182" s="12"/>
      <c r="D182" s="9"/>
      <c r="E182" s="9"/>
    </row>
    <row r="183" spans="3:5" ht="14">
      <c r="C183" s="12"/>
      <c r="D183" s="9"/>
      <c r="E183" s="9"/>
    </row>
    <row r="184" spans="3:5" ht="14">
      <c r="C184" s="12"/>
      <c r="D184" s="9"/>
      <c r="E184" s="9"/>
    </row>
    <row r="185" spans="3:5" ht="14">
      <c r="C185" s="12"/>
      <c r="D185" s="9"/>
      <c r="E185" s="9"/>
    </row>
    <row r="186" spans="3:5" ht="14">
      <c r="C186" s="12"/>
      <c r="D186" s="9"/>
      <c r="E186" s="9"/>
    </row>
    <row r="187" spans="3:5" ht="14">
      <c r="C187" s="12"/>
      <c r="D187" s="9"/>
      <c r="E187" s="9"/>
    </row>
    <row r="188" spans="3:5" ht="14">
      <c r="C188" s="12"/>
      <c r="D188" s="9"/>
      <c r="E188" s="9"/>
    </row>
    <row r="189" spans="3:5" ht="14">
      <c r="C189" s="12"/>
      <c r="D189" s="9"/>
      <c r="E189" s="9"/>
    </row>
    <row r="190" spans="3:5" ht="14">
      <c r="C190" s="12"/>
      <c r="D190" s="9"/>
      <c r="E190" s="9"/>
    </row>
    <row r="191" spans="3:5" ht="14">
      <c r="C191" s="12"/>
      <c r="D191" s="9"/>
      <c r="E191" s="9"/>
    </row>
    <row r="192" spans="3:5" ht="14">
      <c r="C192" s="12"/>
      <c r="D192" s="9"/>
      <c r="E192" s="9"/>
    </row>
    <row r="193" spans="3:5" ht="14">
      <c r="C193" s="12"/>
      <c r="D193" s="9"/>
      <c r="E193" s="9"/>
    </row>
    <row r="194" spans="3:5" ht="14">
      <c r="C194" s="12"/>
      <c r="D194" s="9"/>
      <c r="E194" s="9"/>
    </row>
    <row r="195" spans="3:5" ht="14">
      <c r="C195" s="12"/>
      <c r="D195" s="9"/>
      <c r="E195" s="9"/>
    </row>
    <row r="196" spans="3:5" ht="14">
      <c r="C196" s="12"/>
      <c r="D196" s="9"/>
      <c r="E196" s="9"/>
    </row>
    <row r="197" spans="3:5" ht="14">
      <c r="C197" s="12"/>
      <c r="D197" s="9"/>
      <c r="E197" s="9"/>
    </row>
    <row r="198" spans="3:5" ht="14">
      <c r="C198" s="12"/>
      <c r="D198" s="9"/>
      <c r="E198" s="9"/>
    </row>
    <row r="199" spans="3:5" ht="14">
      <c r="C199" s="12"/>
      <c r="D199" s="9"/>
      <c r="E199" s="9"/>
    </row>
    <row r="200" spans="3:5" ht="14">
      <c r="C200" s="12"/>
      <c r="D200" s="9"/>
      <c r="E200" s="9"/>
    </row>
    <row r="201" spans="3:5" ht="14">
      <c r="C201" s="12"/>
      <c r="D201" s="9"/>
      <c r="E201" s="9"/>
    </row>
    <row r="202" spans="3:5" ht="14">
      <c r="C202" s="12"/>
      <c r="D202" s="9"/>
      <c r="E202" s="9"/>
    </row>
    <row r="203" spans="3:5" ht="14">
      <c r="C203" s="12"/>
      <c r="D203" s="9"/>
      <c r="E203" s="9"/>
    </row>
    <row r="204" spans="3:5" ht="14">
      <c r="C204" s="12"/>
      <c r="D204" s="9"/>
      <c r="E204" s="9"/>
    </row>
    <row r="205" spans="3:5" ht="14">
      <c r="C205" s="12"/>
      <c r="D205" s="9"/>
      <c r="E205" s="9"/>
    </row>
    <row r="206" spans="3:5" ht="14">
      <c r="C206" s="12"/>
      <c r="D206" s="9"/>
      <c r="E206" s="9"/>
    </row>
    <row r="207" spans="3:5" ht="14">
      <c r="C207" s="12"/>
      <c r="D207" s="9"/>
      <c r="E207" s="9"/>
    </row>
    <row r="208" spans="3:5" ht="14">
      <c r="C208" s="12"/>
      <c r="D208" s="9"/>
      <c r="E208" s="9"/>
    </row>
    <row r="209" spans="3:5" ht="14">
      <c r="C209" s="12"/>
      <c r="D209" s="9"/>
      <c r="E209" s="9"/>
    </row>
    <row r="210" spans="3:5" ht="14">
      <c r="C210" s="12"/>
      <c r="D210" s="9"/>
      <c r="E210" s="9"/>
    </row>
    <row r="211" spans="3:5" ht="14">
      <c r="C211" s="12"/>
      <c r="D211" s="9"/>
      <c r="E211" s="9"/>
    </row>
    <row r="212" spans="3:5" ht="14">
      <c r="C212" s="12"/>
      <c r="D212" s="9"/>
      <c r="E212" s="9"/>
    </row>
    <row r="213" spans="3:5" ht="14">
      <c r="C213" s="12"/>
      <c r="D213" s="9"/>
      <c r="E213" s="9"/>
    </row>
    <row r="214" spans="3:5" ht="14">
      <c r="C214" s="12"/>
      <c r="D214" s="9"/>
      <c r="E214" s="9"/>
    </row>
    <row r="215" spans="3:5" ht="14">
      <c r="C215" s="12"/>
      <c r="D215" s="9"/>
      <c r="E215" s="9"/>
    </row>
    <row r="216" spans="3:5" ht="14">
      <c r="C216" s="12"/>
      <c r="D216" s="9"/>
      <c r="E216" s="9"/>
    </row>
    <row r="217" spans="3:5" ht="14">
      <c r="C217" s="12"/>
      <c r="D217" s="9"/>
      <c r="E217" s="9"/>
    </row>
    <row r="218" spans="3:5" ht="14">
      <c r="C218" s="12"/>
      <c r="D218" s="9"/>
      <c r="E218" s="9"/>
    </row>
    <row r="219" spans="3:5" ht="14">
      <c r="C219" s="12"/>
      <c r="D219" s="9"/>
      <c r="E219" s="9"/>
    </row>
    <row r="220" spans="3:5" ht="14">
      <c r="C220" s="12"/>
      <c r="D220" s="9"/>
      <c r="E220" s="9"/>
    </row>
    <row r="221" spans="3:5" ht="14">
      <c r="C221" s="12"/>
      <c r="D221" s="9"/>
      <c r="E221" s="9"/>
    </row>
    <row r="222" spans="3:5" ht="14">
      <c r="C222" s="12"/>
      <c r="D222" s="9"/>
      <c r="E222" s="9"/>
    </row>
    <row r="223" spans="3:5" ht="14">
      <c r="C223" s="12"/>
      <c r="D223" s="9"/>
      <c r="E223" s="9"/>
    </row>
    <row r="224" spans="3:5" ht="14">
      <c r="C224" s="12"/>
      <c r="D224" s="9"/>
      <c r="E224" s="9"/>
    </row>
    <row r="225" spans="3:5" ht="14">
      <c r="C225" s="12"/>
      <c r="D225" s="9"/>
      <c r="E225" s="9"/>
    </row>
    <row r="226" spans="3:5" ht="14">
      <c r="C226" s="12"/>
      <c r="D226" s="9"/>
      <c r="E226" s="9"/>
    </row>
    <row r="227" spans="3:5" ht="14">
      <c r="C227" s="12"/>
      <c r="D227" s="9"/>
      <c r="E227" s="9"/>
    </row>
    <row r="228" spans="3:5" ht="14">
      <c r="C228" s="12"/>
      <c r="D228" s="9"/>
      <c r="E228" s="9"/>
    </row>
    <row r="229" spans="3:5" ht="14">
      <c r="C229" s="12"/>
      <c r="D229" s="9"/>
      <c r="E229" s="9"/>
    </row>
    <row r="230" spans="3:5" ht="14">
      <c r="C230" s="12"/>
      <c r="D230" s="9"/>
      <c r="E230" s="9"/>
    </row>
    <row r="231" spans="3:5" ht="14">
      <c r="C231" s="12"/>
      <c r="D231" s="9"/>
      <c r="E231" s="9"/>
    </row>
    <row r="232" spans="3:5" ht="14">
      <c r="C232" s="12"/>
      <c r="D232" s="9"/>
      <c r="E232" s="9"/>
    </row>
    <row r="233" spans="3:5" ht="14">
      <c r="C233" s="12"/>
      <c r="D233" s="9"/>
      <c r="E233" s="9"/>
    </row>
    <row r="234" spans="3:5" ht="14">
      <c r="C234" s="12"/>
      <c r="D234" s="9"/>
      <c r="E234" s="9"/>
    </row>
    <row r="235" spans="3:5" ht="14">
      <c r="C235" s="12"/>
      <c r="D235" s="9"/>
      <c r="E235" s="9"/>
    </row>
    <row r="236" spans="3:5" ht="14">
      <c r="C236" s="12"/>
      <c r="D236" s="9"/>
      <c r="E236" s="9"/>
    </row>
    <row r="237" spans="3:5" ht="14">
      <c r="C237" s="12"/>
      <c r="D237" s="9"/>
      <c r="E237" s="9"/>
    </row>
    <row r="238" spans="3:5" ht="14">
      <c r="C238" s="12"/>
      <c r="D238" s="9"/>
      <c r="E238" s="9"/>
    </row>
    <row r="239" spans="3:5" ht="14">
      <c r="C239" s="12"/>
      <c r="D239" s="9"/>
      <c r="E239" s="9"/>
    </row>
    <row r="240" spans="3:5" ht="14">
      <c r="C240" s="12"/>
      <c r="D240" s="9"/>
      <c r="E240" s="9"/>
    </row>
    <row r="241" spans="3:5" ht="14">
      <c r="C241" s="12"/>
      <c r="D241" s="9"/>
      <c r="E241" s="9"/>
    </row>
    <row r="242" spans="3:5" ht="14">
      <c r="C242" s="12"/>
      <c r="D242" s="9"/>
      <c r="E242" s="9"/>
    </row>
    <row r="243" spans="3:5" ht="14">
      <c r="C243" s="12"/>
      <c r="D243" s="9"/>
      <c r="E243" s="9"/>
    </row>
    <row r="244" spans="3:5" ht="14">
      <c r="C244" s="12"/>
      <c r="D244" s="9"/>
      <c r="E244" s="9"/>
    </row>
    <row r="245" spans="3:5" ht="14">
      <c r="C245" s="12"/>
      <c r="D245" s="9"/>
      <c r="E245" s="9"/>
    </row>
    <row r="246" spans="3:5" ht="14">
      <c r="C246" s="12"/>
      <c r="D246" s="9"/>
      <c r="E246" s="9"/>
    </row>
    <row r="247" spans="3:5" ht="14">
      <c r="C247" s="12"/>
      <c r="D247" s="9"/>
      <c r="E247" s="9"/>
    </row>
    <row r="248" spans="3:5" ht="14">
      <c r="C248" s="12"/>
      <c r="D248" s="9"/>
      <c r="E248" s="9"/>
    </row>
    <row r="249" spans="3:5" ht="14">
      <c r="C249" s="12"/>
      <c r="D249" s="9"/>
      <c r="E249" s="9"/>
    </row>
    <row r="250" spans="3:5" ht="14">
      <c r="C250" s="12"/>
      <c r="D250" s="9"/>
      <c r="E250" s="9"/>
    </row>
    <row r="251" spans="3:5" ht="14">
      <c r="C251" s="12"/>
      <c r="D251" s="9"/>
      <c r="E251" s="9"/>
    </row>
    <row r="252" spans="3:5" ht="14">
      <c r="C252" s="12"/>
      <c r="D252" s="9"/>
      <c r="E252" s="9"/>
    </row>
    <row r="253" spans="3:5" ht="14">
      <c r="C253" s="12"/>
      <c r="D253" s="9"/>
      <c r="E253" s="9"/>
    </row>
    <row r="254" spans="3:5" ht="14">
      <c r="C254" s="12"/>
      <c r="D254" s="9"/>
      <c r="E254" s="9"/>
    </row>
    <row r="255" spans="3:5" ht="14">
      <c r="C255" s="12"/>
      <c r="D255" s="9"/>
      <c r="E255" s="9"/>
    </row>
    <row r="256" spans="3:5" ht="14">
      <c r="C256" s="12"/>
      <c r="D256" s="9"/>
      <c r="E256" s="9"/>
    </row>
    <row r="257" spans="3:5" ht="14">
      <c r="C257" s="12"/>
      <c r="D257" s="9"/>
      <c r="E257" s="9"/>
    </row>
    <row r="258" spans="3:5" ht="14">
      <c r="C258" s="12"/>
      <c r="D258" s="9"/>
      <c r="E258" s="9"/>
    </row>
    <row r="259" spans="3:5" ht="14">
      <c r="C259" s="12"/>
      <c r="D259" s="9"/>
      <c r="E259" s="9"/>
    </row>
    <row r="260" spans="3:5" ht="14">
      <c r="C260" s="12"/>
      <c r="D260" s="9"/>
      <c r="E260" s="9"/>
    </row>
    <row r="261" spans="3:5" ht="14">
      <c r="C261" s="12"/>
      <c r="D261" s="9"/>
      <c r="E261" s="9"/>
    </row>
    <row r="262" spans="3:5" ht="14">
      <c r="C262" s="12"/>
      <c r="D262" s="9"/>
      <c r="E262" s="9"/>
    </row>
    <row r="263" spans="3:5" ht="14">
      <c r="C263" s="12"/>
      <c r="D263" s="9"/>
      <c r="E263" s="9"/>
    </row>
    <row r="264" spans="3:5" ht="14">
      <c r="C264" s="12"/>
      <c r="D264" s="9"/>
      <c r="E264" s="9"/>
    </row>
    <row r="265" spans="3:5" ht="14">
      <c r="C265" s="12"/>
      <c r="D265" s="9"/>
      <c r="E265" s="9"/>
    </row>
    <row r="266" spans="3:5" ht="14">
      <c r="C266" s="12"/>
      <c r="D266" s="9"/>
      <c r="E266" s="9"/>
    </row>
    <row r="267" spans="3:5" ht="14">
      <c r="C267" s="12"/>
      <c r="D267" s="9"/>
      <c r="E267" s="9"/>
    </row>
    <row r="268" spans="3:5" ht="14">
      <c r="C268" s="12"/>
      <c r="D268" s="9"/>
      <c r="E268" s="9"/>
    </row>
    <row r="269" spans="3:5" ht="14">
      <c r="C269" s="12"/>
      <c r="D269" s="9"/>
      <c r="E269" s="9"/>
    </row>
    <row r="270" spans="3:5" ht="14">
      <c r="C270" s="12"/>
      <c r="D270" s="9"/>
      <c r="E270" s="9"/>
    </row>
    <row r="271" spans="3:5" ht="14">
      <c r="C271" s="12"/>
      <c r="D271" s="9"/>
      <c r="E271" s="9"/>
    </row>
    <row r="272" spans="3:5" ht="14">
      <c r="C272" s="12"/>
      <c r="D272" s="9"/>
      <c r="E272" s="9"/>
    </row>
    <row r="273" spans="3:5" ht="14">
      <c r="C273" s="12"/>
      <c r="D273" s="9"/>
      <c r="E273" s="9"/>
    </row>
    <row r="274" spans="3:5" ht="14">
      <c r="C274" s="12"/>
      <c r="D274" s="9"/>
      <c r="E274" s="9"/>
    </row>
    <row r="275" spans="3:5" ht="14">
      <c r="C275" s="12"/>
      <c r="D275" s="9"/>
      <c r="E275" s="9"/>
    </row>
    <row r="276" spans="3:5" ht="14">
      <c r="C276" s="12"/>
      <c r="D276" s="9"/>
      <c r="E276" s="9"/>
    </row>
    <row r="277" spans="3:5" ht="14">
      <c r="C277" s="12"/>
      <c r="D277" s="9"/>
      <c r="E277" s="9"/>
    </row>
    <row r="278" spans="3:5" ht="14">
      <c r="C278" s="12"/>
      <c r="D278" s="9"/>
      <c r="E278" s="9"/>
    </row>
    <row r="279" spans="3:5" ht="14">
      <c r="C279" s="12"/>
      <c r="D279" s="9"/>
      <c r="E279" s="9"/>
    </row>
    <row r="280" spans="3:5" ht="14">
      <c r="C280" s="12"/>
      <c r="D280" s="9"/>
      <c r="E280" s="9"/>
    </row>
    <row r="281" spans="3:5" ht="14">
      <c r="C281" s="12"/>
      <c r="D281" s="9"/>
      <c r="E281" s="9"/>
    </row>
    <row r="282" spans="3:5" ht="14">
      <c r="C282" s="12"/>
      <c r="D282" s="9"/>
      <c r="E282" s="9"/>
    </row>
    <row r="283" spans="3:5" ht="14">
      <c r="C283" s="12"/>
      <c r="D283" s="9"/>
      <c r="E283" s="9"/>
    </row>
    <row r="284" spans="3:5" ht="14">
      <c r="C284" s="12"/>
      <c r="D284" s="9"/>
      <c r="E284" s="9"/>
    </row>
    <row r="285" spans="3:5" ht="14">
      <c r="C285" s="12"/>
      <c r="D285" s="9"/>
      <c r="E285" s="9"/>
    </row>
    <row r="286" spans="3:5" ht="14">
      <c r="C286" s="12"/>
      <c r="D286" s="9"/>
      <c r="E286" s="9"/>
    </row>
    <row r="287" spans="3:5" ht="14">
      <c r="C287" s="12"/>
      <c r="D287" s="9"/>
      <c r="E287" s="9"/>
    </row>
    <row r="288" spans="3:5" ht="14">
      <c r="C288" s="12"/>
      <c r="D288" s="9"/>
      <c r="E288" s="9"/>
    </row>
    <row r="289" spans="3:5" ht="14">
      <c r="C289" s="12"/>
      <c r="D289" s="9"/>
      <c r="E289" s="9"/>
    </row>
    <row r="290" spans="3:5" ht="14">
      <c r="C290" s="12"/>
      <c r="D290" s="9"/>
      <c r="E290" s="9"/>
    </row>
    <row r="291" spans="3:5" ht="14">
      <c r="C291" s="12"/>
      <c r="D291" s="9"/>
      <c r="E291" s="9"/>
    </row>
    <row r="292" spans="3:5" ht="14">
      <c r="C292" s="12"/>
      <c r="D292" s="9"/>
      <c r="E292" s="9"/>
    </row>
    <row r="293" spans="3:5" ht="14">
      <c r="C293" s="12"/>
      <c r="D293" s="9"/>
      <c r="E293" s="9"/>
    </row>
    <row r="294" spans="3:5" ht="14">
      <c r="C294" s="12"/>
      <c r="D294" s="9"/>
      <c r="E294" s="9"/>
    </row>
    <row r="295" spans="3:5" ht="14">
      <c r="C295" s="12"/>
      <c r="D295" s="9"/>
      <c r="E295" s="9"/>
    </row>
    <row r="296" spans="3:5" ht="14">
      <c r="C296" s="12"/>
      <c r="D296" s="9"/>
      <c r="E296" s="9"/>
    </row>
    <row r="297" spans="3:5" ht="14">
      <c r="C297" s="12"/>
      <c r="D297" s="9"/>
      <c r="E297" s="9"/>
    </row>
    <row r="298" spans="3:5" ht="14">
      <c r="C298" s="12"/>
      <c r="D298" s="9"/>
      <c r="E298" s="9"/>
    </row>
    <row r="299" spans="3:5" ht="14">
      <c r="C299" s="12"/>
      <c r="D299" s="9"/>
      <c r="E299" s="9"/>
    </row>
    <row r="300" spans="3:5" ht="14">
      <c r="C300" s="12"/>
      <c r="D300" s="9"/>
      <c r="E300" s="9"/>
    </row>
    <row r="301" spans="3:5" ht="14">
      <c r="C301" s="12"/>
      <c r="D301" s="9"/>
      <c r="E301" s="9"/>
    </row>
    <row r="302" spans="3:5" ht="14">
      <c r="C302" s="12"/>
      <c r="D302" s="9"/>
      <c r="E302" s="9"/>
    </row>
    <row r="303" spans="3:5" ht="14">
      <c r="C303" s="12"/>
      <c r="D303" s="9"/>
      <c r="E303" s="9"/>
    </row>
    <row r="304" spans="3:5" ht="14">
      <c r="C304" s="12"/>
      <c r="D304" s="9"/>
      <c r="E304" s="9"/>
    </row>
    <row r="305" spans="3:5" ht="14">
      <c r="C305" s="12"/>
      <c r="D305" s="9"/>
      <c r="E305" s="9"/>
    </row>
    <row r="306" spans="3:5" ht="14">
      <c r="C306" s="12"/>
      <c r="D306" s="9"/>
      <c r="E306" s="9"/>
    </row>
    <row r="307" spans="3:5" ht="14">
      <c r="C307" s="12"/>
      <c r="D307" s="9"/>
      <c r="E307" s="9"/>
    </row>
    <row r="308" spans="3:5" ht="14">
      <c r="C308" s="12"/>
      <c r="D308" s="9"/>
      <c r="E308" s="9"/>
    </row>
    <row r="309" spans="3:5" ht="14">
      <c r="C309" s="12"/>
      <c r="D309" s="9"/>
      <c r="E309" s="9"/>
    </row>
    <row r="310" spans="3:5" ht="14">
      <c r="C310" s="12"/>
      <c r="D310" s="9"/>
      <c r="E310" s="9"/>
    </row>
    <row r="311" spans="3:5" ht="14">
      <c r="C311" s="12"/>
      <c r="D311" s="9"/>
      <c r="E311" s="9"/>
    </row>
    <row r="312" spans="3:5" ht="14">
      <c r="C312" s="12"/>
      <c r="D312" s="9"/>
      <c r="E312" s="9"/>
    </row>
    <row r="313" spans="3:5" ht="14">
      <c r="C313" s="12"/>
      <c r="D313" s="9"/>
      <c r="E313" s="9"/>
    </row>
    <row r="314" spans="3:5" ht="14">
      <c r="C314" s="12"/>
      <c r="D314" s="9"/>
      <c r="E314" s="9"/>
    </row>
    <row r="315" spans="3:5" ht="14">
      <c r="C315" s="12"/>
      <c r="D315" s="9"/>
      <c r="E315" s="9"/>
    </row>
    <row r="316" spans="3:5" ht="14">
      <c r="C316" s="12"/>
      <c r="D316" s="9"/>
      <c r="E316" s="9"/>
    </row>
    <row r="317" spans="3:5" ht="14">
      <c r="C317" s="12"/>
      <c r="D317" s="9"/>
      <c r="E317" s="9"/>
    </row>
    <row r="318" spans="3:5" ht="14">
      <c r="C318" s="12"/>
      <c r="D318" s="9"/>
      <c r="E318" s="9"/>
    </row>
    <row r="319" spans="3:5" ht="14">
      <c r="C319" s="12"/>
      <c r="D319" s="9"/>
      <c r="E319" s="9"/>
    </row>
    <row r="320" spans="3:5" ht="14">
      <c r="C320" s="12"/>
      <c r="D320" s="9"/>
      <c r="E320" s="9"/>
    </row>
    <row r="321" spans="3:5" ht="14">
      <c r="C321" s="12"/>
      <c r="D321" s="9"/>
      <c r="E321" s="9"/>
    </row>
    <row r="322" spans="3:5" ht="14">
      <c r="C322" s="12"/>
      <c r="D322" s="9"/>
      <c r="E322" s="9"/>
    </row>
    <row r="323" spans="3:5" ht="14">
      <c r="C323" s="12"/>
      <c r="D323" s="9"/>
      <c r="E323" s="9"/>
    </row>
    <row r="324" spans="3:5" ht="14">
      <c r="C324" s="12"/>
      <c r="D324" s="9"/>
      <c r="E324" s="9"/>
    </row>
    <row r="325" spans="3:5" ht="14">
      <c r="C325" s="12"/>
      <c r="D325" s="9"/>
      <c r="E325" s="9"/>
    </row>
    <row r="326" spans="3:5" ht="14">
      <c r="C326" s="12"/>
      <c r="D326" s="9"/>
      <c r="E326" s="9"/>
    </row>
    <row r="327" spans="3:5" ht="14">
      <c r="C327" s="12"/>
      <c r="D327" s="9"/>
      <c r="E327" s="9"/>
    </row>
    <row r="328" spans="3:5" ht="14">
      <c r="C328" s="12"/>
      <c r="D328" s="9"/>
      <c r="E328" s="9"/>
    </row>
    <row r="329" spans="3:5" ht="14">
      <c r="C329" s="12"/>
      <c r="D329" s="9"/>
      <c r="E329" s="9"/>
    </row>
    <row r="330" spans="3:5" ht="14">
      <c r="C330" s="12"/>
      <c r="D330" s="9"/>
      <c r="E330" s="9"/>
    </row>
    <row r="331" spans="3:5" ht="14">
      <c r="C331" s="12"/>
      <c r="D331" s="9"/>
      <c r="E331" s="9"/>
    </row>
    <row r="332" spans="3:5" ht="14">
      <c r="C332" s="12"/>
      <c r="D332" s="9"/>
      <c r="E332" s="9"/>
    </row>
    <row r="333" spans="3:5" ht="14">
      <c r="C333" s="12"/>
      <c r="D333" s="9"/>
      <c r="E333" s="9"/>
    </row>
    <row r="334" spans="3:5" ht="14">
      <c r="C334" s="12"/>
      <c r="D334" s="9"/>
      <c r="E334" s="9"/>
    </row>
    <row r="335" spans="3:5" ht="14">
      <c r="C335" s="12"/>
      <c r="D335" s="9"/>
      <c r="E335" s="9"/>
    </row>
    <row r="336" spans="3:5" ht="14">
      <c r="C336" s="12"/>
      <c r="D336" s="9"/>
      <c r="E336" s="9"/>
    </row>
    <row r="337" spans="3:5" ht="14">
      <c r="C337" s="12"/>
      <c r="D337" s="9"/>
      <c r="E337" s="9"/>
    </row>
    <row r="338" spans="3:5" ht="14">
      <c r="C338" s="12"/>
      <c r="D338" s="9"/>
      <c r="E338" s="9"/>
    </row>
    <row r="339" spans="3:5" ht="14">
      <c r="C339" s="12"/>
      <c r="D339" s="9"/>
      <c r="E339" s="9"/>
    </row>
    <row r="340" spans="3:5" ht="14">
      <c r="C340" s="12"/>
      <c r="D340" s="9"/>
      <c r="E340" s="9"/>
    </row>
    <row r="341" spans="3:5" ht="14">
      <c r="C341" s="12"/>
      <c r="D341" s="9"/>
      <c r="E341" s="9"/>
    </row>
    <row r="342" spans="3:5" ht="14">
      <c r="C342" s="12"/>
      <c r="D342" s="9"/>
      <c r="E342" s="9"/>
    </row>
    <row r="343" spans="3:5" ht="14">
      <c r="C343" s="12"/>
      <c r="D343" s="9"/>
      <c r="E343" s="9"/>
    </row>
    <row r="344" spans="3:5" ht="14">
      <c r="C344" s="12"/>
      <c r="D344" s="9"/>
      <c r="E344" s="9"/>
    </row>
    <row r="345" spans="3:5" ht="14">
      <c r="C345" s="12"/>
      <c r="D345" s="9"/>
      <c r="E345" s="9"/>
    </row>
    <row r="346" spans="3:5" ht="14">
      <c r="C346" s="12"/>
      <c r="D346" s="9"/>
      <c r="E346" s="9"/>
    </row>
    <row r="347" spans="3:5" ht="14">
      <c r="C347" s="12"/>
      <c r="D347" s="9"/>
      <c r="E347" s="9"/>
    </row>
    <row r="348" spans="3:5" ht="14">
      <c r="C348" s="12"/>
      <c r="D348" s="9"/>
      <c r="E348" s="9"/>
    </row>
    <row r="349" spans="3:5" ht="14">
      <c r="C349" s="12"/>
      <c r="D349" s="9"/>
      <c r="E349" s="9"/>
    </row>
    <row r="350" spans="3:5" ht="14">
      <c r="C350" s="12"/>
      <c r="D350" s="9"/>
      <c r="E350" s="9"/>
    </row>
    <row r="351" spans="3:5" ht="14">
      <c r="C351" s="12"/>
      <c r="D351" s="9"/>
      <c r="E351" s="9"/>
    </row>
    <row r="352" spans="3:5" ht="14">
      <c r="C352" s="12"/>
      <c r="D352" s="9"/>
      <c r="E352" s="9"/>
    </row>
    <row r="353" spans="3:5" ht="14">
      <c r="C353" s="12"/>
      <c r="D353" s="9"/>
      <c r="E353" s="9"/>
    </row>
    <row r="354" spans="3:5" ht="14">
      <c r="C354" s="12"/>
      <c r="D354" s="9"/>
      <c r="E354" s="9"/>
    </row>
    <row r="355" spans="3:5" ht="14">
      <c r="C355" s="12"/>
      <c r="D355" s="9"/>
      <c r="E355" s="9"/>
    </row>
    <row r="356" spans="3:5" ht="14">
      <c r="C356" s="12"/>
      <c r="D356" s="9"/>
      <c r="E356" s="9"/>
    </row>
    <row r="357" spans="3:5" ht="14">
      <c r="C357" s="12"/>
      <c r="D357" s="9"/>
      <c r="E357" s="9"/>
    </row>
    <row r="358" spans="3:5" ht="14">
      <c r="C358" s="12"/>
      <c r="D358" s="9"/>
      <c r="E358" s="9"/>
    </row>
    <row r="359" spans="3:5" ht="14">
      <c r="C359" s="12"/>
      <c r="D359" s="9"/>
      <c r="E359" s="9"/>
    </row>
    <row r="360" spans="3:5" ht="14">
      <c r="C360" s="12"/>
      <c r="D360" s="9"/>
      <c r="E360" s="9"/>
    </row>
    <row r="361" spans="3:5" ht="14">
      <c r="C361" s="12"/>
      <c r="D361" s="9"/>
      <c r="E361" s="9"/>
    </row>
    <row r="362" spans="3:5" ht="14">
      <c r="C362" s="12"/>
      <c r="D362" s="9"/>
      <c r="E362" s="9"/>
    </row>
    <row r="363" spans="3:5" ht="14">
      <c r="C363" s="12"/>
      <c r="D363" s="9"/>
      <c r="E363" s="9"/>
    </row>
    <row r="364" spans="3:5" ht="14">
      <c r="C364" s="12"/>
      <c r="D364" s="9"/>
      <c r="E364" s="9"/>
    </row>
    <row r="365" spans="3:5" ht="14">
      <c r="C365" s="12"/>
      <c r="D365" s="9"/>
      <c r="E365" s="9"/>
    </row>
    <row r="366" spans="3:5" ht="14">
      <c r="C366" s="12"/>
      <c r="D366" s="9"/>
      <c r="E366" s="9"/>
    </row>
    <row r="367" spans="3:5" ht="14">
      <c r="C367" s="12"/>
      <c r="D367" s="9"/>
      <c r="E367" s="9"/>
    </row>
    <row r="368" spans="3:5" ht="14">
      <c r="C368" s="12"/>
      <c r="D368" s="9"/>
      <c r="E368" s="9"/>
    </row>
    <row r="369" spans="3:5" ht="14">
      <c r="C369" s="12"/>
      <c r="D369" s="9"/>
      <c r="E369" s="9"/>
    </row>
    <row r="370" spans="3:5" ht="14">
      <c r="C370" s="12"/>
      <c r="D370" s="9"/>
      <c r="E370" s="9"/>
    </row>
    <row r="371" spans="3:5" ht="14">
      <c r="C371" s="12"/>
      <c r="D371" s="9"/>
      <c r="E371" s="9"/>
    </row>
    <row r="372" spans="3:5" ht="14">
      <c r="C372" s="12"/>
      <c r="D372" s="9"/>
      <c r="E372" s="9"/>
    </row>
    <row r="373" spans="3:5" ht="14">
      <c r="C373" s="12"/>
      <c r="D373" s="9"/>
      <c r="E373" s="9"/>
    </row>
    <row r="374" spans="3:5" ht="14">
      <c r="C374" s="12"/>
      <c r="D374" s="9"/>
      <c r="E374" s="9"/>
    </row>
    <row r="375" spans="3:5" ht="14">
      <c r="C375" s="12"/>
      <c r="D375" s="9"/>
      <c r="E375" s="9"/>
    </row>
    <row r="376" spans="3:5" ht="14">
      <c r="C376" s="12"/>
      <c r="D376" s="9"/>
      <c r="E376" s="9"/>
    </row>
    <row r="377" spans="3:5" ht="14">
      <c r="C377" s="12"/>
      <c r="D377" s="9"/>
      <c r="E377" s="9"/>
    </row>
    <row r="378" spans="3:5" ht="14">
      <c r="C378" s="12"/>
      <c r="D378" s="9"/>
      <c r="E378" s="9"/>
    </row>
    <row r="379" spans="3:5" ht="14">
      <c r="C379" s="12"/>
      <c r="D379" s="9"/>
      <c r="E379" s="9"/>
    </row>
    <row r="380" spans="3:5" ht="14">
      <c r="C380" s="12"/>
      <c r="D380" s="9"/>
      <c r="E380" s="9"/>
    </row>
    <row r="381" spans="3:5" ht="14">
      <c r="C381" s="12"/>
      <c r="D381" s="9"/>
      <c r="E381" s="9"/>
    </row>
    <row r="382" spans="3:5" ht="14">
      <c r="C382" s="12"/>
      <c r="D382" s="9"/>
      <c r="E382" s="9"/>
    </row>
    <row r="383" spans="3:5" ht="14">
      <c r="C383" s="12"/>
      <c r="D383" s="9"/>
      <c r="E383" s="9"/>
    </row>
    <row r="384" spans="3:5" ht="14">
      <c r="C384" s="12"/>
      <c r="D384" s="9"/>
      <c r="E384" s="9"/>
    </row>
    <row r="385" spans="3:5" ht="14">
      <c r="C385" s="12"/>
      <c r="D385" s="9"/>
      <c r="E385" s="9"/>
    </row>
    <row r="386" spans="3:5" ht="14">
      <c r="C386" s="12"/>
      <c r="D386" s="9"/>
      <c r="E386" s="9"/>
    </row>
    <row r="387" spans="3:5" ht="14">
      <c r="C387" s="12"/>
      <c r="D387" s="9"/>
      <c r="E387" s="9"/>
    </row>
    <row r="388" spans="3:5" ht="14">
      <c r="C388" s="12"/>
      <c r="D388" s="9"/>
      <c r="E388" s="9"/>
    </row>
    <row r="389" spans="3:5" ht="14">
      <c r="C389" s="12"/>
      <c r="D389" s="9"/>
      <c r="E389" s="9"/>
    </row>
    <row r="390" spans="3:5" ht="14">
      <c r="C390" s="12"/>
      <c r="D390" s="9"/>
      <c r="E390" s="9"/>
    </row>
    <row r="391" spans="3:5" ht="14">
      <c r="C391" s="12"/>
      <c r="D391" s="9"/>
      <c r="E391" s="9"/>
    </row>
    <row r="392" spans="3:5" ht="14">
      <c r="C392" s="12"/>
      <c r="D392" s="9"/>
      <c r="E392" s="9"/>
    </row>
    <row r="393" spans="3:5" ht="14">
      <c r="C393" s="12"/>
      <c r="D393" s="9"/>
      <c r="E393" s="9"/>
    </row>
    <row r="394" spans="3:5" ht="14">
      <c r="C394" s="12"/>
      <c r="D394" s="9"/>
      <c r="E394" s="9"/>
    </row>
    <row r="395" spans="3:5" ht="14">
      <c r="C395" s="12"/>
      <c r="D395" s="9"/>
      <c r="E395" s="9"/>
    </row>
    <row r="396" spans="3:5" ht="14">
      <c r="C396" s="12"/>
      <c r="D396" s="9"/>
      <c r="E396" s="9"/>
    </row>
    <row r="397" spans="3:5" ht="14">
      <c r="C397" s="12"/>
      <c r="D397" s="9"/>
      <c r="E397" s="9"/>
    </row>
    <row r="398" spans="3:5" ht="14">
      <c r="C398" s="12"/>
      <c r="D398" s="9"/>
      <c r="E398" s="9"/>
    </row>
    <row r="399" spans="3:5" ht="14">
      <c r="C399" s="12"/>
      <c r="D399" s="9"/>
      <c r="E399" s="9"/>
    </row>
    <row r="400" spans="3:5" ht="14">
      <c r="C400" s="12"/>
      <c r="D400" s="9"/>
      <c r="E400" s="9"/>
    </row>
    <row r="401" spans="3:5" ht="14">
      <c r="C401" s="12"/>
      <c r="D401" s="9"/>
      <c r="E401" s="9"/>
    </row>
    <row r="402" spans="3:5" ht="14">
      <c r="C402" s="12"/>
      <c r="D402" s="9"/>
      <c r="E402" s="9"/>
    </row>
    <row r="403" spans="3:5" ht="14">
      <c r="C403" s="12"/>
      <c r="D403" s="9"/>
      <c r="E403" s="9"/>
    </row>
    <row r="404" spans="3:5" ht="14">
      <c r="C404" s="12"/>
      <c r="D404" s="9"/>
      <c r="E404" s="9"/>
    </row>
    <row r="405" spans="3:5" ht="14">
      <c r="C405" s="12"/>
      <c r="D405" s="9"/>
      <c r="E405" s="9"/>
    </row>
    <row r="406" spans="3:5" ht="14">
      <c r="C406" s="12"/>
      <c r="D406" s="9"/>
      <c r="E406" s="9"/>
    </row>
    <row r="407" spans="3:5" ht="14">
      <c r="C407" s="12"/>
      <c r="D407" s="9"/>
      <c r="E407" s="9"/>
    </row>
    <row r="408" spans="3:5" ht="14">
      <c r="C408" s="12"/>
      <c r="D408" s="9"/>
      <c r="E408" s="9"/>
    </row>
    <row r="409" spans="3:5" ht="14">
      <c r="C409" s="12"/>
      <c r="D409" s="9"/>
      <c r="E409" s="9"/>
    </row>
    <row r="410" spans="3:5" ht="14">
      <c r="C410" s="12"/>
      <c r="D410" s="9"/>
      <c r="E410" s="9"/>
    </row>
    <row r="411" spans="3:5" ht="14">
      <c r="C411" s="12"/>
      <c r="D411" s="9"/>
      <c r="E411" s="9"/>
    </row>
    <row r="412" spans="3:5" ht="14">
      <c r="C412" s="12"/>
      <c r="D412" s="9"/>
      <c r="E412" s="9"/>
    </row>
    <row r="413" spans="3:5" ht="14">
      <c r="C413" s="12"/>
      <c r="D413" s="9"/>
      <c r="E413" s="9"/>
    </row>
    <row r="414" spans="3:5" ht="14">
      <c r="C414" s="12"/>
      <c r="D414" s="9"/>
      <c r="E414" s="9"/>
    </row>
    <row r="415" spans="3:5" ht="14">
      <c r="C415" s="12"/>
      <c r="D415" s="9"/>
      <c r="E415" s="9"/>
    </row>
    <row r="416" spans="3:5" ht="14">
      <c r="C416" s="12"/>
      <c r="D416" s="9"/>
      <c r="E416" s="9"/>
    </row>
    <row r="417" spans="3:5" ht="14">
      <c r="C417" s="12"/>
      <c r="D417" s="9"/>
      <c r="E417" s="9"/>
    </row>
    <row r="418" spans="3:5" ht="14">
      <c r="C418" s="12"/>
      <c r="D418" s="9"/>
      <c r="E418" s="9"/>
    </row>
    <row r="419" spans="3:5" ht="14">
      <c r="C419" s="12"/>
      <c r="D419" s="9"/>
      <c r="E419" s="9"/>
    </row>
    <row r="420" spans="3:5" ht="14">
      <c r="C420" s="12"/>
      <c r="D420" s="9"/>
      <c r="E420" s="9"/>
    </row>
    <row r="421" spans="3:5" ht="14">
      <c r="C421" s="12"/>
      <c r="D421" s="9"/>
      <c r="E421" s="9"/>
    </row>
    <row r="422" spans="3:5" ht="14">
      <c r="C422" s="12"/>
      <c r="D422" s="9"/>
      <c r="E422" s="9"/>
    </row>
    <row r="423" spans="3:5" ht="14">
      <c r="C423" s="12"/>
      <c r="D423" s="9"/>
      <c r="E423" s="9"/>
    </row>
    <row r="424" spans="3:5" ht="14">
      <c r="C424" s="12"/>
      <c r="D424" s="9"/>
      <c r="E424" s="9"/>
    </row>
    <row r="425" spans="3:5" ht="14">
      <c r="C425" s="12"/>
      <c r="D425" s="9"/>
      <c r="E425" s="9"/>
    </row>
    <row r="426" spans="3:5" ht="14">
      <c r="C426" s="12"/>
      <c r="D426" s="9"/>
      <c r="E426" s="9"/>
    </row>
    <row r="427" spans="3:5" ht="14">
      <c r="C427" s="12"/>
      <c r="D427" s="9"/>
      <c r="E427" s="9"/>
    </row>
    <row r="428" spans="3:5" ht="14">
      <c r="C428" s="12"/>
      <c r="D428" s="9"/>
      <c r="E428" s="9"/>
    </row>
    <row r="429" spans="3:5" ht="14">
      <c r="C429" s="12"/>
      <c r="D429" s="9"/>
      <c r="E429" s="9"/>
    </row>
    <row r="430" spans="3:5" ht="14">
      <c r="C430" s="12"/>
      <c r="D430" s="9"/>
      <c r="E430" s="9"/>
    </row>
    <row r="431" spans="3:5" ht="14">
      <c r="C431" s="12"/>
      <c r="D431" s="9"/>
      <c r="E431" s="9"/>
    </row>
    <row r="432" spans="3:5" ht="14">
      <c r="C432" s="12"/>
      <c r="D432" s="9"/>
      <c r="E432" s="9"/>
    </row>
    <row r="433" spans="3:5" ht="14">
      <c r="C433" s="12"/>
      <c r="D433" s="9"/>
      <c r="E433" s="9"/>
    </row>
    <row r="434" spans="3:5" ht="14">
      <c r="C434" s="12"/>
      <c r="D434" s="9"/>
      <c r="E434" s="9"/>
    </row>
    <row r="435" spans="3:5" ht="14">
      <c r="C435" s="12"/>
      <c r="D435" s="9"/>
      <c r="E435" s="9"/>
    </row>
    <row r="436" spans="3:5" ht="14">
      <c r="C436" s="12"/>
      <c r="D436" s="9"/>
      <c r="E436" s="9"/>
    </row>
    <row r="437" spans="3:5" ht="14">
      <c r="C437" s="12"/>
      <c r="D437" s="9"/>
      <c r="E437" s="9"/>
    </row>
    <row r="438" spans="3:5" ht="14">
      <c r="C438" s="12"/>
      <c r="D438" s="9"/>
      <c r="E438" s="9"/>
    </row>
    <row r="439" spans="3:5" ht="14">
      <c r="C439" s="12"/>
      <c r="D439" s="9"/>
      <c r="E439" s="9"/>
    </row>
    <row r="440" spans="3:5" ht="14">
      <c r="C440" s="12"/>
      <c r="D440" s="9"/>
      <c r="E440" s="9"/>
    </row>
    <row r="441" spans="3:5" ht="14">
      <c r="C441" s="12"/>
      <c r="D441" s="9"/>
      <c r="E441" s="9"/>
    </row>
    <row r="442" spans="3:5" ht="14">
      <c r="C442" s="12"/>
      <c r="D442" s="9"/>
      <c r="E442" s="9"/>
    </row>
    <row r="443" spans="3:5" ht="14">
      <c r="C443" s="12"/>
      <c r="D443" s="9"/>
      <c r="E443" s="9"/>
    </row>
    <row r="444" spans="3:5" ht="14">
      <c r="C444" s="12"/>
      <c r="D444" s="9"/>
      <c r="E444" s="9"/>
    </row>
    <row r="445" spans="3:5" ht="14">
      <c r="C445" s="12"/>
      <c r="D445" s="9"/>
      <c r="E445" s="9"/>
    </row>
    <row r="446" spans="3:5" ht="14">
      <c r="C446" s="12"/>
      <c r="D446" s="9"/>
      <c r="E446" s="9"/>
    </row>
    <row r="447" spans="3:5" ht="14">
      <c r="C447" s="12"/>
      <c r="D447" s="9"/>
      <c r="E447" s="9"/>
    </row>
    <row r="448" spans="3:5" ht="14">
      <c r="C448" s="12"/>
      <c r="D448" s="9"/>
      <c r="E448" s="9"/>
    </row>
    <row r="449" spans="3:5" ht="14">
      <c r="C449" s="12"/>
      <c r="D449" s="9"/>
      <c r="E449" s="9"/>
    </row>
    <row r="450" spans="3:5" ht="14">
      <c r="C450" s="12"/>
      <c r="D450" s="9"/>
      <c r="E450" s="9"/>
    </row>
    <row r="451" spans="3:5" ht="14">
      <c r="C451" s="12"/>
      <c r="D451" s="9"/>
      <c r="E451" s="9"/>
    </row>
    <row r="452" spans="3:5" ht="14">
      <c r="C452" s="12"/>
      <c r="D452" s="9"/>
      <c r="E452" s="9"/>
    </row>
    <row r="453" spans="3:5" ht="14">
      <c r="C453" s="12"/>
      <c r="D453" s="9"/>
      <c r="E453" s="9"/>
    </row>
    <row r="454" spans="3:5" ht="14">
      <c r="C454" s="12"/>
      <c r="D454" s="9"/>
      <c r="E454" s="9"/>
    </row>
    <row r="455" spans="3:5" ht="14">
      <c r="C455" s="12"/>
      <c r="D455" s="9"/>
      <c r="E455" s="9"/>
    </row>
    <row r="456" spans="3:5" ht="14">
      <c r="C456" s="12"/>
      <c r="D456" s="9"/>
      <c r="E456" s="9"/>
    </row>
    <row r="457" spans="3:5" ht="14">
      <c r="C457" s="12"/>
      <c r="D457" s="9"/>
      <c r="E457" s="9"/>
    </row>
    <row r="458" spans="3:5" ht="14">
      <c r="C458" s="12"/>
      <c r="D458" s="9"/>
      <c r="E458" s="9"/>
    </row>
    <row r="459" spans="3:5" ht="14">
      <c r="C459" s="12"/>
      <c r="D459" s="9"/>
      <c r="E459" s="9"/>
    </row>
    <row r="460" spans="3:5" ht="14">
      <c r="C460" s="12"/>
      <c r="D460" s="9"/>
      <c r="E460" s="9"/>
    </row>
    <row r="461" spans="3:5" ht="14">
      <c r="C461" s="12"/>
      <c r="D461" s="9"/>
      <c r="E461" s="9"/>
    </row>
    <row r="462" spans="3:5" ht="14">
      <c r="C462" s="12"/>
      <c r="D462" s="9"/>
      <c r="E462" s="9"/>
    </row>
    <row r="463" spans="3:5" ht="14">
      <c r="C463" s="12"/>
      <c r="D463" s="9"/>
      <c r="E463" s="9"/>
    </row>
    <row r="464" spans="3:5" ht="14">
      <c r="C464" s="12"/>
      <c r="D464" s="9"/>
      <c r="E464" s="9"/>
    </row>
    <row r="465" spans="3:5" ht="14">
      <c r="C465" s="12"/>
      <c r="D465" s="9"/>
      <c r="E465" s="9"/>
    </row>
    <row r="466" spans="3:5" ht="14">
      <c r="C466" s="12"/>
      <c r="D466" s="9"/>
      <c r="E466" s="9"/>
    </row>
    <row r="467" spans="3:5" ht="14">
      <c r="C467" s="12"/>
      <c r="D467" s="9"/>
      <c r="E467" s="9"/>
    </row>
    <row r="468" spans="3:5" ht="14">
      <c r="C468" s="12"/>
      <c r="D468" s="9"/>
      <c r="E468" s="9"/>
    </row>
    <row r="469" spans="3:5" ht="14">
      <c r="C469" s="12"/>
      <c r="D469" s="9"/>
      <c r="E469" s="9"/>
    </row>
    <row r="470" spans="3:5" ht="14">
      <c r="C470" s="12"/>
      <c r="D470" s="9"/>
      <c r="E470" s="9"/>
    </row>
    <row r="471" spans="3:5" ht="14">
      <c r="C471" s="12"/>
      <c r="D471" s="9"/>
      <c r="E471" s="9"/>
    </row>
    <row r="472" spans="3:5" ht="14">
      <c r="C472" s="12"/>
      <c r="D472" s="9"/>
      <c r="E472" s="9"/>
    </row>
    <row r="473" spans="3:5" ht="14">
      <c r="C473" s="12"/>
      <c r="D473" s="9"/>
      <c r="E473" s="9"/>
    </row>
    <row r="474" spans="3:5" ht="14">
      <c r="C474" s="12"/>
      <c r="D474" s="9"/>
      <c r="E474" s="9"/>
    </row>
    <row r="475" spans="3:5" ht="14">
      <c r="C475" s="12"/>
      <c r="D475" s="9"/>
      <c r="E475" s="9"/>
    </row>
    <row r="476" spans="3:5" ht="14">
      <c r="C476" s="12"/>
      <c r="D476" s="9"/>
      <c r="E476" s="9"/>
    </row>
    <row r="477" spans="3:5" ht="14">
      <c r="C477" s="12"/>
      <c r="D477" s="9"/>
      <c r="E477" s="9"/>
    </row>
    <row r="478" spans="3:5" ht="14">
      <c r="C478" s="12"/>
      <c r="D478" s="9"/>
      <c r="E478" s="9"/>
    </row>
    <row r="479" spans="3:5" ht="14">
      <c r="C479" s="12"/>
      <c r="D479" s="9"/>
      <c r="E479" s="9"/>
    </row>
    <row r="480" spans="3:5" ht="14">
      <c r="C480" s="12"/>
      <c r="D480" s="9"/>
      <c r="E480" s="9"/>
    </row>
    <row r="481" spans="3:5" ht="14">
      <c r="C481" s="12"/>
      <c r="D481" s="9"/>
      <c r="E481" s="9"/>
    </row>
    <row r="482" spans="3:5" ht="14">
      <c r="C482" s="12"/>
      <c r="D482" s="9"/>
      <c r="E482" s="9"/>
    </row>
    <row r="483" spans="3:5" ht="14">
      <c r="C483" s="12"/>
      <c r="D483" s="9"/>
      <c r="E483" s="9"/>
    </row>
    <row r="484" spans="3:5" ht="14">
      <c r="C484" s="12"/>
      <c r="D484" s="9"/>
      <c r="E484" s="9"/>
    </row>
    <row r="485" spans="3:5" ht="14">
      <c r="C485" s="12"/>
      <c r="D485" s="9"/>
      <c r="E485" s="9"/>
    </row>
    <row r="486" spans="3:5" ht="14">
      <c r="C486" s="12"/>
      <c r="D486" s="9"/>
      <c r="E486" s="9"/>
    </row>
    <row r="487" spans="3:5" ht="14">
      <c r="C487" s="12"/>
      <c r="D487" s="9"/>
      <c r="E487" s="9"/>
    </row>
    <row r="488" spans="3:5" ht="14">
      <c r="C488" s="12"/>
      <c r="D488" s="9"/>
      <c r="E488" s="9"/>
    </row>
    <row r="489" spans="3:5" ht="14">
      <c r="C489" s="12"/>
      <c r="D489" s="9"/>
      <c r="E489" s="9"/>
    </row>
    <row r="490" spans="3:5" ht="14">
      <c r="C490" s="12"/>
      <c r="D490" s="9"/>
      <c r="E490" s="9"/>
    </row>
    <row r="491" spans="3:5" ht="14">
      <c r="C491" s="12"/>
      <c r="D491" s="9"/>
      <c r="E491" s="9"/>
    </row>
    <row r="492" spans="3:5" ht="14">
      <c r="C492" s="12"/>
      <c r="D492" s="9"/>
      <c r="E492" s="9"/>
    </row>
    <row r="493" spans="3:5" ht="14">
      <c r="C493" s="12"/>
      <c r="D493" s="9"/>
      <c r="E493" s="9"/>
    </row>
    <row r="494" spans="3:5" ht="14">
      <c r="C494" s="12"/>
      <c r="D494" s="9"/>
      <c r="E494" s="9"/>
    </row>
    <row r="495" spans="3:5" ht="14">
      <c r="C495" s="12"/>
      <c r="D495" s="9"/>
      <c r="E495" s="9"/>
    </row>
    <row r="496" spans="3:5" ht="14">
      <c r="C496" s="12"/>
      <c r="D496" s="9"/>
      <c r="E496" s="9"/>
    </row>
    <row r="497" spans="3:5" ht="14">
      <c r="C497" s="12"/>
      <c r="D497" s="9"/>
      <c r="E497" s="9"/>
    </row>
    <row r="498" spans="3:5" ht="14">
      <c r="C498" s="12"/>
      <c r="D498" s="9"/>
      <c r="E498" s="9"/>
    </row>
    <row r="499" spans="3:5" ht="14">
      <c r="C499" s="12"/>
      <c r="D499" s="9"/>
      <c r="E499" s="9"/>
    </row>
    <row r="500" spans="3:5" ht="14">
      <c r="C500" s="12"/>
      <c r="D500" s="9"/>
      <c r="E500" s="9"/>
    </row>
    <row r="501" spans="3:5" ht="14">
      <c r="C501" s="12"/>
      <c r="D501" s="9"/>
      <c r="E501" s="9"/>
    </row>
    <row r="502" spans="3:5" ht="14">
      <c r="C502" s="12"/>
      <c r="D502" s="9"/>
      <c r="E502" s="9"/>
    </row>
    <row r="503" spans="3:5" ht="14">
      <c r="C503" s="12"/>
      <c r="D503" s="9"/>
      <c r="E503" s="9"/>
    </row>
    <row r="504" spans="3:5" ht="14">
      <c r="C504" s="12"/>
      <c r="D504" s="9"/>
      <c r="E504" s="9"/>
    </row>
    <row r="505" spans="3:5" ht="14">
      <c r="C505" s="12"/>
      <c r="D505" s="9"/>
      <c r="E505" s="9"/>
    </row>
    <row r="506" spans="3:5" ht="14">
      <c r="C506" s="12"/>
      <c r="D506" s="9"/>
      <c r="E506" s="9"/>
    </row>
    <row r="507" spans="3:5" ht="14">
      <c r="C507" s="12"/>
      <c r="D507" s="9"/>
      <c r="E507" s="9"/>
    </row>
    <row r="508" spans="3:5" ht="14">
      <c r="C508" s="12"/>
      <c r="D508" s="9"/>
      <c r="E508" s="9"/>
    </row>
    <row r="509" spans="3:5" ht="14">
      <c r="C509" s="12"/>
      <c r="D509" s="9"/>
      <c r="E509" s="9"/>
    </row>
    <row r="510" spans="3:5" ht="14">
      <c r="C510" s="12"/>
      <c r="D510" s="9"/>
      <c r="E510" s="9"/>
    </row>
    <row r="511" spans="3:5" ht="14">
      <c r="C511" s="12"/>
      <c r="D511" s="9"/>
      <c r="E511" s="9"/>
    </row>
    <row r="512" spans="3:5" ht="14">
      <c r="C512" s="12"/>
      <c r="D512" s="9"/>
      <c r="E512" s="9"/>
    </row>
    <row r="513" spans="3:5" ht="14">
      <c r="C513" s="12"/>
      <c r="D513" s="9"/>
      <c r="E513" s="9"/>
    </row>
    <row r="514" spans="3:5" ht="14">
      <c r="C514" s="12"/>
      <c r="D514" s="9"/>
      <c r="E514" s="9"/>
    </row>
    <row r="515" spans="3:5" ht="14">
      <c r="C515" s="12"/>
      <c r="D515" s="9"/>
      <c r="E515" s="9"/>
    </row>
    <row r="516" spans="3:5" ht="14">
      <c r="C516" s="12"/>
      <c r="D516" s="9"/>
      <c r="E516" s="9"/>
    </row>
    <row r="517" spans="3:5" ht="14">
      <c r="C517" s="12"/>
      <c r="D517" s="9"/>
      <c r="E517" s="9"/>
    </row>
    <row r="518" spans="3:5" ht="14">
      <c r="C518" s="12"/>
      <c r="D518" s="9"/>
      <c r="E518" s="9"/>
    </row>
    <row r="519" spans="3:5" ht="14">
      <c r="C519" s="12"/>
      <c r="D519" s="9"/>
      <c r="E519" s="9"/>
    </row>
    <row r="520" spans="3:5" ht="14">
      <c r="C520" s="12"/>
      <c r="D520" s="9"/>
      <c r="E520" s="9"/>
    </row>
    <row r="521" spans="3:5" ht="14">
      <c r="C521" s="12"/>
      <c r="D521" s="9"/>
      <c r="E521" s="9"/>
    </row>
    <row r="522" spans="3:5" ht="14">
      <c r="C522" s="12"/>
      <c r="D522" s="9"/>
      <c r="E522" s="9"/>
    </row>
    <row r="523" spans="3:5" ht="14">
      <c r="C523" s="12"/>
      <c r="D523" s="9"/>
      <c r="E523" s="9"/>
    </row>
    <row r="524" spans="3:5" ht="14">
      <c r="C524" s="12"/>
      <c r="D524" s="9"/>
      <c r="E524" s="9"/>
    </row>
    <row r="525" spans="3:5" ht="14">
      <c r="C525" s="12"/>
      <c r="D525" s="9"/>
      <c r="E525" s="9"/>
    </row>
    <row r="526" spans="3:5" ht="14">
      <c r="C526" s="12"/>
      <c r="D526" s="9"/>
      <c r="E526" s="9"/>
    </row>
    <row r="527" spans="3:5" ht="14">
      <c r="C527" s="12"/>
      <c r="D527" s="9"/>
      <c r="E527" s="9"/>
    </row>
    <row r="528" spans="3:5" ht="14">
      <c r="C528" s="12"/>
      <c r="D528" s="9"/>
      <c r="E528" s="9"/>
    </row>
    <row r="529" spans="3:5" ht="14">
      <c r="C529" s="12"/>
      <c r="D529" s="9"/>
      <c r="E529" s="9"/>
    </row>
    <row r="530" spans="3:5" ht="14">
      <c r="C530" s="12"/>
      <c r="D530" s="9"/>
      <c r="E530" s="9"/>
    </row>
    <row r="531" spans="3:5" ht="14">
      <c r="C531" s="12"/>
      <c r="D531" s="9"/>
      <c r="E531" s="9"/>
    </row>
    <row r="532" spans="3:5" ht="14">
      <c r="C532" s="12"/>
      <c r="D532" s="9"/>
      <c r="E532" s="9"/>
    </row>
    <row r="533" spans="3:5" ht="14">
      <c r="C533" s="12"/>
      <c r="D533" s="9"/>
      <c r="E533" s="9"/>
    </row>
    <row r="534" spans="3:5" ht="14">
      <c r="C534" s="12"/>
      <c r="D534" s="9"/>
      <c r="E534" s="9"/>
    </row>
    <row r="535" spans="3:5" ht="14">
      <c r="C535" s="12"/>
      <c r="D535" s="9"/>
      <c r="E535" s="9"/>
    </row>
    <row r="536" spans="3:5" ht="14">
      <c r="C536" s="12"/>
      <c r="D536" s="9"/>
      <c r="E536" s="9"/>
    </row>
    <row r="537" spans="3:5" ht="14">
      <c r="C537" s="12"/>
      <c r="D537" s="9"/>
      <c r="E537" s="9"/>
    </row>
    <row r="538" spans="3:5" ht="14">
      <c r="C538" s="12"/>
      <c r="D538" s="9"/>
      <c r="E538" s="9"/>
    </row>
    <row r="539" spans="3:5" ht="14">
      <c r="C539" s="12"/>
      <c r="D539" s="9"/>
      <c r="E539" s="9"/>
    </row>
    <row r="540" spans="3:5" ht="14">
      <c r="C540" s="12"/>
      <c r="D540" s="9"/>
      <c r="E540" s="9"/>
    </row>
    <row r="541" spans="3:5" ht="14">
      <c r="C541" s="12"/>
      <c r="D541" s="9"/>
      <c r="E541" s="9"/>
    </row>
    <row r="542" spans="3:5" ht="14">
      <c r="C542" s="12"/>
      <c r="D542" s="9"/>
      <c r="E542" s="9"/>
    </row>
    <row r="543" spans="3:5" ht="14">
      <c r="C543" s="12"/>
      <c r="D543" s="9"/>
      <c r="E543" s="9"/>
    </row>
    <row r="544" spans="3:5" ht="14">
      <c r="C544" s="12"/>
      <c r="D544" s="9"/>
      <c r="E544" s="9"/>
    </row>
    <row r="545" spans="3:5" ht="14">
      <c r="C545" s="12"/>
      <c r="D545" s="9"/>
      <c r="E545" s="9"/>
    </row>
    <row r="546" spans="3:5" ht="14">
      <c r="C546" s="12"/>
      <c r="D546" s="9"/>
      <c r="E546" s="9"/>
    </row>
    <row r="547" spans="3:5" ht="14">
      <c r="C547" s="12"/>
      <c r="D547" s="9"/>
      <c r="E547" s="9"/>
    </row>
    <row r="548" spans="3:5" ht="14">
      <c r="C548" s="12"/>
      <c r="D548" s="9"/>
      <c r="E548" s="9"/>
    </row>
    <row r="549" spans="3:5" ht="14">
      <c r="C549" s="12"/>
      <c r="D549" s="9"/>
      <c r="E549" s="9"/>
    </row>
    <row r="550" spans="3:5" ht="14">
      <c r="C550" s="12"/>
      <c r="D550" s="9"/>
      <c r="E550" s="9"/>
    </row>
    <row r="551" spans="3:5" ht="14">
      <c r="C551" s="12"/>
      <c r="D551" s="9"/>
      <c r="E551" s="9"/>
    </row>
    <row r="552" spans="3:5" ht="14">
      <c r="C552" s="12"/>
      <c r="D552" s="9"/>
      <c r="E552" s="9"/>
    </row>
    <row r="553" spans="3:5" ht="14">
      <c r="C553" s="12"/>
      <c r="D553" s="9"/>
      <c r="E553" s="9"/>
    </row>
    <row r="554" spans="3:5" ht="14">
      <c r="C554" s="12"/>
      <c r="D554" s="9"/>
      <c r="E554" s="9"/>
    </row>
    <row r="555" spans="3:5" ht="14">
      <c r="C555" s="12"/>
      <c r="D555" s="9"/>
      <c r="E555" s="9"/>
    </row>
    <row r="556" spans="3:5" ht="14">
      <c r="C556" s="12"/>
      <c r="D556" s="9"/>
      <c r="E556" s="9"/>
    </row>
    <row r="557" spans="3:5" ht="14">
      <c r="C557" s="12"/>
      <c r="D557" s="9"/>
      <c r="E557" s="9"/>
    </row>
    <row r="558" spans="3:5" ht="14">
      <c r="C558" s="12"/>
      <c r="D558" s="9"/>
      <c r="E558" s="9"/>
    </row>
    <row r="559" spans="3:5" ht="14">
      <c r="C559" s="12"/>
      <c r="D559" s="9"/>
      <c r="E559" s="9"/>
    </row>
    <row r="560" spans="3:5" ht="14">
      <c r="C560" s="12"/>
      <c r="D560" s="9"/>
      <c r="E560" s="9"/>
    </row>
    <row r="561" spans="3:5" ht="14">
      <c r="C561" s="12"/>
      <c r="D561" s="9"/>
      <c r="E561" s="9"/>
    </row>
    <row r="562" spans="3:5" ht="14">
      <c r="C562" s="12"/>
      <c r="D562" s="9"/>
      <c r="E562" s="9"/>
    </row>
    <row r="563" spans="3:5" ht="14">
      <c r="C563" s="12"/>
      <c r="D563" s="9"/>
      <c r="E563" s="9"/>
    </row>
    <row r="564" spans="3:5" ht="14">
      <c r="C564" s="12"/>
      <c r="D564" s="9"/>
      <c r="E564" s="9"/>
    </row>
    <row r="565" spans="3:5" ht="14">
      <c r="C565" s="12"/>
      <c r="D565" s="9"/>
      <c r="E565" s="9"/>
    </row>
    <row r="566" spans="3:5" ht="14">
      <c r="C566" s="12"/>
      <c r="D566" s="9"/>
      <c r="E566" s="9"/>
    </row>
    <row r="567" spans="3:5" ht="14">
      <c r="C567" s="12"/>
      <c r="D567" s="9"/>
      <c r="E567" s="9"/>
    </row>
    <row r="568" spans="3:5" ht="14">
      <c r="C568" s="12"/>
      <c r="D568" s="9"/>
      <c r="E568" s="9"/>
    </row>
    <row r="569" spans="3:5" ht="14">
      <c r="C569" s="12"/>
      <c r="D569" s="9"/>
      <c r="E569" s="9"/>
    </row>
    <row r="570" spans="3:5" ht="14">
      <c r="C570" s="12"/>
      <c r="D570" s="9"/>
      <c r="E570" s="9"/>
    </row>
    <row r="571" spans="3:5" ht="14">
      <c r="C571" s="12"/>
      <c r="D571" s="9"/>
      <c r="E571" s="9"/>
    </row>
    <row r="572" spans="3:5" ht="14">
      <c r="C572" s="12"/>
      <c r="D572" s="9"/>
      <c r="E572" s="9"/>
    </row>
    <row r="573" spans="3:5" ht="14">
      <c r="C573" s="12"/>
      <c r="D573" s="9"/>
      <c r="E573" s="9"/>
    </row>
    <row r="574" spans="3:5" ht="14">
      <c r="C574" s="12"/>
      <c r="D574" s="9"/>
      <c r="E574" s="9"/>
    </row>
    <row r="575" spans="3:5" ht="14">
      <c r="C575" s="12"/>
      <c r="D575" s="9"/>
      <c r="E575" s="9"/>
    </row>
    <row r="576" spans="3:5" ht="14">
      <c r="C576" s="12"/>
      <c r="D576" s="9"/>
      <c r="E576" s="9"/>
    </row>
    <row r="577" spans="3:5" ht="14">
      <c r="C577" s="12"/>
      <c r="D577" s="9"/>
      <c r="E577" s="9"/>
    </row>
    <row r="578" spans="3:5" ht="14">
      <c r="C578" s="12"/>
      <c r="D578" s="9"/>
      <c r="E578" s="9"/>
    </row>
    <row r="579" spans="3:5" ht="14">
      <c r="C579" s="12"/>
      <c r="D579" s="9"/>
      <c r="E579" s="9"/>
    </row>
    <row r="580" spans="3:5" ht="14">
      <c r="C580" s="12"/>
      <c r="D580" s="9"/>
      <c r="E580" s="9"/>
    </row>
    <row r="581" spans="3:5" ht="14">
      <c r="C581" s="12"/>
      <c r="D581" s="9"/>
      <c r="E581" s="9"/>
    </row>
    <row r="582" spans="3:5" ht="14">
      <c r="C582" s="12"/>
      <c r="D582" s="9"/>
      <c r="E582" s="9"/>
    </row>
    <row r="583" spans="3:5" ht="14">
      <c r="C583" s="12"/>
      <c r="D583" s="9"/>
      <c r="E583" s="9"/>
    </row>
    <row r="584" spans="3:5" ht="14">
      <c r="C584" s="12"/>
      <c r="D584" s="9"/>
      <c r="E584" s="9"/>
    </row>
    <row r="585" spans="3:5" ht="14">
      <c r="C585" s="12"/>
      <c r="D585" s="9"/>
      <c r="E585" s="9"/>
    </row>
    <row r="586" spans="3:5" ht="14">
      <c r="C586" s="12"/>
      <c r="D586" s="9"/>
      <c r="E586" s="9"/>
    </row>
    <row r="587" spans="3:5" ht="14">
      <c r="C587" s="12"/>
      <c r="D587" s="9"/>
      <c r="E587" s="9"/>
    </row>
    <row r="588" spans="3:5" ht="14">
      <c r="C588" s="12"/>
      <c r="D588" s="9"/>
      <c r="E588" s="9"/>
    </row>
    <row r="589" spans="3:5" ht="14">
      <c r="C589" s="12"/>
      <c r="D589" s="9"/>
      <c r="E589" s="9"/>
    </row>
    <row r="590" spans="3:5" ht="14">
      <c r="C590" s="12"/>
      <c r="D590" s="9"/>
      <c r="E590" s="9"/>
    </row>
    <row r="591" spans="3:5" ht="14">
      <c r="C591" s="12"/>
      <c r="D591" s="9"/>
      <c r="E591" s="9"/>
    </row>
    <row r="592" spans="3:5" ht="14">
      <c r="C592" s="12"/>
      <c r="D592" s="9"/>
      <c r="E592" s="9"/>
    </row>
    <row r="593" spans="3:5" ht="14">
      <c r="C593" s="12"/>
      <c r="D593" s="9"/>
      <c r="E593" s="9"/>
    </row>
    <row r="594" spans="3:5" ht="14">
      <c r="C594" s="12"/>
      <c r="D594" s="9"/>
      <c r="E594" s="9"/>
    </row>
    <row r="595" spans="3:5" ht="14">
      <c r="C595" s="12"/>
      <c r="D595" s="9"/>
      <c r="E595" s="9"/>
    </row>
    <row r="596" spans="3:5" ht="14">
      <c r="C596" s="12"/>
      <c r="D596" s="9"/>
      <c r="E596" s="9"/>
    </row>
    <row r="597" spans="3:5" ht="14">
      <c r="C597" s="12"/>
      <c r="D597" s="9"/>
      <c r="E597" s="9"/>
    </row>
    <row r="598" spans="3:5" ht="14">
      <c r="C598" s="12"/>
      <c r="D598" s="9"/>
      <c r="E598" s="9"/>
    </row>
    <row r="599" spans="3:5" ht="14">
      <c r="C599" s="12"/>
      <c r="D599" s="9"/>
      <c r="E599" s="9"/>
    </row>
    <row r="600" spans="3:5" ht="14">
      <c r="C600" s="12"/>
      <c r="D600" s="9"/>
      <c r="E600" s="9"/>
    </row>
    <row r="601" spans="3:5" ht="14">
      <c r="C601" s="12"/>
      <c r="D601" s="9"/>
      <c r="E601" s="9"/>
    </row>
    <row r="602" spans="3:5" ht="14">
      <c r="C602" s="12"/>
      <c r="D602" s="9"/>
      <c r="E602" s="9"/>
    </row>
    <row r="603" spans="3:5" ht="14">
      <c r="C603" s="12"/>
      <c r="D603" s="9"/>
      <c r="E603" s="9"/>
    </row>
    <row r="604" spans="3:5" ht="14">
      <c r="C604" s="12"/>
      <c r="D604" s="9"/>
      <c r="E604" s="9"/>
    </row>
    <row r="605" spans="3:5" ht="14">
      <c r="C605" s="12"/>
      <c r="D605" s="9"/>
      <c r="E605" s="9"/>
    </row>
    <row r="606" spans="3:5" ht="14">
      <c r="C606" s="12"/>
      <c r="D606" s="9"/>
      <c r="E606" s="9"/>
    </row>
    <row r="607" spans="3:5" ht="14">
      <c r="C607" s="12"/>
      <c r="D607" s="9"/>
      <c r="E607" s="9"/>
    </row>
    <row r="608" spans="3:5" ht="14">
      <c r="C608" s="12"/>
      <c r="D608" s="9"/>
      <c r="E608" s="9"/>
    </row>
    <row r="609" spans="3:5" ht="14">
      <c r="C609" s="12"/>
      <c r="D609" s="9"/>
      <c r="E609" s="9"/>
    </row>
    <row r="610" spans="3:5" ht="14">
      <c r="C610" s="12"/>
      <c r="D610" s="9"/>
      <c r="E610" s="9"/>
    </row>
    <row r="611" spans="3:5" ht="14">
      <c r="C611" s="12"/>
      <c r="D611" s="9"/>
      <c r="E611" s="9"/>
    </row>
    <row r="612" spans="3:5" ht="14">
      <c r="C612" s="12"/>
      <c r="D612" s="9"/>
      <c r="E612" s="9"/>
    </row>
    <row r="613" spans="3:5" ht="14">
      <c r="C613" s="12"/>
      <c r="D613" s="9"/>
      <c r="E613" s="9"/>
    </row>
    <row r="614" spans="3:5" ht="14">
      <c r="C614" s="12"/>
      <c r="D614" s="9"/>
      <c r="E614" s="9"/>
    </row>
    <row r="615" spans="3:5" ht="14">
      <c r="C615" s="12"/>
      <c r="D615" s="9"/>
      <c r="E615" s="9"/>
    </row>
    <row r="616" spans="3:5" ht="14">
      <c r="C616" s="12"/>
      <c r="D616" s="9"/>
      <c r="E616" s="9"/>
    </row>
    <row r="617" spans="3:5" ht="14">
      <c r="C617" s="12"/>
      <c r="D617" s="9"/>
      <c r="E617" s="9"/>
    </row>
    <row r="618" spans="3:5" ht="14">
      <c r="C618" s="12"/>
      <c r="D618" s="9"/>
      <c r="E618" s="9"/>
    </row>
    <row r="619" spans="3:5" ht="14">
      <c r="C619" s="12"/>
      <c r="D619" s="9"/>
      <c r="E619" s="9"/>
    </row>
    <row r="620" spans="3:5" ht="14">
      <c r="C620" s="12"/>
      <c r="D620" s="9"/>
      <c r="E620" s="9"/>
    </row>
    <row r="621" spans="3:5" ht="14">
      <c r="C621" s="12"/>
      <c r="D621" s="9"/>
      <c r="E621" s="9"/>
    </row>
    <row r="622" spans="3:5" ht="14">
      <c r="C622" s="12"/>
      <c r="D622" s="9"/>
      <c r="E622" s="9"/>
    </row>
    <row r="623" spans="3:5" ht="14">
      <c r="C623" s="12"/>
      <c r="D623" s="9"/>
      <c r="E623" s="9"/>
    </row>
    <row r="624" spans="3:5" ht="14">
      <c r="C624" s="12"/>
      <c r="D624" s="9"/>
      <c r="E624" s="9"/>
    </row>
    <row r="625" spans="3:5" ht="14">
      <c r="C625" s="12"/>
      <c r="D625" s="9"/>
      <c r="E625" s="9"/>
    </row>
    <row r="626" spans="3:5" ht="14">
      <c r="C626" s="12"/>
      <c r="D626" s="9"/>
      <c r="E626" s="9"/>
    </row>
    <row r="627" spans="3:5" ht="14">
      <c r="C627" s="12"/>
      <c r="D627" s="9"/>
      <c r="E627" s="9"/>
    </row>
    <row r="628" spans="3:5" ht="14">
      <c r="C628" s="12"/>
      <c r="D628" s="9"/>
      <c r="E628" s="9"/>
    </row>
    <row r="629" spans="3:5" ht="14">
      <c r="C629" s="12"/>
      <c r="D629" s="9"/>
      <c r="E629" s="9"/>
    </row>
    <row r="630" spans="3:5" ht="14">
      <c r="C630" s="12"/>
      <c r="D630" s="9"/>
      <c r="E630" s="9"/>
    </row>
    <row r="631" spans="3:5" ht="14">
      <c r="C631" s="12"/>
      <c r="D631" s="9"/>
      <c r="E631" s="9"/>
    </row>
    <row r="632" spans="3:5" ht="14">
      <c r="C632" s="12"/>
      <c r="D632" s="9"/>
      <c r="E632" s="9"/>
    </row>
    <row r="633" spans="3:5" ht="14">
      <c r="C633" s="12"/>
      <c r="D633" s="9"/>
      <c r="E633" s="9"/>
    </row>
    <row r="634" spans="3:5" ht="14">
      <c r="C634" s="12"/>
      <c r="D634" s="9"/>
      <c r="E634" s="9"/>
    </row>
    <row r="635" spans="3:5" ht="14">
      <c r="C635" s="12"/>
      <c r="D635" s="9"/>
      <c r="E635" s="9"/>
    </row>
    <row r="636" spans="3:5" ht="14">
      <c r="C636" s="12"/>
      <c r="D636" s="9"/>
      <c r="E636" s="9"/>
    </row>
    <row r="637" spans="3:5" ht="14">
      <c r="C637" s="12"/>
      <c r="D637" s="9"/>
      <c r="E637" s="9"/>
    </row>
    <row r="638" spans="3:5" ht="14">
      <c r="C638" s="12"/>
      <c r="D638" s="9"/>
      <c r="E638" s="9"/>
    </row>
    <row r="639" spans="3:5" ht="14">
      <c r="C639" s="12"/>
      <c r="D639" s="9"/>
      <c r="E639" s="9"/>
    </row>
    <row r="640" spans="3:5" ht="14">
      <c r="C640" s="12"/>
      <c r="D640" s="9"/>
      <c r="E640" s="9"/>
    </row>
    <row r="641" spans="3:5" ht="14">
      <c r="C641" s="12"/>
      <c r="D641" s="9"/>
      <c r="E641" s="9"/>
    </row>
    <row r="642" spans="3:5" ht="14">
      <c r="C642" s="12"/>
      <c r="D642" s="9"/>
      <c r="E642" s="9"/>
    </row>
    <row r="643" spans="3:5" ht="14">
      <c r="C643" s="12"/>
      <c r="D643" s="9"/>
      <c r="E643" s="9"/>
    </row>
    <row r="644" spans="3:5" ht="14">
      <c r="C644" s="12"/>
      <c r="D644" s="9"/>
      <c r="E644" s="9"/>
    </row>
    <row r="645" spans="3:5" ht="14">
      <c r="C645" s="12"/>
      <c r="D645" s="9"/>
      <c r="E645" s="9"/>
    </row>
    <row r="646" spans="3:5" ht="14">
      <c r="C646" s="12"/>
      <c r="D646" s="9"/>
      <c r="E646" s="9"/>
    </row>
    <row r="647" spans="3:5" ht="14">
      <c r="C647" s="12"/>
      <c r="D647" s="9"/>
      <c r="E647" s="9"/>
    </row>
    <row r="648" spans="3:5" ht="14">
      <c r="C648" s="12"/>
      <c r="D648" s="9"/>
      <c r="E648" s="9"/>
    </row>
    <row r="649" spans="3:5" ht="14">
      <c r="C649" s="12"/>
      <c r="D649" s="9"/>
      <c r="E649" s="9"/>
    </row>
    <row r="650" spans="3:5" ht="14">
      <c r="C650" s="12"/>
      <c r="D650" s="9"/>
      <c r="E650" s="9"/>
    </row>
    <row r="651" spans="3:5" ht="14">
      <c r="C651" s="12"/>
      <c r="D651" s="9"/>
      <c r="E651" s="9"/>
    </row>
    <row r="652" spans="3:5" ht="14">
      <c r="C652" s="12"/>
      <c r="D652" s="9"/>
      <c r="E652" s="9"/>
    </row>
    <row r="653" spans="3:5" ht="14">
      <c r="C653" s="12"/>
      <c r="D653" s="9"/>
      <c r="E653" s="9"/>
    </row>
    <row r="654" spans="3:5" ht="14">
      <c r="C654" s="12"/>
      <c r="D654" s="9"/>
      <c r="E654" s="9"/>
    </row>
    <row r="655" spans="3:5" ht="14">
      <c r="C655" s="12"/>
      <c r="D655" s="9"/>
      <c r="E655" s="9"/>
    </row>
    <row r="656" spans="3:5" ht="14">
      <c r="C656" s="12"/>
      <c r="D656" s="9"/>
      <c r="E656" s="9"/>
    </row>
    <row r="657" spans="3:5" ht="14">
      <c r="C657" s="12"/>
      <c r="D657" s="9"/>
      <c r="E657" s="9"/>
    </row>
    <row r="658" spans="3:5" ht="14">
      <c r="C658" s="12"/>
      <c r="D658" s="9"/>
      <c r="E658" s="9"/>
    </row>
    <row r="659" spans="3:5" ht="14">
      <c r="C659" s="12"/>
      <c r="D659" s="9"/>
      <c r="E659" s="9"/>
    </row>
    <row r="660" spans="3:5" ht="14">
      <c r="C660" s="12"/>
      <c r="D660" s="9"/>
      <c r="E660" s="9"/>
    </row>
    <row r="661" spans="3:5" ht="14">
      <c r="C661" s="12"/>
      <c r="D661" s="9"/>
      <c r="E661" s="9"/>
    </row>
    <row r="662" spans="3:5" ht="14">
      <c r="C662" s="12"/>
      <c r="D662" s="9"/>
      <c r="E662" s="9"/>
    </row>
    <row r="663" spans="3:5" ht="14">
      <c r="C663" s="12"/>
      <c r="D663" s="9"/>
      <c r="E663" s="9"/>
    </row>
    <row r="664" spans="3:5" ht="14">
      <c r="C664" s="12"/>
      <c r="D664" s="9"/>
      <c r="E664" s="9"/>
    </row>
    <row r="665" spans="3:5" ht="14">
      <c r="C665" s="12"/>
      <c r="D665" s="9"/>
      <c r="E665" s="9"/>
    </row>
    <row r="666" spans="3:5" ht="14">
      <c r="C666" s="12"/>
      <c r="D666" s="9"/>
      <c r="E666" s="9"/>
    </row>
    <row r="667" spans="3:5" ht="14">
      <c r="C667" s="12"/>
      <c r="D667" s="9"/>
      <c r="E667" s="9"/>
    </row>
    <row r="668" spans="3:5" ht="14">
      <c r="C668" s="12"/>
      <c r="D668" s="9"/>
      <c r="E668" s="9"/>
    </row>
    <row r="669" spans="3:5" ht="14">
      <c r="C669" s="12"/>
      <c r="D669" s="9"/>
      <c r="E669" s="9"/>
    </row>
    <row r="670" spans="3:5" ht="14">
      <c r="C670" s="12"/>
      <c r="D670" s="9"/>
      <c r="E670" s="9"/>
    </row>
    <row r="671" spans="3:5" ht="14">
      <c r="C671" s="12"/>
      <c r="D671" s="9"/>
      <c r="E671" s="9"/>
    </row>
    <row r="672" spans="3:5" ht="14">
      <c r="C672" s="12"/>
      <c r="D672" s="9"/>
      <c r="E672" s="9"/>
    </row>
    <row r="673" spans="3:5" ht="14">
      <c r="C673" s="12"/>
      <c r="D673" s="9"/>
      <c r="E673" s="9"/>
    </row>
    <row r="674" spans="3:5" ht="14">
      <c r="C674" s="12"/>
      <c r="D674" s="9"/>
      <c r="E674" s="9"/>
    </row>
    <row r="675" spans="3:5" ht="14">
      <c r="C675" s="12"/>
      <c r="D675" s="9"/>
      <c r="E675" s="9"/>
    </row>
    <row r="676" spans="3:5" ht="14">
      <c r="C676" s="12"/>
      <c r="D676" s="9"/>
      <c r="E676" s="9"/>
    </row>
    <row r="677" spans="3:5" ht="14">
      <c r="C677" s="12"/>
      <c r="D677" s="9"/>
      <c r="E677" s="9"/>
    </row>
    <row r="678" spans="3:5" ht="14">
      <c r="C678" s="12"/>
      <c r="D678" s="9"/>
      <c r="E678" s="9"/>
    </row>
    <row r="679" spans="3:5" ht="14">
      <c r="C679" s="12"/>
      <c r="D679" s="9"/>
      <c r="E679" s="9"/>
    </row>
    <row r="680" spans="3:5" ht="14">
      <c r="C680" s="12"/>
      <c r="D680" s="9"/>
      <c r="E680" s="9"/>
    </row>
    <row r="681" spans="3:5" ht="14">
      <c r="C681" s="12"/>
      <c r="D681" s="9"/>
      <c r="E681" s="9"/>
    </row>
    <row r="682" spans="3:5" ht="14">
      <c r="C682" s="12"/>
      <c r="D682" s="9"/>
      <c r="E682" s="9"/>
    </row>
    <row r="683" spans="3:5" ht="14">
      <c r="C683" s="12"/>
      <c r="D683" s="9"/>
      <c r="E683" s="9"/>
    </row>
    <row r="684" spans="3:5" ht="14">
      <c r="C684" s="12"/>
      <c r="D684" s="9"/>
      <c r="E684" s="9"/>
    </row>
    <row r="685" spans="3:5" ht="14">
      <c r="C685" s="12"/>
      <c r="D685" s="9"/>
      <c r="E685" s="9"/>
    </row>
    <row r="686" spans="3:5" ht="14">
      <c r="C686" s="12"/>
      <c r="D686" s="9"/>
      <c r="E686" s="9"/>
    </row>
    <row r="687" spans="3:5" ht="14">
      <c r="C687" s="12"/>
      <c r="D687" s="9"/>
      <c r="E687" s="9"/>
    </row>
    <row r="688" spans="3:5" ht="14">
      <c r="C688" s="12"/>
      <c r="D688" s="9"/>
      <c r="E688" s="9"/>
    </row>
    <row r="689" spans="3:5" ht="14">
      <c r="C689" s="12"/>
      <c r="D689" s="9"/>
      <c r="E689" s="9"/>
    </row>
    <row r="690" spans="3:5" ht="14">
      <c r="C690" s="12"/>
      <c r="D690" s="9"/>
      <c r="E690" s="9"/>
    </row>
    <row r="691" spans="3:5" ht="14">
      <c r="C691" s="12"/>
      <c r="D691" s="9"/>
      <c r="E691" s="9"/>
    </row>
    <row r="692" spans="3:5" ht="14">
      <c r="C692" s="12"/>
      <c r="D692" s="9"/>
      <c r="E692" s="9"/>
    </row>
    <row r="693" spans="3:5" ht="14">
      <c r="C693" s="12"/>
      <c r="D693" s="9"/>
      <c r="E693" s="9"/>
    </row>
    <row r="694" spans="3:5" ht="14">
      <c r="C694" s="12"/>
      <c r="D694" s="9"/>
      <c r="E694" s="9"/>
    </row>
    <row r="695" spans="3:5" ht="14">
      <c r="C695" s="12"/>
      <c r="D695" s="9"/>
      <c r="E695" s="9"/>
    </row>
    <row r="696" spans="3:5" ht="14">
      <c r="C696" s="12"/>
      <c r="D696" s="9"/>
      <c r="E696" s="9"/>
    </row>
    <row r="697" spans="3:5" ht="14">
      <c r="C697" s="12"/>
      <c r="D697" s="9"/>
      <c r="E697" s="9"/>
    </row>
    <row r="698" spans="3:5" ht="14">
      <c r="C698" s="12"/>
      <c r="D698" s="9"/>
      <c r="E698" s="9"/>
    </row>
    <row r="699" spans="3:5" ht="14">
      <c r="C699" s="12"/>
      <c r="D699" s="9"/>
      <c r="E699" s="9"/>
    </row>
    <row r="700" spans="3:5" ht="14">
      <c r="C700" s="12"/>
      <c r="D700" s="9"/>
      <c r="E700" s="9"/>
    </row>
    <row r="701" spans="3:5" ht="14">
      <c r="C701" s="12"/>
      <c r="D701" s="9"/>
      <c r="E701" s="9"/>
    </row>
    <row r="702" spans="3:5" ht="14">
      <c r="C702" s="12"/>
      <c r="D702" s="9"/>
      <c r="E702" s="9"/>
    </row>
    <row r="703" spans="3:5" ht="14">
      <c r="C703" s="12"/>
      <c r="D703" s="9"/>
      <c r="E703" s="9"/>
    </row>
    <row r="704" spans="3:5" ht="14">
      <c r="C704" s="12"/>
      <c r="D704" s="9"/>
      <c r="E704" s="9"/>
    </row>
    <row r="705" spans="3:5" ht="14">
      <c r="C705" s="12"/>
      <c r="D705" s="9"/>
      <c r="E705" s="9"/>
    </row>
    <row r="706" spans="3:5" ht="14">
      <c r="C706" s="12"/>
      <c r="D706" s="9"/>
      <c r="E706" s="9"/>
    </row>
    <row r="707" spans="3:5" ht="14">
      <c r="C707" s="12"/>
      <c r="D707" s="9"/>
      <c r="E707" s="9"/>
    </row>
    <row r="708" spans="3:5" ht="14">
      <c r="C708" s="12"/>
      <c r="D708" s="9"/>
      <c r="E708" s="9"/>
    </row>
    <row r="709" spans="3:5" ht="14">
      <c r="C709" s="12"/>
      <c r="D709" s="9"/>
      <c r="E709" s="9"/>
    </row>
    <row r="710" spans="3:5" ht="14">
      <c r="C710" s="12"/>
      <c r="D710" s="9"/>
      <c r="E710" s="9"/>
    </row>
    <row r="711" spans="3:5" ht="14">
      <c r="C711" s="12"/>
      <c r="D711" s="9"/>
      <c r="E711" s="9"/>
    </row>
    <row r="712" spans="3:5" ht="14">
      <c r="C712" s="12"/>
      <c r="D712" s="9"/>
      <c r="E712" s="9"/>
    </row>
    <row r="713" spans="3:5" ht="14">
      <c r="C713" s="12"/>
      <c r="D713" s="9"/>
      <c r="E713" s="9"/>
    </row>
    <row r="714" spans="3:5" ht="14">
      <c r="C714" s="12"/>
      <c r="D714" s="9"/>
      <c r="E714" s="9"/>
    </row>
    <row r="715" spans="3:5" ht="14">
      <c r="C715" s="12"/>
      <c r="D715" s="9"/>
      <c r="E715" s="9"/>
    </row>
    <row r="716" spans="3:5" ht="14">
      <c r="C716" s="12"/>
      <c r="D716" s="9"/>
      <c r="E716" s="9"/>
    </row>
    <row r="717" spans="3:5" ht="14">
      <c r="C717" s="12"/>
      <c r="D717" s="9"/>
      <c r="E717" s="9"/>
    </row>
    <row r="718" spans="3:5" ht="14">
      <c r="C718" s="12"/>
      <c r="D718" s="9"/>
      <c r="E718" s="9"/>
    </row>
    <row r="719" spans="3:5" ht="14">
      <c r="C719" s="12"/>
      <c r="D719" s="9"/>
      <c r="E719" s="9"/>
    </row>
    <row r="720" spans="3:5" ht="14">
      <c r="C720" s="12"/>
      <c r="D720" s="9"/>
      <c r="E720" s="9"/>
    </row>
    <row r="721" spans="3:5" ht="14">
      <c r="C721" s="12"/>
      <c r="D721" s="9"/>
      <c r="E721" s="9"/>
    </row>
    <row r="722" spans="3:5" ht="14">
      <c r="C722" s="12"/>
      <c r="D722" s="9"/>
      <c r="E722" s="9"/>
    </row>
    <row r="723" spans="3:5" ht="14">
      <c r="C723" s="12"/>
      <c r="D723" s="9"/>
      <c r="E723" s="9"/>
    </row>
    <row r="724" spans="3:5" ht="14">
      <c r="C724" s="12"/>
      <c r="D724" s="9"/>
      <c r="E724" s="9"/>
    </row>
    <row r="725" spans="3:5" ht="14">
      <c r="C725" s="12"/>
      <c r="D725" s="9"/>
      <c r="E725" s="9"/>
    </row>
    <row r="726" spans="3:5" ht="14">
      <c r="C726" s="12"/>
      <c r="D726" s="9"/>
      <c r="E726" s="9"/>
    </row>
    <row r="727" spans="3:5" ht="14">
      <c r="C727" s="12"/>
      <c r="D727" s="9"/>
      <c r="E727" s="9"/>
    </row>
    <row r="728" spans="3:5" ht="14">
      <c r="C728" s="12"/>
      <c r="D728" s="9"/>
      <c r="E728" s="9"/>
    </row>
    <row r="729" spans="3:5" ht="14">
      <c r="C729" s="12"/>
      <c r="D729" s="9"/>
      <c r="E729" s="9"/>
    </row>
    <row r="730" spans="3:5" ht="14">
      <c r="C730" s="12"/>
      <c r="D730" s="9"/>
      <c r="E730" s="9"/>
    </row>
    <row r="731" spans="3:5" ht="14">
      <c r="C731" s="12"/>
      <c r="D731" s="9"/>
      <c r="E731" s="9"/>
    </row>
    <row r="732" spans="3:5" ht="14">
      <c r="C732" s="12"/>
      <c r="D732" s="9"/>
      <c r="E732" s="9"/>
    </row>
    <row r="733" spans="3:5" ht="14">
      <c r="C733" s="12"/>
      <c r="D733" s="9"/>
      <c r="E733" s="9"/>
    </row>
    <row r="734" spans="3:5" ht="14">
      <c r="C734" s="12"/>
      <c r="D734" s="9"/>
      <c r="E734" s="9"/>
    </row>
    <row r="735" spans="3:5" ht="14">
      <c r="C735" s="12"/>
      <c r="D735" s="9"/>
      <c r="E735" s="9"/>
    </row>
    <row r="736" spans="3:5" ht="14">
      <c r="C736" s="12"/>
      <c r="D736" s="9"/>
      <c r="E736" s="9"/>
    </row>
    <row r="737" spans="3:5" ht="14">
      <c r="C737" s="12"/>
      <c r="D737" s="9"/>
      <c r="E737" s="9"/>
    </row>
    <row r="738" spans="3:5" ht="14">
      <c r="C738" s="12"/>
      <c r="D738" s="9"/>
      <c r="E738" s="9"/>
    </row>
    <row r="739" spans="3:5" ht="14">
      <c r="C739" s="12"/>
      <c r="D739" s="9"/>
      <c r="E739" s="9"/>
    </row>
    <row r="740" spans="3:5" ht="14">
      <c r="C740" s="12"/>
      <c r="D740" s="9"/>
      <c r="E740" s="9"/>
    </row>
    <row r="741" spans="3:5" ht="14">
      <c r="C741" s="12"/>
      <c r="D741" s="9"/>
      <c r="E741" s="9"/>
    </row>
    <row r="742" spans="3:5" ht="14">
      <c r="C742" s="12"/>
      <c r="D742" s="9"/>
      <c r="E742" s="9"/>
    </row>
    <row r="743" spans="3:5" ht="14">
      <c r="C743" s="12"/>
      <c r="D743" s="9"/>
      <c r="E743" s="9"/>
    </row>
    <row r="744" spans="3:5" ht="14">
      <c r="C744" s="12"/>
      <c r="D744" s="9"/>
      <c r="E744" s="9"/>
    </row>
    <row r="745" spans="3:5" ht="14">
      <c r="C745" s="12"/>
      <c r="D745" s="9"/>
      <c r="E745" s="9"/>
    </row>
    <row r="746" spans="3:5" ht="14">
      <c r="C746" s="12"/>
      <c r="D746" s="9"/>
      <c r="E746" s="9"/>
    </row>
    <row r="747" spans="3:5" ht="14">
      <c r="C747" s="12"/>
      <c r="D747" s="9"/>
      <c r="E747" s="9"/>
    </row>
    <row r="748" spans="3:5" ht="14">
      <c r="C748" s="12"/>
      <c r="D748" s="9"/>
      <c r="E748" s="9"/>
    </row>
    <row r="749" spans="3:5" ht="14">
      <c r="C749" s="12"/>
      <c r="D749" s="9"/>
      <c r="E749" s="9"/>
    </row>
    <row r="750" spans="3:5" ht="14">
      <c r="C750" s="12"/>
      <c r="D750" s="9"/>
      <c r="E750" s="9"/>
    </row>
    <row r="751" spans="3:5" ht="14">
      <c r="C751" s="12"/>
      <c r="D751" s="9"/>
      <c r="E751" s="9"/>
    </row>
    <row r="752" spans="3:5" ht="14">
      <c r="C752" s="12"/>
      <c r="D752" s="9"/>
      <c r="E752" s="9"/>
    </row>
    <row r="753" spans="3:5" ht="14">
      <c r="C753" s="12"/>
      <c r="D753" s="9"/>
      <c r="E753" s="9"/>
    </row>
    <row r="754" spans="3:5" ht="14">
      <c r="C754" s="12"/>
      <c r="D754" s="9"/>
      <c r="E754" s="9"/>
    </row>
    <row r="755" spans="3:5" ht="14">
      <c r="C755" s="12"/>
      <c r="D755" s="9"/>
      <c r="E755" s="9"/>
    </row>
    <row r="756" spans="3:5" ht="14">
      <c r="C756" s="12"/>
      <c r="D756" s="9"/>
      <c r="E756" s="9"/>
    </row>
    <row r="757" spans="3:5" ht="14">
      <c r="C757" s="12"/>
      <c r="D757" s="9"/>
      <c r="E757" s="9"/>
    </row>
    <row r="758" spans="3:5" ht="14">
      <c r="C758" s="12"/>
      <c r="D758" s="9"/>
      <c r="E758" s="9"/>
    </row>
    <row r="759" spans="3:5" ht="14">
      <c r="C759" s="12"/>
      <c r="D759" s="9"/>
      <c r="E759" s="9"/>
    </row>
    <row r="760" spans="3:5" ht="14">
      <c r="C760" s="12"/>
      <c r="D760" s="9"/>
      <c r="E760" s="9"/>
    </row>
    <row r="761" spans="3:5" ht="14">
      <c r="C761" s="12"/>
      <c r="D761" s="9"/>
      <c r="E761" s="9"/>
    </row>
    <row r="762" spans="3:5" ht="14">
      <c r="C762" s="12"/>
      <c r="D762" s="9"/>
      <c r="E762" s="9"/>
    </row>
    <row r="763" spans="3:5" ht="14">
      <c r="C763" s="12"/>
      <c r="D763" s="9"/>
      <c r="E763" s="9"/>
    </row>
    <row r="764" spans="3:5" ht="14">
      <c r="C764" s="12"/>
      <c r="D764" s="9"/>
      <c r="E764" s="9"/>
    </row>
    <row r="765" spans="3:5" ht="14">
      <c r="C765" s="12"/>
      <c r="D765" s="9"/>
      <c r="E765" s="9"/>
    </row>
    <row r="766" spans="3:5" ht="14">
      <c r="C766" s="12"/>
      <c r="D766" s="9"/>
      <c r="E766" s="9"/>
    </row>
    <row r="767" spans="3:5" ht="14">
      <c r="C767" s="12"/>
      <c r="D767" s="9"/>
      <c r="E767" s="9"/>
    </row>
    <row r="768" spans="3:5" ht="14">
      <c r="C768" s="12"/>
      <c r="D768" s="9"/>
      <c r="E768" s="9"/>
    </row>
    <row r="769" spans="3:5" ht="14">
      <c r="C769" s="12"/>
      <c r="D769" s="9"/>
      <c r="E769" s="9"/>
    </row>
    <row r="770" spans="3:5" ht="14">
      <c r="C770" s="12"/>
      <c r="D770" s="9"/>
      <c r="E770" s="9"/>
    </row>
    <row r="771" spans="3:5" ht="14">
      <c r="C771" s="12"/>
      <c r="D771" s="9"/>
      <c r="E771" s="9"/>
    </row>
    <row r="772" spans="3:5" ht="14">
      <c r="C772" s="12"/>
      <c r="D772" s="9"/>
      <c r="E772" s="9"/>
    </row>
    <row r="773" spans="3:5" ht="14">
      <c r="C773" s="12"/>
      <c r="D773" s="9"/>
      <c r="E773" s="9"/>
    </row>
    <row r="774" spans="3:5" ht="14">
      <c r="C774" s="12"/>
      <c r="D774" s="9"/>
      <c r="E774" s="9"/>
    </row>
    <row r="775" spans="3:5" ht="14">
      <c r="C775" s="12"/>
      <c r="D775" s="9"/>
      <c r="E775" s="9"/>
    </row>
    <row r="776" spans="3:5" ht="14">
      <c r="C776" s="12"/>
      <c r="D776" s="9"/>
      <c r="E776" s="9"/>
    </row>
    <row r="777" spans="3:5" ht="14">
      <c r="C777" s="12"/>
      <c r="D777" s="9"/>
      <c r="E777" s="9"/>
    </row>
    <row r="778" spans="3:5" ht="14">
      <c r="C778" s="12"/>
      <c r="D778" s="9"/>
      <c r="E778" s="9"/>
    </row>
    <row r="779" spans="3:5" ht="14">
      <c r="C779" s="12"/>
      <c r="D779" s="9"/>
      <c r="E779" s="9"/>
    </row>
    <row r="780" spans="3:5" ht="14">
      <c r="C780" s="12"/>
      <c r="D780" s="9"/>
      <c r="E780" s="9"/>
    </row>
    <row r="781" spans="3:5" ht="14">
      <c r="C781" s="12"/>
      <c r="D781" s="9"/>
      <c r="E781" s="9"/>
    </row>
    <row r="782" spans="3:5" ht="14">
      <c r="C782" s="12"/>
      <c r="D782" s="9"/>
      <c r="E782" s="9"/>
    </row>
    <row r="783" spans="3:5" ht="14">
      <c r="C783" s="12"/>
      <c r="D783" s="9"/>
      <c r="E783" s="9"/>
    </row>
    <row r="784" spans="3:5" ht="14">
      <c r="C784" s="12"/>
      <c r="D784" s="9"/>
      <c r="E784" s="9"/>
    </row>
    <row r="785" spans="3:5" ht="14">
      <c r="C785" s="12"/>
      <c r="D785" s="9"/>
      <c r="E785" s="9"/>
    </row>
    <row r="786" spans="3:5" ht="14">
      <c r="C786" s="12"/>
      <c r="D786" s="9"/>
      <c r="E786" s="9"/>
    </row>
    <row r="787" spans="3:5" ht="14">
      <c r="C787" s="12"/>
      <c r="D787" s="9"/>
      <c r="E787" s="9"/>
    </row>
    <row r="788" spans="3:5" ht="14">
      <c r="C788" s="12"/>
      <c r="D788" s="9"/>
      <c r="E788" s="9"/>
    </row>
    <row r="789" spans="3:5" ht="14">
      <c r="C789" s="12"/>
      <c r="D789" s="9"/>
      <c r="E789" s="9"/>
    </row>
    <row r="790" spans="3:5" ht="14">
      <c r="C790" s="12"/>
      <c r="D790" s="9"/>
      <c r="E790" s="9"/>
    </row>
    <row r="791" spans="3:5" ht="14">
      <c r="C791" s="12"/>
      <c r="D791" s="9"/>
      <c r="E791" s="9"/>
    </row>
    <row r="792" spans="3:5" ht="14">
      <c r="C792" s="12"/>
      <c r="D792" s="9"/>
      <c r="E792" s="9"/>
    </row>
    <row r="793" spans="3:5" ht="14">
      <c r="C793" s="12"/>
      <c r="D793" s="9"/>
      <c r="E793" s="9"/>
    </row>
    <row r="794" spans="3:5" ht="14">
      <c r="C794" s="12"/>
      <c r="D794" s="9"/>
      <c r="E794" s="9"/>
    </row>
    <row r="795" spans="3:5" ht="14">
      <c r="C795" s="12"/>
      <c r="D795" s="9"/>
      <c r="E795" s="9"/>
    </row>
    <row r="796" spans="3:5" ht="14">
      <c r="C796" s="12"/>
      <c r="D796" s="9"/>
      <c r="E796" s="9"/>
    </row>
    <row r="797" spans="3:5" ht="14">
      <c r="C797" s="12"/>
      <c r="D797" s="9"/>
      <c r="E797" s="9"/>
    </row>
    <row r="798" spans="3:5" ht="14">
      <c r="C798" s="12"/>
      <c r="D798" s="9"/>
      <c r="E798" s="9"/>
    </row>
    <row r="799" spans="3:5" ht="14">
      <c r="C799" s="12"/>
      <c r="D799" s="9"/>
      <c r="E799" s="9"/>
    </row>
    <row r="800" spans="3:5" ht="14">
      <c r="C800" s="12"/>
      <c r="D800" s="9"/>
      <c r="E800" s="9"/>
    </row>
    <row r="801" spans="3:5" ht="14">
      <c r="C801" s="12"/>
      <c r="D801" s="9"/>
      <c r="E801" s="9"/>
    </row>
    <row r="802" spans="3:5" ht="14">
      <c r="C802" s="12"/>
      <c r="D802" s="9"/>
      <c r="E802" s="9"/>
    </row>
    <row r="803" spans="3:5" ht="14">
      <c r="C803" s="12"/>
      <c r="D803" s="9"/>
      <c r="E803" s="9"/>
    </row>
    <row r="804" spans="3:5" ht="14">
      <c r="C804" s="12"/>
      <c r="D804" s="9"/>
      <c r="E804" s="9"/>
    </row>
    <row r="805" spans="3:5" ht="14">
      <c r="C805" s="12"/>
      <c r="D805" s="9"/>
      <c r="E805" s="9"/>
    </row>
    <row r="806" spans="3:5" ht="14">
      <c r="C806" s="12"/>
      <c r="D806" s="9"/>
      <c r="E806" s="9"/>
    </row>
    <row r="807" spans="3:5" ht="14">
      <c r="C807" s="12"/>
      <c r="D807" s="9"/>
      <c r="E807" s="9"/>
    </row>
    <row r="808" spans="3:5" ht="14">
      <c r="C808" s="12"/>
      <c r="D808" s="9"/>
      <c r="E808" s="9"/>
    </row>
    <row r="809" spans="3:5" ht="14">
      <c r="C809" s="12"/>
      <c r="D809" s="9"/>
      <c r="E809" s="9"/>
    </row>
    <row r="810" spans="3:5" ht="14">
      <c r="C810" s="12"/>
      <c r="D810" s="9"/>
      <c r="E810" s="9"/>
    </row>
    <row r="811" spans="3:5" ht="14">
      <c r="C811" s="12"/>
      <c r="D811" s="9"/>
      <c r="E811" s="9"/>
    </row>
    <row r="812" spans="3:5" ht="14">
      <c r="C812" s="12"/>
      <c r="D812" s="9"/>
      <c r="E812" s="9"/>
    </row>
    <row r="813" spans="3:5" ht="14">
      <c r="C813" s="12"/>
      <c r="D813" s="9"/>
      <c r="E813" s="9"/>
    </row>
    <row r="814" spans="3:5" ht="14">
      <c r="C814" s="12"/>
      <c r="D814" s="9"/>
      <c r="E814" s="9"/>
    </row>
    <row r="815" spans="3:5" ht="14">
      <c r="C815" s="12"/>
      <c r="D815" s="9"/>
      <c r="E815" s="9"/>
    </row>
    <row r="816" spans="3:5" ht="14">
      <c r="C816" s="12"/>
      <c r="D816" s="9"/>
      <c r="E816" s="9"/>
    </row>
    <row r="817" spans="3:5" ht="14">
      <c r="C817" s="12"/>
      <c r="D817" s="9"/>
      <c r="E817" s="9"/>
    </row>
    <row r="818" spans="3:5" ht="14">
      <c r="C818" s="12"/>
      <c r="D818" s="9"/>
      <c r="E818" s="9"/>
    </row>
    <row r="819" spans="3:5" ht="14">
      <c r="C819" s="12"/>
      <c r="D819" s="9"/>
      <c r="E819" s="9"/>
    </row>
    <row r="820" spans="3:5" ht="14">
      <c r="C820" s="12"/>
      <c r="D820" s="9"/>
      <c r="E820" s="9"/>
    </row>
    <row r="821" spans="3:5" ht="14">
      <c r="C821" s="12"/>
      <c r="D821" s="9"/>
      <c r="E821" s="9"/>
    </row>
    <row r="822" spans="3:5" ht="14">
      <c r="C822" s="12"/>
      <c r="D822" s="9"/>
      <c r="E822" s="9"/>
    </row>
    <row r="823" spans="3:5" ht="14">
      <c r="C823" s="12"/>
      <c r="D823" s="9"/>
      <c r="E823" s="9"/>
    </row>
    <row r="824" spans="3:5" ht="14">
      <c r="C824" s="12"/>
      <c r="D824" s="9"/>
      <c r="E824" s="9"/>
    </row>
    <row r="825" spans="3:5" ht="14">
      <c r="C825" s="12"/>
      <c r="D825" s="9"/>
      <c r="E825" s="9"/>
    </row>
    <row r="826" spans="3:5" ht="14">
      <c r="C826" s="12"/>
      <c r="D826" s="9"/>
      <c r="E826" s="9"/>
    </row>
    <row r="827" spans="3:5" ht="14">
      <c r="C827" s="12"/>
      <c r="D827" s="9"/>
      <c r="E827" s="9"/>
    </row>
    <row r="828" spans="3:5" ht="14">
      <c r="C828" s="12"/>
      <c r="D828" s="9"/>
      <c r="E828" s="9"/>
    </row>
    <row r="829" spans="3:5" ht="14">
      <c r="C829" s="12"/>
      <c r="D829" s="9"/>
      <c r="E829" s="9"/>
    </row>
    <row r="830" spans="3:5" ht="14">
      <c r="C830" s="12"/>
      <c r="D830" s="9"/>
      <c r="E830" s="9"/>
    </row>
    <row r="831" spans="3:5" ht="14">
      <c r="C831" s="12"/>
      <c r="D831" s="9"/>
      <c r="E831" s="9"/>
    </row>
    <row r="832" spans="3:5" ht="14">
      <c r="C832" s="12"/>
      <c r="D832" s="9"/>
      <c r="E832" s="9"/>
    </row>
    <row r="833" spans="3:5" ht="14">
      <c r="C833" s="12"/>
      <c r="D833" s="9"/>
      <c r="E833" s="9"/>
    </row>
    <row r="834" spans="3:5" ht="14">
      <c r="C834" s="12"/>
      <c r="D834" s="9"/>
      <c r="E834" s="9"/>
    </row>
    <row r="835" spans="3:5" ht="14">
      <c r="C835" s="12"/>
      <c r="D835" s="9"/>
      <c r="E835" s="9"/>
    </row>
    <row r="836" spans="3:5" ht="14">
      <c r="C836" s="12"/>
      <c r="D836" s="9"/>
      <c r="E836" s="9"/>
    </row>
    <row r="837" spans="3:5" ht="14">
      <c r="C837" s="12"/>
      <c r="D837" s="9"/>
      <c r="E837" s="9"/>
    </row>
    <row r="838" spans="3:5" ht="14">
      <c r="C838" s="12"/>
      <c r="D838" s="9"/>
      <c r="E838" s="9"/>
    </row>
    <row r="839" spans="3:5" ht="14">
      <c r="C839" s="12"/>
      <c r="D839" s="9"/>
      <c r="E839" s="9"/>
    </row>
    <row r="840" spans="3:5" ht="14">
      <c r="C840" s="12"/>
      <c r="D840" s="9"/>
      <c r="E840" s="9"/>
    </row>
    <row r="841" spans="3:5" ht="14">
      <c r="C841" s="12"/>
      <c r="D841" s="9"/>
      <c r="E841" s="9"/>
    </row>
    <row r="842" spans="3:5" ht="14">
      <c r="C842" s="12"/>
      <c r="D842" s="9"/>
      <c r="E842" s="9"/>
    </row>
    <row r="843" spans="3:5" ht="14">
      <c r="C843" s="12"/>
      <c r="D843" s="9"/>
      <c r="E843" s="9"/>
    </row>
    <row r="844" spans="3:5" ht="14">
      <c r="C844" s="12"/>
      <c r="D844" s="9"/>
      <c r="E844" s="9"/>
    </row>
    <row r="845" spans="3:5" ht="14">
      <c r="C845" s="12"/>
      <c r="D845" s="9"/>
      <c r="E845" s="9"/>
    </row>
    <row r="846" spans="3:5" ht="14">
      <c r="C846" s="12"/>
      <c r="D846" s="9"/>
      <c r="E846" s="9"/>
    </row>
    <row r="847" spans="3:5" ht="14">
      <c r="C847" s="12"/>
      <c r="D847" s="9"/>
      <c r="E847" s="9"/>
    </row>
    <row r="848" spans="3:5" ht="14">
      <c r="C848" s="12"/>
      <c r="D848" s="9"/>
      <c r="E848" s="9"/>
    </row>
    <row r="849" spans="3:5" ht="14">
      <c r="C849" s="12"/>
      <c r="D849" s="9"/>
      <c r="E849" s="9"/>
    </row>
    <row r="850" spans="3:5" ht="14">
      <c r="C850" s="12"/>
      <c r="D850" s="9"/>
      <c r="E850" s="9"/>
    </row>
    <row r="851" spans="3:5" ht="14">
      <c r="C851" s="12"/>
      <c r="D851" s="9"/>
      <c r="E851" s="9"/>
    </row>
    <row r="852" spans="3:5" ht="14">
      <c r="C852" s="12"/>
      <c r="D852" s="9"/>
      <c r="E852" s="9"/>
    </row>
    <row r="853" spans="3:5" ht="14">
      <c r="C853" s="12"/>
      <c r="D853" s="9"/>
      <c r="E853" s="9"/>
    </row>
    <row r="854" spans="3:5" ht="14">
      <c r="C854" s="12"/>
      <c r="D854" s="9"/>
      <c r="E854" s="9"/>
    </row>
    <row r="855" spans="3:5" ht="14">
      <c r="C855" s="12"/>
      <c r="D855" s="9"/>
      <c r="E855" s="9"/>
    </row>
    <row r="856" spans="3:5" ht="14">
      <c r="C856" s="12"/>
      <c r="D856" s="9"/>
      <c r="E856" s="9"/>
    </row>
    <row r="857" spans="3:5" ht="14">
      <c r="C857" s="12"/>
      <c r="D857" s="9"/>
      <c r="E857" s="9"/>
    </row>
    <row r="858" spans="3:5" ht="14">
      <c r="C858" s="12"/>
      <c r="D858" s="9"/>
      <c r="E858" s="9"/>
    </row>
    <row r="859" spans="3:5" ht="14">
      <c r="C859" s="12"/>
      <c r="D859" s="9"/>
      <c r="E859" s="9"/>
    </row>
    <row r="860" spans="3:5" ht="14">
      <c r="C860" s="12"/>
      <c r="D860" s="9"/>
      <c r="E860" s="9"/>
    </row>
    <row r="861" spans="3:5" ht="14">
      <c r="C861" s="12"/>
      <c r="D861" s="9"/>
      <c r="E861" s="9"/>
    </row>
    <row r="862" spans="3:5" ht="14">
      <c r="C862" s="12"/>
      <c r="D862" s="9"/>
      <c r="E862" s="9"/>
    </row>
    <row r="863" spans="3:5" ht="14">
      <c r="C863" s="12"/>
      <c r="D863" s="9"/>
      <c r="E863" s="9"/>
    </row>
    <row r="864" spans="3:5" ht="14">
      <c r="C864" s="12"/>
      <c r="D864" s="9"/>
      <c r="E864" s="9"/>
    </row>
    <row r="865" spans="3:5" ht="14">
      <c r="C865" s="12"/>
      <c r="D865" s="9"/>
      <c r="E865" s="9"/>
    </row>
    <row r="866" spans="3:5" ht="14">
      <c r="C866" s="12"/>
      <c r="D866" s="9"/>
      <c r="E866" s="9"/>
    </row>
    <row r="867" spans="3:5" ht="14">
      <c r="C867" s="12"/>
      <c r="D867" s="9"/>
      <c r="E867" s="9"/>
    </row>
    <row r="868" spans="3:5" ht="14">
      <c r="C868" s="12"/>
      <c r="D868" s="9"/>
      <c r="E868" s="9"/>
    </row>
    <row r="869" spans="3:5" ht="14">
      <c r="C869" s="12"/>
      <c r="D869" s="9"/>
      <c r="E869" s="9"/>
    </row>
    <row r="870" spans="3:5" ht="14">
      <c r="C870" s="12"/>
      <c r="D870" s="9"/>
      <c r="E870" s="9"/>
    </row>
    <row r="871" spans="3:5" ht="14">
      <c r="C871" s="12"/>
      <c r="D871" s="9"/>
      <c r="E871" s="9"/>
    </row>
    <row r="872" spans="3:5" ht="14">
      <c r="C872" s="12"/>
      <c r="D872" s="9"/>
      <c r="E872" s="9"/>
    </row>
    <row r="873" spans="3:5" ht="14">
      <c r="C873" s="12"/>
      <c r="D873" s="9"/>
      <c r="E873" s="9"/>
    </row>
    <row r="874" spans="3:5" ht="14">
      <c r="C874" s="12"/>
      <c r="D874" s="9"/>
      <c r="E874" s="9"/>
    </row>
    <row r="875" spans="3:5" ht="14">
      <c r="C875" s="12"/>
      <c r="D875" s="9"/>
      <c r="E875" s="9"/>
    </row>
    <row r="876" spans="3:5" ht="14">
      <c r="C876" s="12"/>
      <c r="D876" s="9"/>
      <c r="E876" s="9"/>
    </row>
    <row r="877" spans="3:5" ht="14">
      <c r="C877" s="12"/>
      <c r="D877" s="9"/>
      <c r="E877" s="9"/>
    </row>
    <row r="878" spans="3:5" ht="14">
      <c r="C878" s="12"/>
      <c r="D878" s="9"/>
      <c r="E878" s="9"/>
    </row>
    <row r="879" spans="3:5" ht="14">
      <c r="C879" s="12"/>
      <c r="D879" s="9"/>
      <c r="E879" s="9"/>
    </row>
    <row r="880" spans="3:5" ht="14">
      <c r="C880" s="12"/>
      <c r="D880" s="9"/>
      <c r="E880" s="9"/>
    </row>
    <row r="881" spans="3:5" ht="14">
      <c r="C881" s="12"/>
      <c r="D881" s="9"/>
      <c r="E881" s="9"/>
    </row>
    <row r="882" spans="3:5" ht="14">
      <c r="C882" s="12"/>
      <c r="D882" s="9"/>
      <c r="E882" s="9"/>
    </row>
    <row r="883" spans="3:5" ht="14">
      <c r="C883" s="12"/>
      <c r="D883" s="9"/>
      <c r="E883" s="9"/>
    </row>
    <row r="884" spans="3:5" ht="14">
      <c r="C884" s="12"/>
      <c r="D884" s="9"/>
      <c r="E884" s="9"/>
    </row>
    <row r="885" spans="3:5" ht="14">
      <c r="C885" s="12"/>
      <c r="D885" s="9"/>
      <c r="E885" s="9"/>
    </row>
    <row r="886" spans="3:5" ht="14">
      <c r="C886" s="12"/>
      <c r="D886" s="9"/>
      <c r="E886" s="9"/>
    </row>
    <row r="887" spans="3:5" ht="14">
      <c r="C887" s="12"/>
      <c r="D887" s="9"/>
      <c r="E887" s="9"/>
    </row>
    <row r="888" spans="3:5" ht="14">
      <c r="C888" s="12"/>
      <c r="D888" s="9"/>
      <c r="E888" s="9"/>
    </row>
    <row r="889" spans="3:5" ht="14">
      <c r="C889" s="12"/>
      <c r="D889" s="9"/>
      <c r="E889" s="9"/>
    </row>
    <row r="890" spans="3:5" ht="14">
      <c r="C890" s="12"/>
      <c r="D890" s="9"/>
      <c r="E890" s="9"/>
    </row>
    <row r="891" spans="3:5" ht="14">
      <c r="C891" s="12"/>
      <c r="D891" s="9"/>
      <c r="E891" s="9"/>
    </row>
    <row r="892" spans="3:5" ht="14">
      <c r="C892" s="12"/>
      <c r="D892" s="9"/>
      <c r="E892" s="9"/>
    </row>
    <row r="893" spans="3:5" ht="14">
      <c r="C893" s="12"/>
      <c r="D893" s="9"/>
      <c r="E893" s="9"/>
    </row>
    <row r="894" spans="3:5" ht="14">
      <c r="C894" s="12"/>
      <c r="D894" s="9"/>
      <c r="E894" s="9"/>
    </row>
    <row r="895" spans="3:5" ht="14">
      <c r="C895" s="12"/>
      <c r="D895" s="9"/>
      <c r="E895" s="9"/>
    </row>
    <row r="896" spans="3:5" ht="14">
      <c r="C896" s="12"/>
      <c r="D896" s="9"/>
      <c r="E896" s="9"/>
    </row>
    <row r="897" spans="3:5" ht="14">
      <c r="C897" s="12"/>
      <c r="D897" s="9"/>
      <c r="E897" s="9"/>
    </row>
    <row r="898" spans="3:5" ht="14">
      <c r="C898" s="12"/>
      <c r="D898" s="9"/>
      <c r="E898" s="9"/>
    </row>
    <row r="899" spans="3:5" ht="14">
      <c r="C899" s="12"/>
      <c r="D899" s="9"/>
      <c r="E899" s="9"/>
    </row>
    <row r="900" spans="3:5" ht="14">
      <c r="C900" s="12"/>
      <c r="D900" s="9"/>
      <c r="E900" s="9"/>
    </row>
    <row r="901" spans="3:5" ht="14">
      <c r="C901" s="12"/>
      <c r="D901" s="9"/>
      <c r="E901" s="9"/>
    </row>
    <row r="902" spans="3:5" ht="14">
      <c r="C902" s="12"/>
      <c r="D902" s="9"/>
      <c r="E902" s="9"/>
    </row>
    <row r="903" spans="3:5" ht="14">
      <c r="C903" s="12"/>
      <c r="D903" s="9"/>
      <c r="E903" s="9"/>
    </row>
    <row r="904" spans="3:5" ht="14">
      <c r="C904" s="12"/>
      <c r="D904" s="9"/>
      <c r="E904" s="9"/>
    </row>
    <row r="905" spans="3:5" ht="14">
      <c r="C905" s="12"/>
      <c r="D905" s="9"/>
      <c r="E905" s="9"/>
    </row>
    <row r="906" spans="3:5" ht="14">
      <c r="C906" s="12"/>
      <c r="D906" s="9"/>
      <c r="E906" s="9"/>
    </row>
    <row r="907" spans="3:5" ht="14">
      <c r="C907" s="12"/>
      <c r="D907" s="9"/>
      <c r="E907" s="9"/>
    </row>
    <row r="908" spans="3:5" ht="14">
      <c r="C908" s="12"/>
      <c r="D908" s="9"/>
      <c r="E908" s="9"/>
    </row>
    <row r="909" spans="3:5" ht="14">
      <c r="C909" s="12"/>
      <c r="D909" s="9"/>
      <c r="E909" s="9"/>
    </row>
    <row r="910" spans="3:5" ht="14">
      <c r="C910" s="12"/>
      <c r="D910" s="9"/>
      <c r="E910" s="9"/>
    </row>
    <row r="911" spans="3:5" ht="14">
      <c r="C911" s="12"/>
      <c r="D911" s="9"/>
      <c r="E911" s="9"/>
    </row>
    <row r="912" spans="3:5" ht="14">
      <c r="C912" s="12"/>
      <c r="D912" s="9"/>
      <c r="E912" s="9"/>
    </row>
    <row r="913" spans="3:5" ht="14">
      <c r="C913" s="12"/>
      <c r="D913" s="9"/>
      <c r="E913" s="9"/>
    </row>
    <row r="914" spans="3:5" ht="14">
      <c r="C914" s="12"/>
      <c r="D914" s="9"/>
      <c r="E914" s="9"/>
    </row>
    <row r="915" spans="3:5" ht="14">
      <c r="C915" s="12"/>
      <c r="D915" s="9"/>
      <c r="E915" s="9"/>
    </row>
    <row r="916" spans="3:5" ht="14">
      <c r="C916" s="12"/>
      <c r="D916" s="9"/>
      <c r="E916" s="9"/>
    </row>
    <row r="917" spans="3:5" ht="14">
      <c r="C917" s="12"/>
      <c r="D917" s="9"/>
      <c r="E917" s="9"/>
    </row>
    <row r="918" spans="3:5" ht="14">
      <c r="C918" s="12"/>
      <c r="D918" s="9"/>
      <c r="E918" s="9"/>
    </row>
    <row r="919" spans="3:5" ht="14">
      <c r="C919" s="12"/>
      <c r="D919" s="9"/>
      <c r="E919" s="9"/>
    </row>
    <row r="920" spans="3:5" ht="14">
      <c r="C920" s="12"/>
      <c r="D920" s="9"/>
      <c r="E920" s="9"/>
    </row>
    <row r="921" spans="3:5" ht="14">
      <c r="C921" s="12"/>
      <c r="D921" s="9"/>
      <c r="E921" s="9"/>
    </row>
    <row r="922" spans="3:5" ht="14">
      <c r="C922" s="12"/>
      <c r="D922" s="9"/>
      <c r="E922" s="9"/>
    </row>
    <row r="923" spans="3:5" ht="14">
      <c r="C923" s="12"/>
      <c r="D923" s="9"/>
      <c r="E923" s="9"/>
    </row>
    <row r="924" spans="3:5" ht="14">
      <c r="C924" s="12"/>
      <c r="D924" s="9"/>
      <c r="E924" s="9"/>
    </row>
    <row r="925" spans="3:5" ht="14">
      <c r="C925" s="12"/>
      <c r="D925" s="9"/>
      <c r="E925" s="9"/>
    </row>
    <row r="926" spans="3:5" ht="14">
      <c r="C926" s="12"/>
      <c r="D926" s="9"/>
      <c r="E926" s="9"/>
    </row>
    <row r="927" spans="3:5" ht="14">
      <c r="C927" s="12"/>
      <c r="D927" s="9"/>
      <c r="E927" s="9"/>
    </row>
    <row r="928" spans="3:5" ht="14">
      <c r="C928" s="12"/>
      <c r="D928" s="9"/>
      <c r="E928" s="9"/>
    </row>
    <row r="929" spans="3:5" ht="14">
      <c r="C929" s="12"/>
      <c r="D929" s="9"/>
      <c r="E929" s="9"/>
    </row>
    <row r="930" spans="3:5" ht="14">
      <c r="C930" s="12"/>
      <c r="D930" s="9"/>
      <c r="E930" s="9"/>
    </row>
    <row r="931" spans="3:5" ht="14">
      <c r="C931" s="12"/>
      <c r="D931" s="9"/>
      <c r="E931" s="9"/>
    </row>
    <row r="932" spans="3:5" ht="14">
      <c r="C932" s="12"/>
      <c r="D932" s="9"/>
      <c r="E932" s="9"/>
    </row>
    <row r="933" spans="3:5" ht="14">
      <c r="C933" s="12"/>
      <c r="D933" s="9"/>
      <c r="E933" s="9"/>
    </row>
    <row r="934" spans="3:5" ht="14">
      <c r="C934" s="12"/>
      <c r="D934" s="9"/>
      <c r="E934" s="9"/>
    </row>
    <row r="935" spans="3:5" ht="14">
      <c r="C935" s="12"/>
      <c r="D935" s="9"/>
      <c r="E935" s="9"/>
    </row>
    <row r="936" spans="3:5" ht="14">
      <c r="C936" s="12"/>
      <c r="D936" s="9"/>
      <c r="E936" s="9"/>
    </row>
    <row r="937" spans="3:5" ht="14">
      <c r="C937" s="12"/>
      <c r="D937" s="9"/>
      <c r="E937" s="9"/>
    </row>
    <row r="938" spans="3:5" ht="14">
      <c r="C938" s="12"/>
      <c r="D938" s="9"/>
      <c r="E938" s="9"/>
    </row>
    <row r="939" spans="3:5" ht="14">
      <c r="C939" s="12"/>
      <c r="D939" s="9"/>
      <c r="E939" s="9"/>
    </row>
    <row r="940" spans="3:5" ht="14">
      <c r="C940" s="12"/>
      <c r="D940" s="9"/>
      <c r="E940" s="9"/>
    </row>
    <row r="941" spans="3:5" ht="14">
      <c r="C941" s="12"/>
      <c r="D941" s="9"/>
      <c r="E941" s="9"/>
    </row>
    <row r="942" spans="3:5" ht="14">
      <c r="C942" s="12"/>
      <c r="D942" s="9"/>
      <c r="E942" s="9"/>
    </row>
    <row r="943" spans="3:5" ht="14">
      <c r="C943" s="12"/>
      <c r="D943" s="9"/>
      <c r="E943" s="9"/>
    </row>
    <row r="944" spans="3:5" ht="14">
      <c r="C944" s="12"/>
      <c r="D944" s="9"/>
      <c r="E944" s="9"/>
    </row>
    <row r="945" spans="3:5" ht="14">
      <c r="C945" s="12"/>
      <c r="D945" s="9"/>
      <c r="E945" s="9"/>
    </row>
    <row r="946" spans="3:5" ht="14">
      <c r="C946" s="12"/>
      <c r="D946" s="9"/>
      <c r="E946" s="9"/>
    </row>
    <row r="947" spans="3:5" ht="14">
      <c r="C947" s="12"/>
      <c r="D947" s="9"/>
      <c r="E947" s="9"/>
    </row>
    <row r="948" spans="3:5" ht="14">
      <c r="C948" s="12"/>
      <c r="D948" s="9"/>
      <c r="E948" s="9"/>
    </row>
    <row r="949" spans="3:5" ht="14">
      <c r="C949" s="12"/>
      <c r="D949" s="9"/>
      <c r="E949" s="9"/>
    </row>
    <row r="950" spans="3:5" ht="14">
      <c r="C950" s="12"/>
      <c r="D950" s="9"/>
      <c r="E950" s="9"/>
    </row>
    <row r="951" spans="3:5" ht="14">
      <c r="C951" s="12"/>
      <c r="D951" s="9"/>
      <c r="E951" s="9"/>
    </row>
    <row r="952" spans="3:5" ht="14">
      <c r="C952" s="12"/>
      <c r="D952" s="9"/>
      <c r="E952" s="9"/>
    </row>
    <row r="953" spans="3:5" ht="14">
      <c r="C953" s="12"/>
      <c r="D953" s="9"/>
      <c r="E953" s="9"/>
    </row>
    <row r="954" spans="3:5" ht="14">
      <c r="C954" s="12"/>
      <c r="D954" s="9"/>
      <c r="E954" s="9"/>
    </row>
    <row r="955" spans="3:5" ht="14">
      <c r="C955" s="12"/>
      <c r="D955" s="9"/>
      <c r="E955" s="9"/>
    </row>
    <row r="956" spans="3:5" ht="14">
      <c r="C956" s="12"/>
      <c r="D956" s="9"/>
      <c r="E956" s="9"/>
    </row>
    <row r="957" spans="3:5" ht="14">
      <c r="C957" s="12"/>
      <c r="D957" s="9"/>
      <c r="E957" s="9"/>
    </row>
    <row r="958" spans="3:5" ht="14">
      <c r="C958" s="12"/>
      <c r="D958" s="9"/>
      <c r="E958" s="9"/>
    </row>
    <row r="959" spans="3:5" ht="14">
      <c r="C959" s="12"/>
      <c r="D959" s="9"/>
      <c r="E959" s="9"/>
    </row>
    <row r="960" spans="3:5" ht="14">
      <c r="C960" s="12"/>
      <c r="D960" s="9"/>
      <c r="E960" s="9"/>
    </row>
    <row r="961" spans="3:5" ht="14">
      <c r="C961" s="12"/>
      <c r="D961" s="9"/>
      <c r="E961" s="9"/>
    </row>
    <row r="962" spans="3:5" ht="14">
      <c r="C962" s="12"/>
      <c r="D962" s="9"/>
      <c r="E962" s="9"/>
    </row>
    <row r="963" spans="3:5" ht="14">
      <c r="C963" s="12"/>
      <c r="D963" s="9"/>
      <c r="E963" s="9"/>
    </row>
    <row r="964" spans="3:5" ht="14">
      <c r="C964" s="12"/>
      <c r="D964" s="9"/>
      <c r="E964" s="9"/>
    </row>
    <row r="965" spans="3:5" ht="14">
      <c r="C965" s="12"/>
      <c r="D965" s="9"/>
      <c r="E965" s="9"/>
    </row>
    <row r="966" spans="3:5" ht="14">
      <c r="C966" s="12"/>
      <c r="D966" s="9"/>
      <c r="E966" s="9"/>
    </row>
    <row r="967" spans="3:5" ht="14">
      <c r="C967" s="12"/>
      <c r="D967" s="9"/>
      <c r="E967" s="9"/>
    </row>
    <row r="968" spans="3:5" ht="14">
      <c r="C968" s="12"/>
      <c r="D968" s="9"/>
      <c r="E968" s="9"/>
    </row>
    <row r="969" spans="3:5" ht="14">
      <c r="C969" s="12"/>
      <c r="D969" s="9"/>
      <c r="E969" s="9"/>
    </row>
    <row r="970" spans="3:5" ht="14">
      <c r="C970" s="12"/>
      <c r="D970" s="9"/>
      <c r="E970" s="9"/>
    </row>
    <row r="971" spans="3:5" ht="14">
      <c r="C971" s="12"/>
      <c r="D971" s="9"/>
      <c r="E971" s="9"/>
    </row>
    <row r="972" spans="3:5" ht="14">
      <c r="C972" s="12"/>
      <c r="D972" s="9"/>
      <c r="E972" s="9"/>
    </row>
    <row r="973" spans="3:5" ht="14">
      <c r="C973" s="12"/>
      <c r="D973" s="9"/>
      <c r="E973" s="9"/>
    </row>
    <row r="974" spans="3:5" ht="14">
      <c r="C974" s="12"/>
      <c r="D974" s="9"/>
      <c r="E974" s="9"/>
    </row>
    <row r="975" spans="3:5" ht="14">
      <c r="C975" s="12"/>
      <c r="D975" s="9"/>
      <c r="E975" s="9"/>
    </row>
    <row r="976" spans="3:5" ht="14">
      <c r="C976" s="12"/>
      <c r="D976" s="9"/>
      <c r="E976" s="9"/>
    </row>
    <row r="977" spans="3:5" ht="14">
      <c r="C977" s="12"/>
      <c r="D977" s="9"/>
      <c r="E977" s="9"/>
    </row>
    <row r="978" spans="3:5" ht="14">
      <c r="C978" s="12"/>
      <c r="D978" s="9"/>
      <c r="E978" s="9"/>
    </row>
    <row r="979" spans="3:5" ht="14">
      <c r="C979" s="12"/>
      <c r="D979" s="9"/>
      <c r="E979" s="9"/>
    </row>
    <row r="980" spans="3:5" ht="14">
      <c r="C980" s="12"/>
      <c r="D980" s="9"/>
      <c r="E980" s="9"/>
    </row>
    <row r="981" spans="3:5" ht="14">
      <c r="C981" s="12"/>
      <c r="D981" s="9"/>
      <c r="E981" s="9"/>
    </row>
    <row r="982" spans="3:5" ht="14">
      <c r="C982" s="12"/>
      <c r="D982" s="9"/>
      <c r="E982" s="9"/>
    </row>
    <row r="983" spans="3:5" ht="14">
      <c r="C983" s="12"/>
      <c r="D983" s="9"/>
      <c r="E983" s="9"/>
    </row>
    <row r="984" spans="3:5" ht="14">
      <c r="C984" s="12"/>
      <c r="D984" s="9"/>
      <c r="E984" s="9"/>
    </row>
    <row r="985" spans="3:5" ht="14">
      <c r="C985" s="12"/>
      <c r="D985" s="9"/>
      <c r="E985" s="9"/>
    </row>
    <row r="986" spans="3:5" ht="14">
      <c r="C986" s="12"/>
      <c r="D986" s="9"/>
      <c r="E986" s="9"/>
    </row>
    <row r="987" spans="3:5" ht="14">
      <c r="C987" s="12"/>
      <c r="D987" s="9"/>
      <c r="E987" s="9"/>
    </row>
    <row r="988" spans="3:5" ht="14">
      <c r="C988" s="12"/>
      <c r="D988" s="9"/>
      <c r="E988" s="9"/>
    </row>
    <row r="989" spans="3:5" ht="14">
      <c r="C989" s="12"/>
      <c r="D989" s="9"/>
      <c r="E989" s="9"/>
    </row>
    <row r="990" spans="3:5" ht="14">
      <c r="C990" s="12"/>
      <c r="D990" s="9"/>
      <c r="E990" s="9"/>
    </row>
    <row r="991" spans="3:5" ht="14">
      <c r="C991" s="12"/>
      <c r="D991" s="9"/>
      <c r="E991" s="9"/>
    </row>
    <row r="992" spans="3:5" ht="14">
      <c r="C992" s="12"/>
      <c r="D992" s="9"/>
      <c r="E992" s="9"/>
    </row>
    <row r="993" spans="3:5" ht="14">
      <c r="C993" s="12"/>
      <c r="D993" s="9"/>
      <c r="E993" s="9"/>
    </row>
    <row r="994" spans="3:5" ht="14">
      <c r="C994" s="12"/>
      <c r="D994" s="9"/>
      <c r="E994" s="9"/>
    </row>
    <row r="995" spans="3:5" ht="14">
      <c r="C995" s="12"/>
      <c r="D995" s="9"/>
      <c r="E995" s="9"/>
    </row>
    <row r="996" spans="3:5" ht="14">
      <c r="C996" s="12"/>
      <c r="D996" s="9"/>
      <c r="E996" s="9"/>
    </row>
    <row r="997" spans="3:5" ht="14">
      <c r="C997" s="12"/>
      <c r="D997" s="9"/>
      <c r="E997" s="9"/>
    </row>
    <row r="998" spans="3:5" ht="14">
      <c r="C998" s="12"/>
      <c r="D998" s="9"/>
      <c r="E998" s="9"/>
    </row>
    <row r="999" spans="3:5" ht="14">
      <c r="C999" s="12"/>
      <c r="D999" s="9"/>
      <c r="E999" s="9"/>
    </row>
    <row r="1000" spans="3:5" ht="14">
      <c r="C1000" s="12"/>
      <c r="D1000" s="9"/>
      <c r="E10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Lookups!$A$1:$A$6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1.6640625" customWidth="1"/>
    <col min="2" max="2" width="18" customWidth="1"/>
    <col min="3" max="3" width="19.1640625" customWidth="1"/>
    <col min="4" max="4" width="12.1640625" customWidth="1"/>
    <col min="5" max="5" width="10.6640625" customWidth="1"/>
    <col min="6" max="6" width="75.6640625" customWidth="1"/>
    <col min="7" max="7" width="25.1640625" customWidth="1"/>
    <col min="8" max="8" width="13.6640625" customWidth="1"/>
  </cols>
  <sheetData>
    <row r="1" spans="1:26">
      <c r="A1" s="1" t="s">
        <v>0</v>
      </c>
      <c r="B1" s="1" t="s">
        <v>1</v>
      </c>
      <c r="C1" s="30" t="s">
        <v>276</v>
      </c>
      <c r="D1" s="3" t="s">
        <v>3</v>
      </c>
      <c r="E1" s="4" t="s">
        <v>4</v>
      </c>
      <c r="F1" s="1" t="s">
        <v>5</v>
      </c>
      <c r="G1" s="5" t="s">
        <v>383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384</v>
      </c>
      <c r="B2" s="6" t="s">
        <v>385</v>
      </c>
      <c r="C2" s="18" t="s">
        <v>386</v>
      </c>
      <c r="D2" s="8">
        <f ca="1">IFERROR(__xludf.DUMMYFUNCTION("SPLIT(C2,"","")"),56.0899076)</f>
        <v>56.089907599999997</v>
      </c>
      <c r="E2" s="9">
        <f ca="1">IFERROR(__xludf.DUMMYFUNCTION("""COMPUTED_VALUE"""),8.2397695)</f>
        <v>8.2397694999999995</v>
      </c>
      <c r="F2" s="10" t="s">
        <v>387</v>
      </c>
      <c r="G2" s="6">
        <v>2</v>
      </c>
      <c r="H2" s="11" t="s">
        <v>388</v>
      </c>
    </row>
    <row r="3" spans="1:26">
      <c r="A3" s="6" t="s">
        <v>389</v>
      </c>
      <c r="B3" s="6" t="s">
        <v>390</v>
      </c>
      <c r="C3" s="18" t="s">
        <v>391</v>
      </c>
      <c r="D3" s="8">
        <f ca="1">IFERROR(__xludf.DUMMYFUNCTION("SPLIT(C3,"","")"),56.1530471)</f>
        <v>56.153047100000002</v>
      </c>
      <c r="E3" s="9">
        <f ca="1">IFERROR(__xludf.DUMMYFUNCTION("""COMPUTED_VALUE"""),10.1992424)</f>
        <v>10.199242399999999</v>
      </c>
      <c r="F3" s="10" t="s">
        <v>392</v>
      </c>
      <c r="G3" s="6">
        <v>3</v>
      </c>
    </row>
    <row r="4" spans="1:26">
      <c r="A4" s="11" t="s">
        <v>393</v>
      </c>
      <c r="B4" s="11" t="s">
        <v>394</v>
      </c>
      <c r="C4" s="31" t="s">
        <v>395</v>
      </c>
      <c r="D4" s="8">
        <f ca="1">IFERROR(__xludf.DUMMYFUNCTION("SPLIT(C4,"","")"),56.155146)</f>
        <v>56.155146000000002</v>
      </c>
      <c r="E4" s="9">
        <f ca="1">IFERROR(__xludf.DUMMYFUNCTION("""COMPUTED_VALUE"""),10.2088994)</f>
        <v>10.2088994</v>
      </c>
      <c r="F4" s="11" t="s">
        <v>396</v>
      </c>
      <c r="G4" s="11">
        <v>5</v>
      </c>
    </row>
    <row r="5" spans="1:26">
      <c r="A5" s="11" t="s">
        <v>397</v>
      </c>
      <c r="B5" s="11" t="s">
        <v>394</v>
      </c>
      <c r="C5" s="31" t="s">
        <v>398</v>
      </c>
      <c r="D5" s="8">
        <f ca="1">IFERROR(__xludf.DUMMYFUNCTION("SPLIT(C5,"","")"),55.7084444)</f>
        <v>55.708444399999998</v>
      </c>
      <c r="E5" s="9">
        <f ca="1">IFERROR(__xludf.DUMMYFUNCTION("""COMPUTED_VALUE"""),9.5312104)</f>
        <v>9.5312104000000009</v>
      </c>
      <c r="F5" s="11" t="s">
        <v>399</v>
      </c>
      <c r="G5" s="11">
        <v>3</v>
      </c>
    </row>
    <row r="6" spans="1:26">
      <c r="A6" s="11" t="s">
        <v>400</v>
      </c>
      <c r="B6" s="11" t="s">
        <v>401</v>
      </c>
      <c r="C6" s="31" t="s">
        <v>402</v>
      </c>
      <c r="D6" s="8">
        <f ca="1">IFERROR(__xludf.DUMMYFUNCTION("SPLIT(C6,"","")"),55.6718704)</f>
        <v>55.671870400000003</v>
      </c>
      <c r="E6" s="9">
        <f ca="1">IFERROR(__xludf.DUMMYFUNCTION("""COMPUTED_VALUE"""),12.554887)</f>
        <v>12.554887000000001</v>
      </c>
      <c r="F6" s="11" t="s">
        <v>403</v>
      </c>
      <c r="G6" s="11">
        <v>3</v>
      </c>
    </row>
    <row r="7" spans="1:26">
      <c r="A7" s="11" t="s">
        <v>404</v>
      </c>
      <c r="B7" s="11" t="s">
        <v>405</v>
      </c>
      <c r="C7" s="31" t="s">
        <v>406</v>
      </c>
      <c r="D7" s="8">
        <f ca="1">IFERROR(__xludf.DUMMYFUNCTION("SPLIT(C7,"","")"),55.7077752)</f>
        <v>55.7077752</v>
      </c>
      <c r="E7" s="9">
        <f ca="1">IFERROR(__xludf.DUMMYFUNCTION("""COMPUTED_VALUE"""),9.5308505)</f>
        <v>9.5308504999999997</v>
      </c>
      <c r="F7" s="11" t="s">
        <v>407</v>
      </c>
      <c r="G7" s="11">
        <v>3</v>
      </c>
      <c r="H7" s="11" t="s">
        <v>408</v>
      </c>
    </row>
    <row r="8" spans="1:26">
      <c r="A8" s="32" t="s">
        <v>409</v>
      </c>
      <c r="B8" s="11" t="s">
        <v>410</v>
      </c>
      <c r="C8" s="31" t="s">
        <v>411</v>
      </c>
      <c r="D8" s="8">
        <f ca="1">IFERROR(__xludf.DUMMYFUNCTION("SPLIT(C8,"","")"),55.3978672)</f>
        <v>55.3978672</v>
      </c>
      <c r="E8" s="9">
        <f ca="1">IFERROR(__xludf.DUMMYFUNCTION("""COMPUTED_VALUE"""),10.3862946)</f>
        <v>10.386294599999999</v>
      </c>
      <c r="F8" s="11" t="s">
        <v>412</v>
      </c>
      <c r="G8" s="11">
        <v>2</v>
      </c>
    </row>
    <row r="9" spans="1:26">
      <c r="A9" s="33" t="s">
        <v>413</v>
      </c>
      <c r="B9" s="11" t="s">
        <v>414</v>
      </c>
      <c r="C9" s="31" t="s">
        <v>415</v>
      </c>
      <c r="D9" s="8">
        <f ca="1">IFERROR(__xludf.DUMMYFUNCTION("SPLIT(C9,"","")"),55.7058235)</f>
        <v>55.705823500000001</v>
      </c>
      <c r="E9" s="9">
        <f ca="1">IFERROR(__xludf.DUMMYFUNCTION("""COMPUTED_VALUE"""),9.5324126)</f>
        <v>9.5324126000000007</v>
      </c>
      <c r="F9" s="11" t="s">
        <v>416</v>
      </c>
      <c r="G9" s="11">
        <v>3</v>
      </c>
    </row>
    <row r="10" spans="1:26">
      <c r="A10" s="32" t="s">
        <v>417</v>
      </c>
      <c r="B10" s="11" t="s">
        <v>394</v>
      </c>
      <c r="C10" s="31" t="s">
        <v>418</v>
      </c>
      <c r="D10" s="8">
        <f ca="1">IFERROR(__xludf.DUMMYFUNCTION("SPLIT(C10,"","")"),56.1570709)</f>
        <v>56.157070900000001</v>
      </c>
      <c r="E10" s="9">
        <f ca="1">IFERROR(__xludf.DUMMYFUNCTION("""COMPUTED_VALUE"""),10.2039911)</f>
        <v>10.2039911</v>
      </c>
      <c r="F10" s="11" t="s">
        <v>419</v>
      </c>
      <c r="G10" s="11">
        <v>3</v>
      </c>
    </row>
    <row r="11" spans="1:26">
      <c r="A11" s="34" t="s">
        <v>420</v>
      </c>
      <c r="B11" s="11" t="s">
        <v>394</v>
      </c>
      <c r="C11" s="31" t="s">
        <v>421</v>
      </c>
      <c r="D11" s="8">
        <f ca="1">IFERROR(__xludf.DUMMYFUNCTION("SPLIT(C11,"","")"),56.1565188)</f>
        <v>56.156518800000001</v>
      </c>
      <c r="E11" s="9">
        <f ca="1">IFERROR(__xludf.DUMMYFUNCTION("""COMPUTED_VALUE"""),10.2047256)</f>
        <v>10.2047256</v>
      </c>
      <c r="F11" s="11" t="s">
        <v>422</v>
      </c>
      <c r="G11" s="11">
        <v>-5</v>
      </c>
    </row>
    <row r="12" spans="1:26">
      <c r="A12" s="11" t="s">
        <v>423</v>
      </c>
      <c r="B12" s="11" t="s">
        <v>394</v>
      </c>
      <c r="C12" s="31" t="s">
        <v>424</v>
      </c>
      <c r="D12" s="8">
        <f ca="1">IFERROR(__xludf.DUMMYFUNCTION("SPLIT(C12,"","")"),55.6787703)</f>
        <v>55.678770299999996</v>
      </c>
      <c r="E12" s="9">
        <f ca="1">IFERROR(__xludf.DUMMYFUNCTION("""COMPUTED_VALUE"""),12.577665)</f>
        <v>12.577665</v>
      </c>
      <c r="F12" s="11" t="s">
        <v>425</v>
      </c>
      <c r="G12" s="11">
        <v>3</v>
      </c>
    </row>
    <row r="13" spans="1:26">
      <c r="A13" s="11" t="s">
        <v>426</v>
      </c>
      <c r="B13" s="11" t="s">
        <v>427</v>
      </c>
      <c r="C13" s="35" t="s">
        <v>428</v>
      </c>
      <c r="D13" s="8">
        <f ca="1">IFERROR(__xludf.DUMMYFUNCTION("SPLIT(C13,"","")"),55.6949702)</f>
        <v>55.6949702</v>
      </c>
      <c r="E13" s="9">
        <f ca="1">IFERROR(__xludf.DUMMYFUNCTION("""COMPUTED_VALUE"""),12.5476251)</f>
        <v>12.547625099999999</v>
      </c>
      <c r="F13" s="11" t="s">
        <v>429</v>
      </c>
      <c r="G13" s="11">
        <v>3</v>
      </c>
    </row>
    <row r="14" spans="1:26">
      <c r="A14" s="32" t="s">
        <v>430</v>
      </c>
      <c r="B14" s="11" t="s">
        <v>394</v>
      </c>
      <c r="C14" s="35" t="s">
        <v>431</v>
      </c>
      <c r="D14" s="8">
        <f ca="1">IFERROR(__xludf.DUMMYFUNCTION("SPLIT(C14,"","")"),56.1578167)</f>
        <v>56.157816699999998</v>
      </c>
      <c r="E14" s="9">
        <f ca="1">IFERROR(__xludf.DUMMYFUNCTION("""COMPUTED_VALUE"""),8.9925051)</f>
        <v>8.9925051000000007</v>
      </c>
      <c r="F14" s="11" t="s">
        <v>432</v>
      </c>
    </row>
    <row r="15" spans="1:26">
      <c r="A15" s="34" t="s">
        <v>433</v>
      </c>
      <c r="B15" s="11" t="s">
        <v>434</v>
      </c>
      <c r="C15" s="35" t="s">
        <v>435</v>
      </c>
      <c r="D15" s="8">
        <f ca="1">IFERROR(__xludf.DUMMYFUNCTION("SPLIT(C15,"","")"),56.1576075)</f>
        <v>56.157607499999997</v>
      </c>
      <c r="E15" s="9">
        <f ca="1">IFERROR(__xludf.DUMMYFUNCTION("""COMPUTED_VALUE"""),10.1991906)</f>
        <v>10.1991906</v>
      </c>
      <c r="F15" s="11" t="s">
        <v>436</v>
      </c>
      <c r="G15" s="11">
        <v>7</v>
      </c>
      <c r="H15" s="11" t="s">
        <v>437</v>
      </c>
    </row>
    <row r="16" spans="1:26">
      <c r="A16" s="32" t="s">
        <v>438</v>
      </c>
      <c r="B16" s="11" t="s">
        <v>401</v>
      </c>
      <c r="C16" s="35" t="s">
        <v>439</v>
      </c>
      <c r="D16" s="8">
        <f ca="1">IFERROR(__xludf.DUMMYFUNCTION("SPLIT(C16,"","")"),55.847387)</f>
        <v>55.847386999999998</v>
      </c>
      <c r="E16" s="9">
        <f ca="1">IFERROR(__xludf.DUMMYFUNCTION("""COMPUTED_VALUE"""),9.587058)</f>
        <v>9.5870580000000007</v>
      </c>
      <c r="F16" s="11" t="s">
        <v>440</v>
      </c>
      <c r="G16" s="11">
        <v>1</v>
      </c>
    </row>
    <row r="17" spans="1:8">
      <c r="A17" s="34" t="s">
        <v>441</v>
      </c>
      <c r="B17" s="11" t="s">
        <v>394</v>
      </c>
      <c r="C17" s="31" t="s">
        <v>442</v>
      </c>
      <c r="D17" s="8">
        <f ca="1">IFERROR(__xludf.DUMMYFUNCTION("SPLIT(C17,"","")"),56.1576819)</f>
        <v>56.1576819</v>
      </c>
      <c r="E17" s="9">
        <f ca="1">IFERROR(__xludf.DUMMYFUNCTION("""COMPUTED_VALUE"""),10.2001311)</f>
        <v>10.2001311</v>
      </c>
      <c r="F17" s="11" t="s">
        <v>443</v>
      </c>
      <c r="G17" s="11">
        <v>-10</v>
      </c>
    </row>
    <row r="18" spans="1:8">
      <c r="A18" s="32" t="s">
        <v>444</v>
      </c>
      <c r="B18" s="11" t="s">
        <v>410</v>
      </c>
      <c r="C18" s="31" t="s">
        <v>445</v>
      </c>
      <c r="D18" s="8">
        <f ca="1">IFERROR(__xludf.DUMMYFUNCTION("SPLIT(C18,"","")"),55.7082228)</f>
        <v>55.708222800000001</v>
      </c>
      <c r="E18" s="9">
        <f ca="1">IFERROR(__xludf.DUMMYFUNCTION("""COMPUTED_VALUE"""),9.5334837)</f>
        <v>9.5334836999999997</v>
      </c>
      <c r="F18" s="11" t="s">
        <v>446</v>
      </c>
      <c r="G18" s="11">
        <v>-100</v>
      </c>
    </row>
    <row r="19" spans="1:8">
      <c r="A19" s="32" t="s">
        <v>447</v>
      </c>
      <c r="B19" s="11" t="s">
        <v>394</v>
      </c>
      <c r="C19" s="31" t="s">
        <v>448</v>
      </c>
      <c r="D19" s="8">
        <v>55.711791400000003</v>
      </c>
      <c r="E19" s="9">
        <v>9.5278647999999997</v>
      </c>
      <c r="F19" s="11" t="s">
        <v>449</v>
      </c>
      <c r="G19" s="11">
        <v>3</v>
      </c>
    </row>
    <row r="20" spans="1:8">
      <c r="A20" s="34" t="s">
        <v>450</v>
      </c>
      <c r="B20" s="11" t="s">
        <v>394</v>
      </c>
      <c r="C20" s="31" t="s">
        <v>451</v>
      </c>
      <c r="D20" s="8">
        <f ca="1">IFERROR(__xludf.DUMMYFUNCTION("SPLIT(C20,"","")"),56.158784672008)</f>
        <v>56.158784672007997</v>
      </c>
      <c r="E20" s="9">
        <f ca="1">IFERROR(__xludf.DUMMYFUNCTION("""COMPUTED_VALUE"""),10.2107930576703)</f>
        <v>10.210793057670299</v>
      </c>
      <c r="F20" s="11" t="s">
        <v>452</v>
      </c>
      <c r="G20" s="11">
        <v>5</v>
      </c>
    </row>
    <row r="21" spans="1:8">
      <c r="A21" s="11" t="s">
        <v>453</v>
      </c>
      <c r="B21" s="11" t="s">
        <v>454</v>
      </c>
      <c r="C21" s="31" t="s">
        <v>455</v>
      </c>
      <c r="D21" s="8">
        <f ca="1">IFERROR(__xludf.DUMMYFUNCTION("SPLIT(C21,"","")"),55.710318)</f>
        <v>55.710318000000001</v>
      </c>
      <c r="E21" s="9">
        <f ca="1">IFERROR(__xludf.DUMMYFUNCTION("""COMPUTED_VALUE"""),9.5333791)</f>
        <v>9.5333790999999994</v>
      </c>
      <c r="F21" s="11" t="s">
        <v>456</v>
      </c>
      <c r="G21" s="11">
        <v>4</v>
      </c>
    </row>
    <row r="22" spans="1:8">
      <c r="A22" s="32" t="s">
        <v>457</v>
      </c>
      <c r="B22" s="11" t="s">
        <v>410</v>
      </c>
      <c r="C22" s="31" t="s">
        <v>458</v>
      </c>
      <c r="D22" s="8">
        <f ca="1">IFERROR(__xludf.DUMMYFUNCTION("SPLIT(C22,"","")"),55.6993136)</f>
        <v>55.699313600000004</v>
      </c>
      <c r="E22" s="9">
        <f ca="1">IFERROR(__xludf.DUMMYFUNCTION("""COMPUTED_VALUE"""),12.5380934)</f>
        <v>12.538093399999999</v>
      </c>
      <c r="F22" s="11" t="s">
        <v>459</v>
      </c>
      <c r="G22" s="11">
        <v>1</v>
      </c>
    </row>
    <row r="23" spans="1:8">
      <c r="A23" s="34" t="s">
        <v>460</v>
      </c>
      <c r="B23" s="11" t="s">
        <v>461</v>
      </c>
      <c r="C23" s="31" t="s">
        <v>462</v>
      </c>
      <c r="D23" s="8">
        <f ca="1">IFERROR(__xludf.DUMMYFUNCTION("SPLIT(C23,"","")"),56.1924254)</f>
        <v>56.192425399999998</v>
      </c>
      <c r="E23" s="9">
        <f ca="1">IFERROR(__xludf.DUMMYFUNCTION("""COMPUTED_VALUE"""),10.2077138)</f>
        <v>10.207713800000001</v>
      </c>
      <c r="F23" s="11" t="s">
        <v>463</v>
      </c>
      <c r="G23" s="11">
        <v>3</v>
      </c>
      <c r="H23" s="11" t="s">
        <v>464</v>
      </c>
    </row>
    <row r="24" spans="1:8">
      <c r="A24" s="11" t="s">
        <v>465</v>
      </c>
      <c r="B24" s="11" t="s">
        <v>427</v>
      </c>
      <c r="C24" s="31" t="s">
        <v>466</v>
      </c>
      <c r="D24" s="8">
        <f ca="1">IFERROR(__xludf.DUMMYFUNCTION("SPLIT(C24,"","")"),56.1538806)</f>
        <v>56.153880600000001</v>
      </c>
      <c r="E24" s="9">
        <f ca="1">IFERROR(__xludf.DUMMYFUNCTION("""COMPUTED_VALUE"""),10.2068557)</f>
        <v>10.2068557</v>
      </c>
      <c r="F24" s="11" t="s">
        <v>467</v>
      </c>
      <c r="G24" s="11">
        <v>4</v>
      </c>
      <c r="H24" s="11" t="s">
        <v>468</v>
      </c>
    </row>
    <row r="25" spans="1:8">
      <c r="C25" s="31"/>
      <c r="D25" s="8"/>
      <c r="E25" s="9"/>
    </row>
    <row r="26" spans="1:8">
      <c r="C26" s="31"/>
      <c r="D26" s="8"/>
    </row>
    <row r="27" spans="1:8">
      <c r="C27" s="31"/>
      <c r="D27" s="8"/>
    </row>
    <row r="28" spans="1:8">
      <c r="C28" s="31"/>
      <c r="D28" s="8"/>
    </row>
    <row r="29" spans="1:8">
      <c r="C29" s="31"/>
      <c r="D29" s="8"/>
    </row>
    <row r="30" spans="1:8">
      <c r="C30" s="31"/>
      <c r="D30" s="8"/>
    </row>
    <row r="31" spans="1:8">
      <c r="C31" s="31"/>
      <c r="D31" s="8"/>
    </row>
    <row r="32" spans="1:8">
      <c r="C32" s="31"/>
      <c r="D32" s="8"/>
    </row>
    <row r="33" spans="2:4">
      <c r="B33" s="36"/>
      <c r="C33" s="31"/>
      <c r="D33" s="8"/>
    </row>
    <row r="34" spans="2:4">
      <c r="C34" s="31"/>
      <c r="D34" s="8"/>
    </row>
    <row r="35" spans="2:4">
      <c r="C35" s="31"/>
      <c r="D35" s="8"/>
    </row>
    <row r="36" spans="2:4">
      <c r="C36" s="31"/>
      <c r="D36" s="8"/>
    </row>
    <row r="37" spans="2:4">
      <c r="C37" s="37"/>
      <c r="D37" s="8"/>
    </row>
    <row r="38" spans="2:4">
      <c r="C38" s="31"/>
      <c r="D38" s="8"/>
    </row>
    <row r="39" spans="2:4">
      <c r="C39" s="31"/>
      <c r="D39" s="8"/>
    </row>
    <row r="40" spans="2:4">
      <c r="C40" s="35"/>
      <c r="D40" s="8"/>
    </row>
    <row r="41" spans="2:4">
      <c r="C41" s="38"/>
      <c r="D41" s="8"/>
    </row>
    <row r="42" spans="2:4">
      <c r="C42" s="31"/>
      <c r="D42" s="8"/>
    </row>
    <row r="43" spans="2:4">
      <c r="C43" s="31"/>
      <c r="D43" s="8"/>
    </row>
    <row r="44" spans="2:4">
      <c r="C44" s="31"/>
      <c r="D44" s="8"/>
    </row>
    <row r="45" spans="2:4">
      <c r="C45" s="31"/>
      <c r="D45" s="8"/>
    </row>
    <row r="46" spans="2:4">
      <c r="C46" s="31"/>
      <c r="D46" s="8"/>
    </row>
    <row r="47" spans="2:4">
      <c r="C47" s="31"/>
      <c r="D47" s="8"/>
    </row>
    <row r="48" spans="2:4">
      <c r="C48" s="31"/>
      <c r="D48" s="8"/>
    </row>
    <row r="49" spans="3:4">
      <c r="C49" s="31"/>
      <c r="D49" s="8"/>
    </row>
    <row r="50" spans="3:4">
      <c r="C50" s="31"/>
      <c r="D50" s="8"/>
    </row>
    <row r="51" spans="3:4">
      <c r="C51" s="31"/>
      <c r="D51" s="8"/>
    </row>
    <row r="52" spans="3:4">
      <c r="C52" s="31"/>
      <c r="D52" s="8"/>
    </row>
    <row r="53" spans="3:4">
      <c r="C53" s="31"/>
      <c r="D53" s="8"/>
    </row>
    <row r="54" spans="3:4">
      <c r="C54" s="31"/>
      <c r="D54" s="8"/>
    </row>
    <row r="55" spans="3:4">
      <c r="C55" s="31"/>
      <c r="D55" s="8"/>
    </row>
    <row r="56" spans="3:4">
      <c r="C56" s="31"/>
      <c r="D56" s="8"/>
    </row>
    <row r="57" spans="3:4">
      <c r="C57" s="31"/>
      <c r="D57" s="8"/>
    </row>
    <row r="58" spans="3:4">
      <c r="C58" s="31"/>
      <c r="D58" s="8"/>
    </row>
    <row r="59" spans="3:4">
      <c r="C59" s="35"/>
      <c r="D59" s="8"/>
    </row>
    <row r="60" spans="3:4">
      <c r="C60" s="39"/>
      <c r="D60" s="8"/>
    </row>
    <row r="61" spans="3:4">
      <c r="C61" s="31"/>
      <c r="D61" s="8"/>
    </row>
    <row r="62" spans="3:4">
      <c r="C62" s="31"/>
      <c r="D62" s="8"/>
    </row>
    <row r="63" spans="3:4">
      <c r="C63" s="31"/>
      <c r="D63" s="8"/>
    </row>
    <row r="64" spans="3:4">
      <c r="C64" s="31"/>
      <c r="D64" s="8"/>
    </row>
    <row r="65" spans="3:4">
      <c r="C65" s="31"/>
      <c r="D65" s="8"/>
    </row>
    <row r="66" spans="3:4">
      <c r="C66" s="31"/>
      <c r="D66" s="8"/>
    </row>
    <row r="67" spans="3:4">
      <c r="C67" s="31"/>
      <c r="D67" s="8"/>
    </row>
    <row r="68" spans="3:4">
      <c r="C68" s="31"/>
      <c r="D68" s="8"/>
    </row>
    <row r="69" spans="3:4">
      <c r="C69" s="31"/>
      <c r="D69" s="8"/>
    </row>
    <row r="70" spans="3:4">
      <c r="C70" s="31"/>
      <c r="D70" s="8"/>
    </row>
    <row r="71" spans="3:4">
      <c r="C71" s="31"/>
      <c r="D71" s="8"/>
    </row>
    <row r="72" spans="3:4">
      <c r="C72" s="31"/>
      <c r="D72" s="8"/>
    </row>
    <row r="73" spans="3:4">
      <c r="C73" s="31"/>
      <c r="D73" s="8"/>
    </row>
    <row r="74" spans="3:4">
      <c r="C74" s="31"/>
      <c r="D74" s="8"/>
    </row>
    <row r="75" spans="3:4">
      <c r="C75" s="31"/>
      <c r="D75" s="8"/>
    </row>
    <row r="76" spans="3:4">
      <c r="C76" s="31"/>
      <c r="D76" s="8"/>
    </row>
    <row r="77" spans="3:4">
      <c r="C77" s="31"/>
      <c r="D77" s="8"/>
    </row>
    <row r="78" spans="3:4">
      <c r="C78" s="31"/>
      <c r="D78" s="8"/>
    </row>
    <row r="79" spans="3:4">
      <c r="C79" s="31"/>
      <c r="D79" s="8"/>
    </row>
    <row r="80" spans="3:4">
      <c r="C80" s="31"/>
      <c r="D80" s="8"/>
    </row>
    <row r="81" spans="3:6">
      <c r="C81" s="31"/>
      <c r="D81" s="8"/>
    </row>
    <row r="82" spans="3:6">
      <c r="C82" s="31"/>
      <c r="D82" s="8"/>
    </row>
    <row r="83" spans="3:6">
      <c r="C83" s="31"/>
      <c r="D83" s="8"/>
    </row>
    <row r="84" spans="3:6">
      <c r="C84" s="31"/>
      <c r="D84" s="8"/>
    </row>
    <row r="85" spans="3:6">
      <c r="C85" s="31"/>
      <c r="D85" s="8"/>
    </row>
    <row r="86" spans="3:6">
      <c r="C86" s="31"/>
      <c r="D86" s="8"/>
    </row>
    <row r="87" spans="3:6">
      <c r="C87" s="31"/>
      <c r="D87" s="8"/>
    </row>
    <row r="88" spans="3:6">
      <c r="C88" s="31"/>
      <c r="D88" s="8"/>
    </row>
    <row r="89" spans="3:6">
      <c r="C89" s="31"/>
      <c r="D89" s="8"/>
    </row>
    <row r="90" spans="3:6">
      <c r="C90" s="40"/>
      <c r="D90" s="8"/>
    </row>
    <row r="91" spans="3:6">
      <c r="C91" s="31"/>
      <c r="D91" s="8"/>
    </row>
    <row r="92" spans="3:6">
      <c r="C92" s="31"/>
      <c r="D92" s="8"/>
      <c r="F92" s="41"/>
    </row>
    <row r="93" spans="3:6">
      <c r="C93" s="31"/>
      <c r="D93" s="8"/>
    </row>
    <row r="94" spans="3:6">
      <c r="C94" s="31"/>
      <c r="D94" s="8"/>
    </row>
    <row r="95" spans="3:6">
      <c r="C95" s="31"/>
      <c r="D95" s="8"/>
    </row>
    <row r="96" spans="3:6">
      <c r="C96" s="31"/>
      <c r="D96" s="8"/>
    </row>
    <row r="97" spans="3:4">
      <c r="C97" s="31"/>
      <c r="D97" s="8"/>
    </row>
    <row r="98" spans="3:4">
      <c r="C98" s="31"/>
      <c r="D98" s="8"/>
    </row>
    <row r="99" spans="3:4">
      <c r="C99" s="31"/>
      <c r="D99" s="8"/>
    </row>
    <row r="100" spans="3:4">
      <c r="C100" s="31"/>
      <c r="D100" s="8"/>
    </row>
    <row r="101" spans="3:4">
      <c r="C101" s="31"/>
      <c r="D101" s="8"/>
    </row>
    <row r="102" spans="3:4">
      <c r="C102" s="31"/>
      <c r="D102" s="8"/>
    </row>
    <row r="103" spans="3:4">
      <c r="C103" s="31"/>
      <c r="D103" s="8"/>
    </row>
    <row r="104" spans="3:4">
      <c r="C104" s="31"/>
      <c r="D104" s="8"/>
    </row>
    <row r="105" spans="3:4">
      <c r="C105" s="31"/>
      <c r="D105" s="8"/>
    </row>
    <row r="106" spans="3:4">
      <c r="C106" s="31"/>
      <c r="D106" s="8"/>
    </row>
    <row r="107" spans="3:4">
      <c r="C107" s="31"/>
      <c r="D107" s="8"/>
    </row>
    <row r="108" spans="3:4">
      <c r="C108" s="31"/>
      <c r="D108" s="8"/>
    </row>
    <row r="109" spans="3:4">
      <c r="C109" s="31"/>
      <c r="D109" s="8"/>
    </row>
    <row r="110" spans="3:4">
      <c r="C110" s="31"/>
      <c r="D110" s="8"/>
    </row>
    <row r="111" spans="3:4" ht="15.75" customHeight="1">
      <c r="C111" s="31"/>
    </row>
    <row r="112" spans="3:4" ht="15.75" customHeight="1">
      <c r="D112" s="31"/>
    </row>
    <row r="113" spans="3:3" ht="15.75" customHeight="1">
      <c r="C113" s="31"/>
    </row>
    <row r="114" spans="3:3" ht="15.75" customHeight="1">
      <c r="C114" s="31"/>
    </row>
    <row r="115" spans="3:3" ht="15.75" customHeight="1">
      <c r="C115" s="31"/>
    </row>
    <row r="116" spans="3:3" ht="15.75" customHeight="1">
      <c r="C116" s="31"/>
    </row>
    <row r="117" spans="3:3" ht="15.75" customHeight="1">
      <c r="C117" s="31"/>
    </row>
    <row r="118" spans="3:3" ht="15.75" customHeight="1">
      <c r="C118" s="31"/>
    </row>
    <row r="119" spans="3:3" ht="15.75" customHeight="1">
      <c r="C119" s="31"/>
    </row>
    <row r="120" spans="3:3" ht="15.75" customHeight="1">
      <c r="C120" s="31"/>
    </row>
    <row r="121" spans="3:3" ht="15.75" customHeight="1">
      <c r="C121" s="31"/>
    </row>
    <row r="122" spans="3:3" ht="15.75" customHeight="1">
      <c r="C122" s="31"/>
    </row>
    <row r="123" spans="3:3" ht="15.75" customHeight="1">
      <c r="C123" s="31"/>
    </row>
    <row r="124" spans="3:3" ht="15.75" customHeight="1">
      <c r="C124" s="31"/>
    </row>
    <row r="125" spans="3:3" ht="15.75" customHeight="1">
      <c r="C125" s="31"/>
    </row>
    <row r="126" spans="3:3" ht="15.75" customHeight="1">
      <c r="C126" s="31"/>
    </row>
    <row r="127" spans="3:3" ht="15.75" customHeight="1">
      <c r="C127" s="31"/>
    </row>
    <row r="128" spans="3:3" ht="15.75" customHeight="1">
      <c r="C128" s="31"/>
    </row>
    <row r="129" spans="3:3" ht="15.75" customHeight="1">
      <c r="C129" s="31"/>
    </row>
    <row r="130" spans="3:3" ht="15.75" customHeight="1">
      <c r="C130" s="31"/>
    </row>
    <row r="131" spans="3:3" ht="15.75" customHeight="1">
      <c r="C131" s="31"/>
    </row>
    <row r="132" spans="3:3" ht="15.75" customHeight="1">
      <c r="C132" s="31"/>
    </row>
    <row r="133" spans="3:3" ht="15.75" customHeight="1">
      <c r="C133" s="31"/>
    </row>
    <row r="134" spans="3:3" ht="15.75" customHeight="1">
      <c r="C134" s="31"/>
    </row>
    <row r="135" spans="3:3" ht="15.75" customHeight="1">
      <c r="C135" s="31"/>
    </row>
    <row r="136" spans="3:3" ht="15.75" customHeight="1">
      <c r="C136" s="31"/>
    </row>
    <row r="137" spans="3:3" ht="15.75" customHeight="1">
      <c r="C137" s="31"/>
    </row>
    <row r="138" spans="3:3" ht="15.75" customHeight="1">
      <c r="C138" s="31"/>
    </row>
    <row r="139" spans="3:3" ht="15.75" customHeight="1">
      <c r="C139" s="31"/>
    </row>
    <row r="140" spans="3:3" ht="15.75" customHeight="1">
      <c r="C140" s="31"/>
    </row>
    <row r="141" spans="3:3" ht="15.75" customHeight="1">
      <c r="C141" s="31"/>
    </row>
    <row r="142" spans="3:3" ht="15.75" customHeight="1">
      <c r="C142" s="31"/>
    </row>
    <row r="143" spans="3:3" ht="15.75" customHeight="1">
      <c r="C143" s="31"/>
    </row>
    <row r="144" spans="3:3" ht="15.75" customHeight="1">
      <c r="C144" s="31"/>
    </row>
    <row r="145" spans="3:3" ht="15.75" customHeight="1">
      <c r="C145" s="31"/>
    </row>
    <row r="146" spans="3:3" ht="15.75" customHeight="1">
      <c r="C146" s="31"/>
    </row>
    <row r="147" spans="3:3" ht="15.75" customHeight="1">
      <c r="C147" s="31"/>
    </row>
    <row r="148" spans="3:3" ht="15.75" customHeight="1">
      <c r="C148" s="31"/>
    </row>
    <row r="149" spans="3:3" ht="15.75" customHeight="1">
      <c r="C149" s="31"/>
    </row>
    <row r="150" spans="3:3" ht="15.75" customHeight="1">
      <c r="C150" s="31"/>
    </row>
    <row r="151" spans="3:3" ht="15.75" customHeight="1">
      <c r="C151" s="31"/>
    </row>
    <row r="152" spans="3:3" ht="15.75" customHeight="1">
      <c r="C152" s="31"/>
    </row>
    <row r="153" spans="3:3" ht="15.75" customHeight="1">
      <c r="C153" s="31"/>
    </row>
    <row r="154" spans="3:3" ht="15.75" customHeight="1">
      <c r="C154" s="31"/>
    </row>
    <row r="155" spans="3:3" ht="15.75" customHeight="1">
      <c r="C155" s="31"/>
    </row>
    <row r="156" spans="3:3" ht="15.75" customHeight="1">
      <c r="C156" s="31"/>
    </row>
    <row r="157" spans="3:3" ht="15.75" customHeight="1">
      <c r="C157" s="31"/>
    </row>
    <row r="158" spans="3:3" ht="15.75" customHeight="1">
      <c r="C158" s="31"/>
    </row>
    <row r="159" spans="3:3" ht="15.75" customHeight="1">
      <c r="C159" s="31"/>
    </row>
    <row r="160" spans="3:3" ht="15.75" customHeight="1">
      <c r="C160" s="31"/>
    </row>
    <row r="161" spans="3:3" ht="15.75" customHeight="1">
      <c r="C161" s="31"/>
    </row>
    <row r="162" spans="3:3" ht="15.75" customHeight="1">
      <c r="C162" s="31"/>
    </row>
    <row r="163" spans="3:3" ht="15.75" customHeight="1">
      <c r="C163" s="31"/>
    </row>
    <row r="164" spans="3:3" ht="15.75" customHeight="1">
      <c r="C164" s="31"/>
    </row>
    <row r="165" spans="3:3" ht="15.75" customHeight="1">
      <c r="C165" s="31"/>
    </row>
    <row r="166" spans="3:3" ht="15.75" customHeight="1">
      <c r="C166" s="31"/>
    </row>
    <row r="167" spans="3:3" ht="15.75" customHeight="1">
      <c r="C167" s="31"/>
    </row>
    <row r="168" spans="3:3" ht="15.75" customHeight="1">
      <c r="C168" s="31"/>
    </row>
    <row r="169" spans="3:3" ht="15.75" customHeight="1">
      <c r="C169" s="31"/>
    </row>
    <row r="170" spans="3:3" ht="15.75" customHeight="1">
      <c r="C170" s="31"/>
    </row>
    <row r="171" spans="3:3" ht="15.75" customHeight="1">
      <c r="C171" s="31"/>
    </row>
    <row r="172" spans="3:3" ht="15.75" customHeight="1">
      <c r="C172" s="31"/>
    </row>
    <row r="173" spans="3:3" ht="15.75" customHeight="1">
      <c r="C173" s="31"/>
    </row>
    <row r="174" spans="3:3" ht="15.75" customHeight="1">
      <c r="C174" s="31"/>
    </row>
    <row r="175" spans="3:3" ht="15.75" customHeight="1">
      <c r="C175" s="31"/>
    </row>
    <row r="176" spans="3:3" ht="15.75" customHeight="1">
      <c r="C176" s="31"/>
    </row>
    <row r="177" spans="3:3" ht="15.75" customHeight="1">
      <c r="C177" s="31"/>
    </row>
    <row r="178" spans="3:3" ht="15.75" customHeight="1">
      <c r="C178" s="31"/>
    </row>
    <row r="179" spans="3:3" ht="15.75" customHeight="1">
      <c r="C179" s="31"/>
    </row>
    <row r="180" spans="3:3" ht="15.75" customHeight="1">
      <c r="C180" s="31"/>
    </row>
    <row r="181" spans="3:3" ht="15.75" customHeight="1">
      <c r="C181" s="31"/>
    </row>
    <row r="182" spans="3:3" ht="15.75" customHeight="1">
      <c r="C182" s="31"/>
    </row>
    <row r="183" spans="3:3" ht="15.75" customHeight="1">
      <c r="C183" s="31"/>
    </row>
    <row r="184" spans="3:3" ht="15.75" customHeight="1">
      <c r="C184" s="31"/>
    </row>
    <row r="185" spans="3:3" ht="15.75" customHeight="1">
      <c r="C185" s="31"/>
    </row>
    <row r="186" spans="3:3" ht="15.75" customHeight="1">
      <c r="C186" s="31"/>
    </row>
    <row r="187" spans="3:3" ht="15.75" customHeight="1">
      <c r="C187" s="31"/>
    </row>
    <row r="188" spans="3:3" ht="15.75" customHeight="1">
      <c r="C188" s="31"/>
    </row>
    <row r="189" spans="3:3" ht="15.75" customHeight="1">
      <c r="C189" s="31"/>
    </row>
    <row r="190" spans="3:3" ht="15.75" customHeight="1">
      <c r="C190" s="31"/>
    </row>
    <row r="191" spans="3:3" ht="15.75" customHeight="1">
      <c r="C191" s="31"/>
    </row>
    <row r="192" spans="3:3" ht="15.75" customHeight="1">
      <c r="C192" s="31"/>
    </row>
    <row r="193" spans="3:3" ht="15.75" customHeight="1">
      <c r="C193" s="31"/>
    </row>
    <row r="194" spans="3:3" ht="15.75" customHeight="1">
      <c r="C194" s="31"/>
    </row>
    <row r="195" spans="3:3" ht="15.75" customHeight="1">
      <c r="C195" s="31"/>
    </row>
    <row r="196" spans="3:3" ht="15.75" customHeight="1">
      <c r="C196" s="31"/>
    </row>
    <row r="197" spans="3:3" ht="15.75" customHeight="1">
      <c r="C197" s="31"/>
    </row>
    <row r="198" spans="3:3" ht="15.75" customHeight="1">
      <c r="C198" s="31"/>
    </row>
    <row r="199" spans="3:3" ht="15.75" customHeight="1">
      <c r="C199" s="31"/>
    </row>
    <row r="200" spans="3:3" ht="15.75" customHeight="1">
      <c r="C200" s="31"/>
    </row>
    <row r="201" spans="3:3" ht="15.75" customHeight="1">
      <c r="C201" s="31"/>
    </row>
    <row r="202" spans="3:3" ht="15.75" customHeight="1">
      <c r="C202" s="31"/>
    </row>
    <row r="203" spans="3:3" ht="15.75" customHeight="1">
      <c r="C203" s="31"/>
    </row>
    <row r="204" spans="3:3" ht="15.75" customHeight="1">
      <c r="C204" s="31"/>
    </row>
    <row r="205" spans="3:3" ht="15.75" customHeight="1">
      <c r="C205" s="31"/>
    </row>
    <row r="206" spans="3:3" ht="15.75" customHeight="1">
      <c r="C206" s="31"/>
    </row>
    <row r="207" spans="3:3" ht="15.75" customHeight="1">
      <c r="C207" s="31"/>
    </row>
    <row r="208" spans="3:3" ht="15.75" customHeight="1">
      <c r="C208" s="31"/>
    </row>
    <row r="209" spans="3:3" ht="15.75" customHeight="1">
      <c r="C209" s="31"/>
    </row>
    <row r="210" spans="3:3" ht="15.75" customHeight="1">
      <c r="C210" s="31"/>
    </row>
    <row r="211" spans="3:3" ht="15.75" customHeight="1">
      <c r="C211" s="31"/>
    </row>
    <row r="212" spans="3:3" ht="15.75" customHeight="1">
      <c r="C212" s="31"/>
    </row>
    <row r="213" spans="3:3" ht="15.75" customHeight="1">
      <c r="C213" s="31"/>
    </row>
    <row r="214" spans="3:3" ht="15.75" customHeight="1">
      <c r="C214" s="31"/>
    </row>
    <row r="215" spans="3:3" ht="15.75" customHeight="1">
      <c r="C215" s="31"/>
    </row>
    <row r="216" spans="3:3" ht="15.75" customHeight="1">
      <c r="C216" s="31"/>
    </row>
    <row r="217" spans="3:3" ht="15.75" customHeight="1">
      <c r="C217" s="31"/>
    </row>
    <row r="218" spans="3:3" ht="15.75" customHeight="1">
      <c r="C218" s="31"/>
    </row>
    <row r="219" spans="3:3" ht="15.75" customHeight="1">
      <c r="C219" s="31"/>
    </row>
    <row r="220" spans="3:3" ht="15.75" customHeight="1">
      <c r="C220" s="31"/>
    </row>
    <row r="221" spans="3:3" ht="15.75" customHeight="1">
      <c r="C221" s="31"/>
    </row>
    <row r="222" spans="3:3" ht="15.75" customHeight="1">
      <c r="C222" s="31"/>
    </row>
    <row r="223" spans="3:3" ht="15.75" customHeight="1">
      <c r="C223" s="31"/>
    </row>
    <row r="224" spans="3:3" ht="15.75" customHeight="1">
      <c r="C224" s="31"/>
    </row>
    <row r="225" spans="3:3" ht="15.75" customHeight="1">
      <c r="C225" s="31"/>
    </row>
    <row r="226" spans="3:3" ht="15.75" customHeight="1">
      <c r="C226" s="31"/>
    </row>
    <row r="227" spans="3:3" ht="15.75" customHeight="1">
      <c r="C227" s="31"/>
    </row>
    <row r="228" spans="3:3" ht="15.75" customHeight="1">
      <c r="C228" s="31"/>
    </row>
    <row r="229" spans="3:3" ht="15.75" customHeight="1">
      <c r="C229" s="31"/>
    </row>
    <row r="230" spans="3:3" ht="15.75" customHeight="1">
      <c r="C230" s="31"/>
    </row>
    <row r="231" spans="3:3" ht="15.75" customHeight="1">
      <c r="C231" s="31"/>
    </row>
    <row r="232" spans="3:3" ht="15.75" customHeight="1">
      <c r="C232" s="31"/>
    </row>
    <row r="233" spans="3:3" ht="15.75" customHeight="1">
      <c r="C233" s="31"/>
    </row>
    <row r="234" spans="3:3" ht="15.75" customHeight="1">
      <c r="C234" s="31"/>
    </row>
    <row r="235" spans="3:3" ht="15.75" customHeight="1">
      <c r="C235" s="31"/>
    </row>
    <row r="236" spans="3:3" ht="15.75" customHeight="1">
      <c r="C236" s="31"/>
    </row>
    <row r="237" spans="3:3" ht="15.75" customHeight="1">
      <c r="C237" s="31"/>
    </row>
    <row r="238" spans="3:3" ht="15.75" customHeight="1">
      <c r="C238" s="31"/>
    </row>
    <row r="239" spans="3:3" ht="15.75" customHeight="1">
      <c r="C239" s="31"/>
    </row>
    <row r="240" spans="3:3" ht="15.75" customHeight="1">
      <c r="C240" s="31"/>
    </row>
    <row r="241" spans="3:3" ht="15.75" customHeight="1">
      <c r="C241" s="31"/>
    </row>
    <row r="242" spans="3:3" ht="15.75" customHeight="1">
      <c r="C242" s="31"/>
    </row>
    <row r="243" spans="3:3" ht="15.75" customHeight="1">
      <c r="C243" s="31"/>
    </row>
    <row r="244" spans="3:3" ht="15.75" customHeight="1">
      <c r="C244" s="31"/>
    </row>
    <row r="245" spans="3:3" ht="15.75" customHeight="1">
      <c r="C245" s="31"/>
    </row>
    <row r="246" spans="3:3" ht="15.75" customHeight="1">
      <c r="C246" s="31"/>
    </row>
    <row r="247" spans="3:3" ht="15.75" customHeight="1">
      <c r="C247" s="31"/>
    </row>
    <row r="248" spans="3:3" ht="15.75" customHeight="1">
      <c r="C248" s="31"/>
    </row>
    <row r="249" spans="3:3" ht="15.75" customHeight="1">
      <c r="C249" s="31"/>
    </row>
    <row r="250" spans="3:3" ht="15.75" customHeight="1">
      <c r="C250" s="31"/>
    </row>
    <row r="251" spans="3:3" ht="15.75" customHeight="1">
      <c r="C251" s="31"/>
    </row>
    <row r="252" spans="3:3" ht="15.75" customHeight="1">
      <c r="C252" s="31"/>
    </row>
    <row r="253" spans="3:3" ht="15.75" customHeight="1">
      <c r="C253" s="31"/>
    </row>
    <row r="254" spans="3:3" ht="15.75" customHeight="1">
      <c r="C254" s="31"/>
    </row>
    <row r="255" spans="3:3" ht="15.75" customHeight="1">
      <c r="C255" s="31"/>
    </row>
    <row r="256" spans="3:3" ht="15.75" customHeight="1">
      <c r="C256" s="31"/>
    </row>
    <row r="257" spans="3:3" ht="15.75" customHeight="1">
      <c r="C257" s="31"/>
    </row>
    <row r="258" spans="3:3" ht="15.75" customHeight="1">
      <c r="C258" s="31"/>
    </row>
    <row r="259" spans="3:3" ht="15.75" customHeight="1">
      <c r="C259" s="31"/>
    </row>
    <row r="260" spans="3:3" ht="15.75" customHeight="1">
      <c r="C260" s="31"/>
    </row>
    <row r="261" spans="3:3" ht="15.75" customHeight="1">
      <c r="C261" s="31"/>
    </row>
    <row r="262" spans="3:3" ht="15.75" customHeight="1">
      <c r="C262" s="31"/>
    </row>
    <row r="263" spans="3:3" ht="15.75" customHeight="1">
      <c r="C263" s="31"/>
    </row>
    <row r="264" spans="3:3" ht="15.75" customHeight="1">
      <c r="C264" s="31"/>
    </row>
    <row r="265" spans="3:3" ht="15.75" customHeight="1">
      <c r="C265" s="31"/>
    </row>
    <row r="266" spans="3:3" ht="15.75" customHeight="1">
      <c r="C266" s="31"/>
    </row>
    <row r="267" spans="3:3" ht="15.75" customHeight="1">
      <c r="C267" s="31"/>
    </row>
    <row r="268" spans="3:3" ht="15.75" customHeight="1">
      <c r="C268" s="31"/>
    </row>
    <row r="269" spans="3:3" ht="15.75" customHeight="1">
      <c r="C269" s="31"/>
    </row>
    <row r="270" spans="3:3" ht="15.75" customHeight="1">
      <c r="C270" s="31"/>
    </row>
    <row r="271" spans="3:3" ht="15.75" customHeight="1">
      <c r="C271" s="31"/>
    </row>
    <row r="272" spans="3:3" ht="15.75" customHeight="1">
      <c r="C272" s="31"/>
    </row>
    <row r="273" spans="3:3" ht="15.75" customHeight="1">
      <c r="C273" s="31"/>
    </row>
    <row r="274" spans="3:3" ht="15.75" customHeight="1">
      <c r="C274" s="31"/>
    </row>
    <row r="275" spans="3:3" ht="15.75" customHeight="1">
      <c r="C275" s="31"/>
    </row>
    <row r="276" spans="3:3" ht="15.75" customHeight="1">
      <c r="C276" s="31"/>
    </row>
    <row r="277" spans="3:3" ht="15.75" customHeight="1">
      <c r="C277" s="31"/>
    </row>
    <row r="278" spans="3:3" ht="15.75" customHeight="1">
      <c r="C278" s="31"/>
    </row>
    <row r="279" spans="3:3" ht="15.75" customHeight="1">
      <c r="C279" s="31"/>
    </row>
    <row r="280" spans="3:3" ht="15.75" customHeight="1">
      <c r="C280" s="31"/>
    </row>
    <row r="281" spans="3:3" ht="15.75" customHeight="1">
      <c r="C281" s="31"/>
    </row>
    <row r="282" spans="3:3" ht="15.75" customHeight="1">
      <c r="C282" s="31"/>
    </row>
    <row r="283" spans="3:3" ht="15.75" customHeight="1">
      <c r="C283" s="31"/>
    </row>
    <row r="284" spans="3:3" ht="15.75" customHeight="1">
      <c r="C284" s="31"/>
    </row>
    <row r="285" spans="3:3" ht="15.75" customHeight="1">
      <c r="C285" s="31"/>
    </row>
    <row r="286" spans="3:3" ht="15.75" customHeight="1">
      <c r="C286" s="31"/>
    </row>
    <row r="287" spans="3:3" ht="15.75" customHeight="1">
      <c r="C287" s="31"/>
    </row>
    <row r="288" spans="3:3" ht="15.75" customHeight="1">
      <c r="C288" s="31"/>
    </row>
    <row r="289" spans="3:3" ht="15.75" customHeight="1">
      <c r="C289" s="31"/>
    </row>
    <row r="290" spans="3:3" ht="15.75" customHeight="1">
      <c r="C290" s="31"/>
    </row>
    <row r="291" spans="3:3" ht="15.75" customHeight="1">
      <c r="C291" s="31"/>
    </row>
    <row r="292" spans="3:3" ht="15.75" customHeight="1">
      <c r="C292" s="31"/>
    </row>
    <row r="293" spans="3:3" ht="15.75" customHeight="1">
      <c r="C293" s="31"/>
    </row>
    <row r="294" spans="3:3" ht="15.75" customHeight="1">
      <c r="C294" s="31"/>
    </row>
    <row r="295" spans="3:3" ht="15.75" customHeight="1">
      <c r="C295" s="31"/>
    </row>
    <row r="296" spans="3:3" ht="15.75" customHeight="1">
      <c r="C296" s="31"/>
    </row>
    <row r="297" spans="3:3" ht="15.75" customHeight="1">
      <c r="C297" s="31"/>
    </row>
    <row r="298" spans="3:3" ht="15.75" customHeight="1">
      <c r="C298" s="31"/>
    </row>
    <row r="299" spans="3:3" ht="15.75" customHeight="1">
      <c r="C299" s="31"/>
    </row>
    <row r="300" spans="3:3" ht="15.75" customHeight="1">
      <c r="C300" s="31"/>
    </row>
    <row r="301" spans="3:3" ht="15.75" customHeight="1">
      <c r="C301" s="31"/>
    </row>
    <row r="302" spans="3:3" ht="15.75" customHeight="1">
      <c r="C302" s="31"/>
    </row>
    <row r="303" spans="3:3" ht="15.75" customHeight="1">
      <c r="C303" s="31"/>
    </row>
    <row r="304" spans="3:3" ht="15.75" customHeight="1">
      <c r="C304" s="31"/>
    </row>
    <row r="305" spans="3:3" ht="15.75" customHeight="1">
      <c r="C305" s="31"/>
    </row>
    <row r="306" spans="3:3" ht="15.75" customHeight="1">
      <c r="C306" s="31"/>
    </row>
    <row r="307" spans="3:3" ht="15.75" customHeight="1">
      <c r="C307" s="31"/>
    </row>
    <row r="308" spans="3:3" ht="15.75" customHeight="1">
      <c r="C308" s="31"/>
    </row>
    <row r="309" spans="3:3" ht="15.75" customHeight="1">
      <c r="C309" s="31"/>
    </row>
    <row r="310" spans="3:3" ht="15.75" customHeight="1">
      <c r="C310" s="31"/>
    </row>
    <row r="311" spans="3:3" ht="15.75" customHeight="1">
      <c r="C311" s="31"/>
    </row>
    <row r="312" spans="3:3" ht="15.75" customHeight="1">
      <c r="C312" s="31"/>
    </row>
    <row r="313" spans="3:3" ht="15.75" customHeight="1">
      <c r="C313" s="31"/>
    </row>
    <row r="314" spans="3:3" ht="15.75" customHeight="1">
      <c r="C314" s="31"/>
    </row>
    <row r="315" spans="3:3" ht="15.75" customHeight="1">
      <c r="C315" s="31"/>
    </row>
    <row r="316" spans="3:3" ht="15.75" customHeight="1">
      <c r="C316" s="31"/>
    </row>
    <row r="317" spans="3:3" ht="15.75" customHeight="1">
      <c r="C317" s="31"/>
    </row>
    <row r="318" spans="3:3" ht="15.75" customHeight="1">
      <c r="C318" s="31"/>
    </row>
    <row r="319" spans="3:3" ht="15.75" customHeight="1">
      <c r="C319" s="31"/>
    </row>
    <row r="320" spans="3:3" ht="15.75" customHeight="1">
      <c r="C320" s="31"/>
    </row>
    <row r="321" spans="3:3" ht="15.75" customHeight="1">
      <c r="C321" s="31"/>
    </row>
    <row r="322" spans="3:3" ht="15.75" customHeight="1">
      <c r="C322" s="31"/>
    </row>
    <row r="323" spans="3:3" ht="15.75" customHeight="1">
      <c r="C323" s="31"/>
    </row>
    <row r="324" spans="3:3" ht="15.75" customHeight="1">
      <c r="C324" s="31"/>
    </row>
    <row r="325" spans="3:3" ht="15.75" customHeight="1">
      <c r="C325" s="31"/>
    </row>
    <row r="326" spans="3:3" ht="15.75" customHeight="1">
      <c r="C326" s="31"/>
    </row>
    <row r="327" spans="3:3" ht="15.75" customHeight="1">
      <c r="C327" s="31"/>
    </row>
    <row r="328" spans="3:3" ht="15.75" customHeight="1">
      <c r="C328" s="31"/>
    </row>
    <row r="329" spans="3:3" ht="15.75" customHeight="1">
      <c r="C329" s="31"/>
    </row>
    <row r="330" spans="3:3" ht="15.75" customHeight="1">
      <c r="C330" s="31"/>
    </row>
    <row r="331" spans="3:3" ht="15.75" customHeight="1">
      <c r="C331" s="31"/>
    </row>
    <row r="332" spans="3:3" ht="15.75" customHeight="1">
      <c r="C332" s="31"/>
    </row>
    <row r="333" spans="3:3" ht="15.75" customHeight="1">
      <c r="C333" s="31"/>
    </row>
    <row r="334" spans="3:3" ht="15.75" customHeight="1">
      <c r="C334" s="31"/>
    </row>
    <row r="335" spans="3:3" ht="15.75" customHeight="1">
      <c r="C335" s="31"/>
    </row>
    <row r="336" spans="3:3" ht="15.75" customHeight="1">
      <c r="C336" s="31"/>
    </row>
    <row r="337" spans="3:3" ht="15.75" customHeight="1">
      <c r="C337" s="31"/>
    </row>
    <row r="338" spans="3:3" ht="15.75" customHeight="1">
      <c r="C338" s="31"/>
    </row>
    <row r="339" spans="3:3" ht="15.75" customHeight="1">
      <c r="C339" s="31"/>
    </row>
    <row r="340" spans="3:3" ht="15.75" customHeight="1">
      <c r="C340" s="31"/>
    </row>
    <row r="341" spans="3:3" ht="15.75" customHeight="1">
      <c r="C341" s="31"/>
    </row>
    <row r="342" spans="3:3" ht="15.75" customHeight="1">
      <c r="C342" s="31"/>
    </row>
    <row r="343" spans="3:3" ht="15.75" customHeight="1">
      <c r="C343" s="31"/>
    </row>
    <row r="344" spans="3:3" ht="15.75" customHeight="1">
      <c r="C344" s="31"/>
    </row>
    <row r="345" spans="3:3" ht="15.75" customHeight="1">
      <c r="C345" s="31"/>
    </row>
    <row r="346" spans="3:3" ht="15.75" customHeight="1">
      <c r="C346" s="31"/>
    </row>
    <row r="347" spans="3:3" ht="15.75" customHeight="1">
      <c r="C347" s="31"/>
    </row>
    <row r="348" spans="3:3" ht="15.75" customHeight="1">
      <c r="C348" s="31"/>
    </row>
    <row r="349" spans="3:3" ht="15.75" customHeight="1">
      <c r="C349" s="31"/>
    </row>
    <row r="350" spans="3:3" ht="15.75" customHeight="1">
      <c r="C350" s="31"/>
    </row>
    <row r="351" spans="3:3" ht="15.75" customHeight="1">
      <c r="C351" s="31"/>
    </row>
    <row r="352" spans="3:3" ht="15.75" customHeight="1">
      <c r="C352" s="31"/>
    </row>
    <row r="353" spans="3:3" ht="15.75" customHeight="1">
      <c r="C353" s="31"/>
    </row>
    <row r="354" spans="3:3" ht="15.75" customHeight="1">
      <c r="C354" s="31"/>
    </row>
    <row r="355" spans="3:3" ht="15.75" customHeight="1">
      <c r="C355" s="31"/>
    </row>
    <row r="356" spans="3:3" ht="15.75" customHeight="1">
      <c r="C356" s="31"/>
    </row>
    <row r="357" spans="3:3" ht="15.75" customHeight="1">
      <c r="C357" s="31"/>
    </row>
    <row r="358" spans="3:3" ht="15.75" customHeight="1">
      <c r="C358" s="31"/>
    </row>
    <row r="359" spans="3:3" ht="15.75" customHeight="1">
      <c r="C359" s="31"/>
    </row>
    <row r="360" spans="3:3" ht="15.75" customHeight="1">
      <c r="C360" s="31"/>
    </row>
    <row r="361" spans="3:3" ht="15.75" customHeight="1">
      <c r="C361" s="31"/>
    </row>
    <row r="362" spans="3:3" ht="15.75" customHeight="1">
      <c r="C362" s="31"/>
    </row>
    <row r="363" spans="3:3" ht="15.75" customHeight="1">
      <c r="C363" s="31"/>
    </row>
    <row r="364" spans="3:3" ht="15.75" customHeight="1">
      <c r="C364" s="31"/>
    </row>
    <row r="365" spans="3:3" ht="15.75" customHeight="1">
      <c r="C365" s="31"/>
    </row>
    <row r="366" spans="3:3" ht="15.75" customHeight="1">
      <c r="C366" s="31"/>
    </row>
    <row r="367" spans="3:3" ht="15.75" customHeight="1">
      <c r="C367" s="31"/>
    </row>
    <row r="368" spans="3:3" ht="15.75" customHeight="1">
      <c r="C368" s="31"/>
    </row>
    <row r="369" spans="3:3" ht="15.75" customHeight="1">
      <c r="C369" s="31"/>
    </row>
    <row r="370" spans="3:3" ht="15.75" customHeight="1">
      <c r="C370" s="31"/>
    </row>
    <row r="371" spans="3:3" ht="15.75" customHeight="1">
      <c r="C371" s="31"/>
    </row>
    <row r="372" spans="3:3" ht="15.75" customHeight="1">
      <c r="C372" s="31"/>
    </row>
    <row r="373" spans="3:3" ht="15.75" customHeight="1">
      <c r="C373" s="31"/>
    </row>
    <row r="374" spans="3:3" ht="15.75" customHeight="1">
      <c r="C374" s="31"/>
    </row>
    <row r="375" spans="3:3" ht="15.75" customHeight="1">
      <c r="C375" s="31"/>
    </row>
    <row r="376" spans="3:3" ht="15.75" customHeight="1">
      <c r="C376" s="31"/>
    </row>
    <row r="377" spans="3:3" ht="15.75" customHeight="1">
      <c r="C377" s="31"/>
    </row>
    <row r="378" spans="3:3" ht="15.75" customHeight="1">
      <c r="C378" s="31"/>
    </row>
    <row r="379" spans="3:3" ht="15.75" customHeight="1">
      <c r="C379" s="31"/>
    </row>
    <row r="380" spans="3:3" ht="15.75" customHeight="1">
      <c r="C380" s="31"/>
    </row>
    <row r="381" spans="3:3" ht="15.75" customHeight="1">
      <c r="C381" s="31"/>
    </row>
    <row r="382" spans="3:3" ht="15.75" customHeight="1">
      <c r="C382" s="31"/>
    </row>
    <row r="383" spans="3:3" ht="15.75" customHeight="1">
      <c r="C383" s="31"/>
    </row>
    <row r="384" spans="3:3" ht="15.75" customHeight="1">
      <c r="C384" s="31"/>
    </row>
    <row r="385" spans="3:3" ht="15.75" customHeight="1">
      <c r="C385" s="31"/>
    </row>
    <row r="386" spans="3:3" ht="15.75" customHeight="1">
      <c r="C386" s="31"/>
    </row>
    <row r="387" spans="3:3" ht="15.75" customHeight="1">
      <c r="C387" s="31"/>
    </row>
    <row r="388" spans="3:3" ht="15.75" customHeight="1">
      <c r="C388" s="31"/>
    </row>
    <row r="389" spans="3:3" ht="15.75" customHeight="1">
      <c r="C389" s="31"/>
    </row>
    <row r="390" spans="3:3" ht="15.75" customHeight="1">
      <c r="C390" s="31"/>
    </row>
    <row r="391" spans="3:3" ht="15.75" customHeight="1">
      <c r="C391" s="31"/>
    </row>
    <row r="392" spans="3:3" ht="15.75" customHeight="1">
      <c r="C392" s="31"/>
    </row>
    <row r="393" spans="3:3" ht="15.75" customHeight="1">
      <c r="C393" s="31"/>
    </row>
    <row r="394" spans="3:3" ht="15.75" customHeight="1">
      <c r="C394" s="31"/>
    </row>
    <row r="395" spans="3:3" ht="15.75" customHeight="1">
      <c r="C395" s="31"/>
    </row>
    <row r="396" spans="3:3" ht="15.75" customHeight="1">
      <c r="C396" s="31"/>
    </row>
    <row r="397" spans="3:3" ht="15.75" customHeight="1">
      <c r="C397" s="31"/>
    </row>
    <row r="398" spans="3:3" ht="15.75" customHeight="1">
      <c r="C398" s="31"/>
    </row>
    <row r="399" spans="3:3" ht="15.75" customHeight="1">
      <c r="C399" s="31"/>
    </row>
    <row r="400" spans="3:3" ht="15.75" customHeight="1">
      <c r="C400" s="31"/>
    </row>
    <row r="401" spans="3:3" ht="15.75" customHeight="1">
      <c r="C401" s="31"/>
    </row>
    <row r="402" spans="3:3" ht="15.75" customHeight="1">
      <c r="C402" s="31"/>
    </row>
    <row r="403" spans="3:3" ht="15.75" customHeight="1">
      <c r="C403" s="31"/>
    </row>
    <row r="404" spans="3:3" ht="15.75" customHeight="1">
      <c r="C404" s="31"/>
    </row>
    <row r="405" spans="3:3" ht="15.75" customHeight="1">
      <c r="C405" s="31"/>
    </row>
    <row r="406" spans="3:3" ht="15.75" customHeight="1">
      <c r="C406" s="31"/>
    </row>
    <row r="407" spans="3:3" ht="15.75" customHeight="1">
      <c r="C407" s="31"/>
    </row>
    <row r="408" spans="3:3" ht="15.75" customHeight="1">
      <c r="C408" s="31"/>
    </row>
    <row r="409" spans="3:3" ht="15.75" customHeight="1">
      <c r="C409" s="31"/>
    </row>
    <row r="410" spans="3:3" ht="15.75" customHeight="1">
      <c r="C410" s="31"/>
    </row>
    <row r="411" spans="3:3" ht="15.75" customHeight="1">
      <c r="C411" s="31"/>
    </row>
    <row r="412" spans="3:3" ht="15.75" customHeight="1">
      <c r="C412" s="31"/>
    </row>
    <row r="413" spans="3:3" ht="15.75" customHeight="1">
      <c r="C413" s="31"/>
    </row>
    <row r="414" spans="3:3" ht="15.75" customHeight="1">
      <c r="C414" s="31"/>
    </row>
    <row r="415" spans="3:3" ht="15.75" customHeight="1">
      <c r="C415" s="31"/>
    </row>
    <row r="416" spans="3:3" ht="15.75" customHeight="1">
      <c r="C416" s="31"/>
    </row>
    <row r="417" spans="3:3" ht="15.75" customHeight="1">
      <c r="C417" s="31"/>
    </row>
    <row r="418" spans="3:3" ht="15.75" customHeight="1">
      <c r="C418" s="31"/>
    </row>
    <row r="419" spans="3:3" ht="15.75" customHeight="1">
      <c r="C419" s="31"/>
    </row>
    <row r="420" spans="3:3" ht="15.75" customHeight="1">
      <c r="C420" s="31"/>
    </row>
    <row r="421" spans="3:3" ht="15.75" customHeight="1">
      <c r="C421" s="31"/>
    </row>
    <row r="422" spans="3:3" ht="15.75" customHeight="1">
      <c r="C422" s="31"/>
    </row>
    <row r="423" spans="3:3" ht="15.75" customHeight="1">
      <c r="C423" s="31"/>
    </row>
    <row r="424" spans="3:3" ht="15.75" customHeight="1">
      <c r="C424" s="31"/>
    </row>
    <row r="425" spans="3:3" ht="15.75" customHeight="1">
      <c r="C425" s="31"/>
    </row>
    <row r="426" spans="3:3" ht="15.75" customHeight="1">
      <c r="C426" s="31"/>
    </row>
    <row r="427" spans="3:3" ht="15.75" customHeight="1">
      <c r="C427" s="31"/>
    </row>
    <row r="428" spans="3:3" ht="15.75" customHeight="1">
      <c r="C428" s="31"/>
    </row>
    <row r="429" spans="3:3" ht="15.75" customHeight="1">
      <c r="C429" s="31"/>
    </row>
    <row r="430" spans="3:3" ht="15.75" customHeight="1">
      <c r="C430" s="31"/>
    </row>
    <row r="431" spans="3:3" ht="15.75" customHeight="1">
      <c r="C431" s="31"/>
    </row>
    <row r="432" spans="3:3" ht="15.75" customHeight="1">
      <c r="C432" s="31"/>
    </row>
    <row r="433" spans="3:3" ht="15.75" customHeight="1">
      <c r="C433" s="31"/>
    </row>
    <row r="434" spans="3:3" ht="15.75" customHeight="1">
      <c r="C434" s="31"/>
    </row>
    <row r="435" spans="3:3" ht="15.75" customHeight="1">
      <c r="C435" s="31"/>
    </row>
    <row r="436" spans="3:3" ht="15.75" customHeight="1">
      <c r="C436" s="31"/>
    </row>
    <row r="437" spans="3:3" ht="15.75" customHeight="1">
      <c r="C437" s="31"/>
    </row>
    <row r="438" spans="3:3" ht="15.75" customHeight="1">
      <c r="C438" s="31"/>
    </row>
    <row r="439" spans="3:3" ht="15.75" customHeight="1">
      <c r="C439" s="31"/>
    </row>
    <row r="440" spans="3:3" ht="15.75" customHeight="1">
      <c r="C440" s="31"/>
    </row>
    <row r="441" spans="3:3" ht="15.75" customHeight="1">
      <c r="C441" s="31"/>
    </row>
    <row r="442" spans="3:3" ht="15.75" customHeight="1">
      <c r="C442" s="31"/>
    </row>
    <row r="443" spans="3:3" ht="15.75" customHeight="1">
      <c r="C443" s="31"/>
    </row>
    <row r="444" spans="3:3" ht="15.75" customHeight="1">
      <c r="C444" s="31"/>
    </row>
    <row r="445" spans="3:3" ht="15.75" customHeight="1">
      <c r="C445" s="31"/>
    </row>
    <row r="446" spans="3:3" ht="15.75" customHeight="1">
      <c r="C446" s="31"/>
    </row>
    <row r="447" spans="3:3" ht="15.75" customHeight="1">
      <c r="C447" s="31"/>
    </row>
    <row r="448" spans="3:3" ht="15.75" customHeight="1">
      <c r="C448" s="31"/>
    </row>
    <row r="449" spans="3:3" ht="15.75" customHeight="1">
      <c r="C449" s="31"/>
    </row>
    <row r="450" spans="3:3" ht="15.75" customHeight="1">
      <c r="C450" s="31"/>
    </row>
    <row r="451" spans="3:3" ht="15.75" customHeight="1">
      <c r="C451" s="31"/>
    </row>
    <row r="452" spans="3:3" ht="15.75" customHeight="1">
      <c r="C452" s="31"/>
    </row>
    <row r="453" spans="3:3" ht="15.75" customHeight="1">
      <c r="C453" s="31"/>
    </row>
    <row r="454" spans="3:3" ht="15.75" customHeight="1">
      <c r="C454" s="31"/>
    </row>
    <row r="455" spans="3:3" ht="15.75" customHeight="1">
      <c r="C455" s="31"/>
    </row>
    <row r="456" spans="3:3" ht="15.75" customHeight="1">
      <c r="C456" s="31"/>
    </row>
    <row r="457" spans="3:3" ht="15.75" customHeight="1">
      <c r="C457" s="31"/>
    </row>
    <row r="458" spans="3:3" ht="15.75" customHeight="1">
      <c r="C458" s="31"/>
    </row>
    <row r="459" spans="3:3" ht="15.75" customHeight="1">
      <c r="C459" s="31"/>
    </row>
    <row r="460" spans="3:3" ht="15.75" customHeight="1">
      <c r="C460" s="31"/>
    </row>
    <row r="461" spans="3:3" ht="15.75" customHeight="1">
      <c r="C461" s="31"/>
    </row>
    <row r="462" spans="3:3" ht="15.75" customHeight="1">
      <c r="C462" s="31"/>
    </row>
    <row r="463" spans="3:3" ht="15.75" customHeight="1">
      <c r="C463" s="31"/>
    </row>
    <row r="464" spans="3:3" ht="15.75" customHeight="1">
      <c r="C464" s="31"/>
    </row>
    <row r="465" spans="3:3" ht="15.75" customHeight="1">
      <c r="C465" s="31"/>
    </row>
    <row r="466" spans="3:3" ht="15.75" customHeight="1">
      <c r="C466" s="31"/>
    </row>
    <row r="467" spans="3:3" ht="15.75" customHeight="1">
      <c r="C467" s="31"/>
    </row>
    <row r="468" spans="3:3" ht="15.75" customHeight="1">
      <c r="C468" s="31"/>
    </row>
    <row r="469" spans="3:3" ht="15.75" customHeight="1">
      <c r="C469" s="31"/>
    </row>
    <row r="470" spans="3:3" ht="15.75" customHeight="1">
      <c r="C470" s="31"/>
    </row>
    <row r="471" spans="3:3" ht="15.75" customHeight="1">
      <c r="C471" s="31"/>
    </row>
    <row r="472" spans="3:3" ht="15.75" customHeight="1">
      <c r="C472" s="31"/>
    </row>
    <row r="473" spans="3:3" ht="15.75" customHeight="1">
      <c r="C473" s="31"/>
    </row>
    <row r="474" spans="3:3" ht="15.75" customHeight="1">
      <c r="C474" s="31"/>
    </row>
    <row r="475" spans="3:3" ht="15.75" customHeight="1">
      <c r="C475" s="31"/>
    </row>
    <row r="476" spans="3:3" ht="15.75" customHeight="1">
      <c r="C476" s="31"/>
    </row>
    <row r="477" spans="3:3" ht="15.75" customHeight="1">
      <c r="C477" s="31"/>
    </row>
    <row r="478" spans="3:3" ht="15.75" customHeight="1">
      <c r="C478" s="31"/>
    </row>
    <row r="479" spans="3:3" ht="15.75" customHeight="1">
      <c r="C479" s="31"/>
    </row>
    <row r="480" spans="3:3" ht="15.75" customHeight="1">
      <c r="C480" s="31"/>
    </row>
    <row r="481" spans="3:3" ht="15.75" customHeight="1">
      <c r="C481" s="31"/>
    </row>
    <row r="482" spans="3:3" ht="15.75" customHeight="1">
      <c r="C482" s="31"/>
    </row>
    <row r="483" spans="3:3" ht="15.75" customHeight="1">
      <c r="C483" s="31"/>
    </row>
    <row r="484" spans="3:3" ht="15.75" customHeight="1">
      <c r="C484" s="31"/>
    </row>
    <row r="485" spans="3:3" ht="15.75" customHeight="1">
      <c r="C485" s="31"/>
    </row>
    <row r="486" spans="3:3" ht="15.75" customHeight="1">
      <c r="C486" s="31"/>
    </row>
    <row r="487" spans="3:3" ht="15.75" customHeight="1">
      <c r="C487" s="31"/>
    </row>
    <row r="488" spans="3:3" ht="15.75" customHeight="1">
      <c r="C488" s="31"/>
    </row>
    <row r="489" spans="3:3" ht="15.75" customHeight="1">
      <c r="C489" s="31"/>
    </row>
    <row r="490" spans="3:3" ht="15.75" customHeight="1">
      <c r="C490" s="31"/>
    </row>
    <row r="491" spans="3:3" ht="15.75" customHeight="1">
      <c r="C491" s="31"/>
    </row>
    <row r="492" spans="3:3" ht="15.75" customHeight="1">
      <c r="C492" s="31"/>
    </row>
    <row r="493" spans="3:3" ht="15.75" customHeight="1">
      <c r="C493" s="31"/>
    </row>
    <row r="494" spans="3:3" ht="15.75" customHeight="1">
      <c r="C494" s="31"/>
    </row>
    <row r="495" spans="3:3" ht="15.75" customHeight="1">
      <c r="C495" s="31"/>
    </row>
    <row r="496" spans="3:3" ht="15.75" customHeight="1">
      <c r="C496" s="31"/>
    </row>
    <row r="497" spans="3:3" ht="15.75" customHeight="1">
      <c r="C497" s="31"/>
    </row>
    <row r="498" spans="3:3" ht="15.75" customHeight="1">
      <c r="C498" s="31"/>
    </row>
    <row r="499" spans="3:3" ht="15.75" customHeight="1">
      <c r="C499" s="31"/>
    </row>
    <row r="500" spans="3:3" ht="15.75" customHeight="1">
      <c r="C500" s="31"/>
    </row>
    <row r="501" spans="3:3" ht="15.75" customHeight="1">
      <c r="C501" s="31"/>
    </row>
    <row r="502" spans="3:3" ht="15.75" customHeight="1">
      <c r="C502" s="31"/>
    </row>
    <row r="503" spans="3:3" ht="15.75" customHeight="1">
      <c r="C503" s="31"/>
    </row>
    <row r="504" spans="3:3" ht="15.75" customHeight="1">
      <c r="C504" s="31"/>
    </row>
    <row r="505" spans="3:3" ht="15.75" customHeight="1">
      <c r="C505" s="31"/>
    </row>
    <row r="506" spans="3:3" ht="15.75" customHeight="1">
      <c r="C506" s="31"/>
    </row>
    <row r="507" spans="3:3" ht="15.75" customHeight="1">
      <c r="C507" s="31"/>
    </row>
    <row r="508" spans="3:3" ht="15.75" customHeight="1">
      <c r="C508" s="31"/>
    </row>
    <row r="509" spans="3:3" ht="15.75" customHeight="1">
      <c r="C509" s="31"/>
    </row>
    <row r="510" spans="3:3" ht="15.75" customHeight="1">
      <c r="C510" s="31"/>
    </row>
    <row r="511" spans="3:3" ht="15.75" customHeight="1">
      <c r="C511" s="31"/>
    </row>
    <row r="512" spans="3:3" ht="15.75" customHeight="1">
      <c r="C512" s="31"/>
    </row>
    <row r="513" spans="3:3" ht="15.75" customHeight="1">
      <c r="C513" s="31"/>
    </row>
    <row r="514" spans="3:3" ht="15.75" customHeight="1">
      <c r="C514" s="31"/>
    </row>
    <row r="515" spans="3:3" ht="15.75" customHeight="1">
      <c r="C515" s="31"/>
    </row>
    <row r="516" spans="3:3" ht="15.75" customHeight="1">
      <c r="C516" s="31"/>
    </row>
    <row r="517" spans="3:3" ht="15.75" customHeight="1">
      <c r="C517" s="31"/>
    </row>
    <row r="518" spans="3:3" ht="15.75" customHeight="1">
      <c r="C518" s="31"/>
    </row>
    <row r="519" spans="3:3" ht="15.75" customHeight="1">
      <c r="C519" s="31"/>
    </row>
    <row r="520" spans="3:3" ht="15.75" customHeight="1">
      <c r="C520" s="31"/>
    </row>
    <row r="521" spans="3:3" ht="15.75" customHeight="1">
      <c r="C521" s="31"/>
    </row>
    <row r="522" spans="3:3" ht="15.75" customHeight="1">
      <c r="C522" s="31"/>
    </row>
    <row r="523" spans="3:3" ht="15.75" customHeight="1">
      <c r="C523" s="31"/>
    </row>
    <row r="524" spans="3:3" ht="15.75" customHeight="1">
      <c r="C524" s="31"/>
    </row>
    <row r="525" spans="3:3" ht="15.75" customHeight="1">
      <c r="C525" s="31"/>
    </row>
    <row r="526" spans="3:3" ht="15.75" customHeight="1">
      <c r="C526" s="31"/>
    </row>
    <row r="527" spans="3:3" ht="15.75" customHeight="1">
      <c r="C527" s="31"/>
    </row>
    <row r="528" spans="3:3" ht="15.75" customHeight="1">
      <c r="C528" s="31"/>
    </row>
    <row r="529" spans="3:3" ht="15.75" customHeight="1">
      <c r="C529" s="31"/>
    </row>
    <row r="530" spans="3:3" ht="15.75" customHeight="1">
      <c r="C530" s="31"/>
    </row>
    <row r="531" spans="3:3" ht="15.75" customHeight="1">
      <c r="C531" s="31"/>
    </row>
    <row r="532" spans="3:3" ht="15.75" customHeight="1">
      <c r="C532" s="31"/>
    </row>
    <row r="533" spans="3:3" ht="15.75" customHeight="1">
      <c r="C533" s="31"/>
    </row>
    <row r="534" spans="3:3" ht="15.75" customHeight="1">
      <c r="C534" s="31"/>
    </row>
    <row r="535" spans="3:3" ht="15.75" customHeight="1">
      <c r="C535" s="31"/>
    </row>
    <row r="536" spans="3:3" ht="15.75" customHeight="1">
      <c r="C536" s="31"/>
    </row>
    <row r="537" spans="3:3" ht="15.75" customHeight="1">
      <c r="C537" s="31"/>
    </row>
    <row r="538" spans="3:3" ht="15.75" customHeight="1">
      <c r="C538" s="31"/>
    </row>
    <row r="539" spans="3:3" ht="15.75" customHeight="1">
      <c r="C539" s="31"/>
    </row>
    <row r="540" spans="3:3" ht="15.75" customHeight="1">
      <c r="C540" s="31"/>
    </row>
    <row r="541" spans="3:3" ht="15.75" customHeight="1">
      <c r="C541" s="31"/>
    </row>
    <row r="542" spans="3:3" ht="15.75" customHeight="1">
      <c r="C542" s="31"/>
    </row>
    <row r="543" spans="3:3" ht="15.75" customHeight="1">
      <c r="C543" s="31"/>
    </row>
    <row r="544" spans="3:3" ht="15.75" customHeight="1">
      <c r="C544" s="31"/>
    </row>
    <row r="545" spans="3:3" ht="15.75" customHeight="1">
      <c r="C545" s="31"/>
    </row>
    <row r="546" spans="3:3" ht="15.75" customHeight="1">
      <c r="C546" s="31"/>
    </row>
    <row r="547" spans="3:3" ht="15.75" customHeight="1">
      <c r="C547" s="31"/>
    </row>
    <row r="548" spans="3:3" ht="15.75" customHeight="1">
      <c r="C548" s="31"/>
    </row>
    <row r="549" spans="3:3" ht="15.75" customHeight="1">
      <c r="C549" s="31"/>
    </row>
    <row r="550" spans="3:3" ht="15.75" customHeight="1">
      <c r="C550" s="31"/>
    </row>
    <row r="551" spans="3:3" ht="15.75" customHeight="1">
      <c r="C551" s="31"/>
    </row>
    <row r="552" spans="3:3" ht="15.75" customHeight="1">
      <c r="C552" s="31"/>
    </row>
    <row r="553" spans="3:3" ht="15.75" customHeight="1">
      <c r="C553" s="31"/>
    </row>
    <row r="554" spans="3:3" ht="15.75" customHeight="1">
      <c r="C554" s="31"/>
    </row>
    <row r="555" spans="3:3" ht="15.75" customHeight="1">
      <c r="C555" s="31"/>
    </row>
    <row r="556" spans="3:3" ht="15.75" customHeight="1">
      <c r="C556" s="31"/>
    </row>
    <row r="557" spans="3:3" ht="15.75" customHeight="1">
      <c r="C557" s="31"/>
    </row>
    <row r="558" spans="3:3" ht="15.75" customHeight="1">
      <c r="C558" s="31"/>
    </row>
    <row r="559" spans="3:3" ht="15.75" customHeight="1">
      <c r="C559" s="31"/>
    </row>
    <row r="560" spans="3:3" ht="15.75" customHeight="1">
      <c r="C560" s="31"/>
    </row>
    <row r="561" spans="3:3" ht="15.75" customHeight="1">
      <c r="C561" s="31"/>
    </row>
    <row r="562" spans="3:3" ht="15.75" customHeight="1">
      <c r="C562" s="31"/>
    </row>
    <row r="563" spans="3:3" ht="15.75" customHeight="1">
      <c r="C563" s="31"/>
    </row>
    <row r="564" spans="3:3" ht="15.75" customHeight="1">
      <c r="C564" s="31"/>
    </row>
    <row r="565" spans="3:3" ht="15.75" customHeight="1">
      <c r="C565" s="31"/>
    </row>
    <row r="566" spans="3:3" ht="15.75" customHeight="1">
      <c r="C566" s="31"/>
    </row>
    <row r="567" spans="3:3" ht="15.75" customHeight="1">
      <c r="C567" s="31"/>
    </row>
    <row r="568" spans="3:3" ht="15.75" customHeight="1">
      <c r="C568" s="31"/>
    </row>
    <row r="569" spans="3:3" ht="15.75" customHeight="1">
      <c r="C569" s="31"/>
    </row>
    <row r="570" spans="3:3" ht="15.75" customHeight="1">
      <c r="C570" s="31"/>
    </row>
    <row r="571" spans="3:3" ht="15.75" customHeight="1">
      <c r="C571" s="31"/>
    </row>
    <row r="572" spans="3:3" ht="15.75" customHeight="1">
      <c r="C572" s="31"/>
    </row>
    <row r="573" spans="3:3" ht="15.75" customHeight="1">
      <c r="C573" s="31"/>
    </row>
    <row r="574" spans="3:3" ht="15.75" customHeight="1">
      <c r="C574" s="31"/>
    </row>
    <row r="575" spans="3:3" ht="15.75" customHeight="1">
      <c r="C575" s="31"/>
    </row>
    <row r="576" spans="3:3" ht="15.75" customHeight="1">
      <c r="C576" s="31"/>
    </row>
    <row r="577" spans="3:3" ht="15.75" customHeight="1">
      <c r="C577" s="31"/>
    </row>
    <row r="578" spans="3:3" ht="15.75" customHeight="1">
      <c r="C578" s="31"/>
    </row>
    <row r="579" spans="3:3" ht="15.75" customHeight="1">
      <c r="C579" s="31"/>
    </row>
    <row r="580" spans="3:3" ht="15.75" customHeight="1">
      <c r="C580" s="31"/>
    </row>
    <row r="581" spans="3:3" ht="15.75" customHeight="1">
      <c r="C581" s="31"/>
    </row>
    <row r="582" spans="3:3" ht="15.75" customHeight="1">
      <c r="C582" s="31"/>
    </row>
    <row r="583" spans="3:3" ht="15.75" customHeight="1">
      <c r="C583" s="31"/>
    </row>
    <row r="584" spans="3:3" ht="15.75" customHeight="1">
      <c r="C584" s="31"/>
    </row>
    <row r="585" spans="3:3" ht="15.75" customHeight="1">
      <c r="C585" s="31"/>
    </row>
    <row r="586" spans="3:3" ht="15.75" customHeight="1">
      <c r="C586" s="31"/>
    </row>
    <row r="587" spans="3:3" ht="15.75" customHeight="1">
      <c r="C587" s="31"/>
    </row>
    <row r="588" spans="3:3" ht="15.75" customHeight="1">
      <c r="C588" s="31"/>
    </row>
    <row r="589" spans="3:3" ht="15.75" customHeight="1">
      <c r="C589" s="31"/>
    </row>
    <row r="590" spans="3:3" ht="15.75" customHeight="1">
      <c r="C590" s="31"/>
    </row>
    <row r="591" spans="3:3" ht="15.75" customHeight="1">
      <c r="C591" s="31"/>
    </row>
    <row r="592" spans="3:3" ht="15.75" customHeight="1">
      <c r="C592" s="31"/>
    </row>
    <row r="593" spans="3:3" ht="15.75" customHeight="1">
      <c r="C593" s="31"/>
    </row>
    <row r="594" spans="3:3" ht="15.75" customHeight="1">
      <c r="C594" s="31"/>
    </row>
    <row r="595" spans="3:3" ht="15.75" customHeight="1">
      <c r="C595" s="31"/>
    </row>
    <row r="596" spans="3:3" ht="15.75" customHeight="1">
      <c r="C596" s="31"/>
    </row>
    <row r="597" spans="3:3" ht="15.75" customHeight="1">
      <c r="C597" s="31"/>
    </row>
    <row r="598" spans="3:3" ht="15.75" customHeight="1">
      <c r="C598" s="31"/>
    </row>
    <row r="599" spans="3:3" ht="15.75" customHeight="1">
      <c r="C599" s="31"/>
    </row>
    <row r="600" spans="3:3" ht="15.75" customHeight="1">
      <c r="C600" s="31"/>
    </row>
    <row r="601" spans="3:3" ht="15.75" customHeight="1">
      <c r="C601" s="31"/>
    </row>
    <row r="602" spans="3:3" ht="15.75" customHeight="1">
      <c r="C602" s="31"/>
    </row>
    <row r="603" spans="3:3" ht="15.75" customHeight="1">
      <c r="C603" s="31"/>
    </row>
    <row r="604" spans="3:3" ht="15.75" customHeight="1">
      <c r="C604" s="31"/>
    </row>
    <row r="605" spans="3:3" ht="15.75" customHeight="1">
      <c r="C605" s="31"/>
    </row>
    <row r="606" spans="3:3" ht="15.75" customHeight="1">
      <c r="C606" s="31"/>
    </row>
    <row r="607" spans="3:3" ht="15.75" customHeight="1">
      <c r="C607" s="31"/>
    </row>
    <row r="608" spans="3:3" ht="15.75" customHeight="1">
      <c r="C608" s="31"/>
    </row>
    <row r="609" spans="3:3" ht="15.75" customHeight="1">
      <c r="C609" s="31"/>
    </row>
    <row r="610" spans="3:3" ht="15.75" customHeight="1">
      <c r="C610" s="31"/>
    </row>
    <row r="611" spans="3:3" ht="15.75" customHeight="1">
      <c r="C611" s="31"/>
    </row>
    <row r="612" spans="3:3" ht="15.75" customHeight="1">
      <c r="C612" s="31"/>
    </row>
    <row r="613" spans="3:3" ht="15.75" customHeight="1">
      <c r="C613" s="31"/>
    </row>
    <row r="614" spans="3:3" ht="15.75" customHeight="1">
      <c r="C614" s="31"/>
    </row>
    <row r="615" spans="3:3" ht="15.75" customHeight="1">
      <c r="C615" s="31"/>
    </row>
    <row r="616" spans="3:3" ht="15.75" customHeight="1">
      <c r="C616" s="31"/>
    </row>
    <row r="617" spans="3:3" ht="15.75" customHeight="1">
      <c r="C617" s="31"/>
    </row>
    <row r="618" spans="3:3" ht="15.75" customHeight="1">
      <c r="C618" s="31"/>
    </row>
    <row r="619" spans="3:3" ht="15.75" customHeight="1">
      <c r="C619" s="31"/>
    </row>
    <row r="620" spans="3:3" ht="15.75" customHeight="1">
      <c r="C620" s="31"/>
    </row>
    <row r="621" spans="3:3" ht="15.75" customHeight="1">
      <c r="C621" s="31"/>
    </row>
    <row r="622" spans="3:3" ht="15.75" customHeight="1">
      <c r="C622" s="31"/>
    </row>
    <row r="623" spans="3:3" ht="15.75" customHeight="1">
      <c r="C623" s="31"/>
    </row>
    <row r="624" spans="3:3" ht="15.75" customHeight="1">
      <c r="C624" s="31"/>
    </row>
    <row r="625" spans="3:3" ht="15.75" customHeight="1">
      <c r="C625" s="31"/>
    </row>
    <row r="626" spans="3:3" ht="15.75" customHeight="1">
      <c r="C626" s="31"/>
    </row>
    <row r="627" spans="3:3" ht="15.75" customHeight="1">
      <c r="C627" s="31"/>
    </row>
    <row r="628" spans="3:3" ht="15.75" customHeight="1">
      <c r="C628" s="31"/>
    </row>
    <row r="629" spans="3:3" ht="15.75" customHeight="1">
      <c r="C629" s="31"/>
    </row>
    <row r="630" spans="3:3" ht="15.75" customHeight="1">
      <c r="C630" s="31"/>
    </row>
    <row r="631" spans="3:3" ht="15.75" customHeight="1">
      <c r="C631" s="31"/>
    </row>
    <row r="632" spans="3:3" ht="15.75" customHeight="1">
      <c r="C632" s="31"/>
    </row>
    <row r="633" spans="3:3" ht="15.75" customHeight="1">
      <c r="C633" s="31"/>
    </row>
    <row r="634" spans="3:3" ht="15.75" customHeight="1">
      <c r="C634" s="31"/>
    </row>
    <row r="635" spans="3:3" ht="15.75" customHeight="1">
      <c r="C635" s="31"/>
    </row>
    <row r="636" spans="3:3" ht="15.75" customHeight="1">
      <c r="C636" s="31"/>
    </row>
    <row r="637" spans="3:3" ht="15.75" customHeight="1">
      <c r="C637" s="31"/>
    </row>
    <row r="638" spans="3:3" ht="15.75" customHeight="1">
      <c r="C638" s="31"/>
    </row>
    <row r="639" spans="3:3" ht="15.75" customHeight="1">
      <c r="C639" s="31"/>
    </row>
    <row r="640" spans="3:3" ht="15.75" customHeight="1">
      <c r="C640" s="31"/>
    </row>
    <row r="641" spans="3:3" ht="15.75" customHeight="1">
      <c r="C641" s="31"/>
    </row>
    <row r="642" spans="3:3" ht="15.75" customHeight="1">
      <c r="C642" s="31"/>
    </row>
    <row r="643" spans="3:3" ht="15.75" customHeight="1">
      <c r="C643" s="31"/>
    </row>
    <row r="644" spans="3:3" ht="15.75" customHeight="1">
      <c r="C644" s="31"/>
    </row>
    <row r="645" spans="3:3" ht="15.75" customHeight="1">
      <c r="C645" s="31"/>
    </row>
    <row r="646" spans="3:3" ht="15.75" customHeight="1">
      <c r="C646" s="31"/>
    </row>
    <row r="647" spans="3:3" ht="15.75" customHeight="1">
      <c r="C647" s="31"/>
    </row>
    <row r="648" spans="3:3" ht="15.75" customHeight="1">
      <c r="C648" s="31"/>
    </row>
    <row r="649" spans="3:3" ht="15.75" customHeight="1">
      <c r="C649" s="31"/>
    </row>
    <row r="650" spans="3:3" ht="15.75" customHeight="1">
      <c r="C650" s="31"/>
    </row>
    <row r="651" spans="3:3" ht="15.75" customHeight="1">
      <c r="C651" s="31"/>
    </row>
    <row r="652" spans="3:3" ht="15.75" customHeight="1">
      <c r="C652" s="31"/>
    </row>
    <row r="653" spans="3:3" ht="15.75" customHeight="1">
      <c r="C653" s="31"/>
    </row>
    <row r="654" spans="3:3" ht="15.75" customHeight="1">
      <c r="C654" s="31"/>
    </row>
    <row r="655" spans="3:3" ht="15.75" customHeight="1">
      <c r="C655" s="31"/>
    </row>
    <row r="656" spans="3:3" ht="15.75" customHeight="1">
      <c r="C656" s="31"/>
    </row>
    <row r="657" spans="3:3" ht="15.75" customHeight="1">
      <c r="C657" s="31"/>
    </row>
    <row r="658" spans="3:3" ht="15.75" customHeight="1">
      <c r="C658" s="31"/>
    </row>
    <row r="659" spans="3:3" ht="15.75" customHeight="1">
      <c r="C659" s="31"/>
    </row>
    <row r="660" spans="3:3" ht="15.75" customHeight="1">
      <c r="C660" s="31"/>
    </row>
    <row r="661" spans="3:3" ht="15.75" customHeight="1">
      <c r="C661" s="31"/>
    </row>
    <row r="662" spans="3:3" ht="15.75" customHeight="1">
      <c r="C662" s="31"/>
    </row>
    <row r="663" spans="3:3" ht="15.75" customHeight="1">
      <c r="C663" s="31"/>
    </row>
    <row r="664" spans="3:3" ht="15.75" customHeight="1">
      <c r="C664" s="31"/>
    </row>
    <row r="665" spans="3:3" ht="15.75" customHeight="1">
      <c r="C665" s="31"/>
    </row>
    <row r="666" spans="3:3" ht="15.75" customHeight="1">
      <c r="C666" s="31"/>
    </row>
    <row r="667" spans="3:3" ht="15.75" customHeight="1">
      <c r="C667" s="31"/>
    </row>
    <row r="668" spans="3:3" ht="15.75" customHeight="1">
      <c r="C668" s="31"/>
    </row>
    <row r="669" spans="3:3" ht="15.75" customHeight="1">
      <c r="C669" s="31"/>
    </row>
    <row r="670" spans="3:3" ht="15.75" customHeight="1">
      <c r="C670" s="31"/>
    </row>
    <row r="671" spans="3:3" ht="15.75" customHeight="1">
      <c r="C671" s="31"/>
    </row>
    <row r="672" spans="3:3" ht="15.75" customHeight="1">
      <c r="C672" s="31"/>
    </row>
    <row r="673" spans="3:3" ht="15.75" customHeight="1">
      <c r="C673" s="31"/>
    </row>
    <row r="674" spans="3:3" ht="15.75" customHeight="1">
      <c r="C674" s="31"/>
    </row>
    <row r="675" spans="3:3" ht="15.75" customHeight="1">
      <c r="C675" s="31"/>
    </row>
    <row r="676" spans="3:3" ht="15.75" customHeight="1">
      <c r="C676" s="31"/>
    </row>
    <row r="677" spans="3:3" ht="15.75" customHeight="1">
      <c r="C677" s="31"/>
    </row>
    <row r="678" spans="3:3" ht="15.75" customHeight="1">
      <c r="C678" s="31"/>
    </row>
    <row r="679" spans="3:3" ht="15.75" customHeight="1">
      <c r="C679" s="31"/>
    </row>
    <row r="680" spans="3:3" ht="15.75" customHeight="1">
      <c r="C680" s="31"/>
    </row>
    <row r="681" spans="3:3" ht="15.75" customHeight="1">
      <c r="C681" s="31"/>
    </row>
    <row r="682" spans="3:3" ht="15.75" customHeight="1">
      <c r="C682" s="31"/>
    </row>
    <row r="683" spans="3:3" ht="15.75" customHeight="1">
      <c r="C683" s="31"/>
    </row>
    <row r="684" spans="3:3" ht="15.75" customHeight="1">
      <c r="C684" s="31"/>
    </row>
    <row r="685" spans="3:3" ht="15.75" customHeight="1">
      <c r="C685" s="31"/>
    </row>
    <row r="686" spans="3:3" ht="15.75" customHeight="1">
      <c r="C686" s="31"/>
    </row>
    <row r="687" spans="3:3" ht="15.75" customHeight="1">
      <c r="C687" s="31"/>
    </row>
    <row r="688" spans="3:3" ht="15.75" customHeight="1">
      <c r="C688" s="31"/>
    </row>
    <row r="689" spans="3:3" ht="15.75" customHeight="1">
      <c r="C689" s="31"/>
    </row>
    <row r="690" spans="3:3" ht="15.75" customHeight="1">
      <c r="C690" s="31"/>
    </row>
    <row r="691" spans="3:3" ht="15.75" customHeight="1">
      <c r="C691" s="31"/>
    </row>
    <row r="692" spans="3:3" ht="15.75" customHeight="1">
      <c r="C692" s="31"/>
    </row>
    <row r="693" spans="3:3" ht="15.75" customHeight="1">
      <c r="C693" s="31"/>
    </row>
    <row r="694" spans="3:3" ht="15.75" customHeight="1">
      <c r="C694" s="31"/>
    </row>
    <row r="695" spans="3:3" ht="15.75" customHeight="1">
      <c r="C695" s="31"/>
    </row>
    <row r="696" spans="3:3" ht="15.75" customHeight="1">
      <c r="C696" s="31"/>
    </row>
    <row r="697" spans="3:3" ht="15.75" customHeight="1">
      <c r="C697" s="31"/>
    </row>
    <row r="698" spans="3:3" ht="15.75" customHeight="1">
      <c r="C698" s="31"/>
    </row>
    <row r="699" spans="3:3" ht="15.75" customHeight="1">
      <c r="C699" s="31"/>
    </row>
    <row r="700" spans="3:3" ht="15.75" customHeight="1">
      <c r="C700" s="31"/>
    </row>
    <row r="701" spans="3:3" ht="15.75" customHeight="1">
      <c r="C701" s="31"/>
    </row>
    <row r="702" spans="3:3" ht="15.75" customHeight="1">
      <c r="C702" s="31"/>
    </row>
    <row r="703" spans="3:3" ht="15.75" customHeight="1">
      <c r="C703" s="31"/>
    </row>
    <row r="704" spans="3:3" ht="15.75" customHeight="1">
      <c r="C704" s="31"/>
    </row>
    <row r="705" spans="3:3" ht="15.75" customHeight="1">
      <c r="C705" s="31"/>
    </row>
    <row r="706" spans="3:3" ht="15.75" customHeight="1">
      <c r="C706" s="31"/>
    </row>
    <row r="707" spans="3:3" ht="15.75" customHeight="1">
      <c r="C707" s="31"/>
    </row>
    <row r="708" spans="3:3" ht="15.75" customHeight="1">
      <c r="C708" s="31"/>
    </row>
    <row r="709" spans="3:3" ht="15.75" customHeight="1">
      <c r="C709" s="31"/>
    </row>
    <row r="710" spans="3:3" ht="15.75" customHeight="1">
      <c r="C710" s="31"/>
    </row>
    <row r="711" spans="3:3" ht="15.75" customHeight="1">
      <c r="C711" s="31"/>
    </row>
    <row r="712" spans="3:3" ht="15.75" customHeight="1">
      <c r="C712" s="31"/>
    </row>
    <row r="713" spans="3:3" ht="15.75" customHeight="1">
      <c r="C713" s="31"/>
    </row>
    <row r="714" spans="3:3" ht="15.75" customHeight="1">
      <c r="C714" s="31"/>
    </row>
    <row r="715" spans="3:3" ht="15.75" customHeight="1">
      <c r="C715" s="31"/>
    </row>
    <row r="716" spans="3:3" ht="15.75" customHeight="1">
      <c r="C716" s="31"/>
    </row>
    <row r="717" spans="3:3" ht="15.75" customHeight="1">
      <c r="C717" s="31"/>
    </row>
    <row r="718" spans="3:3" ht="15.75" customHeight="1">
      <c r="C718" s="31"/>
    </row>
    <row r="719" spans="3:3" ht="15.75" customHeight="1">
      <c r="C719" s="31"/>
    </row>
    <row r="720" spans="3:3" ht="15.75" customHeight="1">
      <c r="C720" s="31"/>
    </row>
    <row r="721" spans="3:3" ht="15.75" customHeight="1">
      <c r="C721" s="31"/>
    </row>
    <row r="722" spans="3:3" ht="15.75" customHeight="1">
      <c r="C722" s="31"/>
    </row>
    <row r="723" spans="3:3" ht="15.75" customHeight="1">
      <c r="C723" s="31"/>
    </row>
    <row r="724" spans="3:3" ht="15.75" customHeight="1">
      <c r="C724" s="31"/>
    </row>
    <row r="725" spans="3:3" ht="15.75" customHeight="1">
      <c r="C725" s="31"/>
    </row>
    <row r="726" spans="3:3" ht="15.75" customHeight="1">
      <c r="C726" s="31"/>
    </row>
    <row r="727" spans="3:3" ht="15.75" customHeight="1">
      <c r="C727" s="31"/>
    </row>
    <row r="728" spans="3:3" ht="15.75" customHeight="1">
      <c r="C728" s="31"/>
    </row>
    <row r="729" spans="3:3" ht="15.75" customHeight="1">
      <c r="C729" s="31"/>
    </row>
    <row r="730" spans="3:3" ht="15.75" customHeight="1">
      <c r="C730" s="31"/>
    </row>
    <row r="731" spans="3:3" ht="15.75" customHeight="1">
      <c r="C731" s="31"/>
    </row>
    <row r="732" spans="3:3" ht="15.75" customHeight="1">
      <c r="C732" s="31"/>
    </row>
    <row r="733" spans="3:3" ht="15.75" customHeight="1">
      <c r="C733" s="31"/>
    </row>
    <row r="734" spans="3:3" ht="15.75" customHeight="1">
      <c r="C734" s="31"/>
    </row>
    <row r="735" spans="3:3" ht="15.75" customHeight="1">
      <c r="C735" s="31"/>
    </row>
    <row r="736" spans="3:3" ht="15.75" customHeight="1">
      <c r="C736" s="31"/>
    </row>
    <row r="737" spans="3:3" ht="15.75" customHeight="1">
      <c r="C737" s="31"/>
    </row>
    <row r="738" spans="3:3" ht="15.75" customHeight="1">
      <c r="C738" s="31"/>
    </row>
    <row r="739" spans="3:3" ht="15.75" customHeight="1">
      <c r="C739" s="31"/>
    </row>
    <row r="740" spans="3:3" ht="15.75" customHeight="1">
      <c r="C740" s="31"/>
    </row>
    <row r="741" spans="3:3" ht="15.75" customHeight="1">
      <c r="C741" s="31"/>
    </row>
    <row r="742" spans="3:3" ht="15.75" customHeight="1">
      <c r="C742" s="31"/>
    </row>
    <row r="743" spans="3:3" ht="15.75" customHeight="1">
      <c r="C743" s="31"/>
    </row>
    <row r="744" spans="3:3" ht="15.75" customHeight="1">
      <c r="C744" s="31"/>
    </row>
    <row r="745" spans="3:3" ht="15.75" customHeight="1">
      <c r="C745" s="31"/>
    </row>
    <row r="746" spans="3:3" ht="15.75" customHeight="1">
      <c r="C746" s="31"/>
    </row>
    <row r="747" spans="3:3" ht="15.75" customHeight="1">
      <c r="C747" s="31"/>
    </row>
    <row r="748" spans="3:3" ht="15.75" customHeight="1">
      <c r="C748" s="31"/>
    </row>
    <row r="749" spans="3:3" ht="15.75" customHeight="1">
      <c r="C749" s="31"/>
    </row>
    <row r="750" spans="3:3" ht="15.75" customHeight="1">
      <c r="C750" s="31"/>
    </row>
    <row r="751" spans="3:3" ht="15.75" customHeight="1">
      <c r="C751" s="31"/>
    </row>
    <row r="752" spans="3:3" ht="15.75" customHeight="1">
      <c r="C752" s="31"/>
    </row>
    <row r="753" spans="3:3" ht="15.75" customHeight="1">
      <c r="C753" s="31"/>
    </row>
    <row r="754" spans="3:3" ht="15.75" customHeight="1">
      <c r="C754" s="31"/>
    </row>
    <row r="755" spans="3:3" ht="15.75" customHeight="1">
      <c r="C755" s="31"/>
    </row>
    <row r="756" spans="3:3" ht="15.75" customHeight="1">
      <c r="C756" s="31"/>
    </row>
    <row r="757" spans="3:3" ht="15.75" customHeight="1">
      <c r="C757" s="31"/>
    </row>
    <row r="758" spans="3:3" ht="15.75" customHeight="1">
      <c r="C758" s="31"/>
    </row>
    <row r="759" spans="3:3" ht="15.75" customHeight="1">
      <c r="C759" s="31"/>
    </row>
    <row r="760" spans="3:3" ht="15.75" customHeight="1">
      <c r="C760" s="31"/>
    </row>
    <row r="761" spans="3:3" ht="15.75" customHeight="1">
      <c r="C761" s="31"/>
    </row>
    <row r="762" spans="3:3" ht="15.75" customHeight="1">
      <c r="C762" s="31"/>
    </row>
    <row r="763" spans="3:3" ht="15.75" customHeight="1">
      <c r="C763" s="31"/>
    </row>
    <row r="764" spans="3:3" ht="15.75" customHeight="1">
      <c r="C764" s="31"/>
    </row>
    <row r="765" spans="3:3" ht="15.75" customHeight="1">
      <c r="C765" s="31"/>
    </row>
    <row r="766" spans="3:3" ht="15.75" customHeight="1">
      <c r="C766" s="31"/>
    </row>
    <row r="767" spans="3:3" ht="15.75" customHeight="1">
      <c r="C767" s="31"/>
    </row>
    <row r="768" spans="3:3" ht="15.75" customHeight="1">
      <c r="C768" s="31"/>
    </row>
    <row r="769" spans="3:3" ht="15.75" customHeight="1">
      <c r="C769" s="31"/>
    </row>
    <row r="770" spans="3:3" ht="15.75" customHeight="1">
      <c r="C770" s="31"/>
    </row>
    <row r="771" spans="3:3" ht="15.75" customHeight="1">
      <c r="C771" s="31"/>
    </row>
    <row r="772" spans="3:3" ht="15.75" customHeight="1">
      <c r="C772" s="31"/>
    </row>
    <row r="773" spans="3:3" ht="15.75" customHeight="1">
      <c r="C773" s="31"/>
    </row>
    <row r="774" spans="3:3" ht="15.75" customHeight="1">
      <c r="C774" s="31"/>
    </row>
    <row r="775" spans="3:3" ht="15.75" customHeight="1">
      <c r="C775" s="31"/>
    </row>
    <row r="776" spans="3:3" ht="15.75" customHeight="1">
      <c r="C776" s="31"/>
    </row>
    <row r="777" spans="3:3" ht="15.75" customHeight="1">
      <c r="C777" s="31"/>
    </row>
    <row r="778" spans="3:3" ht="15.75" customHeight="1">
      <c r="C778" s="31"/>
    </row>
    <row r="779" spans="3:3" ht="15.75" customHeight="1">
      <c r="C779" s="31"/>
    </row>
    <row r="780" spans="3:3" ht="15.75" customHeight="1">
      <c r="C780" s="31"/>
    </row>
    <row r="781" spans="3:3" ht="15.75" customHeight="1">
      <c r="C781" s="31"/>
    </row>
    <row r="782" spans="3:3" ht="15.75" customHeight="1">
      <c r="C782" s="31"/>
    </row>
    <row r="783" spans="3:3" ht="15.75" customHeight="1">
      <c r="C783" s="31"/>
    </row>
    <row r="784" spans="3:3" ht="15.75" customHeight="1">
      <c r="C784" s="31"/>
    </row>
    <row r="785" spans="3:3" ht="15.75" customHeight="1">
      <c r="C785" s="31"/>
    </row>
    <row r="786" spans="3:3" ht="15.75" customHeight="1">
      <c r="C786" s="31"/>
    </row>
    <row r="787" spans="3:3" ht="15.75" customHeight="1">
      <c r="C787" s="31"/>
    </row>
    <row r="788" spans="3:3" ht="15.75" customHeight="1">
      <c r="C788" s="31"/>
    </row>
    <row r="789" spans="3:3" ht="15.75" customHeight="1">
      <c r="C789" s="31"/>
    </row>
    <row r="790" spans="3:3" ht="15.75" customHeight="1">
      <c r="C790" s="31"/>
    </row>
    <row r="791" spans="3:3" ht="15.75" customHeight="1">
      <c r="C791" s="31"/>
    </row>
    <row r="792" spans="3:3" ht="15.75" customHeight="1">
      <c r="C792" s="31"/>
    </row>
    <row r="793" spans="3:3" ht="15.75" customHeight="1">
      <c r="C793" s="31"/>
    </row>
    <row r="794" spans="3:3" ht="15.75" customHeight="1">
      <c r="C794" s="31"/>
    </row>
    <row r="795" spans="3:3" ht="15.75" customHeight="1">
      <c r="C795" s="31"/>
    </row>
    <row r="796" spans="3:3" ht="15.75" customHeight="1">
      <c r="C796" s="31"/>
    </row>
    <row r="797" spans="3:3" ht="15.75" customHeight="1">
      <c r="C797" s="31"/>
    </row>
    <row r="798" spans="3:3" ht="15.75" customHeight="1">
      <c r="C798" s="31"/>
    </row>
    <row r="799" spans="3:3" ht="15.75" customHeight="1">
      <c r="C799" s="31"/>
    </row>
    <row r="800" spans="3:3" ht="15.75" customHeight="1">
      <c r="C800" s="31"/>
    </row>
    <row r="801" spans="3:3" ht="15.75" customHeight="1">
      <c r="C801" s="31"/>
    </row>
    <row r="802" spans="3:3" ht="15.75" customHeight="1">
      <c r="C802" s="31"/>
    </row>
    <row r="803" spans="3:3" ht="15.75" customHeight="1">
      <c r="C803" s="31"/>
    </row>
    <row r="804" spans="3:3" ht="15.75" customHeight="1">
      <c r="C804" s="31"/>
    </row>
    <row r="805" spans="3:3" ht="15.75" customHeight="1">
      <c r="C805" s="31"/>
    </row>
    <row r="806" spans="3:3" ht="15.75" customHeight="1">
      <c r="C806" s="31"/>
    </row>
    <row r="807" spans="3:3" ht="15.75" customHeight="1">
      <c r="C807" s="31"/>
    </row>
    <row r="808" spans="3:3" ht="15.75" customHeight="1">
      <c r="C808" s="31"/>
    </row>
    <row r="809" spans="3:3" ht="15.75" customHeight="1">
      <c r="C809" s="31"/>
    </row>
    <row r="810" spans="3:3" ht="15.75" customHeight="1">
      <c r="C810" s="31"/>
    </row>
    <row r="811" spans="3:3" ht="15.75" customHeight="1">
      <c r="C811" s="31"/>
    </row>
    <row r="812" spans="3:3" ht="15.75" customHeight="1">
      <c r="C812" s="31"/>
    </row>
    <row r="813" spans="3:3" ht="15.75" customHeight="1">
      <c r="C813" s="31"/>
    </row>
    <row r="814" spans="3:3" ht="15.75" customHeight="1">
      <c r="C814" s="31"/>
    </row>
    <row r="815" spans="3:3" ht="15.75" customHeight="1">
      <c r="C815" s="31"/>
    </row>
    <row r="816" spans="3:3" ht="15.75" customHeight="1">
      <c r="C816" s="31"/>
    </row>
    <row r="817" spans="3:3" ht="15.75" customHeight="1">
      <c r="C817" s="31"/>
    </row>
    <row r="818" spans="3:3" ht="15.75" customHeight="1">
      <c r="C818" s="31"/>
    </row>
    <row r="819" spans="3:3" ht="15.75" customHeight="1">
      <c r="C819" s="31"/>
    </row>
    <row r="820" spans="3:3" ht="15.75" customHeight="1">
      <c r="C820" s="31"/>
    </row>
    <row r="821" spans="3:3" ht="15.75" customHeight="1">
      <c r="C821" s="31"/>
    </row>
    <row r="822" spans="3:3" ht="15.75" customHeight="1">
      <c r="C822" s="31"/>
    </row>
    <row r="823" spans="3:3" ht="15.75" customHeight="1">
      <c r="C823" s="31"/>
    </row>
    <row r="824" spans="3:3" ht="15.75" customHeight="1">
      <c r="C824" s="31"/>
    </row>
    <row r="825" spans="3:3" ht="15.75" customHeight="1">
      <c r="C825" s="31"/>
    </row>
    <row r="826" spans="3:3" ht="15.75" customHeight="1">
      <c r="C826" s="31"/>
    </row>
    <row r="827" spans="3:3" ht="15.75" customHeight="1">
      <c r="C827" s="31"/>
    </row>
    <row r="828" spans="3:3" ht="15.75" customHeight="1">
      <c r="C828" s="31"/>
    </row>
    <row r="829" spans="3:3" ht="15.75" customHeight="1">
      <c r="C829" s="31"/>
    </row>
    <row r="830" spans="3:3" ht="15.75" customHeight="1">
      <c r="C830" s="31"/>
    </row>
    <row r="831" spans="3:3" ht="15.75" customHeight="1">
      <c r="C831" s="31"/>
    </row>
    <row r="832" spans="3:3" ht="15.75" customHeight="1">
      <c r="C832" s="31"/>
    </row>
    <row r="833" spans="3:3" ht="15.75" customHeight="1">
      <c r="C833" s="31"/>
    </row>
    <row r="834" spans="3:3" ht="15.75" customHeight="1">
      <c r="C834" s="31"/>
    </row>
    <row r="835" spans="3:3" ht="15.75" customHeight="1">
      <c r="C835" s="31"/>
    </row>
    <row r="836" spans="3:3" ht="15.75" customHeight="1">
      <c r="C836" s="31"/>
    </row>
    <row r="837" spans="3:3" ht="15.75" customHeight="1">
      <c r="C837" s="31"/>
    </row>
    <row r="838" spans="3:3" ht="15.75" customHeight="1">
      <c r="C838" s="31"/>
    </row>
    <row r="839" spans="3:3" ht="15.75" customHeight="1">
      <c r="C839" s="31"/>
    </row>
    <row r="840" spans="3:3" ht="15.75" customHeight="1">
      <c r="C840" s="31"/>
    </row>
    <row r="841" spans="3:3" ht="15.75" customHeight="1">
      <c r="C841" s="31"/>
    </row>
    <row r="842" spans="3:3" ht="15.75" customHeight="1">
      <c r="C842" s="31"/>
    </row>
    <row r="843" spans="3:3" ht="15.75" customHeight="1">
      <c r="C843" s="31"/>
    </row>
    <row r="844" spans="3:3" ht="15.75" customHeight="1">
      <c r="C844" s="31"/>
    </row>
    <row r="845" spans="3:3" ht="15.75" customHeight="1">
      <c r="C845" s="31"/>
    </row>
    <row r="846" spans="3:3" ht="15.75" customHeight="1">
      <c r="C846" s="31"/>
    </row>
    <row r="847" spans="3:3" ht="15.75" customHeight="1">
      <c r="C847" s="31"/>
    </row>
    <row r="848" spans="3:3" ht="15.75" customHeight="1">
      <c r="C848" s="31"/>
    </row>
    <row r="849" spans="3:3" ht="15.75" customHeight="1">
      <c r="C849" s="31"/>
    </row>
    <row r="850" spans="3:3" ht="15.75" customHeight="1">
      <c r="C850" s="31"/>
    </row>
    <row r="851" spans="3:3" ht="15.75" customHeight="1">
      <c r="C851" s="31"/>
    </row>
    <row r="852" spans="3:3" ht="15.75" customHeight="1">
      <c r="C852" s="31"/>
    </row>
    <row r="853" spans="3:3" ht="15.75" customHeight="1">
      <c r="C853" s="31"/>
    </row>
    <row r="854" spans="3:3" ht="15.75" customHeight="1">
      <c r="C854" s="31"/>
    </row>
    <row r="855" spans="3:3" ht="15.75" customHeight="1">
      <c r="C855" s="31"/>
    </row>
    <row r="856" spans="3:3" ht="15.75" customHeight="1">
      <c r="C856" s="31"/>
    </row>
    <row r="857" spans="3:3" ht="15.75" customHeight="1">
      <c r="C857" s="31"/>
    </row>
    <row r="858" spans="3:3" ht="15.75" customHeight="1">
      <c r="C858" s="31"/>
    </row>
    <row r="859" spans="3:3" ht="15.75" customHeight="1">
      <c r="C859" s="31"/>
    </row>
    <row r="860" spans="3:3" ht="15.75" customHeight="1">
      <c r="C860" s="31"/>
    </row>
    <row r="861" spans="3:3" ht="15.75" customHeight="1">
      <c r="C861" s="31"/>
    </row>
    <row r="862" spans="3:3" ht="15.75" customHeight="1">
      <c r="C862" s="31"/>
    </row>
    <row r="863" spans="3:3" ht="15.75" customHeight="1">
      <c r="C863" s="31"/>
    </row>
    <row r="864" spans="3:3" ht="15.75" customHeight="1">
      <c r="C864" s="31"/>
    </row>
    <row r="865" spans="3:3" ht="15.75" customHeight="1">
      <c r="C865" s="31"/>
    </row>
    <row r="866" spans="3:3" ht="15.75" customHeight="1">
      <c r="C866" s="31"/>
    </row>
    <row r="867" spans="3:3" ht="15.75" customHeight="1">
      <c r="C867" s="31"/>
    </row>
    <row r="868" spans="3:3" ht="15.75" customHeight="1">
      <c r="C868" s="31"/>
    </row>
    <row r="869" spans="3:3" ht="15.75" customHeight="1">
      <c r="C869" s="31"/>
    </row>
    <row r="870" spans="3:3" ht="15.75" customHeight="1">
      <c r="C870" s="31"/>
    </row>
    <row r="871" spans="3:3" ht="15.75" customHeight="1">
      <c r="C871" s="31"/>
    </row>
    <row r="872" spans="3:3" ht="15.75" customHeight="1">
      <c r="C872" s="31"/>
    </row>
    <row r="873" spans="3:3" ht="15.75" customHeight="1">
      <c r="C873" s="31"/>
    </row>
    <row r="874" spans="3:3" ht="15.75" customHeight="1">
      <c r="C874" s="31"/>
    </row>
    <row r="875" spans="3:3" ht="15.75" customHeight="1">
      <c r="C875" s="31"/>
    </row>
    <row r="876" spans="3:3" ht="15.75" customHeight="1">
      <c r="C876" s="31"/>
    </row>
    <row r="877" spans="3:3" ht="15.75" customHeight="1">
      <c r="C877" s="31"/>
    </row>
    <row r="878" spans="3:3" ht="15.75" customHeight="1">
      <c r="C878" s="31"/>
    </row>
    <row r="879" spans="3:3" ht="15.75" customHeight="1">
      <c r="C879" s="31"/>
    </row>
    <row r="880" spans="3:3" ht="15.75" customHeight="1">
      <c r="C880" s="31"/>
    </row>
    <row r="881" spans="3:3" ht="15.75" customHeight="1">
      <c r="C881" s="31"/>
    </row>
    <row r="882" spans="3:3" ht="15.75" customHeight="1">
      <c r="C882" s="31"/>
    </row>
    <row r="883" spans="3:3" ht="15.75" customHeight="1">
      <c r="C883" s="31"/>
    </row>
    <row r="884" spans="3:3" ht="15.75" customHeight="1">
      <c r="C884" s="31"/>
    </row>
    <row r="885" spans="3:3" ht="15.75" customHeight="1">
      <c r="C885" s="31"/>
    </row>
    <row r="886" spans="3:3" ht="15.75" customHeight="1">
      <c r="C886" s="31"/>
    </row>
    <row r="887" spans="3:3" ht="15.75" customHeight="1">
      <c r="C887" s="31"/>
    </row>
    <row r="888" spans="3:3" ht="15.75" customHeight="1">
      <c r="C888" s="31"/>
    </row>
    <row r="889" spans="3:3" ht="15.75" customHeight="1">
      <c r="C889" s="31"/>
    </row>
    <row r="890" spans="3:3" ht="15.75" customHeight="1">
      <c r="C890" s="31"/>
    </row>
    <row r="891" spans="3:3" ht="15.75" customHeight="1">
      <c r="C891" s="31"/>
    </row>
    <row r="892" spans="3:3" ht="15.75" customHeight="1">
      <c r="C892" s="31"/>
    </row>
    <row r="893" spans="3:3" ht="15.75" customHeight="1">
      <c r="C893" s="31"/>
    </row>
    <row r="894" spans="3:3" ht="15.75" customHeight="1">
      <c r="C894" s="31"/>
    </row>
    <row r="895" spans="3:3" ht="15.75" customHeight="1">
      <c r="C895" s="31"/>
    </row>
    <row r="896" spans="3:3" ht="15.75" customHeight="1">
      <c r="C896" s="31"/>
    </row>
    <row r="897" spans="3:3" ht="15.75" customHeight="1">
      <c r="C897" s="31"/>
    </row>
    <row r="898" spans="3:3" ht="15.75" customHeight="1">
      <c r="C898" s="31"/>
    </row>
    <row r="899" spans="3:3" ht="15.75" customHeight="1">
      <c r="C899" s="31"/>
    </row>
    <row r="900" spans="3:3" ht="15.75" customHeight="1">
      <c r="C900" s="31"/>
    </row>
    <row r="901" spans="3:3" ht="15.75" customHeight="1">
      <c r="C901" s="31"/>
    </row>
    <row r="902" spans="3:3" ht="15.75" customHeight="1">
      <c r="C902" s="31"/>
    </row>
    <row r="903" spans="3:3" ht="15.75" customHeight="1">
      <c r="C903" s="31"/>
    </row>
    <row r="904" spans="3:3" ht="15.75" customHeight="1">
      <c r="C904" s="31"/>
    </row>
    <row r="905" spans="3:3" ht="15.75" customHeight="1">
      <c r="C905" s="31"/>
    </row>
    <row r="906" spans="3:3" ht="15.75" customHeight="1">
      <c r="C906" s="31"/>
    </row>
    <row r="907" spans="3:3" ht="15.75" customHeight="1">
      <c r="C907" s="31"/>
    </row>
    <row r="908" spans="3:3" ht="15.75" customHeight="1">
      <c r="C908" s="31"/>
    </row>
    <row r="909" spans="3:3" ht="15.75" customHeight="1">
      <c r="C909" s="31"/>
    </row>
    <row r="910" spans="3:3" ht="15.75" customHeight="1">
      <c r="C910" s="31"/>
    </row>
    <row r="911" spans="3:3" ht="15.75" customHeight="1">
      <c r="C911" s="31"/>
    </row>
    <row r="912" spans="3:3" ht="15.75" customHeight="1">
      <c r="C912" s="31"/>
    </row>
    <row r="913" spans="3:3" ht="15.75" customHeight="1">
      <c r="C913" s="31"/>
    </row>
    <row r="914" spans="3:3" ht="15.75" customHeight="1">
      <c r="C914" s="31"/>
    </row>
    <row r="915" spans="3:3" ht="15.75" customHeight="1">
      <c r="C915" s="31"/>
    </row>
    <row r="916" spans="3:3" ht="15.75" customHeight="1">
      <c r="C916" s="31"/>
    </row>
    <row r="917" spans="3:3" ht="15.75" customHeight="1">
      <c r="C917" s="31"/>
    </row>
    <row r="918" spans="3:3" ht="15.75" customHeight="1">
      <c r="C918" s="31"/>
    </row>
    <row r="919" spans="3:3" ht="15.75" customHeight="1">
      <c r="C919" s="31"/>
    </row>
    <row r="920" spans="3:3" ht="15.75" customHeight="1">
      <c r="C920" s="31"/>
    </row>
    <row r="921" spans="3:3" ht="15.75" customHeight="1">
      <c r="C921" s="31"/>
    </row>
    <row r="922" spans="3:3" ht="15.75" customHeight="1">
      <c r="C922" s="31"/>
    </row>
    <row r="923" spans="3:3" ht="15.75" customHeight="1">
      <c r="C923" s="31"/>
    </row>
    <row r="924" spans="3:3" ht="15.75" customHeight="1">
      <c r="C924" s="31"/>
    </row>
    <row r="925" spans="3:3" ht="15.75" customHeight="1">
      <c r="C925" s="31"/>
    </row>
    <row r="926" spans="3:3" ht="15.75" customHeight="1">
      <c r="C926" s="31"/>
    </row>
    <row r="927" spans="3:3" ht="15.75" customHeight="1">
      <c r="C927" s="31"/>
    </row>
    <row r="928" spans="3:3" ht="15.75" customHeight="1">
      <c r="C928" s="31"/>
    </row>
    <row r="929" spans="3:3" ht="15.75" customHeight="1">
      <c r="C929" s="31"/>
    </row>
    <row r="930" spans="3:3" ht="15.75" customHeight="1">
      <c r="C930" s="31"/>
    </row>
    <row r="931" spans="3:3" ht="15.75" customHeight="1">
      <c r="C931" s="31"/>
    </row>
    <row r="932" spans="3:3" ht="15.75" customHeight="1">
      <c r="C932" s="31"/>
    </row>
    <row r="933" spans="3:3" ht="15.75" customHeight="1">
      <c r="C933" s="31"/>
    </row>
    <row r="934" spans="3:3" ht="15.75" customHeight="1">
      <c r="C934" s="31"/>
    </row>
    <row r="935" spans="3:3" ht="15.75" customHeight="1">
      <c r="C935" s="31"/>
    </row>
    <row r="936" spans="3:3" ht="15.75" customHeight="1">
      <c r="C936" s="31"/>
    </row>
    <row r="937" spans="3:3" ht="15.75" customHeight="1">
      <c r="C937" s="31"/>
    </row>
    <row r="938" spans="3:3" ht="15.75" customHeight="1">
      <c r="C938" s="31"/>
    </row>
    <row r="939" spans="3:3" ht="15.75" customHeight="1">
      <c r="C939" s="31"/>
    </row>
    <row r="940" spans="3:3" ht="15.75" customHeight="1">
      <c r="C940" s="31"/>
    </row>
    <row r="941" spans="3:3" ht="15.75" customHeight="1">
      <c r="C941" s="31"/>
    </row>
    <row r="942" spans="3:3" ht="15.75" customHeight="1">
      <c r="C942" s="31"/>
    </row>
    <row r="943" spans="3:3" ht="15.75" customHeight="1">
      <c r="C943" s="31"/>
    </row>
    <row r="944" spans="3:3" ht="15.75" customHeight="1">
      <c r="C944" s="31"/>
    </row>
    <row r="945" spans="3:3" ht="15.75" customHeight="1">
      <c r="C945" s="31"/>
    </row>
    <row r="946" spans="3:3" ht="15.75" customHeight="1">
      <c r="C946" s="31"/>
    </row>
    <row r="947" spans="3:3" ht="15.75" customHeight="1">
      <c r="C947" s="31"/>
    </row>
    <row r="948" spans="3:3" ht="15.75" customHeight="1">
      <c r="C948" s="31"/>
    </row>
    <row r="949" spans="3:3" ht="15.75" customHeight="1">
      <c r="C949" s="31"/>
    </row>
    <row r="950" spans="3:3" ht="15.75" customHeight="1">
      <c r="C950" s="31"/>
    </row>
    <row r="951" spans="3:3" ht="15.75" customHeight="1">
      <c r="C951" s="31"/>
    </row>
    <row r="952" spans="3:3" ht="15.75" customHeight="1">
      <c r="C952" s="31"/>
    </row>
    <row r="953" spans="3:3" ht="15.75" customHeight="1">
      <c r="C953" s="31"/>
    </row>
    <row r="954" spans="3:3" ht="15.75" customHeight="1">
      <c r="C954" s="31"/>
    </row>
    <row r="955" spans="3:3" ht="15.75" customHeight="1">
      <c r="C955" s="31"/>
    </row>
    <row r="956" spans="3:3" ht="15.75" customHeight="1">
      <c r="C956" s="31"/>
    </row>
    <row r="957" spans="3:3" ht="15.75" customHeight="1">
      <c r="C957" s="31"/>
    </row>
    <row r="958" spans="3:3" ht="15.75" customHeight="1">
      <c r="C958" s="31"/>
    </row>
    <row r="959" spans="3:3" ht="15.75" customHeight="1">
      <c r="C959" s="31"/>
    </row>
    <row r="960" spans="3:3" ht="15.75" customHeight="1">
      <c r="C960" s="31"/>
    </row>
    <row r="961" spans="3:3" ht="15.75" customHeight="1">
      <c r="C961" s="31"/>
    </row>
    <row r="962" spans="3:3" ht="15.75" customHeight="1">
      <c r="C962" s="31"/>
    </row>
    <row r="963" spans="3:3" ht="15.75" customHeight="1">
      <c r="C963" s="31"/>
    </row>
    <row r="964" spans="3:3" ht="15.75" customHeight="1">
      <c r="C964" s="31"/>
    </row>
    <row r="965" spans="3:3" ht="15.75" customHeight="1">
      <c r="C965" s="31"/>
    </row>
    <row r="966" spans="3:3" ht="15.75" customHeight="1">
      <c r="C966" s="31"/>
    </row>
    <row r="967" spans="3:3" ht="15.75" customHeight="1">
      <c r="C967" s="31"/>
    </row>
    <row r="968" spans="3:3" ht="15.75" customHeight="1">
      <c r="C968" s="31"/>
    </row>
    <row r="969" spans="3:3" ht="15.75" customHeight="1">
      <c r="C969" s="31"/>
    </row>
    <row r="970" spans="3:3" ht="15.75" customHeight="1">
      <c r="C970" s="31"/>
    </row>
    <row r="971" spans="3:3" ht="15.75" customHeight="1">
      <c r="C971" s="31"/>
    </row>
    <row r="972" spans="3:3" ht="15.75" customHeight="1">
      <c r="C972" s="31"/>
    </row>
    <row r="973" spans="3:3" ht="15.75" customHeight="1">
      <c r="C973" s="31"/>
    </row>
    <row r="974" spans="3:3" ht="15.75" customHeight="1">
      <c r="C974" s="31"/>
    </row>
    <row r="975" spans="3:3" ht="15.75" customHeight="1">
      <c r="C975" s="31"/>
    </row>
    <row r="976" spans="3:3" ht="15.75" customHeight="1">
      <c r="C976" s="31"/>
    </row>
    <row r="977" spans="3:3" ht="15.75" customHeight="1">
      <c r="C977" s="31"/>
    </row>
    <row r="978" spans="3:3" ht="15.75" customHeight="1">
      <c r="C978" s="31"/>
    </row>
    <row r="979" spans="3:3" ht="15.75" customHeight="1">
      <c r="C979" s="31"/>
    </row>
    <row r="980" spans="3:3" ht="15.75" customHeight="1">
      <c r="C980" s="31"/>
    </row>
    <row r="981" spans="3:3" ht="15.75" customHeight="1">
      <c r="C981" s="31"/>
    </row>
    <row r="982" spans="3:3" ht="15.75" customHeight="1">
      <c r="C982" s="31"/>
    </row>
    <row r="983" spans="3:3" ht="15.75" customHeight="1">
      <c r="C983" s="31"/>
    </row>
    <row r="984" spans="3:3" ht="15.75" customHeight="1">
      <c r="C984" s="31"/>
    </row>
    <row r="985" spans="3:3" ht="15.75" customHeight="1">
      <c r="C985" s="31"/>
    </row>
    <row r="986" spans="3:3" ht="15.75" customHeight="1">
      <c r="C986" s="31"/>
    </row>
    <row r="987" spans="3:3" ht="15.75" customHeight="1">
      <c r="C987" s="31"/>
    </row>
    <row r="988" spans="3:3" ht="15.75" customHeight="1">
      <c r="C988" s="31"/>
    </row>
    <row r="989" spans="3:3" ht="15.75" customHeight="1">
      <c r="C989" s="31"/>
    </row>
    <row r="990" spans="3:3" ht="15.75" customHeight="1">
      <c r="C990" s="31"/>
    </row>
    <row r="991" spans="3:3" ht="15.75" customHeight="1">
      <c r="C991" s="31"/>
    </row>
    <row r="992" spans="3:3" ht="15.75" customHeight="1">
      <c r="C992" s="31"/>
    </row>
    <row r="993" spans="3:3" ht="15.75" customHeight="1">
      <c r="C993" s="31"/>
    </row>
    <row r="994" spans="3:3" ht="15.75" customHeight="1">
      <c r="C994" s="31"/>
    </row>
    <row r="995" spans="3:3" ht="15.75" customHeight="1">
      <c r="C995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Lookups!$A$1:$A$6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2"/>
  <sheetViews>
    <sheetView workbookViewId="0"/>
  </sheetViews>
  <sheetFormatPr baseColWidth="10" defaultColWidth="12.6640625" defaultRowHeight="15.75" customHeight="1"/>
  <cols>
    <col min="1" max="1" width="17.83203125" customWidth="1"/>
  </cols>
  <sheetData>
    <row r="1" spans="1:7">
      <c r="A1" s="42" t="s">
        <v>469</v>
      </c>
      <c r="B1" s="43" t="s">
        <v>470</v>
      </c>
      <c r="C1" s="42" t="s">
        <v>471</v>
      </c>
      <c r="D1" s="42" t="s">
        <v>472</v>
      </c>
      <c r="E1" s="42" t="s">
        <v>3</v>
      </c>
      <c r="F1" s="42" t="s">
        <v>4</v>
      </c>
      <c r="G1" s="44"/>
    </row>
    <row r="2" spans="1:7">
      <c r="A2" s="44" t="s">
        <v>473</v>
      </c>
      <c r="B2" s="44" t="s">
        <v>474</v>
      </c>
      <c r="C2" s="45">
        <v>1</v>
      </c>
      <c r="D2" s="44" t="s">
        <v>475</v>
      </c>
      <c r="E2" s="46">
        <v>50.628900999999999</v>
      </c>
      <c r="F2" s="46">
        <v>13.691330000000001</v>
      </c>
      <c r="G2" s="44"/>
    </row>
    <row r="3" spans="1:7">
      <c r="A3" s="44" t="s">
        <v>476</v>
      </c>
      <c r="B3" s="44" t="s">
        <v>477</v>
      </c>
      <c r="C3" s="45">
        <v>2</v>
      </c>
      <c r="D3" s="44" t="s">
        <v>478</v>
      </c>
      <c r="E3" s="46">
        <v>50.506126999999999</v>
      </c>
      <c r="F3" s="46">
        <v>13.635754</v>
      </c>
      <c r="G3" s="44"/>
    </row>
    <row r="4" spans="1:7">
      <c r="A4" s="44" t="s">
        <v>479</v>
      </c>
      <c r="B4" s="44" t="s">
        <v>480</v>
      </c>
      <c r="C4" s="45">
        <v>3</v>
      </c>
      <c r="D4" s="44" t="s">
        <v>478</v>
      </c>
      <c r="E4" s="46">
        <v>50.330419999999997</v>
      </c>
      <c r="F4" s="46">
        <v>13.543578999999999</v>
      </c>
      <c r="G4" s="44"/>
    </row>
    <row r="5" spans="1:7">
      <c r="A5" s="44" t="s">
        <v>481</v>
      </c>
      <c r="B5" s="44" t="s">
        <v>482</v>
      </c>
      <c r="C5" s="45">
        <v>3</v>
      </c>
      <c r="D5" s="44"/>
      <c r="E5" s="46">
        <v>50.232453</v>
      </c>
      <c r="F5" s="46">
        <v>13.411815000000001</v>
      </c>
      <c r="G5" s="44"/>
    </row>
    <row r="6" spans="1:7">
      <c r="A6" s="44" t="s">
        <v>483</v>
      </c>
      <c r="B6" s="44" t="s">
        <v>484</v>
      </c>
      <c r="C6" s="45">
        <v>1</v>
      </c>
      <c r="D6" s="44" t="s">
        <v>485</v>
      </c>
      <c r="E6" s="46">
        <v>50.1355</v>
      </c>
      <c r="F6" s="46">
        <v>13.269380999999999</v>
      </c>
      <c r="G6" s="44"/>
    </row>
    <row r="7" spans="1:7">
      <c r="A7" s="44" t="s">
        <v>486</v>
      </c>
      <c r="B7" s="44" t="s">
        <v>487</v>
      </c>
      <c r="C7" s="45">
        <v>7</v>
      </c>
      <c r="D7" s="44" t="s">
        <v>488</v>
      </c>
      <c r="E7" s="46">
        <v>50.148477</v>
      </c>
      <c r="F7" s="46">
        <v>13.047269</v>
      </c>
      <c r="G7" s="44"/>
    </row>
    <row r="8" spans="1:7">
      <c r="A8" s="44" t="s">
        <v>489</v>
      </c>
      <c r="B8" s="44" t="s">
        <v>490</v>
      </c>
      <c r="C8" s="45">
        <v>2</v>
      </c>
      <c r="D8" s="44" t="s">
        <v>488</v>
      </c>
      <c r="E8" s="46">
        <v>50.460639</v>
      </c>
      <c r="F8" s="46">
        <v>13.410674999999999</v>
      </c>
      <c r="G8" s="47"/>
    </row>
    <row r="9" spans="1:7">
      <c r="A9" s="44" t="s">
        <v>491</v>
      </c>
      <c r="B9" s="44" t="s">
        <v>492</v>
      </c>
      <c r="C9" s="45">
        <v>1</v>
      </c>
      <c r="D9" s="44" t="s">
        <v>488</v>
      </c>
      <c r="E9" s="46">
        <v>50.181722999999998</v>
      </c>
      <c r="F9" s="46">
        <v>13.810727999999999</v>
      </c>
      <c r="G9" s="44"/>
    </row>
    <row r="10" spans="1:7">
      <c r="A10" s="44" t="s">
        <v>493</v>
      </c>
      <c r="B10" s="44" t="s">
        <v>494</v>
      </c>
      <c r="C10" s="45">
        <v>1</v>
      </c>
      <c r="D10" s="44" t="s">
        <v>488</v>
      </c>
      <c r="E10" s="46" t="s">
        <v>495</v>
      </c>
      <c r="F10" s="44"/>
      <c r="G10" s="44"/>
    </row>
    <row r="11" spans="1:7">
      <c r="A11" s="44" t="s">
        <v>496</v>
      </c>
      <c r="B11" s="44" t="s">
        <v>495</v>
      </c>
      <c r="C11" s="45">
        <v>1</v>
      </c>
      <c r="D11" s="44" t="s">
        <v>495</v>
      </c>
      <c r="E11" s="44"/>
      <c r="F11" s="44"/>
      <c r="G11" s="44"/>
    </row>
    <row r="12" spans="1:7">
      <c r="A12" s="44" t="s">
        <v>497</v>
      </c>
      <c r="B12" s="44" t="s">
        <v>498</v>
      </c>
      <c r="C12" s="45">
        <v>1</v>
      </c>
      <c r="D12" s="44"/>
      <c r="E12" s="46">
        <v>49.962721999999999</v>
      </c>
      <c r="F12" s="46">
        <v>14.087546</v>
      </c>
      <c r="G12" s="44"/>
    </row>
    <row r="13" spans="1:7">
      <c r="A13" s="44" t="s">
        <v>499</v>
      </c>
      <c r="B13" s="44" t="s">
        <v>500</v>
      </c>
      <c r="C13" s="45">
        <v>25</v>
      </c>
      <c r="D13" s="44" t="s">
        <v>501</v>
      </c>
      <c r="E13" s="46">
        <v>49.939852000000002</v>
      </c>
      <c r="F13" s="46">
        <v>14.189714</v>
      </c>
      <c r="G13" s="44"/>
    </row>
    <row r="14" spans="1:7">
      <c r="A14" s="44" t="s">
        <v>502</v>
      </c>
      <c r="B14" s="44" t="s">
        <v>503</v>
      </c>
      <c r="C14" s="45">
        <v>1</v>
      </c>
      <c r="D14" s="44"/>
      <c r="E14" s="46">
        <v>49.912798000000002</v>
      </c>
      <c r="F14" s="46">
        <v>13.982156</v>
      </c>
      <c r="G14" s="44"/>
    </row>
    <row r="15" spans="1:7">
      <c r="A15" s="44" t="s">
        <v>504</v>
      </c>
      <c r="B15" s="44" t="s">
        <v>505</v>
      </c>
      <c r="C15" s="45">
        <v>2</v>
      </c>
      <c r="D15" s="44" t="s">
        <v>506</v>
      </c>
      <c r="E15" s="46">
        <v>49.682640999999997</v>
      </c>
      <c r="F15" s="46">
        <v>14.000291000000001</v>
      </c>
      <c r="G15" s="44"/>
    </row>
    <row r="16" spans="1:7">
      <c r="A16" s="44" t="s">
        <v>507</v>
      </c>
      <c r="B16" s="44" t="s">
        <v>508</v>
      </c>
      <c r="C16" s="45">
        <v>4</v>
      </c>
      <c r="D16" s="44" t="s">
        <v>509</v>
      </c>
      <c r="E16" s="46">
        <v>49.839829000000002</v>
      </c>
      <c r="F16" s="46">
        <v>13.905181000000001</v>
      </c>
      <c r="G16" s="44"/>
    </row>
    <row r="17" spans="1:7">
      <c r="A17" s="44" t="s">
        <v>510</v>
      </c>
      <c r="B17" s="44" t="s">
        <v>495</v>
      </c>
      <c r="C17" s="45">
        <v>1</v>
      </c>
      <c r="D17" s="44" t="s">
        <v>488</v>
      </c>
      <c r="E17" s="44"/>
      <c r="F17" s="44"/>
      <c r="G17" s="44"/>
    </row>
    <row r="18" spans="1:7">
      <c r="A18" s="44" t="s">
        <v>511</v>
      </c>
      <c r="B18" s="48" t="s">
        <v>512</v>
      </c>
      <c r="C18" s="45">
        <v>1</v>
      </c>
      <c r="D18" s="44" t="s">
        <v>488</v>
      </c>
      <c r="E18" s="46">
        <v>49.786918</v>
      </c>
      <c r="F18" s="46">
        <v>13.736871000000001</v>
      </c>
      <c r="G18" s="44"/>
    </row>
    <row r="19" spans="1:7">
      <c r="A19" s="44" t="s">
        <v>513</v>
      </c>
      <c r="B19" s="44" t="s">
        <v>514</v>
      </c>
      <c r="C19" s="45">
        <v>3</v>
      </c>
      <c r="D19" s="44"/>
      <c r="E19" s="46">
        <v>49.735171000000001</v>
      </c>
      <c r="F19" s="46">
        <v>13.594169000000001</v>
      </c>
      <c r="G19" s="44"/>
    </row>
    <row r="20" spans="1:7">
      <c r="A20" s="44" t="s">
        <v>515</v>
      </c>
      <c r="B20" s="44" t="s">
        <v>516</v>
      </c>
      <c r="C20" s="45">
        <v>6</v>
      </c>
      <c r="D20" s="44"/>
      <c r="E20" s="46">
        <v>49.742099000000003</v>
      </c>
      <c r="F20" s="46">
        <v>13.370894</v>
      </c>
      <c r="G20" s="44"/>
    </row>
    <row r="21" spans="1:7">
      <c r="A21" s="44" t="s">
        <v>517</v>
      </c>
      <c r="B21" s="44" t="s">
        <v>518</v>
      </c>
      <c r="C21" s="45">
        <v>1</v>
      </c>
      <c r="D21" s="44"/>
      <c r="E21" s="46">
        <v>49.636293999999999</v>
      </c>
      <c r="F21" s="46">
        <v>13.168314000000001</v>
      </c>
      <c r="G21" s="44"/>
    </row>
    <row r="22" spans="1:7">
      <c r="A22" s="44" t="s">
        <v>519</v>
      </c>
      <c r="B22" s="44" t="s">
        <v>520</v>
      </c>
      <c r="C22" s="45">
        <v>1</v>
      </c>
      <c r="D22" s="44"/>
      <c r="E22" s="46">
        <v>49.552171999999999</v>
      </c>
      <c r="F22" s="46">
        <v>13.069118</v>
      </c>
      <c r="G22" s="44"/>
    </row>
    <row r="23" spans="1:7">
      <c r="A23" s="44" t="s">
        <v>521</v>
      </c>
      <c r="B23" s="48" t="s">
        <v>522</v>
      </c>
      <c r="C23" s="45">
        <v>2</v>
      </c>
      <c r="D23" s="44"/>
      <c r="E23" s="46">
        <v>49.527540999999999</v>
      </c>
      <c r="F23" s="46">
        <v>12.945258000000001</v>
      </c>
      <c r="G23" s="44"/>
    </row>
    <row r="24" spans="1:7">
      <c r="A24" s="44" t="s">
        <v>523</v>
      </c>
      <c r="B24" s="44" t="s">
        <v>524</v>
      </c>
      <c r="C24" s="45">
        <v>3</v>
      </c>
      <c r="D24" s="44"/>
      <c r="E24" s="46">
        <v>49.435369000000001</v>
      </c>
      <c r="F24" s="46">
        <v>12.821246</v>
      </c>
      <c r="G24" s="44"/>
    </row>
    <row r="25" spans="1:7">
      <c r="A25" s="44" t="s">
        <v>525</v>
      </c>
      <c r="B25" s="44" t="s">
        <v>526</v>
      </c>
      <c r="C25" s="45">
        <v>1</v>
      </c>
      <c r="D25" s="44" t="s">
        <v>527</v>
      </c>
      <c r="E25" s="46">
        <v>49.418056999999997</v>
      </c>
      <c r="F25" s="46">
        <v>12.715182</v>
      </c>
      <c r="G25" s="44"/>
    </row>
    <row r="26" spans="1:7">
      <c r="A26" s="44"/>
      <c r="B26" s="44"/>
      <c r="C26" s="44"/>
      <c r="D26" s="44"/>
      <c r="E26" s="44"/>
      <c r="F26" s="44"/>
      <c r="G26" s="44"/>
    </row>
    <row r="27" spans="1:7">
      <c r="A27" s="44" t="s">
        <v>528</v>
      </c>
      <c r="B27" s="44" t="s">
        <v>529</v>
      </c>
      <c r="C27" s="45">
        <v>1</v>
      </c>
      <c r="D27" s="44" t="s">
        <v>488</v>
      </c>
      <c r="E27" s="46">
        <v>46.434883999999997</v>
      </c>
      <c r="F27" s="46">
        <v>14.051377</v>
      </c>
      <c r="G27" s="44"/>
    </row>
    <row r="28" spans="1:7">
      <c r="A28" s="44" t="s">
        <v>530</v>
      </c>
      <c r="B28" s="44" t="s">
        <v>531</v>
      </c>
      <c r="C28" s="45">
        <v>1</v>
      </c>
      <c r="D28" s="44" t="s">
        <v>488</v>
      </c>
      <c r="E28" s="46">
        <v>49.858172000000003</v>
      </c>
      <c r="F28" s="46">
        <v>14.659309</v>
      </c>
      <c r="G28" s="44"/>
    </row>
    <row r="29" spans="1:7">
      <c r="A29" s="44" t="s">
        <v>532</v>
      </c>
      <c r="B29" s="44" t="s">
        <v>533</v>
      </c>
      <c r="C29" s="45">
        <v>1</v>
      </c>
      <c r="D29" s="44" t="s">
        <v>488</v>
      </c>
      <c r="E29" s="46">
        <v>49.730984999999997</v>
      </c>
      <c r="F29" s="46">
        <v>14.666843</v>
      </c>
      <c r="G29" s="44"/>
    </row>
    <row r="30" spans="1:7">
      <c r="A30" s="44" t="s">
        <v>534</v>
      </c>
      <c r="B30" s="44" t="s">
        <v>535</v>
      </c>
      <c r="C30" s="45">
        <v>1</v>
      </c>
      <c r="D30" s="44" t="s">
        <v>488</v>
      </c>
      <c r="E30" s="46">
        <v>49.638559999999998</v>
      </c>
      <c r="F30" s="46">
        <v>14.640383</v>
      </c>
      <c r="G30" s="44"/>
    </row>
    <row r="31" spans="1:7">
      <c r="A31" s="44" t="s">
        <v>536</v>
      </c>
      <c r="B31" s="48" t="s">
        <v>537</v>
      </c>
      <c r="C31" s="45">
        <v>1</v>
      </c>
      <c r="D31" s="44" t="s">
        <v>488</v>
      </c>
      <c r="E31" s="46">
        <v>49.508082000000002</v>
      </c>
      <c r="F31" s="46">
        <v>14.659291</v>
      </c>
      <c r="G31" s="44"/>
    </row>
    <row r="32" spans="1:7">
      <c r="A32" s="44" t="s">
        <v>538</v>
      </c>
      <c r="B32" s="44" t="s">
        <v>539</v>
      </c>
      <c r="C32" s="45">
        <v>3</v>
      </c>
      <c r="D32" s="44"/>
      <c r="E32" s="46">
        <v>49.409446000000003</v>
      </c>
      <c r="F32" s="46">
        <v>14.676983999999999</v>
      </c>
      <c r="G32" s="44"/>
    </row>
    <row r="33" spans="1:7">
      <c r="A33" s="44" t="s">
        <v>540</v>
      </c>
      <c r="B33" s="44" t="s">
        <v>541</v>
      </c>
      <c r="C33" s="45">
        <v>1</v>
      </c>
      <c r="D33" s="44" t="s">
        <v>488</v>
      </c>
      <c r="E33" s="46">
        <v>49.303297999999998</v>
      </c>
      <c r="F33" s="46">
        <v>14.718016</v>
      </c>
      <c r="G33" s="44"/>
    </row>
    <row r="34" spans="1:7">
      <c r="A34" s="44" t="s">
        <v>542</v>
      </c>
      <c r="B34" s="44" t="s">
        <v>543</v>
      </c>
      <c r="C34" s="45">
        <v>1</v>
      </c>
      <c r="D34" s="44" t="s">
        <v>488</v>
      </c>
      <c r="E34" s="46">
        <v>49.180951999999998</v>
      </c>
      <c r="F34" s="46">
        <v>14.853759</v>
      </c>
      <c r="G34" s="44"/>
    </row>
    <row r="35" spans="1:7">
      <c r="A35" s="44" t="s">
        <v>544</v>
      </c>
      <c r="B35" s="44" t="s">
        <v>545</v>
      </c>
      <c r="C35" s="45">
        <v>5</v>
      </c>
      <c r="D35" s="44"/>
      <c r="E35" s="46">
        <v>49.139915000000002</v>
      </c>
      <c r="F35" s="46">
        <v>15.004018</v>
      </c>
      <c r="G35" s="44"/>
    </row>
    <row r="36" spans="1:7">
      <c r="A36" s="44" t="s">
        <v>546</v>
      </c>
      <c r="B36" s="44" t="s">
        <v>547</v>
      </c>
      <c r="C36" s="45">
        <v>1</v>
      </c>
      <c r="D36" s="44" t="s">
        <v>548</v>
      </c>
      <c r="E36" s="46">
        <v>49.021101999999999</v>
      </c>
      <c r="F36" s="46">
        <v>15.104965999999999</v>
      </c>
      <c r="G36" s="44"/>
    </row>
    <row r="37" spans="1:7">
      <c r="A37" s="44"/>
      <c r="B37" s="44"/>
      <c r="C37" s="44"/>
      <c r="D37" s="44"/>
      <c r="E37" s="44"/>
      <c r="F37" s="44"/>
      <c r="G37" s="44"/>
    </row>
    <row r="38" spans="1:7">
      <c r="A38" s="44"/>
      <c r="B38" s="44"/>
      <c r="C38" s="44"/>
      <c r="D38" s="44"/>
      <c r="E38" s="44"/>
      <c r="F38" s="44"/>
      <c r="G38" s="44"/>
    </row>
    <row r="39" spans="1:7">
      <c r="A39" s="44" t="s">
        <v>549</v>
      </c>
      <c r="B39" s="44" t="s">
        <v>550</v>
      </c>
      <c r="C39" s="45">
        <v>1</v>
      </c>
      <c r="D39" s="44"/>
      <c r="E39" s="46">
        <v>50.079293</v>
      </c>
      <c r="F39" s="46">
        <v>14.617134</v>
      </c>
      <c r="G39" s="44"/>
    </row>
    <row r="40" spans="1:7">
      <c r="A40" s="44" t="s">
        <v>551</v>
      </c>
      <c r="B40" s="44" t="s">
        <v>552</v>
      </c>
      <c r="C40" s="45">
        <v>3</v>
      </c>
      <c r="D40" s="44"/>
      <c r="E40" s="46">
        <v>50.075538999999999</v>
      </c>
      <c r="F40" s="46">
        <v>14.863645999999999</v>
      </c>
      <c r="G40" s="44"/>
    </row>
    <row r="41" spans="1:7">
      <c r="A41" s="44" t="s">
        <v>553</v>
      </c>
      <c r="B41" s="44" t="s">
        <v>554</v>
      </c>
      <c r="C41" s="45">
        <v>1</v>
      </c>
      <c r="D41" s="44"/>
      <c r="E41" s="46">
        <v>50.048648999999997</v>
      </c>
      <c r="F41" s="46">
        <v>15.031128000000001</v>
      </c>
      <c r="G41" s="44"/>
    </row>
    <row r="42" spans="1:7">
      <c r="A42" s="44" t="s">
        <v>555</v>
      </c>
      <c r="B42" s="44" t="s">
        <v>556</v>
      </c>
      <c r="C42" s="45">
        <v>7</v>
      </c>
      <c r="D42" s="44"/>
      <c r="E42" s="46">
        <v>50.025478</v>
      </c>
      <c r="F42" s="46">
        <v>15.204916000000001</v>
      </c>
      <c r="G42" s="44"/>
    </row>
    <row r="43" spans="1:7">
      <c r="A43" s="44" t="s">
        <v>557</v>
      </c>
      <c r="B43" s="44" t="s">
        <v>558</v>
      </c>
      <c r="C43" s="45">
        <v>2</v>
      </c>
      <c r="D43" s="44"/>
      <c r="E43" s="46">
        <v>49.907179999999997</v>
      </c>
      <c r="F43" s="46">
        <v>15.389041000000001</v>
      </c>
      <c r="G43" s="44"/>
    </row>
    <row r="44" spans="1:7">
      <c r="A44" s="44" t="s">
        <v>559</v>
      </c>
      <c r="B44" s="44" t="s">
        <v>560</v>
      </c>
      <c r="C44" s="45">
        <v>1</v>
      </c>
      <c r="D44" s="44"/>
      <c r="E44" s="46">
        <v>49.811852000000002</v>
      </c>
      <c r="F44" s="46">
        <v>15.476715</v>
      </c>
      <c r="G44" s="47"/>
    </row>
    <row r="45" spans="1:7">
      <c r="A45" s="44" t="s">
        <v>561</v>
      </c>
      <c r="B45" s="44" t="s">
        <v>562</v>
      </c>
      <c r="C45" s="45">
        <v>1</v>
      </c>
      <c r="D45" s="44"/>
      <c r="E45" s="46">
        <v>49.712879999999998</v>
      </c>
      <c r="F45" s="46">
        <v>15.520657999999999</v>
      </c>
      <c r="G45" s="44"/>
    </row>
    <row r="46" spans="1:7">
      <c r="A46" s="44" t="s">
        <v>563</v>
      </c>
      <c r="B46" s="48" t="s">
        <v>564</v>
      </c>
      <c r="C46" s="45">
        <v>3</v>
      </c>
      <c r="D46" s="44"/>
      <c r="E46" s="46">
        <v>49.600929000000001</v>
      </c>
      <c r="F46" s="46">
        <v>15.577366</v>
      </c>
      <c r="G46" s="44"/>
    </row>
    <row r="47" spans="1:7">
      <c r="A47" s="44" t="s">
        <v>565</v>
      </c>
      <c r="B47" s="48" t="s">
        <v>566</v>
      </c>
      <c r="C47" s="45">
        <v>2</v>
      </c>
      <c r="D47" s="44"/>
      <c r="E47" s="46">
        <v>49.500402999999999</v>
      </c>
      <c r="F47" s="46">
        <v>15.588594000000001</v>
      </c>
      <c r="G47" s="44"/>
    </row>
    <row r="48" spans="1:7">
      <c r="A48" s="44" t="s">
        <v>567</v>
      </c>
      <c r="B48" s="48" t="s">
        <v>568</v>
      </c>
      <c r="C48" s="45">
        <v>2</v>
      </c>
      <c r="D48" s="44"/>
      <c r="E48" s="46">
        <v>49.397053999999997</v>
      </c>
      <c r="F48" s="46">
        <v>15.587115000000001</v>
      </c>
      <c r="G48" s="44"/>
    </row>
    <row r="49" spans="1:7">
      <c r="A49" s="44" t="s">
        <v>569</v>
      </c>
      <c r="B49" s="44" t="s">
        <v>570</v>
      </c>
      <c r="C49" s="45">
        <v>1</v>
      </c>
      <c r="D49" s="44"/>
      <c r="E49" s="46">
        <v>49.281548000000001</v>
      </c>
      <c r="F49" s="46">
        <v>15.585651</v>
      </c>
      <c r="G49" s="44"/>
    </row>
    <row r="50" spans="1:7">
      <c r="A50" s="44" t="s">
        <v>571</v>
      </c>
      <c r="B50" s="44" t="s">
        <v>572</v>
      </c>
      <c r="C50" s="45">
        <v>1</v>
      </c>
      <c r="D50" s="44"/>
      <c r="E50" s="46">
        <v>49.140272000000003</v>
      </c>
      <c r="F50" s="46">
        <v>15.671810000000001</v>
      </c>
      <c r="G50" s="44"/>
    </row>
    <row r="51" spans="1:7">
      <c r="A51" s="44" t="s">
        <v>573</v>
      </c>
      <c r="B51" s="44" t="s">
        <v>574</v>
      </c>
      <c r="C51" s="45">
        <v>1</v>
      </c>
      <c r="D51" s="44"/>
      <c r="E51" s="46">
        <v>49.051445999999999</v>
      </c>
      <c r="F51" s="46">
        <v>15.808895</v>
      </c>
      <c r="G51" s="44"/>
    </row>
    <row r="52" spans="1:7">
      <c r="A52" s="44" t="s">
        <v>575</v>
      </c>
      <c r="B52" s="48" t="s">
        <v>576</v>
      </c>
      <c r="C52" s="45">
        <v>1</v>
      </c>
      <c r="D52" s="44"/>
      <c r="E52" s="46">
        <v>48.950409999999998</v>
      </c>
      <c r="F52" s="46">
        <v>15.918677000000001</v>
      </c>
      <c r="G52" s="44"/>
    </row>
    <row r="53" spans="1:7">
      <c r="A53" s="44" t="s">
        <v>577</v>
      </c>
      <c r="B53" s="44" t="s">
        <v>578</v>
      </c>
      <c r="C53" s="45">
        <v>6</v>
      </c>
      <c r="D53" s="44"/>
      <c r="E53" s="46">
        <v>48.859943999999999</v>
      </c>
      <c r="F53" s="46">
        <v>16.048850999999999</v>
      </c>
      <c r="G53" s="44"/>
    </row>
    <row r="54" spans="1:7">
      <c r="A54" s="44"/>
      <c r="B54" s="44"/>
      <c r="C54" s="44"/>
      <c r="D54" s="44"/>
      <c r="E54" s="44"/>
      <c r="F54" s="44"/>
      <c r="G54" s="44"/>
    </row>
    <row r="55" spans="1:7">
      <c r="A55" s="44" t="s">
        <v>579</v>
      </c>
      <c r="B55" s="44" t="s">
        <v>580</v>
      </c>
      <c r="C55" s="45">
        <v>1</v>
      </c>
      <c r="D55" s="44"/>
      <c r="E55" s="46">
        <v>49.185943999999999</v>
      </c>
      <c r="F55" s="46">
        <v>14.700606000000001</v>
      </c>
      <c r="G55" s="44"/>
    </row>
    <row r="56" spans="1:7">
      <c r="A56" s="44" t="s">
        <v>581</v>
      </c>
      <c r="B56" s="48" t="s">
        <v>582</v>
      </c>
      <c r="C56" s="45">
        <v>7</v>
      </c>
      <c r="D56" s="44"/>
      <c r="E56" s="46">
        <v>48.974300999999997</v>
      </c>
      <c r="F56" s="46">
        <v>14.472607999999999</v>
      </c>
      <c r="G56" s="44"/>
    </row>
    <row r="57" spans="1:7">
      <c r="A57" s="44" t="s">
        <v>583</v>
      </c>
      <c r="B57" s="44" t="s">
        <v>584</v>
      </c>
      <c r="C57" s="45">
        <v>1</v>
      </c>
      <c r="D57" s="44"/>
      <c r="E57" s="46">
        <v>48.736004000000001</v>
      </c>
      <c r="F57" s="46">
        <v>14.493024</v>
      </c>
      <c r="G57" s="44"/>
    </row>
    <row r="58" spans="1:7">
      <c r="A58" s="44" t="s">
        <v>585</v>
      </c>
      <c r="B58" s="44"/>
      <c r="C58" s="44"/>
      <c r="D58" s="44"/>
      <c r="E58" s="44"/>
      <c r="F58" s="44"/>
      <c r="G58" s="44"/>
    </row>
    <row r="59" spans="1:7">
      <c r="A59" s="44" t="s">
        <v>586</v>
      </c>
      <c r="B59" s="44" t="s">
        <v>587</v>
      </c>
      <c r="C59" s="45">
        <v>25</v>
      </c>
      <c r="D59" s="44"/>
      <c r="E59" s="46">
        <v>49.188845999999998</v>
      </c>
      <c r="F59" s="46">
        <v>16.608820999999999</v>
      </c>
      <c r="G59" s="44"/>
    </row>
    <row r="60" spans="1:7">
      <c r="A60" s="44" t="s">
        <v>588</v>
      </c>
      <c r="B60" s="44" t="s">
        <v>589</v>
      </c>
      <c r="C60" s="45">
        <v>8</v>
      </c>
      <c r="D60" s="44" t="s">
        <v>590</v>
      </c>
      <c r="E60" s="46">
        <v>49.149746999999998</v>
      </c>
      <c r="F60" s="46">
        <v>16.876767999999998</v>
      </c>
      <c r="G60" s="44"/>
    </row>
    <row r="61" spans="1:7">
      <c r="A61" s="44" t="s">
        <v>591</v>
      </c>
      <c r="B61" s="44" t="s">
        <v>592</v>
      </c>
      <c r="C61" s="45">
        <v>1</v>
      </c>
      <c r="D61" s="44"/>
      <c r="E61" s="46">
        <v>49.273423000000001</v>
      </c>
      <c r="F61" s="46">
        <v>16.999089000000001</v>
      </c>
      <c r="G61" s="44"/>
    </row>
    <row r="62" spans="1:7">
      <c r="A62" s="44" t="s">
        <v>593</v>
      </c>
      <c r="B62" s="44" t="s">
        <v>594</v>
      </c>
      <c r="C62" s="45">
        <v>1</v>
      </c>
      <c r="D62" s="44"/>
      <c r="E62" s="46">
        <v>49.468468000000001</v>
      </c>
      <c r="F62" s="46">
        <v>17.113408</v>
      </c>
      <c r="G62" s="44"/>
    </row>
    <row r="63" spans="1:7">
      <c r="A63" s="44" t="s">
        <v>595</v>
      </c>
      <c r="B63" s="44" t="s">
        <v>596</v>
      </c>
      <c r="C63" s="45">
        <v>14</v>
      </c>
      <c r="D63" s="44"/>
      <c r="E63" s="46">
        <v>49.589554999999997</v>
      </c>
      <c r="F63" s="46">
        <v>17.253093</v>
      </c>
      <c r="G63" s="44"/>
    </row>
    <row r="64" spans="1:7">
      <c r="A64" s="44"/>
      <c r="B64" s="44"/>
      <c r="C64" s="44"/>
      <c r="D64" s="44"/>
      <c r="E64" s="44"/>
      <c r="F64" s="44"/>
      <c r="G64" s="44"/>
    </row>
    <row r="65" spans="1:7">
      <c r="A65" s="44"/>
      <c r="B65" s="44"/>
      <c r="C65" s="44"/>
      <c r="D65" s="44"/>
      <c r="E65" s="44"/>
      <c r="F65" s="44"/>
      <c r="G65" s="44"/>
    </row>
    <row r="66" spans="1:7">
      <c r="A66" s="44" t="s">
        <v>597</v>
      </c>
      <c r="B66" s="44" t="s">
        <v>598</v>
      </c>
      <c r="C66" s="45">
        <v>4</v>
      </c>
      <c r="D66" s="44"/>
      <c r="E66" s="46">
        <v>49.591520000000003</v>
      </c>
      <c r="F66" s="46">
        <v>18.012235</v>
      </c>
      <c r="G66" s="44"/>
    </row>
    <row r="67" spans="1:7">
      <c r="A67" s="44" t="s">
        <v>599</v>
      </c>
      <c r="B67" s="44" t="s">
        <v>600</v>
      </c>
      <c r="C67" s="45">
        <v>1</v>
      </c>
      <c r="D67" s="44"/>
      <c r="E67" s="46">
        <v>49.639150000000001</v>
      </c>
      <c r="F67" s="46">
        <v>18.143438</v>
      </c>
      <c r="G67" s="44"/>
    </row>
    <row r="68" spans="1:7">
      <c r="A68" s="44" t="s">
        <v>601</v>
      </c>
      <c r="B68" s="44" t="s">
        <v>602</v>
      </c>
      <c r="C68" s="45">
        <v>2</v>
      </c>
      <c r="D68" s="44"/>
      <c r="E68" s="46">
        <v>49.678089999999997</v>
      </c>
      <c r="F68" s="46">
        <v>18.352128</v>
      </c>
      <c r="G68" s="44"/>
    </row>
    <row r="69" spans="1:7">
      <c r="A69" s="47" t="s">
        <v>603</v>
      </c>
      <c r="B69" s="44" t="s">
        <v>604</v>
      </c>
      <c r="C69" s="45">
        <v>52</v>
      </c>
      <c r="D69" s="47" t="s">
        <v>605</v>
      </c>
      <c r="E69" s="46">
        <v>50.788251000000002</v>
      </c>
      <c r="F69" s="46">
        <v>13.976571</v>
      </c>
      <c r="G69" s="44"/>
    </row>
    <row r="70" spans="1:7">
      <c r="A70" s="47" t="s">
        <v>606</v>
      </c>
      <c r="B70" s="44" t="s">
        <v>607</v>
      </c>
      <c r="C70" s="45">
        <v>27</v>
      </c>
      <c r="D70" s="47" t="s">
        <v>608</v>
      </c>
      <c r="E70" s="46">
        <v>50.725009999999997</v>
      </c>
      <c r="F70" s="46">
        <v>13.964245999999999</v>
      </c>
      <c r="G70" s="44"/>
    </row>
    <row r="71" spans="1:7">
      <c r="A71" s="47" t="s">
        <v>609</v>
      </c>
      <c r="B71" s="44" t="s">
        <v>610</v>
      </c>
      <c r="C71" s="45">
        <v>3</v>
      </c>
      <c r="D71" s="47" t="s">
        <v>611</v>
      </c>
      <c r="E71" s="46">
        <v>50.699466999999999</v>
      </c>
      <c r="F71" s="46">
        <v>13.938824</v>
      </c>
      <c r="G71" s="44"/>
    </row>
    <row r="72" spans="1:7">
      <c r="A72" s="47" t="s">
        <v>612</v>
      </c>
      <c r="B72" s="44" t="s">
        <v>613</v>
      </c>
      <c r="C72" s="45">
        <v>41</v>
      </c>
      <c r="D72" s="47" t="s">
        <v>614</v>
      </c>
      <c r="E72" s="46">
        <v>50.643967000000004</v>
      </c>
      <c r="F72" s="46">
        <v>13.834699000000001</v>
      </c>
      <c r="G72" s="44"/>
    </row>
    <row r="73" spans="1:7">
      <c r="A73" s="47" t="s">
        <v>615</v>
      </c>
      <c r="B73" s="44" t="s">
        <v>616</v>
      </c>
      <c r="C73" s="45">
        <v>1</v>
      </c>
      <c r="D73" s="47" t="s">
        <v>617</v>
      </c>
      <c r="E73" s="46">
        <v>50.682732000000001</v>
      </c>
      <c r="F73" s="46">
        <v>13.871677</v>
      </c>
      <c r="G73" s="44"/>
    </row>
    <row r="74" spans="1:7">
      <c r="A74" s="47" t="s">
        <v>618</v>
      </c>
      <c r="B74" s="44" t="s">
        <v>619</v>
      </c>
      <c r="C74" s="45">
        <v>3</v>
      </c>
      <c r="D74" s="47" t="s">
        <v>620</v>
      </c>
      <c r="E74" s="46">
        <v>50.555261000000002</v>
      </c>
      <c r="F74" s="46">
        <v>13.932116000000001</v>
      </c>
      <c r="G74" s="44"/>
    </row>
    <row r="75" spans="1:7">
      <c r="A75" s="47" t="s">
        <v>621</v>
      </c>
      <c r="B75" s="44" t="s">
        <v>622</v>
      </c>
      <c r="C75" s="45">
        <v>1</v>
      </c>
      <c r="D75" s="47" t="s">
        <v>623</v>
      </c>
      <c r="E75" s="46">
        <v>50.603366999999999</v>
      </c>
      <c r="F75" s="46">
        <v>13.748590999999999</v>
      </c>
      <c r="G75" s="44"/>
    </row>
    <row r="76" spans="1:7">
      <c r="A76" s="47" t="s">
        <v>624</v>
      </c>
      <c r="B76" s="44" t="s">
        <v>625</v>
      </c>
      <c r="C76" s="45">
        <v>16</v>
      </c>
      <c r="D76" s="47" t="s">
        <v>626</v>
      </c>
      <c r="E76" s="46">
        <v>50.661676</v>
      </c>
      <c r="F76" s="46">
        <v>14.051342</v>
      </c>
      <c r="G76" s="44"/>
    </row>
    <row r="77" spans="1:7">
      <c r="A77" s="47" t="s">
        <v>627</v>
      </c>
      <c r="B77" s="44" t="s">
        <v>628</v>
      </c>
      <c r="C77" s="45">
        <v>12</v>
      </c>
      <c r="D77" s="47" t="s">
        <v>629</v>
      </c>
      <c r="E77" s="46">
        <v>50.772691000000002</v>
      </c>
      <c r="F77" s="46">
        <v>14.213172999999999</v>
      </c>
      <c r="G77" s="44"/>
    </row>
    <row r="78" spans="1:7">
      <c r="A78" s="47" t="s">
        <v>630</v>
      </c>
      <c r="B78" s="44" t="s">
        <v>631</v>
      </c>
      <c r="C78" s="45">
        <v>4</v>
      </c>
      <c r="D78" s="47" t="s">
        <v>632</v>
      </c>
      <c r="E78" s="46">
        <v>50.513722999999999</v>
      </c>
      <c r="F78" s="46">
        <v>14.051402</v>
      </c>
      <c r="G78" s="44"/>
    </row>
    <row r="79" spans="1:7">
      <c r="A79" s="47" t="s">
        <v>633</v>
      </c>
      <c r="B79" s="44" t="s">
        <v>634</v>
      </c>
      <c r="C79" s="45">
        <v>6</v>
      </c>
      <c r="D79" s="47" t="s">
        <v>635</v>
      </c>
      <c r="E79" s="46">
        <v>50.532713999999999</v>
      </c>
      <c r="F79" s="46">
        <v>14.132960000000001</v>
      </c>
      <c r="G79" s="44"/>
    </row>
    <row r="80" spans="1:7">
      <c r="A80" s="47" t="s">
        <v>636</v>
      </c>
      <c r="B80" s="44" t="s">
        <v>637</v>
      </c>
      <c r="C80" s="45">
        <v>3</v>
      </c>
      <c r="D80" s="47" t="s">
        <v>638</v>
      </c>
      <c r="E80" s="46">
        <v>50.511758</v>
      </c>
      <c r="F80" s="46">
        <v>14.151132</v>
      </c>
      <c r="G80" s="44"/>
    </row>
    <row r="81" spans="1:7">
      <c r="A81" s="47" t="s">
        <v>639</v>
      </c>
      <c r="B81" s="44" t="s">
        <v>640</v>
      </c>
      <c r="C81" s="45">
        <v>1</v>
      </c>
      <c r="D81" s="47" t="s">
        <v>488</v>
      </c>
      <c r="E81" s="46">
        <v>50.457040999999997</v>
      </c>
      <c r="F81" s="46">
        <v>14.161206</v>
      </c>
      <c r="G81" s="44"/>
    </row>
    <row r="82" spans="1:7">
      <c r="A82" s="47" t="s">
        <v>641</v>
      </c>
      <c r="B82" s="44" t="s">
        <v>642</v>
      </c>
      <c r="C82" s="45">
        <v>1</v>
      </c>
      <c r="D82" s="47" t="s">
        <v>488</v>
      </c>
      <c r="E82" s="46">
        <v>50.312151999999998</v>
      </c>
      <c r="F82" s="46">
        <v>14.308712</v>
      </c>
      <c r="G82" s="44"/>
    </row>
    <row r="83" spans="1:7">
      <c r="A83" s="47" t="s">
        <v>643</v>
      </c>
      <c r="B83" s="44" t="s">
        <v>644</v>
      </c>
      <c r="C83" s="45">
        <v>2</v>
      </c>
      <c r="D83" s="47" t="s">
        <v>645</v>
      </c>
      <c r="E83" s="46">
        <v>50.275412000000003</v>
      </c>
      <c r="F83" s="46">
        <v>14.325276000000001</v>
      </c>
      <c r="G83" s="44"/>
    </row>
    <row r="84" spans="1:7">
      <c r="A84" s="47" t="s">
        <v>646</v>
      </c>
      <c r="B84" s="44" t="s">
        <v>646</v>
      </c>
      <c r="C84" s="45">
        <v>1</v>
      </c>
      <c r="D84" s="47" t="s">
        <v>488</v>
      </c>
      <c r="E84" s="46">
        <v>50.179124000000002</v>
      </c>
      <c r="F84" s="46">
        <v>14.445792000000001</v>
      </c>
      <c r="G84" s="44"/>
    </row>
    <row r="85" spans="1:7">
      <c r="A85" s="47" t="s">
        <v>647</v>
      </c>
      <c r="B85" s="44" t="s">
        <v>648</v>
      </c>
      <c r="C85" s="45">
        <v>5</v>
      </c>
      <c r="D85" s="47" t="s">
        <v>649</v>
      </c>
      <c r="E85" s="46">
        <v>50.550773</v>
      </c>
      <c r="F85" s="46">
        <v>13.775993</v>
      </c>
      <c r="G85" s="44"/>
    </row>
    <row r="86" spans="1:7">
      <c r="A86" s="47" t="s">
        <v>650</v>
      </c>
      <c r="B86" s="44" t="s">
        <v>651</v>
      </c>
      <c r="C86" s="45">
        <v>1</v>
      </c>
      <c r="D86" s="47"/>
      <c r="E86" s="46">
        <v>50.611392000000002</v>
      </c>
      <c r="F86" s="46">
        <v>13.798016000000001</v>
      </c>
      <c r="G86" s="44"/>
    </row>
    <row r="87" spans="1:7">
      <c r="A87" s="47" t="s">
        <v>652</v>
      </c>
      <c r="B87" s="44" t="s">
        <v>653</v>
      </c>
      <c r="C87" s="45">
        <v>6</v>
      </c>
      <c r="D87" s="47" t="s">
        <v>654</v>
      </c>
      <c r="E87" s="46">
        <v>50.516067</v>
      </c>
      <c r="F87" s="46">
        <v>13.786098000000001</v>
      </c>
      <c r="G87" s="44"/>
    </row>
    <row r="88" spans="1:7">
      <c r="A88" s="47" t="s">
        <v>655</v>
      </c>
      <c r="B88" s="44" t="s">
        <v>656</v>
      </c>
      <c r="C88" s="45">
        <v>2</v>
      </c>
      <c r="D88" s="47"/>
      <c r="E88" s="46">
        <v>50.597116999999997</v>
      </c>
      <c r="F88" s="46">
        <v>13.822141999999999</v>
      </c>
      <c r="G88" s="44"/>
    </row>
    <row r="89" spans="1:7">
      <c r="A89" s="47" t="s">
        <v>657</v>
      </c>
      <c r="B89" s="44" t="s">
        <v>658</v>
      </c>
      <c r="C89" s="45">
        <v>3</v>
      </c>
      <c r="D89" s="47" t="s">
        <v>659</v>
      </c>
      <c r="E89" s="46">
        <v>50.36112</v>
      </c>
      <c r="F89" s="46">
        <v>13.798978999999999</v>
      </c>
      <c r="G89" s="44"/>
    </row>
    <row r="90" spans="1:7">
      <c r="A90" s="47" t="s">
        <v>660</v>
      </c>
      <c r="B90" s="44" t="s">
        <v>661</v>
      </c>
      <c r="C90" s="45">
        <v>1</v>
      </c>
      <c r="D90" s="47"/>
      <c r="E90" s="46">
        <v>50.296044999999999</v>
      </c>
      <c r="F90" s="46">
        <v>13.914408</v>
      </c>
      <c r="G90" s="44"/>
    </row>
    <row r="91" spans="1:7">
      <c r="A91" s="47" t="s">
        <v>662</v>
      </c>
      <c r="B91" s="44" t="s">
        <v>663</v>
      </c>
      <c r="C91" s="45">
        <v>6</v>
      </c>
      <c r="D91" s="47" t="s">
        <v>664</v>
      </c>
      <c r="E91" s="46">
        <v>50.229388</v>
      </c>
      <c r="F91" s="46">
        <v>14.086141</v>
      </c>
      <c r="G91" s="44"/>
    </row>
    <row r="92" spans="1:7">
      <c r="A92" s="47" t="s">
        <v>665</v>
      </c>
      <c r="B92" s="44" t="s">
        <v>666</v>
      </c>
      <c r="C92" s="45">
        <v>16</v>
      </c>
      <c r="D92" s="47" t="s">
        <v>488</v>
      </c>
      <c r="E92" s="46">
        <v>50.132277000000002</v>
      </c>
      <c r="F92" s="46">
        <v>14.242539000000001</v>
      </c>
      <c r="G92" s="44"/>
    </row>
    <row r="93" spans="1:7">
      <c r="A93" s="47" t="s">
        <v>667</v>
      </c>
      <c r="B93" s="44" t="s">
        <v>668</v>
      </c>
      <c r="C93" s="45">
        <v>337</v>
      </c>
      <c r="D93" s="47"/>
      <c r="E93" s="44"/>
      <c r="F93" s="44"/>
      <c r="G93" s="44"/>
    </row>
    <row r="94" spans="1:7">
      <c r="A94" s="44" t="s">
        <v>669</v>
      </c>
      <c r="B94" s="44" t="s">
        <v>670</v>
      </c>
      <c r="C94" s="45">
        <v>26</v>
      </c>
      <c r="D94" s="44"/>
      <c r="E94" s="46">
        <v>50.078583000000002</v>
      </c>
      <c r="F94" s="46">
        <v>12.370953999999999</v>
      </c>
      <c r="G94" s="44"/>
    </row>
    <row r="95" spans="1:7">
      <c r="A95" s="44" t="s">
        <v>671</v>
      </c>
      <c r="B95" s="48" t="s">
        <v>672</v>
      </c>
      <c r="C95" s="45">
        <v>4</v>
      </c>
      <c r="D95" s="44"/>
      <c r="E95" s="46">
        <v>50.175164000000002</v>
      </c>
      <c r="F95" s="46">
        <v>12.660354</v>
      </c>
      <c r="G95" s="44"/>
    </row>
    <row r="96" spans="1:7">
      <c r="A96" s="44" t="s">
        <v>673</v>
      </c>
      <c r="B96" s="44" t="s">
        <v>674</v>
      </c>
      <c r="C96" s="45">
        <v>8</v>
      </c>
      <c r="D96" s="44"/>
      <c r="E96" s="46">
        <v>50.187511999999998</v>
      </c>
      <c r="F96" s="46">
        <v>12.752211000000001</v>
      </c>
      <c r="G96" s="44"/>
    </row>
    <row r="97" spans="1:7">
      <c r="A97" s="44" t="s">
        <v>675</v>
      </c>
      <c r="B97" s="48" t="s">
        <v>676</v>
      </c>
      <c r="C97" s="45">
        <v>66</v>
      </c>
      <c r="D97" s="44"/>
      <c r="E97" s="46">
        <v>50.231141999999998</v>
      </c>
      <c r="F97" s="46">
        <v>12.872057</v>
      </c>
      <c r="G97" s="44"/>
    </row>
    <row r="98" spans="1:7">
      <c r="A98" s="44" t="s">
        <v>677</v>
      </c>
      <c r="B98" s="48" t="s">
        <v>678</v>
      </c>
      <c r="C98" s="45">
        <v>3</v>
      </c>
      <c r="D98" s="44"/>
      <c r="E98" s="46">
        <v>50.085143000000002</v>
      </c>
      <c r="F98" s="46">
        <v>12.836456999999999</v>
      </c>
      <c r="G98" s="44"/>
    </row>
    <row r="99" spans="1:7">
      <c r="A99" s="44" t="s">
        <v>679</v>
      </c>
      <c r="B99" s="44" t="s">
        <v>680</v>
      </c>
      <c r="C99" s="45">
        <v>22</v>
      </c>
      <c r="D99" s="44"/>
      <c r="E99" s="46">
        <v>49.965013999999996</v>
      </c>
      <c r="F99" s="46">
        <v>12.701413000000001</v>
      </c>
      <c r="G99" s="44"/>
    </row>
    <row r="100" spans="1:7">
      <c r="A100" s="44" t="s">
        <v>681</v>
      </c>
      <c r="B100" s="44" t="s">
        <v>682</v>
      </c>
      <c r="C100" s="45">
        <v>18</v>
      </c>
      <c r="D100" s="44"/>
      <c r="E100" s="46">
        <v>50.119325000000003</v>
      </c>
      <c r="F100" s="46">
        <v>12.349955</v>
      </c>
      <c r="G100" s="44"/>
    </row>
    <row r="101" spans="1:7">
      <c r="A101" s="44" t="s">
        <v>683</v>
      </c>
      <c r="B101" s="48" t="s">
        <v>684</v>
      </c>
      <c r="C101" s="45">
        <v>6</v>
      </c>
      <c r="D101" s="44"/>
      <c r="E101" s="46">
        <v>50.148389999999999</v>
      </c>
      <c r="F101" s="46">
        <v>12.536441999999999</v>
      </c>
      <c r="G101" s="44"/>
    </row>
    <row r="102" spans="1:7">
      <c r="A102" s="49" t="s">
        <v>685</v>
      </c>
      <c r="B102" s="44" t="s">
        <v>686</v>
      </c>
      <c r="C102" s="45">
        <v>13</v>
      </c>
      <c r="D102" s="44"/>
      <c r="E102" s="46">
        <v>50.005794999999999</v>
      </c>
      <c r="F102" s="46">
        <v>12.613042999999999</v>
      </c>
      <c r="G102" s="44"/>
    </row>
  </sheetData>
  <hyperlinks>
    <hyperlink ref="B18" r:id="rId1" xr:uid="{00000000-0004-0000-0500-000000000000}"/>
    <hyperlink ref="B23" r:id="rId2" xr:uid="{00000000-0004-0000-0500-000001000000}"/>
    <hyperlink ref="B31" r:id="rId3" xr:uid="{00000000-0004-0000-0500-000002000000}"/>
    <hyperlink ref="B46" r:id="rId4" xr:uid="{00000000-0004-0000-0500-000003000000}"/>
    <hyperlink ref="B47" r:id="rId5" xr:uid="{00000000-0004-0000-0500-000004000000}"/>
    <hyperlink ref="B48" r:id="rId6" xr:uid="{00000000-0004-0000-0500-000005000000}"/>
    <hyperlink ref="B52" r:id="rId7" xr:uid="{00000000-0004-0000-0500-000006000000}"/>
    <hyperlink ref="B56" r:id="rId8" xr:uid="{00000000-0004-0000-0500-000007000000}"/>
    <hyperlink ref="B95" r:id="rId9" xr:uid="{00000000-0004-0000-0500-000008000000}"/>
    <hyperlink ref="B97" r:id="rId10" xr:uid="{00000000-0004-0000-0500-000009000000}"/>
    <hyperlink ref="B98" r:id="rId11" xr:uid="{00000000-0004-0000-0500-00000A000000}"/>
    <hyperlink ref="B101" r:id="rId12" xr:uid="{00000000-0004-0000-0500-00000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1"/>
  <sheetViews>
    <sheetView workbookViewId="0"/>
  </sheetViews>
  <sheetFormatPr baseColWidth="10" defaultColWidth="12.6640625" defaultRowHeight="15.75" customHeight="1"/>
  <cols>
    <col min="1" max="1" width="21.1640625" customWidth="1"/>
    <col min="3" max="3" width="24.83203125" customWidth="1"/>
    <col min="6" max="6" width="77.1640625" customWidth="1"/>
  </cols>
  <sheetData>
    <row r="1" spans="1:26">
      <c r="A1" s="1" t="s">
        <v>687</v>
      </c>
      <c r="B1" s="1" t="s">
        <v>1</v>
      </c>
      <c r="C1" s="2" t="s">
        <v>276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688</v>
      </c>
      <c r="B2" s="6" t="s">
        <v>17</v>
      </c>
      <c r="C2" s="7" t="s">
        <v>689</v>
      </c>
      <c r="D2" s="50">
        <f ca="1">IFERROR(__xludf.DUMMYFUNCTION("SPLIT(C2,"","")"),56.0887188)</f>
        <v>56.088718800000002</v>
      </c>
      <c r="E2" s="9">
        <f ca="1">IFERROR(__xludf.DUMMYFUNCTION("""COMPUTED_VALUE"""),10.2209268)</f>
        <v>10.220926800000001</v>
      </c>
      <c r="F2" s="10" t="s">
        <v>690</v>
      </c>
      <c r="G2" s="6"/>
      <c r="H2" s="11"/>
    </row>
    <row r="3" spans="1:26">
      <c r="A3" s="6" t="s">
        <v>691</v>
      </c>
      <c r="B3" s="6" t="s">
        <v>17</v>
      </c>
      <c r="C3" s="7" t="s">
        <v>692</v>
      </c>
      <c r="D3" s="50">
        <f ca="1">IFERROR(__xludf.DUMMYFUNCTION("SPLIT(C3,"","")"),55.3096059)</f>
        <v>55.309605900000001</v>
      </c>
      <c r="E3" s="9">
        <f ca="1">IFERROR(__xludf.DUMMYFUNCTION("""COMPUTED_VALUE"""),8.7624704)</f>
        <v>8.7624703999999998</v>
      </c>
      <c r="F3" s="10" t="s">
        <v>693</v>
      </c>
      <c r="G3" s="6"/>
      <c r="H3" s="11" t="s">
        <v>694</v>
      </c>
    </row>
    <row r="4" spans="1:26">
      <c r="A4" s="6" t="s">
        <v>695</v>
      </c>
      <c r="B4" s="6" t="s">
        <v>17</v>
      </c>
      <c r="C4" s="7" t="s">
        <v>696</v>
      </c>
      <c r="D4" s="50">
        <f ca="1">IFERROR(__xludf.DUMMYFUNCTION("SPLIT(C4,"","")"),55.1763793)</f>
        <v>55.176379300000001</v>
      </c>
      <c r="E4" s="9">
        <f ca="1">IFERROR(__xludf.DUMMYFUNCTION("""COMPUTED_VALUE"""),14.953611)</f>
        <v>14.953611</v>
      </c>
      <c r="F4" s="10" t="s">
        <v>697</v>
      </c>
      <c r="G4" s="6"/>
      <c r="H4" s="11"/>
    </row>
    <row r="5" spans="1:26">
      <c r="A5" s="6" t="s">
        <v>698</v>
      </c>
      <c r="B5" s="6" t="s">
        <v>43</v>
      </c>
      <c r="C5" s="7" t="s">
        <v>699</v>
      </c>
      <c r="D5" s="50">
        <f ca="1">IFERROR(__xludf.DUMMYFUNCTION("SPLIT(C5,"","")"),55.4675)</f>
        <v>55.467500000000001</v>
      </c>
      <c r="E5" s="9">
        <f ca="1">IFERROR(__xludf.DUMMYFUNCTION("""COMPUTED_VALUE"""),9.1693567)</f>
        <v>9.1693566999999998</v>
      </c>
      <c r="F5" s="10" t="s">
        <v>700</v>
      </c>
      <c r="G5" s="6"/>
      <c r="H5" s="11" t="s">
        <v>701</v>
      </c>
    </row>
    <row r="6" spans="1:26">
      <c r="A6" s="6" t="s">
        <v>702</v>
      </c>
      <c r="B6" s="6" t="s">
        <v>23</v>
      </c>
      <c r="C6" s="51" t="s">
        <v>703</v>
      </c>
      <c r="D6" s="50">
        <f ca="1">IFERROR(__xludf.DUMMYFUNCTION("SPLIT(C6,"","")"),56.1517)</f>
        <v>56.151699999999998</v>
      </c>
      <c r="E6" s="9">
        <f ca="1">IFERROR(__xludf.DUMMYFUNCTION("""COMPUTED_VALUE"""),10.2042896)</f>
        <v>10.204289599999999</v>
      </c>
      <c r="F6" s="10" t="s">
        <v>704</v>
      </c>
      <c r="G6" s="6"/>
      <c r="H6" s="11"/>
    </row>
    <row r="7" spans="1:26">
      <c r="A7" s="6" t="s">
        <v>705</v>
      </c>
      <c r="B7" s="6" t="s">
        <v>17</v>
      </c>
      <c r="C7" s="7" t="s">
        <v>706</v>
      </c>
      <c r="D7" s="50">
        <f ca="1">IFERROR(__xludf.DUMMYFUNCTION("SPLIT(C7,"","")"),55.359834)</f>
        <v>55.359833999999999</v>
      </c>
      <c r="E7" s="9">
        <f ca="1">IFERROR(__xludf.DUMMYFUNCTION("""COMPUTED_VALUE"""),9.2108391)</f>
        <v>9.2108390999999994</v>
      </c>
      <c r="F7" s="10" t="s">
        <v>707</v>
      </c>
      <c r="G7" s="6"/>
      <c r="H7" s="11"/>
    </row>
    <row r="8" spans="1:26">
      <c r="A8" s="6" t="s">
        <v>708</v>
      </c>
      <c r="B8" s="6" t="s">
        <v>51</v>
      </c>
      <c r="C8" s="7" t="s">
        <v>709</v>
      </c>
      <c r="D8" s="50">
        <f ca="1">IFERROR(__xludf.DUMMYFUNCTION("SPLIT(C8,"","")"),56.2746133)</f>
        <v>56.274613299999999</v>
      </c>
      <c r="E8" s="9">
        <f ca="1">IFERROR(__xludf.DUMMYFUNCTION("""COMPUTED_VALUE"""),10.464093)</f>
        <v>10.464093</v>
      </c>
      <c r="F8" s="10" t="s">
        <v>710</v>
      </c>
      <c r="G8" s="6"/>
      <c r="H8" s="11"/>
    </row>
    <row r="9" spans="1:26">
      <c r="A9" s="6" t="s">
        <v>711</v>
      </c>
      <c r="B9" s="6" t="s">
        <v>43</v>
      </c>
      <c r="C9" s="7" t="s">
        <v>712</v>
      </c>
      <c r="D9" s="50">
        <f ca="1">IFERROR(__xludf.DUMMYFUNCTION("SPLIT(C9,"","")"),56.0565037)</f>
        <v>56.0565037</v>
      </c>
      <c r="E9" s="9">
        <f ca="1">IFERROR(__xludf.DUMMYFUNCTION("""COMPUTED_VALUE"""),12.0587298)</f>
        <v>12.0587298</v>
      </c>
      <c r="F9" s="10" t="s">
        <v>713</v>
      </c>
      <c r="G9" s="6"/>
      <c r="H9" s="11"/>
    </row>
    <row r="10" spans="1:26">
      <c r="A10" s="6" t="s">
        <v>714</v>
      </c>
      <c r="B10" s="6" t="s">
        <v>51</v>
      </c>
      <c r="C10" s="7" t="s">
        <v>715</v>
      </c>
      <c r="D10" s="50">
        <f ca="1">IFERROR(__xludf.DUMMYFUNCTION("SPLIT(C10,"","")"),55.7565694)</f>
        <v>55.756569399999997</v>
      </c>
      <c r="E10" s="9">
        <f ca="1">IFERROR(__xludf.DUMMYFUNCTION("""COMPUTED_VALUE"""),9.4169964)</f>
        <v>9.4169964000000004</v>
      </c>
      <c r="F10" s="10" t="s">
        <v>716</v>
      </c>
      <c r="G10" s="6"/>
      <c r="H10" s="11"/>
    </row>
    <row r="11" spans="1:26">
      <c r="A11" s="6" t="s">
        <v>717</v>
      </c>
      <c r="B11" s="6" t="s">
        <v>17</v>
      </c>
      <c r="C11" s="7" t="s">
        <v>718</v>
      </c>
      <c r="D11" s="50">
        <f ca="1">IFERROR(__xludf.DUMMYFUNCTION("SPLIT(C11,"","")"),57.271066)</f>
        <v>57.271065999999998</v>
      </c>
      <c r="E11" s="9">
        <f ca="1">IFERROR(__xludf.DUMMYFUNCTION("""COMPUTED_VALUE"""),9.6469198)</f>
        <v>9.6469197999999992</v>
      </c>
      <c r="F11" s="10" t="s">
        <v>719</v>
      </c>
      <c r="G11" s="6"/>
      <c r="H11" s="11"/>
    </row>
    <row r="12" spans="1:26">
      <c r="A12" s="6" t="s">
        <v>720</v>
      </c>
      <c r="B12" s="6" t="s">
        <v>9</v>
      </c>
      <c r="C12" s="52" t="s">
        <v>721</v>
      </c>
      <c r="D12" s="50">
        <f ca="1">IFERROR(__xludf.DUMMYFUNCTION("SPLIT(C12,"","")"),55.0070976)</f>
        <v>55.007097600000002</v>
      </c>
      <c r="E12" s="9">
        <f ca="1">IFERROR(__xludf.DUMMYFUNCTION("""COMPUTED_VALUE"""),11.9121704)</f>
        <v>11.912170400000001</v>
      </c>
      <c r="F12" s="10" t="s">
        <v>722</v>
      </c>
      <c r="G12" s="6">
        <v>5</v>
      </c>
      <c r="H12" s="11" t="s">
        <v>723</v>
      </c>
    </row>
    <row r="13" spans="1:26">
      <c r="A13" s="6" t="s">
        <v>724</v>
      </c>
      <c r="B13" s="6" t="s">
        <v>17</v>
      </c>
      <c r="C13" s="7" t="s">
        <v>725</v>
      </c>
      <c r="D13" s="50">
        <f ca="1">IFERROR(__xludf.DUMMYFUNCTION("SPLIT(C13,"","")"),55.6736871)</f>
        <v>55.673687100000002</v>
      </c>
      <c r="E13" s="9">
        <f ca="1">IFERROR(__xludf.DUMMYFUNCTION("""COMPUTED_VALUE"""),12.5655668)</f>
        <v>12.565566799999999</v>
      </c>
      <c r="F13" s="10" t="s">
        <v>726</v>
      </c>
      <c r="G13" s="6"/>
      <c r="H13" s="11" t="s">
        <v>727</v>
      </c>
    </row>
    <row r="14" spans="1:26">
      <c r="A14" s="6" t="s">
        <v>256</v>
      </c>
      <c r="B14" s="6" t="s">
        <v>43</v>
      </c>
      <c r="C14" s="7" t="s">
        <v>728</v>
      </c>
      <c r="D14" s="50">
        <f ca="1">IFERROR(__xludf.DUMMYFUNCTION("SPLIT(C14,"","")"),56.1051294)</f>
        <v>56.105129400000003</v>
      </c>
      <c r="E14" s="9">
        <f ca="1">IFERROR(__xludf.DUMMYFUNCTION("""COMPUTED_VALUE"""),9.6851738)</f>
        <v>9.6851737999999994</v>
      </c>
      <c r="F14" s="10" t="s">
        <v>729</v>
      </c>
      <c r="G14" s="6">
        <v>5</v>
      </c>
      <c r="H14" s="11" t="s">
        <v>730</v>
      </c>
    </row>
    <row r="15" spans="1:26">
      <c r="A15" s="6" t="s">
        <v>143</v>
      </c>
      <c r="B15" s="6" t="s">
        <v>731</v>
      </c>
      <c r="C15" s="7" t="s">
        <v>732</v>
      </c>
      <c r="D15" s="50">
        <f ca="1">IFERROR(__xludf.DUMMYFUNCTION("SPLIT(C15,"","")"),54.90694)</f>
        <v>54.906939999999999</v>
      </c>
      <c r="E15" s="9">
        <f ca="1">IFERROR(__xludf.DUMMYFUNCTION("""COMPUTED_VALUE"""),9.7553901)</f>
        <v>9.7553900999999996</v>
      </c>
      <c r="F15" s="10" t="s">
        <v>733</v>
      </c>
      <c r="G15" s="6">
        <v>5</v>
      </c>
      <c r="H15" s="11" t="s">
        <v>734</v>
      </c>
    </row>
    <row r="16" spans="1:26">
      <c r="A16" s="6" t="s">
        <v>688</v>
      </c>
      <c r="B16" s="6" t="s">
        <v>51</v>
      </c>
      <c r="C16" s="7" t="s">
        <v>735</v>
      </c>
      <c r="D16" s="50">
        <f ca="1">IFERROR(__xludf.DUMMYFUNCTION("SPLIT(C16,"","")"),56.0887157)</f>
        <v>56.088715700000002</v>
      </c>
      <c r="E16" s="9">
        <f ca="1">IFERROR(__xludf.DUMMYFUNCTION("""COMPUTED_VALUE"""),10.2186308)</f>
        <v>10.2186308</v>
      </c>
      <c r="F16" s="10" t="s">
        <v>736</v>
      </c>
      <c r="G16" s="6">
        <v>5</v>
      </c>
      <c r="H16" s="11" t="s">
        <v>737</v>
      </c>
    </row>
    <row r="17" spans="1:8">
      <c r="A17" s="6"/>
      <c r="B17" s="6"/>
      <c r="C17" s="7"/>
      <c r="D17" s="50" t="str">
        <f ca="1">IFERROR(__xludf.DUMMYFUNCTION("SPLIT(C17,"","")"),"#VALUE!")</f>
        <v>#VALUE!</v>
      </c>
      <c r="E17" s="9"/>
      <c r="F17" s="10"/>
      <c r="G17" s="6"/>
      <c r="H17" s="11"/>
    </row>
    <row r="18" spans="1:8">
      <c r="A18" s="6"/>
      <c r="B18" s="6"/>
      <c r="C18" s="7"/>
      <c r="D18" s="50" t="str">
        <f ca="1">IFERROR(__xludf.DUMMYFUNCTION("SPLIT(C18,"","")"),"#VALUE!")</f>
        <v>#VALUE!</v>
      </c>
      <c r="E18" s="9"/>
      <c r="F18" s="10"/>
      <c r="G18" s="6"/>
      <c r="H18" s="11"/>
    </row>
    <row r="19" spans="1:8">
      <c r="A19" s="6"/>
      <c r="B19" s="6"/>
      <c r="C19" s="7"/>
      <c r="D19" s="50" t="str">
        <f ca="1">IFERROR(__xludf.DUMMYFUNCTION("SPLIT(C19,"","")"),"#VALUE!")</f>
        <v>#VALUE!</v>
      </c>
      <c r="E19" s="9"/>
      <c r="F19" s="10"/>
      <c r="G19" s="6"/>
      <c r="H19" s="11"/>
    </row>
    <row r="20" spans="1:8">
      <c r="A20" s="6"/>
      <c r="B20" s="6"/>
      <c r="C20" s="7"/>
      <c r="D20" s="50" t="str">
        <f ca="1">IFERROR(__xludf.DUMMYFUNCTION("SPLIT(C20,"","")"),"#VALUE!")</f>
        <v>#VALUE!</v>
      </c>
      <c r="E20" s="9"/>
      <c r="F20" s="10"/>
      <c r="G20" s="6"/>
      <c r="H20" s="11"/>
    </row>
    <row r="21" spans="1:8">
      <c r="A21" s="6"/>
      <c r="B21" s="6"/>
      <c r="C21" s="7"/>
      <c r="D21" s="50" t="str">
        <f ca="1">IFERROR(__xludf.DUMMYFUNCTION("SPLIT(C21,"","")"),"#VALUE!")</f>
        <v>#VALUE!</v>
      </c>
      <c r="E21" s="9"/>
      <c r="F21" s="10"/>
      <c r="G21" s="6"/>
      <c r="H21" s="11"/>
    </row>
    <row r="22" spans="1:8">
      <c r="A22" s="6"/>
      <c r="B22" s="6"/>
      <c r="C22" s="7"/>
      <c r="D22" s="50" t="str">
        <f ca="1">IFERROR(__xludf.DUMMYFUNCTION("SPLIT(C22,"","")"),"#VALUE!")</f>
        <v>#VALUE!</v>
      </c>
      <c r="E22" s="9"/>
      <c r="F22" s="10"/>
      <c r="G22" s="6"/>
      <c r="H22" s="11"/>
    </row>
    <row r="23" spans="1:8">
      <c r="A23" s="6"/>
      <c r="B23" s="6"/>
      <c r="C23" s="7"/>
      <c r="D23" s="50" t="str">
        <f ca="1">IFERROR(__xludf.DUMMYFUNCTION("SPLIT(C23,"","")"),"#VALUE!")</f>
        <v>#VALUE!</v>
      </c>
      <c r="E23" s="9"/>
      <c r="F23" s="10"/>
      <c r="G23" s="6"/>
      <c r="H23" s="11"/>
    </row>
    <row r="24" spans="1:8">
      <c r="A24" s="6"/>
      <c r="B24" s="6"/>
      <c r="C24" s="7"/>
      <c r="D24" s="50" t="str">
        <f ca="1">IFERROR(__xludf.DUMMYFUNCTION("SPLIT(C24,"","")"),"#VALUE!")</f>
        <v>#VALUE!</v>
      </c>
      <c r="E24" s="9"/>
      <c r="F24" s="10"/>
      <c r="G24" s="6"/>
      <c r="H24" s="11"/>
    </row>
    <row r="25" spans="1:8">
      <c r="A25" s="6"/>
      <c r="B25" s="6"/>
      <c r="C25" s="7"/>
      <c r="D25" s="50" t="str">
        <f ca="1">IFERROR(__xludf.DUMMYFUNCTION("SPLIT(C25,"","")"),"#VALUE!")</f>
        <v>#VALUE!</v>
      </c>
      <c r="E25" s="9"/>
      <c r="F25" s="10"/>
      <c r="G25" s="6"/>
      <c r="H25" s="11"/>
    </row>
    <row r="26" spans="1:8">
      <c r="A26" s="6"/>
      <c r="B26" s="6"/>
      <c r="C26" s="7"/>
      <c r="D26" s="50" t="str">
        <f ca="1">IFERROR(__xludf.DUMMYFUNCTION("SPLIT(C26,"","")"),"#VALUE!")</f>
        <v>#VALUE!</v>
      </c>
      <c r="E26" s="9"/>
      <c r="F26" s="10"/>
      <c r="G26" s="6"/>
      <c r="H26" s="11"/>
    </row>
    <row r="27" spans="1:8">
      <c r="A27" s="6"/>
      <c r="B27" s="6"/>
      <c r="C27" s="7"/>
      <c r="D27" s="50" t="str">
        <f ca="1">IFERROR(__xludf.DUMMYFUNCTION("SPLIT(C27,"","")"),"#VALUE!")</f>
        <v>#VALUE!</v>
      </c>
      <c r="E27" s="9"/>
      <c r="F27" s="10"/>
      <c r="G27" s="6"/>
      <c r="H27" s="11"/>
    </row>
    <row r="28" spans="1:8">
      <c r="A28" s="6"/>
      <c r="B28" s="6"/>
      <c r="C28" s="7"/>
      <c r="D28" s="50" t="str">
        <f ca="1">IFERROR(__xludf.DUMMYFUNCTION("SPLIT(C28,"","")"),"#VALUE!")</f>
        <v>#VALUE!</v>
      </c>
      <c r="E28" s="9"/>
      <c r="F28" s="10"/>
      <c r="G28" s="6"/>
      <c r="H28" s="11"/>
    </row>
    <row r="29" spans="1:8">
      <c r="A29" s="6"/>
      <c r="B29" s="6"/>
      <c r="C29" s="7"/>
      <c r="D29" s="50" t="str">
        <f ca="1">IFERROR(__xludf.DUMMYFUNCTION("SPLIT(C29,"","")"),"#VALUE!")</f>
        <v>#VALUE!</v>
      </c>
      <c r="E29" s="9"/>
      <c r="F29" s="10"/>
      <c r="G29" s="6"/>
      <c r="H29" s="11"/>
    </row>
    <row r="30" spans="1:8">
      <c r="A30" s="6"/>
      <c r="B30" s="6"/>
      <c r="C30" s="7"/>
      <c r="D30" s="50" t="str">
        <f ca="1">IFERROR(__xludf.DUMMYFUNCTION("SPLIT(C30,"","")"),"#VALUE!")</f>
        <v>#VALUE!</v>
      </c>
      <c r="E30" s="9"/>
      <c r="F30" s="10"/>
      <c r="G30" s="6"/>
      <c r="H30" s="11"/>
    </row>
    <row r="31" spans="1:8">
      <c r="A31" s="6"/>
      <c r="B31" s="6"/>
      <c r="C31" s="7"/>
      <c r="D31" s="50" t="str">
        <f ca="1">IFERROR(__xludf.DUMMYFUNCTION("SPLIT(C31,"","")"),"#VALUE!")</f>
        <v>#VALUE!</v>
      </c>
      <c r="E31" s="9"/>
      <c r="F31" s="10"/>
      <c r="G31" s="6"/>
      <c r="H31" s="11"/>
    </row>
    <row r="32" spans="1:8">
      <c r="A32" s="6"/>
      <c r="B32" s="6"/>
      <c r="C32" s="7"/>
      <c r="D32" s="8"/>
      <c r="E32" s="9"/>
      <c r="F32" s="10"/>
      <c r="G32" s="6"/>
      <c r="H32" s="11"/>
    </row>
    <row r="33" spans="1:8">
      <c r="A33" s="6"/>
      <c r="B33" s="6"/>
      <c r="C33" s="7"/>
      <c r="D33" s="8"/>
      <c r="E33" s="9"/>
      <c r="F33" s="10"/>
      <c r="G33" s="6"/>
      <c r="H33" s="11"/>
    </row>
    <row r="34" spans="1:8">
      <c r="A34" s="6"/>
      <c r="B34" s="6"/>
      <c r="C34" s="7"/>
      <c r="D34" s="8"/>
      <c r="E34" s="9"/>
      <c r="F34" s="10"/>
      <c r="G34" s="6"/>
      <c r="H34" s="11"/>
    </row>
    <row r="35" spans="1:8">
      <c r="A35" s="6"/>
      <c r="B35" s="6"/>
      <c r="C35" s="7"/>
      <c r="D35" s="8"/>
      <c r="E35" s="9"/>
      <c r="F35" s="10"/>
      <c r="G35" s="6"/>
      <c r="H35" s="11"/>
    </row>
    <row r="36" spans="1:8">
      <c r="A36" s="6"/>
      <c r="B36" s="6"/>
      <c r="C36" s="7"/>
      <c r="D36" s="8"/>
      <c r="E36" s="9"/>
      <c r="F36" s="10"/>
      <c r="G36" s="6"/>
      <c r="H36" s="11"/>
    </row>
    <row r="37" spans="1:8">
      <c r="A37" s="6"/>
      <c r="B37" s="6"/>
      <c r="C37" s="7"/>
      <c r="D37" s="8"/>
      <c r="E37" s="9"/>
      <c r="F37" s="10"/>
      <c r="G37" s="6"/>
      <c r="H37" s="11"/>
    </row>
    <row r="38" spans="1:8">
      <c r="A38" s="6"/>
      <c r="B38" s="6"/>
      <c r="C38" s="7"/>
      <c r="D38" s="8"/>
      <c r="E38" s="9"/>
      <c r="F38" s="10"/>
      <c r="G38" s="6"/>
      <c r="H38" s="11"/>
    </row>
    <row r="39" spans="1:8">
      <c r="A39" s="6"/>
      <c r="B39" s="6"/>
      <c r="C39" s="7"/>
      <c r="D39" s="8"/>
      <c r="E39" s="9"/>
      <c r="F39" s="10"/>
      <c r="G39" s="6"/>
      <c r="H39" s="11"/>
    </row>
    <row r="40" spans="1:8">
      <c r="A40" s="6"/>
      <c r="B40" s="6"/>
      <c r="C40" s="7"/>
      <c r="D40" s="8"/>
      <c r="E40" s="9"/>
      <c r="F40" s="10"/>
      <c r="G40" s="6"/>
      <c r="H40" s="11"/>
    </row>
    <row r="41" spans="1:8">
      <c r="A41" s="6"/>
      <c r="B41" s="6"/>
      <c r="C41" s="7"/>
      <c r="D41" s="8"/>
      <c r="E41" s="9"/>
      <c r="F41" s="10"/>
      <c r="G41" s="6"/>
      <c r="H41" s="11"/>
    </row>
    <row r="42" spans="1:8">
      <c r="A42" s="6"/>
      <c r="B42" s="6"/>
      <c r="C42" s="7"/>
      <c r="D42" s="8"/>
      <c r="E42" s="9"/>
      <c r="F42" s="10"/>
      <c r="G42" s="6"/>
      <c r="H42" s="11"/>
    </row>
    <row r="43" spans="1:8">
      <c r="A43" s="6"/>
      <c r="B43" s="6"/>
      <c r="C43" s="7"/>
      <c r="D43" s="8"/>
      <c r="E43" s="9"/>
      <c r="F43" s="10"/>
      <c r="G43" s="6"/>
      <c r="H43" s="11"/>
    </row>
    <row r="44" spans="1:8">
      <c r="A44" s="6"/>
      <c r="B44" s="6"/>
      <c r="C44" s="7"/>
      <c r="D44" s="8"/>
      <c r="E44" s="9"/>
      <c r="F44" s="10"/>
      <c r="G44" s="6"/>
      <c r="H44" s="11"/>
    </row>
    <row r="45" spans="1:8">
      <c r="A45" s="6"/>
      <c r="B45" s="6"/>
      <c r="C45" s="7"/>
      <c r="D45" s="8"/>
      <c r="E45" s="9"/>
      <c r="F45" s="10"/>
      <c r="G45" s="6"/>
      <c r="H45" s="11"/>
    </row>
    <row r="46" spans="1:8">
      <c r="A46" s="6"/>
      <c r="B46" s="6"/>
      <c r="C46" s="7"/>
      <c r="D46" s="8"/>
      <c r="E46" s="9"/>
      <c r="F46" s="10"/>
      <c r="G46" s="6"/>
      <c r="H46" s="11"/>
    </row>
    <row r="47" spans="1:8">
      <c r="A47" s="6"/>
      <c r="B47" s="6"/>
      <c r="C47" s="7"/>
      <c r="D47" s="8"/>
      <c r="E47" s="9"/>
      <c r="F47" s="10"/>
      <c r="G47" s="6"/>
      <c r="H47" s="11"/>
    </row>
    <row r="48" spans="1:8">
      <c r="A48" s="6"/>
      <c r="B48" s="6"/>
      <c r="C48" s="7"/>
      <c r="D48" s="8"/>
      <c r="E48" s="9"/>
      <c r="F48" s="10"/>
      <c r="G48" s="6"/>
      <c r="H48" s="11"/>
    </row>
    <row r="49" spans="1:8">
      <c r="A49" s="6"/>
      <c r="B49" s="6"/>
      <c r="C49" s="7"/>
      <c r="D49" s="8"/>
      <c r="E49" s="9"/>
      <c r="F49" s="10"/>
      <c r="G49" s="6"/>
      <c r="H49" s="11"/>
    </row>
    <row r="50" spans="1:8">
      <c r="A50" s="6"/>
      <c r="B50" s="6"/>
      <c r="C50" s="7"/>
      <c r="D50" s="8"/>
      <c r="E50" s="9"/>
      <c r="F50" s="10"/>
      <c r="G50" s="6"/>
      <c r="H50" s="11"/>
    </row>
    <row r="51" spans="1:8">
      <c r="A51" s="6"/>
      <c r="B51" s="6"/>
      <c r="C51" s="7"/>
      <c r="D51" s="8"/>
      <c r="E51" s="9"/>
      <c r="F51" s="10"/>
      <c r="G51" s="6"/>
      <c r="H51" s="11"/>
    </row>
    <row r="52" spans="1:8">
      <c r="A52" s="6"/>
      <c r="B52" s="6"/>
      <c r="C52" s="7"/>
      <c r="D52" s="8"/>
      <c r="E52" s="9"/>
      <c r="F52" s="10"/>
      <c r="G52" s="6"/>
      <c r="H52" s="11"/>
    </row>
    <row r="53" spans="1:8">
      <c r="A53" s="6"/>
      <c r="B53" s="6"/>
      <c r="C53" s="7"/>
      <c r="D53" s="8"/>
      <c r="E53" s="9"/>
      <c r="F53" s="10"/>
      <c r="G53" s="6"/>
      <c r="H53" s="11"/>
    </row>
    <row r="54" spans="1:8">
      <c r="A54" s="6"/>
      <c r="B54" s="6"/>
      <c r="C54" s="7"/>
      <c r="D54" s="8"/>
      <c r="E54" s="9"/>
      <c r="F54" s="10"/>
      <c r="G54" s="6"/>
      <c r="H54" s="11"/>
    </row>
    <row r="55" spans="1:8">
      <c r="A55" s="6"/>
      <c r="B55" s="6"/>
      <c r="C55" s="7"/>
      <c r="D55" s="8"/>
      <c r="E55" s="9"/>
      <c r="F55" s="10"/>
      <c r="G55" s="6"/>
      <c r="H55" s="11"/>
    </row>
    <row r="56" spans="1:8">
      <c r="A56" s="6"/>
      <c r="B56" s="6"/>
      <c r="C56" s="7"/>
      <c r="D56" s="8"/>
      <c r="E56" s="9"/>
      <c r="F56" s="10"/>
      <c r="G56" s="6"/>
      <c r="H56" s="11"/>
    </row>
    <row r="57" spans="1:8">
      <c r="A57" s="6"/>
      <c r="B57" s="6"/>
      <c r="C57" s="7"/>
      <c r="D57" s="8"/>
      <c r="E57" s="9"/>
      <c r="F57" s="10"/>
      <c r="G57" s="6"/>
      <c r="H57" s="11"/>
    </row>
    <row r="58" spans="1:8">
      <c r="A58" s="6"/>
      <c r="B58" s="6"/>
      <c r="C58" s="7"/>
      <c r="D58" s="8"/>
      <c r="E58" s="9"/>
      <c r="F58" s="10"/>
      <c r="G58" s="6"/>
      <c r="H58" s="11"/>
    </row>
    <row r="59" spans="1:8">
      <c r="A59" s="6"/>
      <c r="B59" s="6"/>
      <c r="C59" s="7"/>
      <c r="D59" s="8"/>
      <c r="E59" s="9"/>
      <c r="F59" s="10"/>
      <c r="G59" s="6"/>
      <c r="H59" s="11"/>
    </row>
    <row r="60" spans="1:8">
      <c r="A60" s="6"/>
      <c r="B60" s="6"/>
      <c r="C60" s="7"/>
      <c r="D60" s="8"/>
      <c r="E60" s="9"/>
      <c r="F60" s="10"/>
      <c r="G60" s="6"/>
      <c r="H60" s="11"/>
    </row>
    <row r="61" spans="1:8">
      <c r="A61" s="6"/>
      <c r="B61" s="6"/>
      <c r="C61" s="7"/>
      <c r="D61" s="8"/>
      <c r="E61" s="9"/>
      <c r="F61" s="10"/>
      <c r="G61" s="6"/>
      <c r="H61" s="11"/>
    </row>
    <row r="62" spans="1:8">
      <c r="A62" s="6"/>
      <c r="B62" s="6"/>
      <c r="C62" s="7"/>
      <c r="D62" s="8"/>
      <c r="E62" s="9"/>
      <c r="F62" s="10"/>
      <c r="G62" s="6"/>
      <c r="H62" s="11"/>
    </row>
    <row r="63" spans="1:8">
      <c r="A63" s="6"/>
      <c r="B63" s="6"/>
      <c r="C63" s="7"/>
      <c r="D63" s="8"/>
      <c r="E63" s="9"/>
      <c r="F63" s="10"/>
      <c r="G63" s="6"/>
      <c r="H63" s="11"/>
    </row>
    <row r="64" spans="1:8">
      <c r="A64" s="6"/>
      <c r="B64" s="6"/>
      <c r="C64" s="7"/>
      <c r="D64" s="8"/>
      <c r="E64" s="9"/>
      <c r="F64" s="10"/>
      <c r="G64" s="6"/>
      <c r="H64" s="11"/>
    </row>
    <row r="65" spans="1:8">
      <c r="A65" s="6"/>
      <c r="B65" s="6"/>
      <c r="C65" s="7"/>
      <c r="D65" s="8"/>
      <c r="E65" s="9"/>
      <c r="F65" s="10"/>
      <c r="G65" s="6"/>
      <c r="H65" s="11"/>
    </row>
    <row r="66" spans="1:8">
      <c r="A66" s="6"/>
      <c r="B66" s="6"/>
      <c r="C66" s="7"/>
      <c r="D66" s="8"/>
      <c r="E66" s="9"/>
      <c r="F66" s="10"/>
      <c r="G66" s="6"/>
      <c r="H66" s="11"/>
    </row>
    <row r="67" spans="1:8">
      <c r="A67" s="6"/>
      <c r="B67" s="6"/>
      <c r="C67" s="7"/>
      <c r="D67" s="8"/>
      <c r="E67" s="9"/>
      <c r="F67" s="10"/>
      <c r="G67" s="6"/>
      <c r="H67" s="11"/>
    </row>
    <row r="68" spans="1:8">
      <c r="A68" s="6"/>
      <c r="B68" s="6"/>
      <c r="C68" s="7"/>
      <c r="D68" s="8"/>
      <c r="E68" s="9"/>
      <c r="F68" s="10"/>
      <c r="G68" s="6"/>
      <c r="H68" s="11"/>
    </row>
    <row r="69" spans="1:8">
      <c r="A69" s="6"/>
      <c r="B69" s="6"/>
      <c r="C69" s="7"/>
      <c r="D69" s="8"/>
      <c r="E69" s="9"/>
      <c r="F69" s="10"/>
      <c r="G69" s="6"/>
      <c r="H69" s="11"/>
    </row>
    <row r="70" spans="1:8">
      <c r="A70" s="6"/>
      <c r="B70" s="6"/>
      <c r="C70" s="7"/>
      <c r="D70" s="8"/>
      <c r="E70" s="9"/>
      <c r="F70" s="10"/>
      <c r="G70" s="6"/>
      <c r="H70" s="11"/>
    </row>
    <row r="71" spans="1:8">
      <c r="A71" s="6"/>
      <c r="B71" s="6"/>
      <c r="C71" s="7"/>
      <c r="D71" s="8"/>
      <c r="E71" s="9"/>
      <c r="F71" s="10"/>
      <c r="G71" s="6"/>
      <c r="H71" s="11"/>
    </row>
    <row r="72" spans="1:8">
      <c r="A72" s="6"/>
      <c r="B72" s="6"/>
      <c r="C72" s="7"/>
      <c r="D72" s="8"/>
      <c r="E72" s="9"/>
      <c r="F72" s="10"/>
      <c r="G72" s="6"/>
      <c r="H72" s="11"/>
    </row>
    <row r="73" spans="1:8">
      <c r="A73" s="6"/>
      <c r="B73" s="6"/>
      <c r="C73" s="7"/>
      <c r="D73" s="8"/>
      <c r="E73" s="9"/>
      <c r="F73" s="10"/>
      <c r="G73" s="6"/>
      <c r="H73" s="11"/>
    </row>
    <row r="74" spans="1:8">
      <c r="A74" s="6"/>
      <c r="B74" s="6"/>
      <c r="C74" s="7"/>
      <c r="D74" s="8"/>
      <c r="E74" s="9"/>
      <c r="F74" s="10"/>
      <c r="G74" s="6"/>
      <c r="H74" s="11"/>
    </row>
    <row r="75" spans="1:8">
      <c r="A75" s="6"/>
      <c r="B75" s="6"/>
      <c r="C75" s="7"/>
      <c r="D75" s="8"/>
      <c r="E75" s="9"/>
      <c r="F75" s="10"/>
      <c r="G75" s="6"/>
      <c r="H75" s="11"/>
    </row>
    <row r="76" spans="1:8">
      <c r="A76" s="6"/>
      <c r="B76" s="6"/>
      <c r="C76" s="7"/>
      <c r="D76" s="8"/>
      <c r="E76" s="9"/>
      <c r="F76" s="10"/>
      <c r="G76" s="6"/>
      <c r="H76" s="11"/>
    </row>
    <row r="77" spans="1:8">
      <c r="A77" s="6"/>
      <c r="B77" s="6"/>
      <c r="C77" s="7"/>
      <c r="D77" s="8"/>
      <c r="E77" s="9"/>
      <c r="F77" s="10"/>
      <c r="G77" s="6"/>
      <c r="H77" s="11"/>
    </row>
    <row r="78" spans="1:8">
      <c r="A78" s="6"/>
      <c r="B78" s="6"/>
      <c r="C78" s="7"/>
      <c r="D78" s="8"/>
      <c r="E78" s="9"/>
      <c r="F78" s="10"/>
      <c r="G78" s="6"/>
      <c r="H78" s="11"/>
    </row>
    <row r="79" spans="1:8">
      <c r="A79" s="6"/>
      <c r="B79" s="6"/>
      <c r="C79" s="7"/>
      <c r="D79" s="8"/>
      <c r="E79" s="9"/>
      <c r="F79" s="10"/>
      <c r="G79" s="6"/>
      <c r="H79" s="11"/>
    </row>
    <row r="80" spans="1:8">
      <c r="A80" s="6"/>
      <c r="B80" s="6"/>
      <c r="C80" s="7"/>
      <c r="D80" s="8"/>
      <c r="E80" s="9"/>
      <c r="F80" s="10"/>
      <c r="G80" s="6"/>
      <c r="H80" s="11"/>
    </row>
    <row r="81" spans="1:8">
      <c r="A81" s="6"/>
      <c r="B81" s="6"/>
      <c r="C81" s="7"/>
      <c r="D81" s="8"/>
      <c r="E81" s="9"/>
      <c r="F81" s="10"/>
      <c r="G81" s="6"/>
      <c r="H81" s="11"/>
    </row>
    <row r="82" spans="1:8">
      <c r="A82" s="6"/>
      <c r="B82" s="6"/>
      <c r="C82" s="7"/>
      <c r="D82" s="8"/>
      <c r="E82" s="9"/>
      <c r="F82" s="10"/>
      <c r="G82" s="6"/>
      <c r="H82" s="11"/>
    </row>
    <row r="83" spans="1:8">
      <c r="A83" s="6"/>
      <c r="B83" s="6"/>
      <c r="C83" s="7"/>
      <c r="D83" s="8"/>
      <c r="E83" s="9"/>
      <c r="F83" s="10"/>
      <c r="G83" s="6"/>
      <c r="H83" s="11"/>
    </row>
    <row r="84" spans="1:8">
      <c r="A84" s="6"/>
      <c r="B84" s="6"/>
      <c r="C84" s="7"/>
      <c r="D84" s="8"/>
      <c r="E84" s="9"/>
      <c r="F84" s="10"/>
      <c r="G84" s="6"/>
      <c r="H84" s="11"/>
    </row>
    <row r="85" spans="1:8">
      <c r="A85" s="6"/>
      <c r="B85" s="6"/>
      <c r="C85" s="7"/>
      <c r="D85" s="8"/>
      <c r="E85" s="9"/>
      <c r="F85" s="10"/>
      <c r="G85" s="6"/>
      <c r="H85" s="11"/>
    </row>
    <row r="86" spans="1:8">
      <c r="A86" s="6"/>
      <c r="B86" s="6"/>
      <c r="C86" s="7"/>
      <c r="D86" s="8"/>
      <c r="E86" s="9"/>
      <c r="F86" s="10"/>
      <c r="G86" s="6"/>
      <c r="H86" s="11"/>
    </row>
    <row r="87" spans="1:8">
      <c r="A87" s="6"/>
      <c r="B87" s="6"/>
      <c r="C87" s="7"/>
      <c r="D87" s="8"/>
      <c r="E87" s="9"/>
      <c r="F87" s="10"/>
      <c r="G87" s="6"/>
      <c r="H87" s="11"/>
    </row>
    <row r="88" spans="1:8">
      <c r="A88" s="6"/>
      <c r="B88" s="6"/>
      <c r="C88" s="7"/>
      <c r="D88" s="8"/>
      <c r="E88" s="9"/>
      <c r="F88" s="10"/>
      <c r="G88" s="6"/>
      <c r="H88" s="11"/>
    </row>
    <row r="89" spans="1:8">
      <c r="A89" s="6"/>
      <c r="B89" s="6"/>
      <c r="C89" s="7"/>
      <c r="D89" s="8"/>
      <c r="E89" s="9"/>
      <c r="F89" s="10"/>
      <c r="G89" s="6"/>
      <c r="H89" s="11"/>
    </row>
    <row r="90" spans="1:8">
      <c r="A90" s="6"/>
      <c r="B90" s="6"/>
      <c r="C90" s="7"/>
      <c r="D90" s="8"/>
      <c r="E90" s="9"/>
      <c r="F90" s="10"/>
      <c r="G90" s="6"/>
      <c r="H90" s="11"/>
    </row>
    <row r="91" spans="1:8">
      <c r="A91" s="6"/>
      <c r="B91" s="6"/>
      <c r="C91" s="7"/>
      <c r="D91" s="8"/>
      <c r="E91" s="9"/>
      <c r="F91" s="10"/>
      <c r="G91" s="6"/>
      <c r="H91" s="11"/>
    </row>
    <row r="92" spans="1:8">
      <c r="A92" s="6"/>
      <c r="B92" s="6"/>
      <c r="C92" s="7"/>
      <c r="D92" s="8"/>
      <c r="E92" s="9"/>
      <c r="F92" s="10"/>
      <c r="G92" s="6"/>
      <c r="H92" s="11"/>
    </row>
    <row r="93" spans="1:8">
      <c r="A93" s="6"/>
      <c r="B93" s="6"/>
      <c r="C93" s="7"/>
      <c r="D93" s="8"/>
      <c r="E93" s="9"/>
      <c r="F93" s="10"/>
      <c r="G93" s="6"/>
      <c r="H93" s="11"/>
    </row>
    <row r="94" spans="1:8">
      <c r="A94" s="6"/>
      <c r="B94" s="6"/>
      <c r="C94" s="7"/>
      <c r="D94" s="8"/>
      <c r="E94" s="9"/>
      <c r="F94" s="10"/>
      <c r="G94" s="6"/>
      <c r="H94" s="11"/>
    </row>
    <row r="95" spans="1:8">
      <c r="A95" s="6"/>
      <c r="B95" s="6"/>
      <c r="C95" s="7"/>
      <c r="D95" s="8"/>
      <c r="E95" s="9"/>
      <c r="F95" s="10"/>
      <c r="G95" s="6"/>
      <c r="H95" s="11"/>
    </row>
    <row r="96" spans="1:8">
      <c r="A96" s="6"/>
      <c r="B96" s="6"/>
      <c r="C96" s="7"/>
      <c r="D96" s="8"/>
      <c r="E96" s="9"/>
      <c r="F96" s="10"/>
      <c r="G96" s="6"/>
      <c r="H96" s="11"/>
    </row>
    <row r="97" spans="1:8">
      <c r="A97" s="6"/>
      <c r="B97" s="6"/>
      <c r="C97" s="7"/>
      <c r="D97" s="8"/>
      <c r="E97" s="9"/>
      <c r="F97" s="10"/>
      <c r="G97" s="6"/>
      <c r="H97" s="11"/>
    </row>
    <row r="98" spans="1:8">
      <c r="A98" s="6"/>
      <c r="B98" s="6"/>
      <c r="C98" s="7"/>
      <c r="D98" s="8"/>
      <c r="E98" s="9"/>
      <c r="F98" s="10"/>
      <c r="G98" s="6"/>
      <c r="H98" s="11"/>
    </row>
    <row r="99" spans="1:8">
      <c r="A99" s="6"/>
      <c r="B99" s="6"/>
      <c r="C99" s="7"/>
      <c r="D99" s="8"/>
      <c r="E99" s="9"/>
      <c r="F99" s="10"/>
      <c r="G99" s="6"/>
      <c r="H99" s="11"/>
    </row>
    <row r="100" spans="1:8">
      <c r="A100" s="6"/>
      <c r="B100" s="6"/>
      <c r="C100" s="7"/>
      <c r="D100" s="8"/>
      <c r="E100" s="9"/>
      <c r="F100" s="10"/>
      <c r="G100" s="6"/>
      <c r="H100" s="11"/>
    </row>
    <row r="101" spans="1:8">
      <c r="A101" s="6"/>
      <c r="B101" s="6"/>
      <c r="C101" s="7"/>
      <c r="D101" s="8"/>
      <c r="E101" s="9"/>
      <c r="F101" s="10"/>
      <c r="G101" s="6"/>
      <c r="H10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Lookups!$A$1:$A$6</xm:f>
          </x14:formula1>
          <xm:sqref>B2:B101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Z993"/>
  <sheetViews>
    <sheetView workbookViewId="0"/>
  </sheetViews>
  <sheetFormatPr baseColWidth="10" defaultColWidth="12.6640625" defaultRowHeight="15.75" customHeight="1"/>
  <cols>
    <col min="1" max="1" width="17.1640625" customWidth="1"/>
    <col min="3" max="3" width="30.1640625" customWidth="1"/>
    <col min="4" max="4" width="14.6640625" customWidth="1"/>
    <col min="6" max="6" width="139.6640625" customWidth="1"/>
    <col min="8" max="8" width="19" customWidth="1"/>
  </cols>
  <sheetData>
    <row r="1" spans="1:26">
      <c r="A1" s="1" t="s">
        <v>0</v>
      </c>
      <c r="B1" s="1" t="s">
        <v>1</v>
      </c>
      <c r="C1" s="2" t="s">
        <v>276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127</v>
      </c>
      <c r="B3" s="11" t="s">
        <v>738</v>
      </c>
      <c r="C3" s="11" t="s">
        <v>739</v>
      </c>
      <c r="D3" s="8">
        <f ca="1">IFERROR(__xludf.DUMMYFUNCTION("SPLIT(C3,"","")"),56.142848)</f>
        <v>56.142848000000001</v>
      </c>
      <c r="E3" s="9">
        <f ca="1">IFERROR(__xludf.DUMMYFUNCTION("""COMPUTED_VALUE"""),10.1946182)</f>
        <v>10.194618200000001</v>
      </c>
      <c r="F3" s="11" t="s">
        <v>740</v>
      </c>
      <c r="G3" s="11">
        <v>3</v>
      </c>
    </row>
    <row r="4" spans="1:26">
      <c r="A4" s="11" t="s">
        <v>127</v>
      </c>
      <c r="B4" s="11" t="s">
        <v>741</v>
      </c>
      <c r="C4" s="11" t="s">
        <v>742</v>
      </c>
      <c r="D4" s="8">
        <f ca="1">IFERROR(__xludf.DUMMYFUNCTION("SPLIT(C4,"","")"),56.1708646)</f>
        <v>56.170864600000002</v>
      </c>
      <c r="E4" s="9">
        <f ca="1">IFERROR(__xludf.DUMMYFUNCTION("""COMPUTED_VALUE"""),10.2040287)</f>
        <v>10.2040287</v>
      </c>
      <c r="F4" s="11" t="s">
        <v>293</v>
      </c>
      <c r="G4" s="11">
        <v>3</v>
      </c>
    </row>
    <row r="5" spans="1:26">
      <c r="A5" s="11" t="s">
        <v>127</v>
      </c>
      <c r="B5" s="11" t="s">
        <v>743</v>
      </c>
      <c r="C5" s="11" t="s">
        <v>744</v>
      </c>
      <c r="D5" s="8">
        <f ca="1">IFERROR(__xludf.DUMMYFUNCTION("SPLIT(C5,"","")"),56.1529896)</f>
        <v>56.152989599999998</v>
      </c>
      <c r="E5" s="9">
        <f ca="1">IFERROR(__xludf.DUMMYFUNCTION("""COMPUTED_VALUE"""),10.2035677)</f>
        <v>10.203567700000001</v>
      </c>
      <c r="F5" s="11" t="s">
        <v>745</v>
      </c>
      <c r="G5" s="11">
        <v>5</v>
      </c>
    </row>
    <row r="6" spans="1:26">
      <c r="A6" s="11" t="s">
        <v>746</v>
      </c>
      <c r="B6" s="11" t="s">
        <v>747</v>
      </c>
      <c r="C6" s="11" t="s">
        <v>748</v>
      </c>
      <c r="D6" s="8">
        <f ca="1">IFERROR(__xludf.DUMMYFUNCTION("SPLIT(C6,"","")"),56.0800343)</f>
        <v>56.080034300000001</v>
      </c>
      <c r="E6" s="9">
        <f ca="1">IFERROR(__xludf.DUMMYFUNCTION("""COMPUTED_VALUE"""),9.6883882)</f>
        <v>9.6883882000000003</v>
      </c>
      <c r="F6" s="11" t="s">
        <v>749</v>
      </c>
      <c r="G6" s="11">
        <v>3</v>
      </c>
    </row>
    <row r="7" spans="1:26">
      <c r="A7" s="11" t="s">
        <v>750</v>
      </c>
      <c r="B7" s="11" t="s">
        <v>751</v>
      </c>
      <c r="C7" s="11" t="s">
        <v>752</v>
      </c>
      <c r="D7" s="8">
        <f ca="1">IFERROR(__xludf.DUMMYFUNCTION("SPLIT(C7,"","")"),54.9646224)</f>
        <v>54.964622400000003</v>
      </c>
      <c r="E7" s="9">
        <f ca="1">IFERROR(__xludf.DUMMYFUNCTION("""COMPUTED_VALUE"""),12.5418424)</f>
        <v>12.5418424</v>
      </c>
      <c r="F7" s="11" t="s">
        <v>753</v>
      </c>
      <c r="G7" s="11">
        <v>3</v>
      </c>
    </row>
    <row r="8" spans="1:26">
      <c r="A8" s="11" t="s">
        <v>754</v>
      </c>
      <c r="B8" s="11" t="s">
        <v>755</v>
      </c>
      <c r="C8" s="11" t="s">
        <v>756</v>
      </c>
      <c r="D8" s="8">
        <f ca="1">IFERROR(__xludf.DUMMYFUNCTION("SPLIT(C8,"","")"),56.1715151)</f>
        <v>56.171515100000001</v>
      </c>
      <c r="E8" s="9">
        <f ca="1">IFERROR(__xludf.DUMMYFUNCTION("""COMPUTED_VALUE"""),10.1992008)</f>
        <v>10.1992008</v>
      </c>
      <c r="F8" s="11" t="s">
        <v>755</v>
      </c>
      <c r="G8" s="11">
        <v>5</v>
      </c>
    </row>
    <row r="9" spans="1:26">
      <c r="A9" s="11" t="s">
        <v>127</v>
      </c>
      <c r="B9" s="11" t="s">
        <v>743</v>
      </c>
      <c r="C9" s="11" t="s">
        <v>757</v>
      </c>
      <c r="D9" s="8">
        <f ca="1">IFERROR(__xludf.DUMMYFUNCTION("SPLIT(C9,"","")"),56.2097851)</f>
        <v>56.209785099999998</v>
      </c>
      <c r="E9" s="9">
        <f ca="1">IFERROR(__xludf.DUMMYFUNCTION("""COMPUTED_VALUE"""),10.1734996)</f>
        <v>10.1734996</v>
      </c>
      <c r="F9" s="11" t="s">
        <v>758</v>
      </c>
      <c r="G9" s="11">
        <v>1</v>
      </c>
    </row>
    <row r="10" spans="1:26">
      <c r="A10" s="11" t="s">
        <v>178</v>
      </c>
      <c r="B10" s="11" t="s">
        <v>179</v>
      </c>
      <c r="C10" s="12" t="s">
        <v>180</v>
      </c>
      <c r="D10" s="8">
        <f ca="1">IFERROR(__xludf.DUMMYFUNCTION("SPLIT(C10,"","")"),55.6772290735211)</f>
        <v>55.677229073521097</v>
      </c>
      <c r="E10" s="9">
        <f ca="1">IFERROR(__xludf.DUMMYFUNCTION("""COMPUTED_VALUE"""),12.5823327470042)</f>
        <v>12.5823327470042</v>
      </c>
      <c r="F10" s="11" t="s">
        <v>181</v>
      </c>
      <c r="G10" s="11">
        <v>3</v>
      </c>
    </row>
    <row r="11" spans="1:26">
      <c r="A11" s="11" t="s">
        <v>183</v>
      </c>
      <c r="B11" s="11" t="s">
        <v>165</v>
      </c>
      <c r="C11" s="12" t="s">
        <v>184</v>
      </c>
      <c r="D11" s="8">
        <f ca="1">IFERROR(__xludf.DUMMYFUNCTION("SPLIT(C11,"","")"),55.3987223)</f>
        <v>55.398722300000003</v>
      </c>
      <c r="E11" s="9">
        <f ca="1">IFERROR(__xludf.DUMMYFUNCTION("""COMPUTED_VALUE"""),10.3886106)</f>
        <v>10.3886106</v>
      </c>
      <c r="F11" s="11" t="s">
        <v>185</v>
      </c>
      <c r="G11" s="11">
        <v>2</v>
      </c>
    </row>
    <row r="12" spans="1:26">
      <c r="A12" s="11" t="s">
        <v>186</v>
      </c>
      <c r="B12" s="11" t="s">
        <v>187</v>
      </c>
      <c r="C12" s="12" t="s">
        <v>188</v>
      </c>
      <c r="D12" s="8">
        <f ca="1">IFERROR(__xludf.DUMMYFUNCTION("SPLIT(C12,"","")"),56.1321311)</f>
        <v>56.132131100000002</v>
      </c>
      <c r="E12" s="9">
        <f ca="1">IFERROR(__xludf.DUMMYFUNCTION("""COMPUTED_VALUE"""),9.0200594)</f>
        <v>9.0200593999999992</v>
      </c>
      <c r="F12" s="11" t="s">
        <v>189</v>
      </c>
      <c r="G12" s="11">
        <v>4</v>
      </c>
    </row>
    <row r="13" spans="1:26">
      <c r="A13" s="11" t="s">
        <v>191</v>
      </c>
      <c r="B13" s="11" t="s">
        <v>192</v>
      </c>
      <c r="C13" s="17" t="s">
        <v>193</v>
      </c>
      <c r="D13" s="8">
        <f ca="1">IFERROR(__xludf.DUMMYFUNCTION("SPLIT(C13,"","")"),55.9777778)</f>
        <v>55.977777799999998</v>
      </c>
      <c r="E13" s="9">
        <f ca="1">IFERROR(__xludf.DUMMYFUNCTION("""COMPUTED_VALUE"""),9.8330556)</f>
        <v>9.8330555999999998</v>
      </c>
      <c r="F13" s="11" t="s">
        <v>194</v>
      </c>
      <c r="G13" s="11">
        <v>3</v>
      </c>
    </row>
    <row r="14" spans="1:26">
      <c r="A14" s="11" t="s">
        <v>195</v>
      </c>
      <c r="B14" s="11" t="s">
        <v>196</v>
      </c>
      <c r="C14" s="12" t="s">
        <v>197</v>
      </c>
      <c r="D14" s="8">
        <f ca="1">IFERROR(__xludf.DUMMYFUNCTION("SPLIT(C14,"","")"),57.120834)</f>
        <v>57.120834000000002</v>
      </c>
      <c r="E14" s="9">
        <f ca="1">IFERROR(__xludf.DUMMYFUNCTION("""COMPUTED_VALUE"""),8.6143056)</f>
        <v>8.6143055999999998</v>
      </c>
      <c r="F14" s="11" t="s">
        <v>198</v>
      </c>
      <c r="G14" s="11">
        <v>5</v>
      </c>
    </row>
    <row r="15" spans="1:26">
      <c r="A15" s="11" t="s">
        <v>200</v>
      </c>
      <c r="B15" s="11" t="s">
        <v>201</v>
      </c>
      <c r="C15" s="20" t="s">
        <v>202</v>
      </c>
      <c r="D15" s="8">
        <f ca="1">IFERROR(__xludf.DUMMYFUNCTION("SPLIT(C15,"","")"),55.62818)</f>
        <v>55.62818</v>
      </c>
      <c r="E15" s="9">
        <f ca="1">IFERROR(__xludf.DUMMYFUNCTION("""COMPUTED_VALUE"""),12.65571)</f>
        <v>12.655709999999999</v>
      </c>
      <c r="F15" s="11"/>
      <c r="G15" s="11">
        <v>1</v>
      </c>
    </row>
    <row r="16" spans="1:26">
      <c r="A16" s="11" t="s">
        <v>204</v>
      </c>
      <c r="B16" s="11" t="s">
        <v>205</v>
      </c>
      <c r="C16" s="12" t="s">
        <v>206</v>
      </c>
      <c r="D16" s="8">
        <f ca="1">IFERROR(__xludf.DUMMYFUNCTION("SPLIT(C16,"","")"),55.0044807)</f>
        <v>55.004480700000002</v>
      </c>
      <c r="E16" s="9">
        <f ca="1">IFERROR(__xludf.DUMMYFUNCTION("""COMPUTED_VALUE"""),9.8836249)</f>
        <v>9.8836248999999992</v>
      </c>
      <c r="F16" s="11" t="s">
        <v>207</v>
      </c>
      <c r="G16" s="11">
        <v>1</v>
      </c>
    </row>
    <row r="17" spans="1:7">
      <c r="A17" s="11" t="s">
        <v>209</v>
      </c>
      <c r="B17" s="11" t="s">
        <v>210</v>
      </c>
      <c r="C17" s="12" t="s">
        <v>211</v>
      </c>
      <c r="D17" s="8">
        <f ca="1">IFERROR(__xludf.DUMMYFUNCTION("SPLIT(C17,"","")"),55.6724123)</f>
        <v>55.672412299999998</v>
      </c>
      <c r="E17" s="9">
        <f ca="1">IFERROR(__xludf.DUMMYFUNCTION("""COMPUTED_VALUE"""),12.5191694)</f>
        <v>12.519169399999999</v>
      </c>
      <c r="F17" s="11" t="s">
        <v>212</v>
      </c>
      <c r="G17" s="11">
        <v>4</v>
      </c>
    </row>
    <row r="18" spans="1:7">
      <c r="A18" s="11" t="s">
        <v>213</v>
      </c>
      <c r="B18" s="11" t="s">
        <v>165</v>
      </c>
      <c r="C18" s="12" t="s">
        <v>214</v>
      </c>
      <c r="D18" s="8">
        <f ca="1">IFERROR(__xludf.DUMMYFUNCTION("SPLIT(C18,"","")"),56.5695813)</f>
        <v>56.569581300000003</v>
      </c>
      <c r="E18" s="9">
        <f ca="1">IFERROR(__xludf.DUMMYFUNCTION("""COMPUTED_VALUE"""),9.0344728)</f>
        <v>9.0344727999999996</v>
      </c>
      <c r="F18" s="11" t="s">
        <v>215</v>
      </c>
      <c r="G18" s="11">
        <v>4</v>
      </c>
    </row>
    <row r="19" spans="1:7">
      <c r="A19" s="11" t="s">
        <v>141</v>
      </c>
      <c r="B19" s="11" t="s">
        <v>217</v>
      </c>
      <c r="C19" s="12" t="s">
        <v>218</v>
      </c>
      <c r="D19" s="8">
        <f ca="1">IFERROR(__xludf.DUMMYFUNCTION("SPLIT(C19,"","")"),55.7331014)</f>
        <v>55.733101400000002</v>
      </c>
      <c r="E19" s="9">
        <f ca="1">IFERROR(__xludf.DUMMYFUNCTION("""COMPUTED_VALUE"""),9.1355325)</f>
        <v>9.1355325000000001</v>
      </c>
      <c r="F19" s="11" t="s">
        <v>219</v>
      </c>
      <c r="G19" s="11">
        <v>5</v>
      </c>
    </row>
    <row r="20" spans="1:7">
      <c r="A20" s="11" t="s">
        <v>221</v>
      </c>
      <c r="B20" s="11" t="s">
        <v>169</v>
      </c>
      <c r="C20" s="12" t="s">
        <v>222</v>
      </c>
      <c r="D20" s="8">
        <f ca="1">IFERROR(__xludf.DUMMYFUNCTION("SPLIT(C20,"","")"),56.2032959)</f>
        <v>56.203295900000001</v>
      </c>
      <c r="E20" s="9">
        <f ca="1">IFERROR(__xludf.DUMMYFUNCTION("""COMPUTED_VALUE"""),10.190962)</f>
        <v>10.190962000000001</v>
      </c>
      <c r="F20" s="11" t="s">
        <v>223</v>
      </c>
      <c r="G20" s="11">
        <v>4</v>
      </c>
    </row>
    <row r="21" spans="1:7">
      <c r="A21" s="11" t="s">
        <v>127</v>
      </c>
      <c r="B21" s="11" t="s">
        <v>187</v>
      </c>
      <c r="C21" s="12" t="s">
        <v>225</v>
      </c>
      <c r="D21" s="8">
        <f ca="1">IFERROR(__xludf.DUMMYFUNCTION("SPLIT(C21,"","")"),56.1572237)</f>
        <v>56.157223700000003</v>
      </c>
      <c r="E21" s="9">
        <f ca="1">IFERROR(__xludf.DUMMYFUNCTION("""COMPUTED_VALUE"""),10.2092291)</f>
        <v>10.2092291</v>
      </c>
      <c r="F21" s="11" t="s">
        <v>226</v>
      </c>
      <c r="G21" s="11">
        <v>2</v>
      </c>
    </row>
    <row r="22" spans="1:7">
      <c r="A22" s="11" t="s">
        <v>127</v>
      </c>
      <c r="B22" s="11" t="s">
        <v>169</v>
      </c>
      <c r="C22" s="12" t="s">
        <v>228</v>
      </c>
      <c r="D22" s="8">
        <f ca="1">IFERROR(__xludf.DUMMYFUNCTION("SPLIT(C22,"","")"),56.1761411)</f>
        <v>56.176141100000002</v>
      </c>
      <c r="E22" s="9">
        <f ca="1">IFERROR(__xludf.DUMMYFUNCTION("""COMPUTED_VALUE"""),10.2175407)</f>
        <v>10.217540700000001</v>
      </c>
      <c r="F22" s="11" t="s">
        <v>229</v>
      </c>
      <c r="G22" s="11">
        <v>4</v>
      </c>
    </row>
    <row r="23" spans="1:7">
      <c r="A23" s="11" t="s">
        <v>231</v>
      </c>
      <c r="B23" s="11" t="s">
        <v>144</v>
      </c>
      <c r="C23" s="12" t="s">
        <v>232</v>
      </c>
      <c r="D23" s="8">
        <f ca="1">IFERROR(__xludf.DUMMYFUNCTION("SPLIT(C23,"","")"),55.491593)</f>
        <v>55.491593000000002</v>
      </c>
      <c r="E23" s="9">
        <f ca="1">IFERROR(__xludf.DUMMYFUNCTION("""COMPUTED_VALUE"""),9.4741576)</f>
        <v>9.4741575999999998</v>
      </c>
      <c r="F23" s="11" t="s">
        <v>233</v>
      </c>
      <c r="G23" s="11">
        <v>5</v>
      </c>
    </row>
    <row r="24" spans="1:7">
      <c r="A24" s="11" t="s">
        <v>235</v>
      </c>
      <c r="B24" s="11" t="s">
        <v>187</v>
      </c>
      <c r="C24" s="12" t="s">
        <v>236</v>
      </c>
      <c r="D24" s="8">
        <f ca="1">IFERROR(__xludf.DUMMYFUNCTION("SPLIT(C24,"","")"),56.0864107)</f>
        <v>56.086410700000002</v>
      </c>
      <c r="E24" s="9">
        <f ca="1">IFERROR(__xludf.DUMMYFUNCTION("""COMPUTED_VALUE"""),12.3963899)</f>
        <v>12.396389900000001</v>
      </c>
      <c r="F24" s="21" t="s">
        <v>237</v>
      </c>
      <c r="G24" s="11">
        <v>5</v>
      </c>
    </row>
    <row r="25" spans="1:7">
      <c r="A25" s="11" t="s">
        <v>239</v>
      </c>
      <c r="B25" s="11" t="s">
        <v>240</v>
      </c>
      <c r="C25" s="12" t="s">
        <v>241</v>
      </c>
      <c r="D25" s="8">
        <f ca="1">IFERROR(__xludf.DUMMYFUNCTION("SPLIT(C25,"","")"),55.4786324)</f>
        <v>55.478632400000002</v>
      </c>
      <c r="E25" s="9">
        <f ca="1">IFERROR(__xludf.DUMMYFUNCTION("""COMPUTED_VALUE"""),8.435908)</f>
        <v>8.4359079999999995</v>
      </c>
      <c r="F25" s="11" t="s">
        <v>242</v>
      </c>
      <c r="G25" s="11">
        <v>2</v>
      </c>
    </row>
    <row r="26" spans="1:7">
      <c r="A26" s="11" t="s">
        <v>243</v>
      </c>
      <c r="B26" s="11" t="s">
        <v>244</v>
      </c>
      <c r="C26" s="12" t="s">
        <v>245</v>
      </c>
      <c r="D26" s="8">
        <f ca="1">IFERROR(__xludf.DUMMYFUNCTION("SPLIT(C26,"","")"),56.1588841330794)</f>
        <v>56.158884133079397</v>
      </c>
      <c r="E26" s="9">
        <f ca="1">IFERROR(__xludf.DUMMYFUNCTION("""COMPUTED_VALUE"""),10.1921259346043)</f>
        <v>10.1921259346043</v>
      </c>
      <c r="F26" s="11" t="s">
        <v>246</v>
      </c>
      <c r="G26" s="11">
        <v>5</v>
      </c>
    </row>
    <row r="27" spans="1:7">
      <c r="A27" s="11" t="s">
        <v>247</v>
      </c>
      <c r="B27" s="11" t="s">
        <v>248</v>
      </c>
      <c r="C27" s="12" t="s">
        <v>249</v>
      </c>
      <c r="D27" s="8">
        <f ca="1">IFERROR(__xludf.DUMMYFUNCTION("SPLIT(C27,"","")"),56.1053065)</f>
        <v>56.105306499999998</v>
      </c>
      <c r="E27" s="9">
        <f ca="1">IFERROR(__xludf.DUMMYFUNCTION("""COMPUTED_VALUE"""),9.6848622)</f>
        <v>9.6848621999999995</v>
      </c>
      <c r="F27" s="11">
        <f ca="1">IFERROR(__xludf.DUMMYFUNCTION("""COMPUTED_VALUE"""),15)</f>
        <v>15</v>
      </c>
      <c r="G27" s="11">
        <v>5</v>
      </c>
    </row>
    <row r="28" spans="1:7">
      <c r="A28" s="11" t="s">
        <v>250</v>
      </c>
      <c r="B28" s="11" t="s">
        <v>251</v>
      </c>
      <c r="C28" s="12" t="s">
        <v>252</v>
      </c>
      <c r="D28" s="8">
        <f ca="1">IFERROR(__xludf.DUMMYFUNCTION("SPLIT(C28,"","")"),56.1731742972829)</f>
        <v>56.173174297282898</v>
      </c>
      <c r="E28" s="9">
        <f ca="1">IFERROR(__xludf.DUMMYFUNCTION("""COMPUTED_VALUE"""),9.55695752018396)</f>
        <v>9.5569575201839605</v>
      </c>
      <c r="F28" s="11" t="s">
        <v>253</v>
      </c>
      <c r="G28" s="11">
        <v>5</v>
      </c>
    </row>
    <row r="29" spans="1:7">
      <c r="A29" s="11" t="s">
        <v>254</v>
      </c>
      <c r="B29" s="11" t="s">
        <v>169</v>
      </c>
      <c r="C29" s="12" t="s">
        <v>255</v>
      </c>
      <c r="D29" s="8">
        <f ca="1">IFERROR(__xludf.DUMMYFUNCTION("SPLIT(C29,"","")"),56.2010145)</f>
        <v>56.201014499999999</v>
      </c>
      <c r="E29" s="9">
        <f ca="1">IFERROR(__xludf.DUMMYFUNCTION("""COMPUTED_VALUE"""),8.9632962)</f>
        <v>8.9632962000000003</v>
      </c>
      <c r="F29" s="11" t="s">
        <v>254</v>
      </c>
      <c r="G29" s="11">
        <v>3</v>
      </c>
    </row>
    <row r="30" spans="1:7">
      <c r="A30" s="11" t="s">
        <v>256</v>
      </c>
      <c r="B30" s="11" t="s">
        <v>43</v>
      </c>
      <c r="C30" s="12" t="s">
        <v>257</v>
      </c>
      <c r="D30" s="8">
        <f ca="1">IFERROR(__xludf.DUMMYFUNCTION("SPLIT(C30,"","")"),56.104165)</f>
        <v>56.104165000000002</v>
      </c>
      <c r="E30" s="9">
        <f ca="1">IFERROR(__xludf.DUMMYFUNCTION("""COMPUTED_VALUE"""),9.669434)</f>
        <v>9.6694340000000008</v>
      </c>
      <c r="F30" s="11" t="s">
        <v>258</v>
      </c>
      <c r="G30" s="11">
        <v>5</v>
      </c>
    </row>
    <row r="31" spans="1:7">
      <c r="A31" s="11" t="s">
        <v>260</v>
      </c>
      <c r="B31" s="11" t="s">
        <v>261</v>
      </c>
      <c r="C31" s="12" t="s">
        <v>262</v>
      </c>
      <c r="D31" s="8">
        <f ca="1">IFERROR(__xludf.DUMMYFUNCTION("SPLIT(C31,"","")"),55.3953875)</f>
        <v>55.395387499999998</v>
      </c>
      <c r="E31" s="9">
        <f ca="1">IFERROR(__xludf.DUMMYFUNCTION("""COMPUTED_VALUE"""),10.389136)</f>
        <v>10.389136000000001</v>
      </c>
      <c r="F31" s="11" t="s">
        <v>263</v>
      </c>
      <c r="G31" s="11">
        <v>5</v>
      </c>
    </row>
    <row r="32" spans="1:7">
      <c r="A32" s="11" t="s">
        <v>264</v>
      </c>
      <c r="B32" s="11" t="s">
        <v>265</v>
      </c>
      <c r="C32" s="12" t="s">
        <v>266</v>
      </c>
      <c r="D32" s="8">
        <f ca="1">IFERROR(__xludf.DUMMYFUNCTION("SPLIT(C32,"","")"),56.1725556)</f>
        <v>56.172555600000003</v>
      </c>
      <c r="E32" s="9">
        <f ca="1">IFERROR(__xludf.DUMMYFUNCTION("""COMPUTED_VALUE"""),10.205593)</f>
        <v>10.205593</v>
      </c>
      <c r="F32" s="11" t="s">
        <v>264</v>
      </c>
      <c r="G32" s="11">
        <v>5</v>
      </c>
    </row>
    <row r="33" spans="1:8">
      <c r="A33" s="11" t="s">
        <v>267</v>
      </c>
      <c r="B33" s="11" t="s">
        <v>268</v>
      </c>
      <c r="C33" s="12" t="s">
        <v>269</v>
      </c>
      <c r="D33" s="8">
        <f ca="1">IFERROR(__xludf.DUMMYFUNCTION("SPLIT(C33,"","")"),56.205574)</f>
        <v>56.205573999999999</v>
      </c>
      <c r="E33" s="9">
        <f ca="1">IFERROR(__xludf.DUMMYFUNCTION("""COMPUTED_VALUE"""),8.9065236)</f>
        <v>8.9065235999999999</v>
      </c>
      <c r="F33" s="11" t="s">
        <v>270</v>
      </c>
      <c r="G33" s="11">
        <v>1</v>
      </c>
    </row>
    <row r="34" spans="1:8">
      <c r="A34" s="11" t="s">
        <v>272</v>
      </c>
      <c r="B34" s="11" t="s">
        <v>273</v>
      </c>
      <c r="C34" s="12" t="s">
        <v>274</v>
      </c>
      <c r="D34" s="8">
        <f ca="1">IFERROR(__xludf.DUMMYFUNCTION("SPLIT(C34,"","")"),56.2814)</f>
        <v>56.281399999999998</v>
      </c>
      <c r="E34" s="9">
        <f ca="1">IFERROR(__xludf.DUMMYFUNCTION("""COMPUTED_VALUE"""),10.69054)</f>
        <v>10.69054</v>
      </c>
      <c r="F34" s="11" t="s">
        <v>275</v>
      </c>
      <c r="G34" s="11">
        <v>5</v>
      </c>
    </row>
    <row r="35" spans="1:8">
      <c r="A35" s="11" t="s">
        <v>759</v>
      </c>
      <c r="B35" s="11" t="s">
        <v>760</v>
      </c>
      <c r="C35" s="11" t="s">
        <v>761</v>
      </c>
      <c r="D35" s="8">
        <f ca="1">IFERROR(__xludf.DUMMYFUNCTION("SPLIT(C35,"","")"),54.7726278)</f>
        <v>54.772627800000002</v>
      </c>
      <c r="E35" s="9">
        <f ca="1">IFERROR(__xludf.DUMMYFUNCTION("""COMPUTED_VALUE"""),11.4973362)</f>
        <v>11.497336199999999</v>
      </c>
      <c r="F35" s="11" t="s">
        <v>762</v>
      </c>
      <c r="G35" s="11">
        <v>4</v>
      </c>
      <c r="H35" s="11" t="s">
        <v>763</v>
      </c>
    </row>
    <row r="36" spans="1:8">
      <c r="A36" s="11" t="s">
        <v>764</v>
      </c>
      <c r="B36" s="11" t="s">
        <v>43</v>
      </c>
      <c r="C36" s="11" t="s">
        <v>765</v>
      </c>
      <c r="D36" s="8">
        <f ca="1">IFERROR(__xludf.DUMMYFUNCTION("SPLIT(C36,"","")"),57.7444016)</f>
        <v>57.744401600000003</v>
      </c>
      <c r="E36" s="9">
        <f ca="1">IFERROR(__xludf.DUMMYFUNCTION("""COMPUTED_VALUE"""),10.6490276)</f>
        <v>10.6490276</v>
      </c>
      <c r="F36" s="11" t="s">
        <v>766</v>
      </c>
      <c r="G36" s="11">
        <v>4</v>
      </c>
      <c r="H36" s="11" t="s">
        <v>767</v>
      </c>
    </row>
    <row r="37" spans="1:8">
      <c r="A37" s="11" t="s">
        <v>768</v>
      </c>
      <c r="B37" s="11" t="s">
        <v>769</v>
      </c>
      <c r="C37" s="11" t="s">
        <v>770</v>
      </c>
      <c r="D37" s="8">
        <f ca="1">IFERROR(__xludf.DUMMYFUNCTION("SPLIT(C37,"","")"),55.8719042)</f>
        <v>55.871904200000003</v>
      </c>
      <c r="E37" s="9">
        <f ca="1">IFERROR(__xludf.DUMMYFUNCTION("""COMPUTED_VALUE"""),9.8591218)</f>
        <v>9.8591218000000005</v>
      </c>
      <c r="F37" s="11" t="s">
        <v>771</v>
      </c>
      <c r="G37" s="11">
        <v>3</v>
      </c>
    </row>
    <row r="38" spans="1:8">
      <c r="A38" s="11" t="s">
        <v>772</v>
      </c>
      <c r="B38" s="11" t="s">
        <v>244</v>
      </c>
      <c r="C38" s="11" t="s">
        <v>773</v>
      </c>
      <c r="D38" s="8">
        <f ca="1">IFERROR(__xludf.DUMMYFUNCTION("SPLIT(C38,"","")"),54.6680611)</f>
        <v>54.668061100000003</v>
      </c>
      <c r="E38" s="9">
        <f ca="1">IFERROR(__xludf.DUMMYFUNCTION("""COMPUTED_VALUE"""),11.7259071)</f>
        <v>11.725907100000001</v>
      </c>
      <c r="F38" s="11" t="s">
        <v>774</v>
      </c>
      <c r="G38" s="11">
        <v>4</v>
      </c>
      <c r="H38" s="11" t="s">
        <v>775</v>
      </c>
    </row>
    <row r="39" spans="1:8">
      <c r="A39" s="11" t="s">
        <v>776</v>
      </c>
      <c r="B39" s="11" t="s">
        <v>777</v>
      </c>
      <c r="C39" s="11" t="s">
        <v>778</v>
      </c>
      <c r="D39" s="8">
        <f ca="1">IFERROR(__xludf.DUMMYFUNCTION("SPLIT(C39,"","")"),56.1656309)</f>
        <v>56.165630899999996</v>
      </c>
      <c r="E39" s="9">
        <f ca="1">IFERROR(__xludf.DUMMYFUNCTION("""COMPUTED_VALUE"""),10.2264851)</f>
        <v>10.2264851</v>
      </c>
      <c r="G39" s="11">
        <v>2</v>
      </c>
    </row>
    <row r="40" spans="1:8">
      <c r="A40" s="11" t="s">
        <v>779</v>
      </c>
      <c r="B40" s="11" t="s">
        <v>760</v>
      </c>
      <c r="C40" s="11" t="s">
        <v>780</v>
      </c>
      <c r="D40" s="8">
        <f ca="1">IFERROR(__xludf.DUMMYFUNCTION("SPLIT(C40,"","")"),55.3283043)</f>
        <v>55.328304299999999</v>
      </c>
      <c r="E40" s="9">
        <f ca="1">IFERROR(__xludf.DUMMYFUNCTION("""COMPUTED_VALUE"""),8.7615532)</f>
        <v>8.7615531999999998</v>
      </c>
      <c r="F40" s="11" t="s">
        <v>781</v>
      </c>
      <c r="G40" s="11">
        <v>5</v>
      </c>
      <c r="H40" s="11" t="s">
        <v>782</v>
      </c>
    </row>
    <row r="41" spans="1:8">
      <c r="A41" s="11" t="s">
        <v>783</v>
      </c>
      <c r="B41" s="11" t="s">
        <v>485</v>
      </c>
      <c r="C41" s="11" t="s">
        <v>784</v>
      </c>
      <c r="D41" s="8">
        <f ca="1">IFERROR(__xludf.DUMMYFUNCTION("SPLIT(C41,"","")"),56.1227003)</f>
        <v>56.122700299999998</v>
      </c>
      <c r="E41" s="9">
        <f ca="1">IFERROR(__xludf.DUMMYFUNCTION("""COMPUTED_VALUE"""),10.2190643)</f>
        <v>10.219064299999999</v>
      </c>
      <c r="F41" s="11" t="s">
        <v>785</v>
      </c>
      <c r="G41" s="11">
        <v>3</v>
      </c>
    </row>
    <row r="42" spans="1:8">
      <c r="A42" s="11" t="s">
        <v>786</v>
      </c>
      <c r="B42" s="11" t="s">
        <v>787</v>
      </c>
      <c r="C42" s="11" t="s">
        <v>788</v>
      </c>
      <c r="D42" s="8">
        <f ca="1">IFERROR(__xludf.DUMMYFUNCTION("SPLIT(C42,"","")"),55.4335662)</f>
        <v>55.433566200000001</v>
      </c>
      <c r="E42" s="9">
        <f ca="1">IFERROR(__xludf.DUMMYFUNCTION("""COMPUTED_VALUE"""),11.6874908)</f>
        <v>11.687490800000001</v>
      </c>
      <c r="F42" s="11" t="s">
        <v>789</v>
      </c>
      <c r="G42" s="11">
        <v>4</v>
      </c>
    </row>
    <row r="43" spans="1:8">
      <c r="A43" s="11" t="s">
        <v>790</v>
      </c>
      <c r="B43" s="11" t="s">
        <v>791</v>
      </c>
      <c r="C43" s="11" t="s">
        <v>792</v>
      </c>
      <c r="D43" s="8">
        <f ca="1">IFERROR(__xludf.DUMMYFUNCTION("SPLIT(C43,"","")"),56.052311)</f>
        <v>56.052311000000003</v>
      </c>
      <c r="E43" s="9">
        <f ca="1">IFERROR(__xludf.DUMMYFUNCTION("""COMPUTED_VALUE"""),9.7474401)</f>
        <v>9.7474401000000004</v>
      </c>
      <c r="F43" s="11" t="s">
        <v>791</v>
      </c>
      <c r="G43" s="11">
        <v>3</v>
      </c>
    </row>
    <row r="44" spans="1:8">
      <c r="A44" s="11" t="s">
        <v>793</v>
      </c>
      <c r="B44" s="11" t="s">
        <v>794</v>
      </c>
      <c r="C44" s="11" t="s">
        <v>795</v>
      </c>
      <c r="D44" s="8">
        <f ca="1">IFERROR(__xludf.DUMMYFUNCTION("SPLIT(C44,"","")"),56.1728708)</f>
        <v>56.172870799999998</v>
      </c>
      <c r="E44" s="9">
        <f ca="1">IFERROR(__xludf.DUMMYFUNCTION("""COMPUTED_VALUE"""),10.2039512)</f>
        <v>10.203951200000001</v>
      </c>
      <c r="F44" s="11" t="s">
        <v>796</v>
      </c>
      <c r="G44" s="11">
        <v>5</v>
      </c>
    </row>
    <row r="45" spans="1:8">
      <c r="A45" s="11" t="s">
        <v>797</v>
      </c>
      <c r="B45" s="11" t="s">
        <v>760</v>
      </c>
      <c r="C45" s="11" t="s">
        <v>798</v>
      </c>
      <c r="D45" s="8">
        <f ca="1">IFERROR(__xludf.DUMMYFUNCTION("SPLIT(C45,"","")"),55.2498626)</f>
        <v>55.2498626</v>
      </c>
      <c r="E45" s="9">
        <f ca="1">IFERROR(__xludf.DUMMYFUNCTION("""COMPUTED_VALUE"""),9.4866225)</f>
        <v>9.4866224999999993</v>
      </c>
      <c r="F45" s="11" t="s">
        <v>799</v>
      </c>
      <c r="G45" s="11">
        <v>5</v>
      </c>
      <c r="H45" s="11" t="s">
        <v>800</v>
      </c>
    </row>
    <row r="46" spans="1:8">
      <c r="A46" s="11" t="s">
        <v>801</v>
      </c>
      <c r="B46" s="11" t="s">
        <v>802</v>
      </c>
      <c r="C46" s="11" t="s">
        <v>803</v>
      </c>
      <c r="D46" s="8">
        <f ca="1">IFERROR(__xludf.DUMMYFUNCTION("SPLIT(C46,"","")"),54.8310006)</f>
        <v>54.831000600000003</v>
      </c>
      <c r="E46" s="9">
        <f ca="1">IFERROR(__xludf.DUMMYFUNCTION("""COMPUTED_VALUE"""),11.1320784)</f>
        <v>11.132078399999999</v>
      </c>
      <c r="F46" s="11" t="s">
        <v>804</v>
      </c>
      <c r="G46" s="11">
        <v>4</v>
      </c>
      <c r="H46" s="11" t="s">
        <v>805</v>
      </c>
    </row>
    <row r="47" spans="1:8">
      <c r="A47" s="11" t="s">
        <v>806</v>
      </c>
      <c r="B47" s="11" t="s">
        <v>769</v>
      </c>
      <c r="C47" s="11" t="s">
        <v>807</v>
      </c>
      <c r="D47" s="8">
        <f ca="1">IFERROR(__xludf.DUMMYFUNCTION("SPLIT(C47,"","")"),56.4552419)</f>
        <v>56.455241899999997</v>
      </c>
      <c r="E47" s="9">
        <f ca="1">IFERROR(__xludf.DUMMYFUNCTION("""COMPUTED_VALUE"""),9.3968526)</f>
        <v>9.3968526000000008</v>
      </c>
      <c r="F47" s="11" t="s">
        <v>808</v>
      </c>
      <c r="G47" s="11">
        <v>2</v>
      </c>
    </row>
    <row r="48" spans="1:8">
      <c r="A48" s="11" t="s">
        <v>809</v>
      </c>
      <c r="B48" s="11" t="s">
        <v>810</v>
      </c>
      <c r="C48" s="11" t="s">
        <v>811</v>
      </c>
      <c r="D48" s="8">
        <f ca="1">IFERROR(__xludf.DUMMYFUNCTION("SPLIT(C48,"","")"),56.1979752)</f>
        <v>56.197975200000002</v>
      </c>
      <c r="E48" s="9">
        <f ca="1">IFERROR(__xludf.DUMMYFUNCTION("""COMPUTED_VALUE"""),10.1754707)</f>
        <v>10.1754707</v>
      </c>
      <c r="F48" s="11" t="s">
        <v>812</v>
      </c>
      <c r="G48" s="11">
        <v>5</v>
      </c>
      <c r="H48" s="11" t="s">
        <v>813</v>
      </c>
    </row>
    <row r="49" spans="1:7">
      <c r="A49" s="11" t="s">
        <v>688</v>
      </c>
      <c r="B49" s="11" t="s">
        <v>244</v>
      </c>
      <c r="C49" s="11" t="s">
        <v>814</v>
      </c>
      <c r="D49" s="8">
        <f ca="1">IFERROR(__xludf.DUMMYFUNCTION("SPLIT(C49,"","")"),56.0887158)</f>
        <v>56.088715800000003</v>
      </c>
      <c r="E49" s="9">
        <f ca="1">IFERROR(__xludf.DUMMYFUNCTION("""COMPUTED_VALUE"""),10.2209268)</f>
        <v>10.220926800000001</v>
      </c>
      <c r="F49" s="11" t="s">
        <v>815</v>
      </c>
      <c r="G49" s="11">
        <v>5</v>
      </c>
    </row>
    <row r="50" spans="1:7">
      <c r="A50" s="11" t="s">
        <v>816</v>
      </c>
      <c r="B50" s="53" t="s">
        <v>817</v>
      </c>
      <c r="C50" s="11" t="s">
        <v>818</v>
      </c>
      <c r="D50" s="8">
        <f ca="1">IFERROR(__xludf.DUMMYFUNCTION("SPLIT(C50,"","")"),55.678595)</f>
        <v>55.678595000000001</v>
      </c>
      <c r="E50" s="9">
        <f ca="1">IFERROR(__xludf.DUMMYFUNCTION("""COMPUTED_VALUE"""),12.5687056)</f>
        <v>12.568705599999999</v>
      </c>
      <c r="F50" s="11" t="s">
        <v>819</v>
      </c>
      <c r="G50" s="11">
        <v>3</v>
      </c>
    </row>
    <row r="51" spans="1:7">
      <c r="A51" s="11" t="s">
        <v>820</v>
      </c>
      <c r="B51" s="11" t="s">
        <v>501</v>
      </c>
      <c r="C51" s="11" t="s">
        <v>821</v>
      </c>
      <c r="D51" s="8">
        <f ca="1">IFERROR(__xludf.DUMMYFUNCTION("SPLIT(C51,"","")"),55.3126452)</f>
        <v>55.312645199999999</v>
      </c>
      <c r="E51" s="9">
        <f ca="1">IFERROR(__xludf.DUMMYFUNCTION("""COMPUTED_VALUE"""),10.7842089)</f>
        <v>10.784208899999999</v>
      </c>
      <c r="F51" s="11" t="s">
        <v>822</v>
      </c>
      <c r="G51" s="11">
        <v>3</v>
      </c>
    </row>
    <row r="52" spans="1:7">
      <c r="A52" s="11" t="s">
        <v>823</v>
      </c>
      <c r="B52" s="11" t="s">
        <v>802</v>
      </c>
      <c r="C52" s="11" t="s">
        <v>824</v>
      </c>
      <c r="D52" s="8">
        <f ca="1">IFERROR(__xludf.DUMMYFUNCTION("SPLIT(C52,"","")"),56.1444479)</f>
        <v>56.144447900000003</v>
      </c>
      <c r="E52" s="9">
        <f ca="1">IFERROR(__xludf.DUMMYFUNCTION("""COMPUTED_VALUE"""),9.050002)</f>
        <v>9.0500019999999992</v>
      </c>
      <c r="F52" s="11" t="s">
        <v>825</v>
      </c>
      <c r="G52" s="11">
        <v>2</v>
      </c>
    </row>
    <row r="53" spans="1:7">
      <c r="A53" s="11" t="s">
        <v>826</v>
      </c>
      <c r="B53" s="11" t="s">
        <v>827</v>
      </c>
      <c r="C53" s="11" t="s">
        <v>828</v>
      </c>
      <c r="D53" s="8">
        <f ca="1">IFERROR(__xludf.DUMMYFUNCTION("SPLIT(C53,"","")"),56.1286693)</f>
        <v>56.128669299999999</v>
      </c>
      <c r="E53" s="9">
        <f ca="1">IFERROR(__xludf.DUMMYFUNCTION("""COMPUTED_VALUE"""),8.9484227)</f>
        <v>8.9484227000000001</v>
      </c>
      <c r="F53" s="11" t="s">
        <v>829</v>
      </c>
      <c r="G53" s="11">
        <v>1</v>
      </c>
    </row>
    <row r="54" spans="1:7">
      <c r="A54" s="11" t="s">
        <v>830</v>
      </c>
      <c r="B54" s="11" t="s">
        <v>244</v>
      </c>
      <c r="C54" s="11" t="s">
        <v>831</v>
      </c>
      <c r="D54" s="8">
        <f ca="1">IFERROR(__xludf.DUMMYFUNCTION("SPLIT(C54,"","")"),56.133896)</f>
        <v>56.133896</v>
      </c>
      <c r="E54" s="9">
        <f ca="1">IFERROR(__xludf.DUMMYFUNCTION("""COMPUTED_VALUE"""),8.9584724)</f>
        <v>8.9584723999999998</v>
      </c>
      <c r="F54" s="11" t="s">
        <v>832</v>
      </c>
      <c r="G54" s="11">
        <v>3</v>
      </c>
    </row>
    <row r="55" spans="1:7">
      <c r="A55" s="11" t="s">
        <v>143</v>
      </c>
      <c r="B55" s="11" t="s">
        <v>244</v>
      </c>
      <c r="C55" s="11" t="s">
        <v>732</v>
      </c>
      <c r="D55" s="8">
        <f ca="1">IFERROR(__xludf.DUMMYFUNCTION("SPLIT(C55,"","")"),54.90694)</f>
        <v>54.906939999999999</v>
      </c>
      <c r="E55" s="9">
        <f ca="1">IFERROR(__xludf.DUMMYFUNCTION("""COMPUTED_VALUE"""),9.7553901)</f>
        <v>9.7553900999999996</v>
      </c>
      <c r="F55" s="11" t="s">
        <v>833</v>
      </c>
      <c r="G55" s="11">
        <v>3</v>
      </c>
    </row>
    <row r="56" spans="1:7">
      <c r="A56" s="11" t="s">
        <v>834</v>
      </c>
      <c r="B56" s="11" t="s">
        <v>835</v>
      </c>
      <c r="C56" s="11" t="s">
        <v>836</v>
      </c>
      <c r="D56" s="8">
        <f ca="1">IFERROR(__xludf.DUMMYFUNCTION("SPLIT(C56,"","")"),55.0569851)</f>
        <v>55.056985099999999</v>
      </c>
      <c r="E56" s="9">
        <f ca="1">IFERROR(__xludf.DUMMYFUNCTION("""COMPUTED_VALUE"""),8.9402638)</f>
        <v>8.9402638000000003</v>
      </c>
      <c r="F56" s="11" t="s">
        <v>837</v>
      </c>
      <c r="G56" s="11">
        <v>2</v>
      </c>
    </row>
    <row r="57" spans="1:7">
      <c r="A57" s="11" t="s">
        <v>838</v>
      </c>
      <c r="B57" s="11" t="s">
        <v>839</v>
      </c>
      <c r="C57" s="11" t="s">
        <v>840</v>
      </c>
      <c r="D57" s="8">
        <f ca="1">IFERROR(__xludf.DUMMYFUNCTION("SPLIT(C57,"","")"),56.1652038)</f>
        <v>56.1652038</v>
      </c>
      <c r="E57" s="9">
        <f ca="1">IFERROR(__xludf.DUMMYFUNCTION("""COMPUTED_VALUE"""),10.0714847)</f>
        <v>10.071484699999999</v>
      </c>
      <c r="F57" s="11" t="s">
        <v>841</v>
      </c>
      <c r="G57" s="11">
        <v>3</v>
      </c>
    </row>
    <row r="58" spans="1:7">
      <c r="A58" s="11" t="s">
        <v>842</v>
      </c>
      <c r="B58" s="11" t="s">
        <v>843</v>
      </c>
      <c r="C58" s="11" t="s">
        <v>844</v>
      </c>
      <c r="D58" s="8">
        <f ca="1">IFERROR(__xludf.DUMMYFUNCTION("SPLIT(C58,"","")"),55.627167)</f>
        <v>55.627167</v>
      </c>
      <c r="E58" s="9">
        <f ca="1">IFERROR(__xludf.DUMMYFUNCTION("""COMPUTED_VALUE"""),9.0705561)</f>
        <v>9.0705560999999992</v>
      </c>
      <c r="F58" s="11" t="s">
        <v>845</v>
      </c>
      <c r="G58" s="11">
        <v>5</v>
      </c>
    </row>
    <row r="59" spans="1:7">
      <c r="A59" s="11" t="s">
        <v>846</v>
      </c>
      <c r="B59" s="11" t="s">
        <v>847</v>
      </c>
      <c r="C59" s="11" t="s">
        <v>848</v>
      </c>
      <c r="D59" s="8">
        <f ca="1">IFERROR(__xludf.DUMMYFUNCTION("SPLIT(C59,"","")"),55.8110182)</f>
        <v>55.811018199999999</v>
      </c>
      <c r="E59" s="9">
        <f ca="1">IFERROR(__xludf.DUMMYFUNCTION("""COMPUTED_VALUE"""),8.6216981)</f>
        <v>8.6216980999999997</v>
      </c>
      <c r="F59" s="11" t="s">
        <v>849</v>
      </c>
      <c r="G59" s="11">
        <v>5</v>
      </c>
    </row>
    <row r="60" spans="1:7">
      <c r="A60" s="11" t="s">
        <v>850</v>
      </c>
      <c r="B60" s="11" t="s">
        <v>851</v>
      </c>
      <c r="C60" s="11" t="s">
        <v>852</v>
      </c>
      <c r="D60" s="8">
        <f ca="1">IFERROR(__xludf.DUMMYFUNCTION("SPLIT(C60,"","")"),55.8589702)</f>
        <v>55.858970200000002</v>
      </c>
      <c r="E60" s="9">
        <f ca="1">IFERROR(__xludf.DUMMYFUNCTION("""COMPUTED_VALUE"""),9.8604612)</f>
        <v>9.8604611999999996</v>
      </c>
      <c r="F60" s="11" t="s">
        <v>853</v>
      </c>
      <c r="G60" s="11">
        <v>5</v>
      </c>
    </row>
    <row r="61" spans="1:7">
      <c r="A61" s="11" t="s">
        <v>846</v>
      </c>
      <c r="B61" s="11" t="s">
        <v>854</v>
      </c>
      <c r="C61" s="11" t="s">
        <v>855</v>
      </c>
      <c r="D61" s="8">
        <f ca="1">IFERROR(__xludf.DUMMYFUNCTION("SPLIT(C61,"","")"),55.8092246)</f>
        <v>55.8092246</v>
      </c>
      <c r="E61" s="9">
        <f ca="1">IFERROR(__xludf.DUMMYFUNCTION("""COMPUTED_VALUE"""),8.620149)</f>
        <v>8.6201489999999996</v>
      </c>
      <c r="F61" s="11" t="s">
        <v>856</v>
      </c>
      <c r="G61" s="11">
        <v>5</v>
      </c>
    </row>
    <row r="62" spans="1:7">
      <c r="A62" s="11" t="s">
        <v>857</v>
      </c>
      <c r="B62" s="11" t="s">
        <v>244</v>
      </c>
      <c r="C62" s="11" t="s">
        <v>858</v>
      </c>
      <c r="D62" s="8">
        <f ca="1">IFERROR(__xludf.DUMMYFUNCTION("SPLIT(C62,"","")"),55.8650999)</f>
        <v>55.865099899999997</v>
      </c>
      <c r="E62" s="9">
        <f ca="1">IFERROR(__xludf.DUMMYFUNCTION("""COMPUTED_VALUE"""),9.8610085)</f>
        <v>9.8610085000000005</v>
      </c>
      <c r="F62" s="11" t="s">
        <v>859</v>
      </c>
      <c r="G62" s="11">
        <v>5</v>
      </c>
    </row>
    <row r="63" spans="1:7">
      <c r="A63" s="11" t="s">
        <v>860</v>
      </c>
      <c r="B63" s="11" t="s">
        <v>861</v>
      </c>
      <c r="C63" s="11" t="s">
        <v>862</v>
      </c>
      <c r="D63" s="8">
        <f ca="1">IFERROR(__xludf.DUMMYFUNCTION("SPLIT(C63,"","")"),55.8065764)</f>
        <v>55.806576399999997</v>
      </c>
      <c r="E63" s="9">
        <f ca="1">IFERROR(__xludf.DUMMYFUNCTION("""COMPUTED_VALUE"""),8.6178444)</f>
        <v>8.6178443999999992</v>
      </c>
      <c r="F63" s="11" t="s">
        <v>863</v>
      </c>
      <c r="G63" s="11">
        <v>5</v>
      </c>
    </row>
    <row r="64" spans="1:7">
      <c r="A64" s="11" t="s">
        <v>857</v>
      </c>
      <c r="B64" s="11" t="s">
        <v>802</v>
      </c>
      <c r="C64" s="11" t="s">
        <v>864</v>
      </c>
      <c r="D64" s="8">
        <f ca="1">IFERROR(__xludf.DUMMYFUNCTION("SPLIT(C64,"","")"),55.8628992)</f>
        <v>55.862899200000001</v>
      </c>
      <c r="E64" s="9">
        <f ca="1">IFERROR(__xludf.DUMMYFUNCTION("""COMPUTED_VALUE"""),9.8460282)</f>
        <v>9.8460281999999992</v>
      </c>
      <c r="F64" s="11" t="s">
        <v>865</v>
      </c>
      <c r="G64" s="11">
        <v>4</v>
      </c>
    </row>
    <row r="65" spans="1:8">
      <c r="A65" s="11" t="s">
        <v>866</v>
      </c>
      <c r="B65" s="11" t="s">
        <v>867</v>
      </c>
      <c r="C65" s="11" t="s">
        <v>868</v>
      </c>
      <c r="D65" s="8">
        <f ca="1">IFERROR(__xludf.DUMMYFUNCTION("SPLIT(C65,"","")"),55.1460745)</f>
        <v>55.146074499999997</v>
      </c>
      <c r="E65" s="9">
        <f ca="1">IFERROR(__xludf.DUMMYFUNCTION("""COMPUTED_VALUE"""),8.4926275)</f>
        <v>8.4926274999999993</v>
      </c>
      <c r="F65" s="11" t="s">
        <v>869</v>
      </c>
      <c r="G65" s="11">
        <v>5</v>
      </c>
    </row>
    <row r="66" spans="1:8">
      <c r="A66" s="11" t="s">
        <v>860</v>
      </c>
      <c r="B66" s="11" t="s">
        <v>870</v>
      </c>
      <c r="C66" s="11" t="s">
        <v>871</v>
      </c>
      <c r="D66" s="8">
        <f ca="1">IFERROR(__xludf.DUMMYFUNCTION("SPLIT(C66,"","")"),55.8088845)</f>
        <v>55.808884499999998</v>
      </c>
      <c r="E66" s="9">
        <f ca="1">IFERROR(__xludf.DUMMYFUNCTION("""COMPUTED_VALUE"""),8.6096275)</f>
        <v>8.6096275000000002</v>
      </c>
      <c r="F66" s="11" t="s">
        <v>872</v>
      </c>
      <c r="G66" s="11">
        <v>5</v>
      </c>
    </row>
    <row r="67" spans="1:8">
      <c r="A67" s="11" t="s">
        <v>850</v>
      </c>
      <c r="B67" s="11" t="s">
        <v>873</v>
      </c>
      <c r="C67" s="11" t="s">
        <v>874</v>
      </c>
      <c r="D67" s="8">
        <f ca="1">IFERROR(__xludf.DUMMYFUNCTION("SPLIT(C67,"","")"),55.8617067)</f>
        <v>55.861706699999999</v>
      </c>
      <c r="E67" s="9">
        <f ca="1">IFERROR(__xludf.DUMMYFUNCTION("""COMPUTED_VALUE"""),9.8553656)</f>
        <v>9.8553656000000007</v>
      </c>
      <c r="F67" s="11" t="s">
        <v>875</v>
      </c>
      <c r="G67" s="11">
        <v>5</v>
      </c>
    </row>
    <row r="68" spans="1:8">
      <c r="A68" s="11" t="s">
        <v>876</v>
      </c>
      <c r="B68" s="11" t="s">
        <v>877</v>
      </c>
      <c r="C68" s="11" t="s">
        <v>878</v>
      </c>
      <c r="D68" s="8">
        <f ca="1">IFERROR(__xludf.DUMMYFUNCTION("SPLIT(C68,"","")"),56.1150854)</f>
        <v>56.115085399999998</v>
      </c>
      <c r="E68" s="9">
        <f ca="1">IFERROR(__xludf.DUMMYFUNCTION("""COMPUTED_VALUE"""),8.086709)</f>
        <v>8.0867090000000008</v>
      </c>
      <c r="F68" s="11" t="s">
        <v>879</v>
      </c>
      <c r="G68" s="11">
        <v>4</v>
      </c>
    </row>
    <row r="69" spans="1:8">
      <c r="A69" s="11" t="s">
        <v>880</v>
      </c>
      <c r="B69" s="11" t="s">
        <v>881</v>
      </c>
      <c r="C69" s="11" t="s">
        <v>882</v>
      </c>
      <c r="D69" s="8">
        <f ca="1">IFERROR(__xludf.DUMMYFUNCTION("SPLIT(C69,"","")"),55.835484)</f>
        <v>55.835484000000001</v>
      </c>
      <c r="E69" s="9">
        <f ca="1">IFERROR(__xludf.DUMMYFUNCTION("""COMPUTED_VALUE"""),8.2591009)</f>
        <v>8.2591009</v>
      </c>
      <c r="F69" s="11" t="s">
        <v>883</v>
      </c>
      <c r="G69" s="11">
        <v>3</v>
      </c>
    </row>
    <row r="70" spans="1:8">
      <c r="A70" s="11" t="s">
        <v>860</v>
      </c>
      <c r="B70" s="11" t="s">
        <v>884</v>
      </c>
      <c r="C70" s="11" t="s">
        <v>885</v>
      </c>
      <c r="D70" s="8">
        <f ca="1">IFERROR(__xludf.DUMMYFUNCTION("SPLIT(C70,"","")"),55.8087882)</f>
        <v>55.808788200000002</v>
      </c>
      <c r="E70" s="9">
        <f ca="1">IFERROR(__xludf.DUMMYFUNCTION("""COMPUTED_VALUE"""),8.6127801)</f>
        <v>8.6127801000000002</v>
      </c>
      <c r="F70" s="11" t="s">
        <v>886</v>
      </c>
    </row>
    <row r="71" spans="1:8">
      <c r="A71" s="11" t="s">
        <v>850</v>
      </c>
      <c r="B71" s="11" t="s">
        <v>887</v>
      </c>
      <c r="C71" s="11" t="s">
        <v>888</v>
      </c>
      <c r="D71" s="8">
        <f ca="1">IFERROR(__xludf.DUMMYFUNCTION("SPLIT(C71,"","")"),55.8700845)</f>
        <v>55.870084499999997</v>
      </c>
      <c r="E71" s="9">
        <f ca="1">IFERROR(__xludf.DUMMYFUNCTION("""COMPUTED_VALUE"""),9.8630781)</f>
        <v>9.8630780999999992</v>
      </c>
      <c r="F71" s="11" t="s">
        <v>889</v>
      </c>
    </row>
    <row r="72" spans="1:8">
      <c r="A72" s="11" t="s">
        <v>100</v>
      </c>
      <c r="B72" s="11" t="s">
        <v>890</v>
      </c>
      <c r="C72" s="11" t="s">
        <v>891</v>
      </c>
      <c r="D72" s="8">
        <f ca="1">IFERROR(__xludf.DUMMYFUNCTION("SPLIT(C72,"","")"),57.2488172)</f>
        <v>57.248817199999998</v>
      </c>
      <c r="E72" s="9">
        <f ca="1">IFERROR(__xludf.DUMMYFUNCTION("""COMPUTED_VALUE"""),9.6088532)</f>
        <v>9.6088532000000004</v>
      </c>
      <c r="F72" s="11" t="s">
        <v>892</v>
      </c>
      <c r="G72" s="11">
        <v>3</v>
      </c>
    </row>
    <row r="73" spans="1:8">
      <c r="A73" s="11" t="s">
        <v>893</v>
      </c>
      <c r="B73" s="11" t="s">
        <v>867</v>
      </c>
      <c r="C73" s="11" t="s">
        <v>894</v>
      </c>
      <c r="D73" s="8">
        <f ca="1">IFERROR(__xludf.DUMMYFUNCTION("SPLIT(C73,"","")"),57.3715579)</f>
        <v>57.371557899999999</v>
      </c>
      <c r="E73" s="9">
        <f ca="1">IFERROR(__xludf.DUMMYFUNCTION("""COMPUTED_VALUE"""),9.7090861)</f>
        <v>9.7090861000000004</v>
      </c>
      <c r="F73" s="11" t="s">
        <v>895</v>
      </c>
      <c r="G73" s="11">
        <v>4</v>
      </c>
    </row>
    <row r="74" spans="1:8">
      <c r="A74" s="11" t="s">
        <v>896</v>
      </c>
      <c r="B74" s="11" t="s">
        <v>839</v>
      </c>
      <c r="C74" s="11" t="s">
        <v>897</v>
      </c>
      <c r="D74" s="8">
        <f ca="1">IFERROR(__xludf.DUMMYFUNCTION("SPLIT(C74,"","")"),55.0591176)</f>
        <v>55.0591176</v>
      </c>
      <c r="E74" s="9">
        <f ca="1">IFERROR(__xludf.DUMMYFUNCTION("""COMPUTED_VALUE"""),9.7463957)</f>
        <v>9.7463957000000008</v>
      </c>
      <c r="F74" s="11" t="s">
        <v>501</v>
      </c>
      <c r="G74" s="11">
        <v>3</v>
      </c>
      <c r="H74" s="11" t="s">
        <v>898</v>
      </c>
    </row>
    <row r="75" spans="1:8">
      <c r="A75" s="11" t="s">
        <v>896</v>
      </c>
      <c r="B75" s="11" t="s">
        <v>899</v>
      </c>
      <c r="C75" s="11" t="s">
        <v>900</v>
      </c>
      <c r="D75" s="8">
        <f ca="1">IFERROR(__xludf.DUMMYFUNCTION("SPLIT(C75,"","")"),55.0414476)</f>
        <v>55.041447599999998</v>
      </c>
      <c r="E75" s="9">
        <f ca="1">IFERROR(__xludf.DUMMYFUNCTION("""COMPUTED_VALUE"""),9.7914973)</f>
        <v>9.7914972999999996</v>
      </c>
      <c r="F75" s="11" t="s">
        <v>901</v>
      </c>
      <c r="G75" s="11">
        <v>5</v>
      </c>
      <c r="H75" s="11" t="s">
        <v>902</v>
      </c>
    </row>
    <row r="76" spans="1:8">
      <c r="A76" s="11" t="s">
        <v>903</v>
      </c>
      <c r="B76" s="11" t="s">
        <v>244</v>
      </c>
      <c r="C76" s="11" t="s">
        <v>904</v>
      </c>
      <c r="D76" s="8">
        <f ca="1">IFERROR(__xludf.DUMMYFUNCTION("SPLIT(C76,"","")"),54.9073486)</f>
        <v>54.907348599999999</v>
      </c>
      <c r="E76" s="9">
        <f ca="1">IFERROR(__xludf.DUMMYFUNCTION("""COMPUTED_VALUE"""),9.7498943)</f>
        <v>9.7498942999999993</v>
      </c>
      <c r="F76" s="11" t="s">
        <v>905</v>
      </c>
      <c r="G76" s="11">
        <v>4</v>
      </c>
      <c r="H76" s="11" t="s">
        <v>905</v>
      </c>
    </row>
    <row r="77" spans="1:8">
      <c r="A77" s="11" t="s">
        <v>906</v>
      </c>
      <c r="B77" s="11" t="s">
        <v>907</v>
      </c>
      <c r="C77" s="11" t="s">
        <v>908</v>
      </c>
      <c r="D77" s="8">
        <f ca="1">IFERROR(__xludf.DUMMYFUNCTION("SPLIT(C77,"","")"),55.0456173)</f>
        <v>55.045617300000004</v>
      </c>
      <c r="E77" s="9">
        <f ca="1">IFERROR(__xludf.DUMMYFUNCTION("""COMPUTED_VALUE"""),9.683224)</f>
        <v>9.6832239999999992</v>
      </c>
      <c r="F77" s="11" t="s">
        <v>909</v>
      </c>
      <c r="G77" s="11">
        <v>4</v>
      </c>
      <c r="H77" s="11" t="s">
        <v>910</v>
      </c>
    </row>
    <row r="78" spans="1:8">
      <c r="A78" s="11" t="s">
        <v>911</v>
      </c>
      <c r="B78" s="11" t="s">
        <v>867</v>
      </c>
      <c r="C78" s="11" t="s">
        <v>912</v>
      </c>
      <c r="D78" s="8">
        <f ca="1">IFERROR(__xludf.DUMMYFUNCTION("SPLIT(C78,"","")"),54.9082979)</f>
        <v>54.908297900000001</v>
      </c>
      <c r="E78" s="9">
        <f ca="1">IFERROR(__xludf.DUMMYFUNCTION("""COMPUTED_VALUE"""),9.783443)</f>
        <v>9.7834430000000001</v>
      </c>
      <c r="F78" s="11" t="s">
        <v>913</v>
      </c>
      <c r="G78" s="11">
        <v>5</v>
      </c>
      <c r="H78" s="11" t="s">
        <v>914</v>
      </c>
    </row>
    <row r="79" spans="1:8">
      <c r="A79" s="11" t="s">
        <v>186</v>
      </c>
      <c r="B79" s="11" t="s">
        <v>915</v>
      </c>
      <c r="C79" s="11" t="s">
        <v>916</v>
      </c>
      <c r="D79" s="8">
        <f ca="1">IFERROR(__xludf.DUMMYFUNCTION("SPLIT(C79,"","")"),56.1534338)</f>
        <v>56.153433800000002</v>
      </c>
      <c r="E79" s="9">
        <f ca="1">IFERROR(__xludf.DUMMYFUNCTION("""COMPUTED_VALUE"""),8.9725947)</f>
        <v>8.9725947000000001</v>
      </c>
      <c r="F79" s="11" t="s">
        <v>917</v>
      </c>
    </row>
    <row r="80" spans="1:8">
      <c r="A80" s="11" t="s">
        <v>141</v>
      </c>
      <c r="B80" s="11" t="s">
        <v>54</v>
      </c>
      <c r="C80" s="11" t="s">
        <v>918</v>
      </c>
      <c r="D80" s="8">
        <f ca="1">IFERROR(__xludf.DUMMYFUNCTION("SPLIT(C80,"","")"),55.7352104)</f>
        <v>55.7352104</v>
      </c>
      <c r="E80" s="9">
        <f ca="1">IFERROR(__xludf.DUMMYFUNCTION("""COMPUTED_VALUE"""),9.1257106)</f>
        <v>9.1257105999999997</v>
      </c>
      <c r="F80" s="11" t="s">
        <v>919</v>
      </c>
    </row>
    <row r="81" spans="1:8">
      <c r="A81" s="11" t="s">
        <v>920</v>
      </c>
      <c r="B81" s="11" t="s">
        <v>921</v>
      </c>
      <c r="C81" s="11" t="s">
        <v>922</v>
      </c>
      <c r="D81" s="8">
        <f ca="1">IFERROR(__xludf.DUMMYFUNCTION("SPLIT(C81,"","")"),55.260873)</f>
        <v>55.260872999999997</v>
      </c>
      <c r="E81" s="9">
        <f ca="1">IFERROR(__xludf.DUMMYFUNCTION("""COMPUTED_VALUE"""),11.8605921)</f>
        <v>11.8605921</v>
      </c>
      <c r="F81" s="11" t="s">
        <v>921</v>
      </c>
    </row>
    <row r="82" spans="1:8">
      <c r="A82" s="11" t="s">
        <v>923</v>
      </c>
      <c r="B82" s="11" t="s">
        <v>924</v>
      </c>
      <c r="C82" s="11" t="s">
        <v>925</v>
      </c>
      <c r="D82" s="8">
        <f ca="1">IFERROR(__xludf.DUMMYFUNCTION("SPLIT(C82,"","")"),55.7565664)</f>
        <v>55.756566399999997</v>
      </c>
      <c r="E82" s="9">
        <f ca="1">IFERROR(__xludf.DUMMYFUNCTION("""COMPUTED_VALUE"""),9.4169964)</f>
        <v>9.4169964000000004</v>
      </c>
      <c r="F82" s="11" t="s">
        <v>926</v>
      </c>
    </row>
    <row r="83" spans="1:8">
      <c r="A83" s="11" t="s">
        <v>927</v>
      </c>
      <c r="B83" s="11" t="s">
        <v>928</v>
      </c>
      <c r="C83" s="11" t="s">
        <v>929</v>
      </c>
      <c r="D83" s="8">
        <f ca="1">IFERROR(__xludf.DUMMYFUNCTION("SPLIT(C83,"","")"),56.1387014)</f>
        <v>56.138701400000002</v>
      </c>
      <c r="E83" s="9">
        <f ca="1">IFERROR(__xludf.DUMMYFUNCTION("""COMPUTED_VALUE"""),10.2152327)</f>
        <v>10.2152327</v>
      </c>
      <c r="F83" s="11" t="s">
        <v>930</v>
      </c>
      <c r="G83" s="11">
        <v>4</v>
      </c>
    </row>
    <row r="84" spans="1:8">
      <c r="A84" s="11" t="s">
        <v>127</v>
      </c>
      <c r="B84" s="11" t="s">
        <v>931</v>
      </c>
      <c r="C84" s="11" t="s">
        <v>932</v>
      </c>
      <c r="D84" s="8">
        <f ca="1">IFERROR(__xludf.DUMMYFUNCTION("SPLIT(C84,"","")"),56.1320428)</f>
        <v>56.132042800000001</v>
      </c>
      <c r="E84" s="9">
        <f ca="1">IFERROR(__xludf.DUMMYFUNCTION("""COMPUTED_VALUE"""),10.1941437)</f>
        <v>10.1941437</v>
      </c>
      <c r="F84" s="11" t="s">
        <v>933</v>
      </c>
      <c r="G84" s="11">
        <v>3</v>
      </c>
    </row>
    <row r="85" spans="1:8">
      <c r="A85" s="11" t="s">
        <v>934</v>
      </c>
      <c r="B85" s="11" t="s">
        <v>935</v>
      </c>
      <c r="C85" s="11" t="s">
        <v>936</v>
      </c>
      <c r="D85" s="8">
        <f ca="1">IFERROR(__xludf.DUMMYFUNCTION("SPLIT(C85,"","")"),56.14938)</f>
        <v>56.149380000000001</v>
      </c>
      <c r="E85" s="9">
        <f ca="1">IFERROR(__xludf.DUMMYFUNCTION("""COMPUTED_VALUE"""),10.2015491)</f>
        <v>10.201549099999999</v>
      </c>
      <c r="F85" s="11" t="s">
        <v>937</v>
      </c>
      <c r="G85" s="11">
        <v>5</v>
      </c>
    </row>
    <row r="86" spans="1:8">
      <c r="A86" s="11" t="s">
        <v>938</v>
      </c>
      <c r="B86" s="11" t="s">
        <v>939</v>
      </c>
      <c r="C86" s="11" t="s">
        <v>940</v>
      </c>
      <c r="D86" s="8">
        <f ca="1">IFERROR(__xludf.DUMMYFUNCTION("SPLIT(C86,"","")"),55.9102276)</f>
        <v>55.910227599999999</v>
      </c>
      <c r="E86" s="9">
        <f ca="1">IFERROR(__xludf.DUMMYFUNCTION("""COMPUTED_VALUE"""),10.1338812)</f>
        <v>10.133881199999999</v>
      </c>
    </row>
    <row r="87" spans="1:8">
      <c r="A87" s="11" t="s">
        <v>934</v>
      </c>
      <c r="B87" s="11" t="s">
        <v>941</v>
      </c>
      <c r="C87" s="11" t="s">
        <v>942</v>
      </c>
      <c r="D87" s="8">
        <f ca="1">IFERROR(__xludf.DUMMYFUNCTION("SPLIT(C87,"","")"),56.1621745)</f>
        <v>56.162174499999999</v>
      </c>
      <c r="E87" s="9">
        <f ca="1">IFERROR(__xludf.DUMMYFUNCTION("""COMPUTED_VALUE"""),10.186907)</f>
        <v>10.186907</v>
      </c>
      <c r="F87" s="11" t="s">
        <v>485</v>
      </c>
      <c r="G87" s="11">
        <v>4</v>
      </c>
    </row>
    <row r="88" spans="1:8">
      <c r="A88" s="11" t="s">
        <v>943</v>
      </c>
      <c r="B88" s="11" t="s">
        <v>944</v>
      </c>
      <c r="C88" s="25" t="s">
        <v>721</v>
      </c>
      <c r="D88" s="8">
        <f ca="1">IFERROR(__xludf.DUMMYFUNCTION("SPLIT(C88,"","")"),55.0070976)</f>
        <v>55.007097600000002</v>
      </c>
      <c r="E88" s="9">
        <f ca="1">IFERROR(__xludf.DUMMYFUNCTION("""COMPUTED_VALUE"""),11.9121704)</f>
        <v>11.912170400000001</v>
      </c>
      <c r="F88" s="11" t="s">
        <v>722</v>
      </c>
    </row>
    <row r="89" spans="1:8">
      <c r="A89" s="11" t="s">
        <v>945</v>
      </c>
      <c r="B89" s="11" t="s">
        <v>946</v>
      </c>
      <c r="C89" s="54" t="s">
        <v>947</v>
      </c>
      <c r="D89" s="8">
        <f ca="1">IFERROR(__xludf.DUMMYFUNCTION("SPLIT(C89,"","")"),55.9783371)</f>
        <v>55.978337099999997</v>
      </c>
      <c r="E89" s="9">
        <f ca="1">IFERROR(__xludf.DUMMYFUNCTION("""COMPUTED_VALUE"""),8.8878213)</f>
        <v>8.8878213000000006</v>
      </c>
      <c r="F89" s="11" t="s">
        <v>948</v>
      </c>
      <c r="H89" s="11" t="s">
        <v>949</v>
      </c>
    </row>
    <row r="90" spans="1:8">
      <c r="A90" s="11" t="s">
        <v>127</v>
      </c>
      <c r="B90" s="11" t="s">
        <v>950</v>
      </c>
      <c r="C90" s="11" t="s">
        <v>951</v>
      </c>
      <c r="D90" s="8">
        <f ca="1">IFERROR(__xludf.DUMMYFUNCTION("SPLIT(C90,"","")"),56.1568917)</f>
        <v>56.156891700000003</v>
      </c>
      <c r="E90" s="9">
        <f ca="1">IFERROR(__xludf.DUMMYFUNCTION("""COMPUTED_VALUE"""),10.2083009)</f>
        <v>10.208300899999999</v>
      </c>
      <c r="F90" s="11" t="s">
        <v>952</v>
      </c>
    </row>
    <row r="91" spans="1:8">
      <c r="A91" s="11" t="s">
        <v>183</v>
      </c>
      <c r="B91" s="11" t="s">
        <v>953</v>
      </c>
      <c r="C91" s="11" t="s">
        <v>954</v>
      </c>
      <c r="D91" s="8">
        <f ca="1">IFERROR(__xludf.DUMMYFUNCTION("SPLIT(C91,"","")"),55.3984045)</f>
        <v>55.398404499999998</v>
      </c>
      <c r="E91" s="9">
        <f ca="1">IFERROR(__xludf.DUMMYFUNCTION("""COMPUTED_VALUE"""),10.3879384)</f>
        <v>10.387938399999999</v>
      </c>
      <c r="F91" s="11" t="s">
        <v>955</v>
      </c>
    </row>
    <row r="92" spans="1:8">
      <c r="A92" s="11" t="s">
        <v>124</v>
      </c>
      <c r="B92" s="11" t="s">
        <v>956</v>
      </c>
      <c r="C92" s="11" t="s">
        <v>957</v>
      </c>
      <c r="D92" s="8">
        <f ca="1">IFERROR(__xludf.DUMMYFUNCTION("SPLIT(C92,"","")"),55.674491)</f>
        <v>55.674491000000003</v>
      </c>
      <c r="E92" s="9">
        <f ca="1">IFERROR(__xludf.DUMMYFUNCTION("""COMPUTED_VALUE"""),12.5825651)</f>
        <v>12.5825651</v>
      </c>
      <c r="F92" s="11" t="s">
        <v>958</v>
      </c>
    </row>
    <row r="93" spans="1:8">
      <c r="A93" s="11" t="s">
        <v>294</v>
      </c>
      <c r="B93" s="11" t="s">
        <v>959</v>
      </c>
      <c r="C93" s="11" t="s">
        <v>960</v>
      </c>
      <c r="D93" s="8">
        <f ca="1">IFERROR(__xludf.DUMMYFUNCTION("SPLIT(C93,"","")"),55.9310369)</f>
        <v>55.931036900000002</v>
      </c>
      <c r="E93" s="9">
        <f ca="1">IFERROR(__xludf.DUMMYFUNCTION("""COMPUTED_VALUE"""),10.073121)</f>
        <v>10.073121</v>
      </c>
      <c r="F93" s="11" t="s">
        <v>959</v>
      </c>
    </row>
    <row r="94" spans="1:8">
      <c r="A94" s="11" t="s">
        <v>961</v>
      </c>
      <c r="B94" s="11" t="s">
        <v>962</v>
      </c>
      <c r="C94" s="11" t="s">
        <v>963</v>
      </c>
      <c r="D94" s="8">
        <f ca="1">IFERROR(__xludf.DUMMYFUNCTION("SPLIT(C94,"","")"),55.6939726)</f>
        <v>55.693972600000002</v>
      </c>
      <c r="E94" s="9">
        <f ca="1">IFERROR(__xludf.DUMMYFUNCTION("""COMPUTED_VALUE"""),12.5475822)</f>
        <v>12.547582200000001</v>
      </c>
      <c r="F94" s="11" t="s">
        <v>964</v>
      </c>
    </row>
    <row r="95" spans="1:8">
      <c r="A95" s="11" t="s">
        <v>965</v>
      </c>
      <c r="B95" s="11" t="s">
        <v>966</v>
      </c>
      <c r="C95" s="11" t="s">
        <v>967</v>
      </c>
      <c r="D95" s="8">
        <f ca="1">IFERROR(__xludf.DUMMYFUNCTION("SPLIT(C95,"","")"),55.2439794)</f>
        <v>55.243979400000001</v>
      </c>
      <c r="E95" s="9">
        <f ca="1">IFERROR(__xludf.DUMMYFUNCTION("""COMPUTED_VALUE"""),9.2969418)</f>
        <v>9.2969418000000008</v>
      </c>
      <c r="F95" s="11" t="s">
        <v>968</v>
      </c>
    </row>
    <row r="96" spans="1:8">
      <c r="A96" s="11" t="s">
        <v>130</v>
      </c>
      <c r="B96" s="11" t="s">
        <v>969</v>
      </c>
      <c r="C96" s="11" t="s">
        <v>970</v>
      </c>
      <c r="D96" s="8">
        <f ca="1">IFERROR(__xludf.DUMMYFUNCTION("SPLIT(C96,"","")"),56.2042748)</f>
        <v>56.2042748</v>
      </c>
      <c r="E96" s="9">
        <f ca="1">IFERROR(__xludf.DUMMYFUNCTION("""COMPUTED_VALUE"""),10.5108845)</f>
        <v>10.5108845</v>
      </c>
      <c r="F96" s="11" t="s">
        <v>971</v>
      </c>
    </row>
    <row r="97" spans="1:7">
      <c r="A97" s="11" t="s">
        <v>972</v>
      </c>
      <c r="B97" s="11" t="s">
        <v>973</v>
      </c>
      <c r="C97" s="11" t="s">
        <v>974</v>
      </c>
      <c r="D97" s="8">
        <f ca="1">IFERROR(__xludf.DUMMYFUNCTION("SPLIT(C97,"","")"),55.341805)</f>
        <v>55.341805000000001</v>
      </c>
      <c r="E97" s="9">
        <f ca="1">IFERROR(__xludf.DUMMYFUNCTION("""COMPUTED_VALUE"""),11.0316461)</f>
        <v>11.0316461</v>
      </c>
      <c r="F97" s="11" t="s">
        <v>975</v>
      </c>
    </row>
    <row r="98" spans="1:7">
      <c r="A98" s="11" t="s">
        <v>972</v>
      </c>
      <c r="B98" s="11" t="s">
        <v>976</v>
      </c>
      <c r="C98" s="11" t="s">
        <v>977</v>
      </c>
      <c r="D98" s="8">
        <f ca="1">IFERROR(__xludf.DUMMYFUNCTION("SPLIT(C98,"","")"),55.31057)</f>
        <v>55.310569999999998</v>
      </c>
      <c r="E98" s="9">
        <f ca="1">IFERROR(__xludf.DUMMYFUNCTION("""COMPUTED_VALUE"""),10.8995251)</f>
        <v>10.8995251</v>
      </c>
      <c r="F98" s="11" t="s">
        <v>978</v>
      </c>
    </row>
    <row r="99" spans="1:7">
      <c r="A99" s="11" t="s">
        <v>979</v>
      </c>
      <c r="B99" s="11" t="s">
        <v>980</v>
      </c>
      <c r="C99" s="11" t="s">
        <v>981</v>
      </c>
      <c r="D99" s="8">
        <f ca="1">IFERROR(__xludf.DUMMYFUNCTION("SPLIT(C99,"","")"),54.8635436)</f>
        <v>54.8635436</v>
      </c>
      <c r="E99" s="9">
        <f ca="1">IFERROR(__xludf.DUMMYFUNCTION("""COMPUTED_VALUE"""),9.5023098)</f>
        <v>9.5023098000000008</v>
      </c>
      <c r="F99" s="11" t="s">
        <v>982</v>
      </c>
      <c r="G99" s="11">
        <v>5</v>
      </c>
    </row>
    <row r="100" spans="1:7">
      <c r="A100" s="11" t="s">
        <v>983</v>
      </c>
      <c r="B100" s="11" t="s">
        <v>984</v>
      </c>
      <c r="C100" s="11" t="s">
        <v>985</v>
      </c>
      <c r="D100" s="8">
        <f ca="1">IFERROR(__xludf.DUMMYFUNCTION("SPLIT(C100,"","")"),55.4921451)</f>
        <v>55.492145100000002</v>
      </c>
      <c r="E100" s="9">
        <f ca="1">IFERROR(__xludf.DUMMYFUNCTION("""COMPUTED_VALUE"""),9.6592057)</f>
        <v>9.6592056999999993</v>
      </c>
      <c r="F100" s="11" t="s">
        <v>986</v>
      </c>
    </row>
    <row r="101" spans="1:7">
      <c r="A101" s="11" t="s">
        <v>717</v>
      </c>
      <c r="B101" s="11" t="s">
        <v>987</v>
      </c>
      <c r="C101" s="11" t="s">
        <v>718</v>
      </c>
      <c r="D101" s="8">
        <f ca="1">IFERROR(__xludf.DUMMYFUNCTION("SPLIT(C101,"","")"),57.271066)</f>
        <v>57.271065999999998</v>
      </c>
      <c r="E101" s="9">
        <f ca="1">IFERROR(__xludf.DUMMYFUNCTION("""COMPUTED_VALUE"""),9.6469198)</f>
        <v>9.6469197999999992</v>
      </c>
      <c r="F101" s="11" t="s">
        <v>988</v>
      </c>
    </row>
    <row r="102" spans="1:7">
      <c r="A102" s="11" t="s">
        <v>989</v>
      </c>
      <c r="B102" s="11" t="s">
        <v>990</v>
      </c>
      <c r="C102" s="11" t="s">
        <v>991</v>
      </c>
      <c r="D102" s="8">
        <f ca="1">IFERROR(__xludf.DUMMYFUNCTION("SPLIT(C102,"","")"),55.926684)</f>
        <v>55.926684000000002</v>
      </c>
      <c r="E102" s="9">
        <f ca="1">IFERROR(__xludf.DUMMYFUNCTION("""COMPUTED_VALUE"""),12.2887963)</f>
        <v>12.2887963</v>
      </c>
      <c r="F102" s="11">
        <f ca="1">IFERROR(__xludf.DUMMYFUNCTION("""COMPUTED_VALUE"""),4424)</f>
        <v>4424</v>
      </c>
    </row>
    <row r="103" spans="1:7">
      <c r="A103" s="11" t="s">
        <v>992</v>
      </c>
      <c r="B103" s="11" t="s">
        <v>769</v>
      </c>
      <c r="C103" s="11" t="s">
        <v>993</v>
      </c>
      <c r="D103" s="8">
        <f ca="1">IFERROR(__xludf.DUMMYFUNCTION("SPLIT(C103,"","")"),56.1799209)</f>
        <v>56.179920899999999</v>
      </c>
      <c r="E103" s="9">
        <f ca="1">IFERROR(__xludf.DUMMYFUNCTION("""COMPUTED_VALUE"""),9.5715494)</f>
        <v>9.5715494000000003</v>
      </c>
      <c r="F103" s="11" t="s">
        <v>994</v>
      </c>
    </row>
    <row r="104" spans="1:7">
      <c r="A104" s="11" t="s">
        <v>995</v>
      </c>
      <c r="B104" s="11" t="s">
        <v>454</v>
      </c>
      <c r="C104" s="11" t="s">
        <v>996</v>
      </c>
      <c r="D104" s="8">
        <f ca="1">IFERROR(__xludf.DUMMYFUNCTION("SPLIT(C104,"","")"),56.091848)</f>
        <v>56.091847999999999</v>
      </c>
      <c r="E104" s="9">
        <f ca="1">IFERROR(__xludf.DUMMYFUNCTION("""COMPUTED_VALUE"""),9.7588051)</f>
        <v>9.7588051</v>
      </c>
      <c r="F104" s="11">
        <f ca="1">IFERROR(__xludf.DUMMYFUNCTION("""COMPUTED_VALUE"""),164)</f>
        <v>164</v>
      </c>
    </row>
    <row r="105" spans="1:7">
      <c r="A105" s="11" t="s">
        <v>997</v>
      </c>
      <c r="B105" s="11" t="s">
        <v>394</v>
      </c>
      <c r="C105" s="11" t="s">
        <v>998</v>
      </c>
      <c r="D105" s="8">
        <v>55.707202381970902</v>
      </c>
      <c r="E105" s="9">
        <v>9.5406361765951999</v>
      </c>
      <c r="F105" s="11" t="s">
        <v>999</v>
      </c>
    </row>
    <row r="106" spans="1:7">
      <c r="A106" s="55" t="s">
        <v>1000</v>
      </c>
      <c r="B106" s="11" t="s">
        <v>461</v>
      </c>
      <c r="C106" s="11" t="s">
        <v>1001</v>
      </c>
      <c r="D106" s="8">
        <f ca="1">IFERROR(__xludf.DUMMYFUNCTION("SPLIT(C106,"","")"),55.7137336610839)</f>
        <v>55.7137336610839</v>
      </c>
      <c r="E106" s="9">
        <f ca="1">IFERROR(__xludf.DUMMYFUNCTION("""COMPUTED_VALUE"""),9.55628682371264)</f>
        <v>9.5562868237126395</v>
      </c>
      <c r="F106" s="11" t="s">
        <v>1002</v>
      </c>
    </row>
    <row r="107" spans="1:7">
      <c r="A107" s="11" t="s">
        <v>1003</v>
      </c>
      <c r="B107" s="11" t="s">
        <v>1004</v>
      </c>
      <c r="C107" s="11" t="s">
        <v>1005</v>
      </c>
      <c r="D107" s="8">
        <f ca="1">IFERROR(__xludf.DUMMYFUNCTION("SPLIT(C107,"","")"),55.6990626286107)</f>
        <v>55.699062628610697</v>
      </c>
      <c r="E107" s="9">
        <f ca="1">IFERROR(__xludf.DUMMYFUNCTION("""COMPUTED_VALUE"""),9.57270383264166)</f>
        <v>9.5727038326416594</v>
      </c>
      <c r="F107" s="11" t="s">
        <v>1006</v>
      </c>
    </row>
    <row r="108" spans="1:7">
      <c r="A108" s="11" t="s">
        <v>151</v>
      </c>
      <c r="B108" s="11" t="s">
        <v>210</v>
      </c>
      <c r="C108" s="11" t="s">
        <v>1007</v>
      </c>
      <c r="D108" s="8">
        <f ca="1">IFERROR(__xludf.DUMMYFUNCTION("SPLIT(C108,"","")"),56.457126)</f>
        <v>56.457126000000002</v>
      </c>
      <c r="E108" s="9">
        <f ca="1">IFERROR(__xludf.DUMMYFUNCTION("""COMPUTED_VALUE"""),10.0299577)</f>
        <v>10.029957700000001</v>
      </c>
      <c r="F108" s="11" t="s">
        <v>1008</v>
      </c>
      <c r="G108" s="11">
        <v>4</v>
      </c>
    </row>
    <row r="109" spans="1:7">
      <c r="A109" s="11" t="s">
        <v>1009</v>
      </c>
      <c r="B109" s="11" t="s">
        <v>1010</v>
      </c>
      <c r="C109" s="11" t="s">
        <v>1011</v>
      </c>
      <c r="D109" s="8">
        <f ca="1">IFERROR(__xludf.DUMMYFUNCTION("SPLIT(C109,"","")"),56.1802838)</f>
        <v>56.180283799999998</v>
      </c>
      <c r="E109" s="56">
        <f ca="1">IFERROR(__xludf.DUMMYFUNCTION("""COMPUTED_VALUE"""),10.199354)</f>
        <v>10.199354</v>
      </c>
      <c r="F109" s="11" t="s">
        <v>1012</v>
      </c>
      <c r="G109" s="11">
        <v>4</v>
      </c>
    </row>
    <row r="110" spans="1:7">
      <c r="A110" s="11" t="s">
        <v>1013</v>
      </c>
      <c r="C110" s="11" t="s">
        <v>1014</v>
      </c>
      <c r="D110" s="8">
        <f ca="1">IFERROR(__xludf.DUMMYFUNCTION("SPLIT(C110,"","")"),56.1713346035952)</f>
        <v>56.171334603595199</v>
      </c>
      <c r="E110" s="9">
        <f ca="1">IFERROR(__xludf.DUMMYFUNCTION("""COMPUTED_VALUE"""),10.2002936684044)</f>
        <v>10.200293668404401</v>
      </c>
    </row>
    <row r="111" spans="1:7">
      <c r="A111" s="11" t="s">
        <v>1015</v>
      </c>
      <c r="B111" s="11" t="s">
        <v>244</v>
      </c>
      <c r="C111" s="11" t="s">
        <v>1016</v>
      </c>
      <c r="D111" s="8">
        <f ca="1">IFERROR(__xludf.DUMMYFUNCTION("SPLIT(C111,"","")"),55.264558)</f>
        <v>55.264558000000001</v>
      </c>
      <c r="E111" s="9">
        <f ca="1">IFERROR(__xludf.DUMMYFUNCTION("""COMPUTED_VALUE"""),12.3684984)</f>
        <v>12.3684984</v>
      </c>
      <c r="F111" s="11" t="s">
        <v>1017</v>
      </c>
    </row>
    <row r="112" spans="1:7">
      <c r="A112" s="11" t="s">
        <v>1018</v>
      </c>
      <c r="B112" s="11" t="s">
        <v>743</v>
      </c>
      <c r="C112" s="11" t="s">
        <v>1019</v>
      </c>
      <c r="D112" s="8">
        <f ca="1">IFERROR(__xludf.DUMMYFUNCTION("SPLIT(C112,"","")"),55.46564)</f>
        <v>55.46564</v>
      </c>
      <c r="E112" s="9">
        <f ca="1">IFERROR(__xludf.DUMMYFUNCTION("""COMPUTED_VALUE"""),8.4537231)</f>
        <v>8.4537230999999995</v>
      </c>
      <c r="F112" s="11" t="s">
        <v>1020</v>
      </c>
      <c r="G112" s="11">
        <v>4</v>
      </c>
    </row>
    <row r="113" spans="1:7">
      <c r="A113" s="11" t="s">
        <v>1021</v>
      </c>
      <c r="B113" s="11" t="s">
        <v>160</v>
      </c>
      <c r="C113" s="11" t="s">
        <v>1022</v>
      </c>
      <c r="D113" s="8">
        <f ca="1">IFERROR(__xludf.DUMMYFUNCTION("SPLIT(C113,"","")"),56.1943684)</f>
        <v>56.194368400000002</v>
      </c>
      <c r="E113" s="9">
        <f ca="1">IFERROR(__xludf.DUMMYFUNCTION("""COMPUTED_VALUE"""),10.1944196)</f>
        <v>10.1944196</v>
      </c>
      <c r="F113" s="11" t="s">
        <v>1023</v>
      </c>
      <c r="G113" s="11">
        <v>5</v>
      </c>
    </row>
    <row r="114" spans="1:7">
      <c r="A114" s="11" t="s">
        <v>1024</v>
      </c>
      <c r="B114" s="11" t="s">
        <v>1025</v>
      </c>
      <c r="C114" s="11" t="s">
        <v>1026</v>
      </c>
      <c r="D114" s="8">
        <f ca="1">IFERROR(__xludf.DUMMYFUNCTION("SPLIT(C114,"","")"),56.367263)</f>
        <v>56.367263000000001</v>
      </c>
      <c r="E114" s="9">
        <f ca="1">IFERROR(__xludf.DUMMYFUNCTION("""COMPUTED_VALUE"""),8.6170479)</f>
        <v>8.6170478999999993</v>
      </c>
      <c r="F114" s="11" t="s">
        <v>1027</v>
      </c>
    </row>
    <row r="115" spans="1:7">
      <c r="A115" s="11" t="s">
        <v>1028</v>
      </c>
      <c r="B115" s="11" t="s">
        <v>454</v>
      </c>
      <c r="C115" s="11" t="s">
        <v>1029</v>
      </c>
      <c r="D115" s="8">
        <f ca="1">IFERROR(__xludf.DUMMYFUNCTION("SPLIT(C115,"","")"),55.4896192)</f>
        <v>55.4896192</v>
      </c>
      <c r="E115" s="26">
        <f ca="1">IFERROR(__xludf.DUMMYFUNCTION("""COMPUTED_VALUE"""),9.4725834)</f>
        <v>9.4725833999999995</v>
      </c>
    </row>
    <row r="116" spans="1:7">
      <c r="A116" s="11" t="s">
        <v>1030</v>
      </c>
      <c r="B116" s="11" t="s">
        <v>1031</v>
      </c>
      <c r="C116" s="11" t="s">
        <v>1032</v>
      </c>
      <c r="D116" s="8">
        <f ca="1">IFERROR(__xludf.DUMMYFUNCTION("SPLIT(C116,"","")"),55.9351033932733)</f>
        <v>55.935103393273302</v>
      </c>
      <c r="E116" s="26">
        <f ca="1">IFERROR(__xludf.DUMMYFUNCTION("""COMPUTED_VALUE"""),12.3012723962677)</f>
        <v>12.3012723962677</v>
      </c>
      <c r="F116" s="11" t="s">
        <v>1033</v>
      </c>
    </row>
    <row r="117" spans="1:7">
      <c r="A117" s="11" t="s">
        <v>1034</v>
      </c>
      <c r="B117" s="11" t="s">
        <v>1035</v>
      </c>
      <c r="C117" s="11" t="s">
        <v>1036</v>
      </c>
      <c r="D117" s="8">
        <f ca="1">IFERROR(__xludf.DUMMYFUNCTION("SPLIT(C117,"","")"),56.4488892746418)</f>
        <v>56.4488892746418</v>
      </c>
      <c r="E117" s="26">
        <f ca="1">IFERROR(__xludf.DUMMYFUNCTION("""COMPUTED_VALUE"""),10.0602799155509)</f>
        <v>10.0602799155509</v>
      </c>
      <c r="F117" s="11" t="s">
        <v>1037</v>
      </c>
    </row>
    <row r="118" spans="1:7">
      <c r="A118" s="11" t="s">
        <v>965</v>
      </c>
      <c r="B118" s="11" t="s">
        <v>1038</v>
      </c>
      <c r="C118" s="11" t="s">
        <v>1039</v>
      </c>
      <c r="D118" s="8">
        <f ca="1">IFERROR(__xludf.DUMMYFUNCTION("SPLIT(C118,"","")"),55.2510706)</f>
        <v>55.251070599999998</v>
      </c>
      <c r="E118" s="26">
        <f ca="1">IFERROR(__xludf.DUMMYFUNCTION("""COMPUTED_VALUE"""),9.3095699)</f>
        <v>9.3095698999999996</v>
      </c>
      <c r="F118" s="11" t="s">
        <v>1040</v>
      </c>
    </row>
    <row r="119" spans="1:7">
      <c r="A119" s="6" t="s">
        <v>720</v>
      </c>
      <c r="B119" s="6" t="s">
        <v>9</v>
      </c>
      <c r="C119" s="52" t="s">
        <v>721</v>
      </c>
      <c r="D119" s="8">
        <f ca="1">IFERROR(__xludf.DUMMYFUNCTION("SPLIT(C119,"","")"),55.0070976)</f>
        <v>55.007097600000002</v>
      </c>
      <c r="E119" s="26">
        <f ca="1">IFERROR(__xludf.DUMMYFUNCTION("""COMPUTED_VALUE"""),11.9121704)</f>
        <v>11.912170400000001</v>
      </c>
      <c r="F119" s="11" t="s">
        <v>722</v>
      </c>
      <c r="G119" s="11">
        <v>5</v>
      </c>
    </row>
    <row r="120" spans="1:7">
      <c r="A120" s="11" t="s">
        <v>1041</v>
      </c>
      <c r="B120" s="11" t="s">
        <v>169</v>
      </c>
      <c r="C120" s="11" t="s">
        <v>1042</v>
      </c>
      <c r="D120" s="8">
        <f ca="1">IFERROR(__xludf.DUMMYFUNCTION("SPLIT(C120,"","")"),55.831776)</f>
        <v>55.831775999999998</v>
      </c>
      <c r="E120" s="26">
        <f ca="1">IFERROR(__xludf.DUMMYFUNCTION("""COMPUTED_VALUE"""),10.018869)</f>
        <v>10.018869</v>
      </c>
      <c r="F120" s="11" t="s">
        <v>1043</v>
      </c>
    </row>
    <row r="121" spans="1:7">
      <c r="A121" s="11" t="s">
        <v>1044</v>
      </c>
      <c r="B121" s="11" t="s">
        <v>1045</v>
      </c>
      <c r="C121" s="11" t="s">
        <v>1046</v>
      </c>
      <c r="D121" s="8">
        <f ca="1">IFERROR(__xludf.DUMMYFUNCTION("SPLIT(C121,"","")"),55.6687429959423)</f>
        <v>55.668742995942303</v>
      </c>
      <c r="E121" s="26">
        <f ca="1">IFERROR(__xludf.DUMMYFUNCTION("""COMPUTED_VALUE"""),12.5597732051581)</f>
        <v>12.5597732051581</v>
      </c>
      <c r="F121" s="11" t="s">
        <v>1047</v>
      </c>
    </row>
    <row r="122" spans="1:7">
      <c r="A122" s="11" t="s">
        <v>1048</v>
      </c>
      <c r="B122" s="11" t="s">
        <v>1049</v>
      </c>
      <c r="C122" s="11" t="s">
        <v>1050</v>
      </c>
      <c r="D122" s="8">
        <f ca="1">IFERROR(__xludf.DUMMYFUNCTION("SPLIT(C122,"","")"),55.7036911373108)</f>
        <v>55.703691137310798</v>
      </c>
      <c r="E122" s="26">
        <f ca="1">IFERROR(__xludf.DUMMYFUNCTION("""COMPUTED_VALUE"""),12.5537155180665)</f>
        <v>12.5537155180665</v>
      </c>
      <c r="F122" s="11" t="s">
        <v>1051</v>
      </c>
    </row>
    <row r="123" spans="1:7">
      <c r="A123" s="11" t="s">
        <v>1052</v>
      </c>
      <c r="B123" s="11" t="s">
        <v>169</v>
      </c>
      <c r="C123" s="11" t="s">
        <v>1053</v>
      </c>
      <c r="D123" s="8">
        <f ca="1">IFERROR(__xludf.DUMMYFUNCTION("SPLIT(C123,"","")"),55.9324217)</f>
        <v>55.932421699999999</v>
      </c>
      <c r="E123" s="26">
        <f ca="1">IFERROR(__xludf.DUMMYFUNCTION("""COMPUTED_VALUE"""),9.3441676)</f>
        <v>9.3441676000000005</v>
      </c>
      <c r="F123" s="11" t="s">
        <v>1054</v>
      </c>
    </row>
    <row r="124" spans="1:7">
      <c r="A124" s="11" t="s">
        <v>1055</v>
      </c>
      <c r="B124" s="11" t="s">
        <v>1056</v>
      </c>
      <c r="C124" s="11" t="s">
        <v>1057</v>
      </c>
      <c r="D124" s="8">
        <f ca="1">IFERROR(__xludf.DUMMYFUNCTION("SPLIT(C124,"","")"),55.7139887)</f>
        <v>55.713988700000002</v>
      </c>
      <c r="E124" s="26">
        <f ca="1">IFERROR(__xludf.DUMMYFUNCTION("""COMPUTED_VALUE"""),10.0137133)</f>
        <v>10.013713299999999</v>
      </c>
      <c r="F124" s="11" t="s">
        <v>1058</v>
      </c>
    </row>
    <row r="125" spans="1:7">
      <c r="D125" s="8" t="str">
        <f ca="1">IFERROR(__xludf.DUMMYFUNCTION("SPLIT(C125,"","")"),"#VALUE!")</f>
        <v>#VALUE!</v>
      </c>
      <c r="E125" s="26"/>
    </row>
    <row r="126" spans="1:7">
      <c r="D126" s="8" t="str">
        <f ca="1">IFERROR(__xludf.DUMMYFUNCTION("SPLIT(C126,"","")"),"#VALUE!")</f>
        <v>#VALUE!</v>
      </c>
      <c r="E126" s="26"/>
    </row>
    <row r="127" spans="1:7">
      <c r="D127" s="8" t="str">
        <f ca="1">IFERROR(__xludf.DUMMYFUNCTION("SPLIT(C127,"","")"),"#VALUE!")</f>
        <v>#VALUE!</v>
      </c>
      <c r="E127" s="26"/>
    </row>
    <row r="128" spans="1:7">
      <c r="D128" s="8" t="str">
        <f ca="1">IFERROR(__xludf.DUMMYFUNCTION("SPLIT(C128,"","")"),"#VALUE!")</f>
        <v>#VALUE!</v>
      </c>
      <c r="E128" s="26"/>
    </row>
    <row r="129" spans="4:5">
      <c r="D129" s="8" t="str">
        <f ca="1">IFERROR(__xludf.DUMMYFUNCTION("SPLIT(C129,"","")"),"#VALUE!")</f>
        <v>#VALUE!</v>
      </c>
      <c r="E129" s="26"/>
    </row>
    <row r="130" spans="4:5" ht="15.75" customHeight="1">
      <c r="E130" s="26"/>
    </row>
    <row r="131" spans="4:5" ht="15.75" customHeight="1">
      <c r="E131" s="26"/>
    </row>
    <row r="132" spans="4:5" ht="15.75" customHeight="1">
      <c r="E132" s="26"/>
    </row>
    <row r="133" spans="4:5" ht="15.75" customHeight="1">
      <c r="E133" s="26"/>
    </row>
    <row r="134" spans="4:5" ht="15.75" customHeight="1">
      <c r="E134" s="26"/>
    </row>
    <row r="135" spans="4:5" ht="15.75" customHeight="1">
      <c r="E135" s="26"/>
    </row>
    <row r="136" spans="4:5" ht="15.75" customHeight="1">
      <c r="E136" s="26"/>
    </row>
    <row r="137" spans="4:5" ht="15.75" customHeight="1">
      <c r="E137" s="26"/>
    </row>
    <row r="138" spans="4:5" ht="15.75" customHeight="1">
      <c r="E138" s="26"/>
    </row>
    <row r="139" spans="4:5" ht="15.75" customHeight="1">
      <c r="E139" s="26"/>
    </row>
    <row r="140" spans="4:5" ht="15.75" customHeight="1">
      <c r="E140" s="26"/>
    </row>
    <row r="141" spans="4:5" ht="15.75" customHeight="1">
      <c r="E141" s="26"/>
    </row>
    <row r="142" spans="4:5" ht="15.75" customHeight="1">
      <c r="E142" s="26"/>
    </row>
    <row r="143" spans="4:5" ht="15.75" customHeight="1">
      <c r="E143" s="26"/>
    </row>
    <row r="144" spans="4:5" ht="15.75" customHeight="1">
      <c r="E144" s="26"/>
    </row>
    <row r="145" spans="5:5" ht="15.75" customHeight="1">
      <c r="E145" s="26"/>
    </row>
    <row r="146" spans="5:5" ht="15.75" customHeight="1">
      <c r="E146" s="26"/>
    </row>
    <row r="147" spans="5:5" ht="15.75" customHeight="1">
      <c r="E147" s="26"/>
    </row>
    <row r="148" spans="5:5" ht="15.75" customHeight="1">
      <c r="E148" s="26"/>
    </row>
    <row r="149" spans="5:5" ht="15.75" customHeight="1">
      <c r="E149" s="26"/>
    </row>
    <row r="150" spans="5:5" ht="15.75" customHeight="1">
      <c r="E150" s="26"/>
    </row>
    <row r="151" spans="5:5" ht="15.75" customHeight="1">
      <c r="E151" s="26"/>
    </row>
    <row r="152" spans="5:5" ht="15.75" customHeight="1">
      <c r="E152" s="26"/>
    </row>
    <row r="153" spans="5:5" ht="15.75" customHeight="1">
      <c r="E153" s="26"/>
    </row>
    <row r="154" spans="5:5" ht="15.75" customHeight="1">
      <c r="E154" s="26"/>
    </row>
    <row r="155" spans="5:5" ht="15.75" customHeight="1">
      <c r="E155" s="26"/>
    </row>
    <row r="156" spans="5:5" ht="15.75" customHeight="1">
      <c r="E156" s="26"/>
    </row>
    <row r="157" spans="5:5" ht="15.75" customHeight="1">
      <c r="E157" s="26"/>
    </row>
    <row r="158" spans="5:5" ht="15.75" customHeight="1">
      <c r="E158" s="26"/>
    </row>
    <row r="159" spans="5:5" ht="15.75" customHeight="1">
      <c r="E159" s="26"/>
    </row>
    <row r="160" spans="5:5" ht="15.75" customHeight="1">
      <c r="E160" s="26"/>
    </row>
    <row r="161" spans="5:5" ht="15.75" customHeight="1">
      <c r="E161" s="26"/>
    </row>
    <row r="162" spans="5:5" ht="15.75" customHeight="1">
      <c r="E162" s="26"/>
    </row>
    <row r="163" spans="5:5" ht="15.75" customHeight="1">
      <c r="E163" s="26"/>
    </row>
    <row r="164" spans="5:5" ht="15.75" customHeight="1">
      <c r="E164" s="26"/>
    </row>
    <row r="165" spans="5:5" ht="15.75" customHeight="1">
      <c r="E165" s="26"/>
    </row>
    <row r="166" spans="5:5" ht="15.75" customHeight="1">
      <c r="E166" s="26"/>
    </row>
    <row r="167" spans="5:5" ht="15.75" customHeight="1">
      <c r="E167" s="26"/>
    </row>
    <row r="168" spans="5:5" ht="15.75" customHeight="1">
      <c r="E168" s="26"/>
    </row>
    <row r="169" spans="5:5" ht="15.75" customHeight="1">
      <c r="E169" s="26"/>
    </row>
    <row r="170" spans="5:5" ht="15.75" customHeight="1">
      <c r="E170" s="26"/>
    </row>
    <row r="171" spans="5:5" ht="15.75" customHeight="1">
      <c r="E171" s="26"/>
    </row>
    <row r="172" spans="5:5" ht="15.75" customHeight="1">
      <c r="E172" s="26"/>
    </row>
    <row r="173" spans="5:5" ht="15.75" customHeight="1">
      <c r="E173" s="26"/>
    </row>
    <row r="174" spans="5:5" ht="15.75" customHeight="1">
      <c r="E174" s="26"/>
    </row>
    <row r="175" spans="5:5" ht="15.75" customHeight="1">
      <c r="E175" s="26"/>
    </row>
    <row r="176" spans="5:5" ht="15.75" customHeight="1">
      <c r="E176" s="26"/>
    </row>
    <row r="177" spans="5:5" ht="15.75" customHeight="1">
      <c r="E177" s="26"/>
    </row>
    <row r="178" spans="5:5" ht="15.75" customHeight="1">
      <c r="E178" s="26"/>
    </row>
    <row r="179" spans="5:5" ht="15.75" customHeight="1">
      <c r="E179" s="26"/>
    </row>
    <row r="180" spans="5:5" ht="15.75" customHeight="1">
      <c r="E180" s="26"/>
    </row>
    <row r="181" spans="5:5" ht="15.75" customHeight="1">
      <c r="E181" s="26"/>
    </row>
    <row r="182" spans="5:5" ht="15.75" customHeight="1">
      <c r="E182" s="26"/>
    </row>
    <row r="183" spans="5:5" ht="15.75" customHeight="1">
      <c r="E183" s="26"/>
    </row>
    <row r="184" spans="5:5" ht="15.75" customHeight="1">
      <c r="E184" s="26"/>
    </row>
    <row r="185" spans="5:5" ht="15.75" customHeight="1">
      <c r="E185" s="26"/>
    </row>
    <row r="186" spans="5:5" ht="15.75" customHeight="1">
      <c r="E186" s="26"/>
    </row>
    <row r="187" spans="5:5" ht="15.75" customHeight="1">
      <c r="E187" s="26"/>
    </row>
    <row r="188" spans="5:5" ht="15.75" customHeight="1">
      <c r="E188" s="26"/>
    </row>
    <row r="189" spans="5:5" ht="15.75" customHeight="1">
      <c r="E189" s="26"/>
    </row>
    <row r="190" spans="5:5" ht="15.75" customHeight="1">
      <c r="E190" s="26"/>
    </row>
    <row r="191" spans="5:5" ht="15.75" customHeight="1">
      <c r="E191" s="26"/>
    </row>
    <row r="192" spans="5:5" ht="15.75" customHeight="1">
      <c r="E192" s="26"/>
    </row>
    <row r="193" spans="5:5" ht="15.75" customHeight="1">
      <c r="E193" s="26"/>
    </row>
    <row r="194" spans="5:5" ht="15.75" customHeight="1">
      <c r="E194" s="26"/>
    </row>
    <row r="195" spans="5:5" ht="15.75" customHeight="1">
      <c r="E195" s="26"/>
    </row>
    <row r="196" spans="5:5" ht="15.75" customHeight="1">
      <c r="E196" s="26"/>
    </row>
    <row r="197" spans="5:5" ht="15.75" customHeight="1">
      <c r="E197" s="26"/>
    </row>
    <row r="198" spans="5:5" ht="15.75" customHeight="1">
      <c r="E198" s="26"/>
    </row>
    <row r="199" spans="5:5" ht="15.75" customHeight="1">
      <c r="E199" s="26"/>
    </row>
    <row r="200" spans="5:5" ht="15.75" customHeight="1">
      <c r="E200" s="26"/>
    </row>
    <row r="201" spans="5:5" ht="15.75" customHeight="1">
      <c r="E201" s="26"/>
    </row>
    <row r="202" spans="5:5" ht="15.75" customHeight="1">
      <c r="E202" s="26"/>
    </row>
    <row r="203" spans="5:5" ht="15.75" customHeight="1">
      <c r="E203" s="26"/>
    </row>
    <row r="204" spans="5:5" ht="15.75" customHeight="1">
      <c r="E204" s="26"/>
    </row>
    <row r="205" spans="5:5" ht="15.75" customHeight="1">
      <c r="E205" s="26"/>
    </row>
    <row r="206" spans="5:5" ht="15.75" customHeight="1">
      <c r="E206" s="26"/>
    </row>
    <row r="207" spans="5:5" ht="15.75" customHeight="1">
      <c r="E207" s="26"/>
    </row>
    <row r="208" spans="5:5" ht="15.75" customHeight="1">
      <c r="E208" s="26"/>
    </row>
    <row r="209" spans="5:5" ht="15.75" customHeight="1">
      <c r="E209" s="26"/>
    </row>
    <row r="210" spans="5:5" ht="15.75" customHeight="1">
      <c r="E210" s="26"/>
    </row>
    <row r="211" spans="5:5" ht="15.75" customHeight="1">
      <c r="E211" s="26"/>
    </row>
    <row r="212" spans="5:5" ht="15.75" customHeight="1">
      <c r="E212" s="26"/>
    </row>
    <row r="213" spans="5:5" ht="15.75" customHeight="1">
      <c r="E213" s="26"/>
    </row>
    <row r="214" spans="5:5" ht="15.75" customHeight="1">
      <c r="E214" s="26"/>
    </row>
    <row r="215" spans="5:5" ht="15.75" customHeight="1">
      <c r="E215" s="26"/>
    </row>
    <row r="216" spans="5:5" ht="15.75" customHeight="1">
      <c r="E216" s="26"/>
    </row>
    <row r="217" spans="5:5" ht="15.75" customHeight="1">
      <c r="E217" s="26"/>
    </row>
    <row r="218" spans="5:5" ht="15.75" customHeight="1">
      <c r="E218" s="26"/>
    </row>
    <row r="219" spans="5:5" ht="15.75" customHeight="1">
      <c r="E219" s="26"/>
    </row>
    <row r="220" spans="5:5" ht="15.75" customHeight="1">
      <c r="E220" s="26"/>
    </row>
    <row r="221" spans="5:5" ht="15.75" customHeight="1">
      <c r="E221" s="26"/>
    </row>
    <row r="222" spans="5:5" ht="15.75" customHeight="1">
      <c r="E222" s="26"/>
    </row>
    <row r="223" spans="5:5" ht="15.75" customHeight="1">
      <c r="E223" s="26"/>
    </row>
    <row r="224" spans="5:5" ht="15.75" customHeight="1">
      <c r="E224" s="26"/>
    </row>
    <row r="225" spans="5:5" ht="15.75" customHeight="1">
      <c r="E225" s="26"/>
    </row>
    <row r="226" spans="5:5" ht="15.75" customHeight="1">
      <c r="E226" s="26"/>
    </row>
    <row r="227" spans="5:5" ht="15.75" customHeight="1">
      <c r="E227" s="26"/>
    </row>
    <row r="228" spans="5:5" ht="15.75" customHeight="1">
      <c r="E228" s="26"/>
    </row>
    <row r="229" spans="5:5" ht="15.75" customHeight="1">
      <c r="E229" s="26"/>
    </row>
    <row r="230" spans="5:5" ht="15.75" customHeight="1">
      <c r="E230" s="26"/>
    </row>
    <row r="231" spans="5:5" ht="15.75" customHeight="1">
      <c r="E231" s="26"/>
    </row>
    <row r="232" spans="5:5" ht="15.75" customHeight="1">
      <c r="E232" s="26"/>
    </row>
    <row r="233" spans="5:5" ht="15.75" customHeight="1">
      <c r="E233" s="26"/>
    </row>
    <row r="234" spans="5:5" ht="15.75" customHeight="1">
      <c r="E234" s="26"/>
    </row>
    <row r="235" spans="5:5" ht="15.75" customHeight="1">
      <c r="E235" s="26"/>
    </row>
    <row r="236" spans="5:5" ht="15.75" customHeight="1">
      <c r="E236" s="26"/>
    </row>
    <row r="237" spans="5:5" ht="15.75" customHeight="1">
      <c r="E237" s="26"/>
    </row>
    <row r="238" spans="5:5" ht="15.75" customHeight="1">
      <c r="E238" s="26"/>
    </row>
    <row r="239" spans="5:5" ht="15.75" customHeight="1">
      <c r="E239" s="26"/>
    </row>
    <row r="240" spans="5:5" ht="15.75" customHeight="1">
      <c r="E240" s="26"/>
    </row>
    <row r="241" spans="5:5" ht="15.75" customHeight="1">
      <c r="E241" s="26"/>
    </row>
    <row r="242" spans="5:5" ht="15.75" customHeight="1">
      <c r="E242" s="26"/>
    </row>
    <row r="243" spans="5:5" ht="15.75" customHeight="1">
      <c r="E243" s="26"/>
    </row>
    <row r="244" spans="5:5" ht="15.75" customHeight="1">
      <c r="E244" s="26"/>
    </row>
    <row r="245" spans="5:5" ht="15.75" customHeight="1">
      <c r="E245" s="26"/>
    </row>
    <row r="246" spans="5:5" ht="15.75" customHeight="1">
      <c r="E246" s="26"/>
    </row>
    <row r="247" spans="5:5" ht="15.75" customHeight="1">
      <c r="E247" s="26"/>
    </row>
    <row r="248" spans="5:5" ht="15.75" customHeight="1">
      <c r="E248" s="26"/>
    </row>
    <row r="249" spans="5:5" ht="15.75" customHeight="1">
      <c r="E249" s="26"/>
    </row>
    <row r="250" spans="5:5" ht="15.75" customHeight="1">
      <c r="E250" s="26"/>
    </row>
    <row r="251" spans="5:5" ht="15.75" customHeight="1">
      <c r="E251" s="26"/>
    </row>
    <row r="252" spans="5:5" ht="15.75" customHeight="1">
      <c r="E252" s="26"/>
    </row>
    <row r="253" spans="5:5" ht="15.75" customHeight="1">
      <c r="E253" s="26"/>
    </row>
    <row r="254" spans="5:5" ht="15.75" customHeight="1">
      <c r="E254" s="26"/>
    </row>
    <row r="255" spans="5:5" ht="15.75" customHeight="1">
      <c r="E255" s="26"/>
    </row>
    <row r="256" spans="5:5" ht="15.75" customHeight="1">
      <c r="E256" s="26"/>
    </row>
    <row r="257" spans="5:5" ht="15.75" customHeight="1">
      <c r="E257" s="26"/>
    </row>
    <row r="258" spans="5:5" ht="15.75" customHeight="1">
      <c r="E258" s="26"/>
    </row>
    <row r="259" spans="5:5" ht="15.75" customHeight="1">
      <c r="E259" s="26"/>
    </row>
    <row r="260" spans="5:5" ht="15.75" customHeight="1">
      <c r="E260" s="26"/>
    </row>
    <row r="261" spans="5:5" ht="15.75" customHeight="1">
      <c r="E261" s="26"/>
    </row>
    <row r="262" spans="5:5" ht="15.75" customHeight="1">
      <c r="E262" s="26"/>
    </row>
    <row r="263" spans="5:5" ht="15.75" customHeight="1">
      <c r="E263" s="26"/>
    </row>
    <row r="264" spans="5:5" ht="15.75" customHeight="1">
      <c r="E264" s="26"/>
    </row>
    <row r="265" spans="5:5" ht="15.75" customHeight="1">
      <c r="E265" s="26"/>
    </row>
    <row r="266" spans="5:5" ht="15.75" customHeight="1">
      <c r="E266" s="26"/>
    </row>
    <row r="267" spans="5:5" ht="15.75" customHeight="1">
      <c r="E267" s="26"/>
    </row>
    <row r="268" spans="5:5" ht="15.75" customHeight="1">
      <c r="E268" s="26"/>
    </row>
    <row r="269" spans="5:5" ht="15.75" customHeight="1">
      <c r="E269" s="26"/>
    </row>
    <row r="270" spans="5:5" ht="15.75" customHeight="1">
      <c r="E270" s="26"/>
    </row>
    <row r="271" spans="5:5" ht="15.75" customHeight="1">
      <c r="E271" s="26"/>
    </row>
    <row r="272" spans="5:5" ht="15.75" customHeight="1">
      <c r="E272" s="26"/>
    </row>
    <row r="273" spans="5:5" ht="15.75" customHeight="1">
      <c r="E273" s="26"/>
    </row>
    <row r="274" spans="5:5" ht="15.75" customHeight="1">
      <c r="E274" s="26"/>
    </row>
    <row r="275" spans="5:5" ht="15.75" customHeight="1">
      <c r="E275" s="26"/>
    </row>
    <row r="276" spans="5:5" ht="15.75" customHeight="1">
      <c r="E276" s="26"/>
    </row>
    <row r="277" spans="5:5" ht="15.75" customHeight="1">
      <c r="E277" s="26"/>
    </row>
    <row r="278" spans="5:5" ht="15.75" customHeight="1">
      <c r="E278" s="26"/>
    </row>
    <row r="279" spans="5:5" ht="15.75" customHeight="1">
      <c r="E279" s="26"/>
    </row>
    <row r="280" spans="5:5" ht="15.75" customHeight="1">
      <c r="E280" s="26"/>
    </row>
    <row r="281" spans="5:5" ht="15.75" customHeight="1">
      <c r="E281" s="26"/>
    </row>
    <row r="282" spans="5:5" ht="15.75" customHeight="1">
      <c r="E282" s="26"/>
    </row>
    <row r="283" spans="5:5" ht="15.75" customHeight="1">
      <c r="E283" s="26"/>
    </row>
    <row r="284" spans="5:5" ht="15.75" customHeight="1">
      <c r="E284" s="26"/>
    </row>
    <row r="285" spans="5:5" ht="15.75" customHeight="1">
      <c r="E285" s="26"/>
    </row>
    <row r="286" spans="5:5" ht="15.75" customHeight="1">
      <c r="E286" s="26"/>
    </row>
    <row r="287" spans="5:5" ht="15.75" customHeight="1">
      <c r="E287" s="26"/>
    </row>
    <row r="288" spans="5:5" ht="15.75" customHeight="1">
      <c r="E288" s="26"/>
    </row>
    <row r="289" spans="5:5" ht="15.75" customHeight="1">
      <c r="E289" s="26"/>
    </row>
    <row r="290" spans="5:5" ht="15.75" customHeight="1">
      <c r="E290" s="26"/>
    </row>
    <row r="291" spans="5:5" ht="15.75" customHeight="1">
      <c r="E291" s="26"/>
    </row>
    <row r="292" spans="5:5" ht="15.75" customHeight="1">
      <c r="E292" s="26"/>
    </row>
    <row r="293" spans="5:5" ht="15.75" customHeight="1">
      <c r="E293" s="26"/>
    </row>
    <row r="294" spans="5:5" ht="15.75" customHeight="1">
      <c r="E294" s="26"/>
    </row>
    <row r="295" spans="5:5" ht="15.75" customHeight="1">
      <c r="E295" s="26"/>
    </row>
    <row r="296" spans="5:5" ht="15.75" customHeight="1">
      <c r="E296" s="26"/>
    </row>
    <row r="297" spans="5:5" ht="15.75" customHeight="1">
      <c r="E297" s="26"/>
    </row>
    <row r="298" spans="5:5" ht="15.75" customHeight="1">
      <c r="E298" s="26"/>
    </row>
    <row r="299" spans="5:5" ht="15.75" customHeight="1">
      <c r="E299" s="26"/>
    </row>
    <row r="300" spans="5:5" ht="15.75" customHeight="1">
      <c r="E300" s="26"/>
    </row>
    <row r="301" spans="5:5" ht="15.75" customHeight="1">
      <c r="E301" s="26"/>
    </row>
    <row r="302" spans="5:5" ht="15.75" customHeight="1">
      <c r="E302" s="26"/>
    </row>
    <row r="303" spans="5:5" ht="15.75" customHeight="1">
      <c r="E303" s="26"/>
    </row>
    <row r="304" spans="5:5" ht="15.75" customHeight="1">
      <c r="E304" s="26"/>
    </row>
    <row r="305" spans="5:5" ht="15.75" customHeight="1">
      <c r="E305" s="26"/>
    </row>
    <row r="306" spans="5:5" ht="15.75" customHeight="1">
      <c r="E306" s="26"/>
    </row>
    <row r="307" spans="5:5" ht="15.75" customHeight="1">
      <c r="E307" s="26"/>
    </row>
    <row r="308" spans="5:5" ht="15.75" customHeight="1">
      <c r="E308" s="26"/>
    </row>
    <row r="309" spans="5:5" ht="15.75" customHeight="1">
      <c r="E309" s="26"/>
    </row>
    <row r="310" spans="5:5" ht="15.75" customHeight="1">
      <c r="E310" s="26"/>
    </row>
    <row r="311" spans="5:5" ht="15.75" customHeight="1">
      <c r="E311" s="26"/>
    </row>
    <row r="312" spans="5:5" ht="15.75" customHeight="1">
      <c r="E312" s="26"/>
    </row>
    <row r="313" spans="5:5" ht="15.75" customHeight="1">
      <c r="E313" s="26"/>
    </row>
    <row r="314" spans="5:5" ht="15.75" customHeight="1">
      <c r="E314" s="26"/>
    </row>
    <row r="315" spans="5:5" ht="15.75" customHeight="1">
      <c r="E315" s="26"/>
    </row>
    <row r="316" spans="5:5" ht="15.75" customHeight="1">
      <c r="E316" s="26"/>
    </row>
    <row r="317" spans="5:5" ht="15.75" customHeight="1">
      <c r="E317" s="26"/>
    </row>
    <row r="318" spans="5:5" ht="15.75" customHeight="1">
      <c r="E318" s="26"/>
    </row>
    <row r="319" spans="5:5" ht="15.75" customHeight="1">
      <c r="E319" s="26"/>
    </row>
    <row r="320" spans="5:5" ht="15.75" customHeight="1">
      <c r="E320" s="26"/>
    </row>
    <row r="321" spans="5:5" ht="15.75" customHeight="1">
      <c r="E321" s="26"/>
    </row>
    <row r="322" spans="5:5" ht="15.75" customHeight="1">
      <c r="E322" s="26"/>
    </row>
    <row r="323" spans="5:5" ht="15.75" customHeight="1">
      <c r="E323" s="26"/>
    </row>
    <row r="324" spans="5:5" ht="15.75" customHeight="1">
      <c r="E324" s="26"/>
    </row>
    <row r="325" spans="5:5" ht="15.75" customHeight="1">
      <c r="E325" s="26"/>
    </row>
    <row r="326" spans="5:5" ht="15.75" customHeight="1">
      <c r="E326" s="26"/>
    </row>
    <row r="327" spans="5:5" ht="15.75" customHeight="1">
      <c r="E327" s="26"/>
    </row>
    <row r="328" spans="5:5" ht="15.75" customHeight="1">
      <c r="E328" s="26"/>
    </row>
    <row r="329" spans="5:5" ht="15.75" customHeight="1">
      <c r="E329" s="26"/>
    </row>
    <row r="330" spans="5:5" ht="15.75" customHeight="1">
      <c r="E330" s="26"/>
    </row>
    <row r="331" spans="5:5" ht="15.75" customHeight="1">
      <c r="E331" s="26"/>
    </row>
    <row r="332" spans="5:5" ht="15.75" customHeight="1">
      <c r="E332" s="26"/>
    </row>
    <row r="333" spans="5:5" ht="15.75" customHeight="1">
      <c r="E333" s="26"/>
    </row>
    <row r="334" spans="5:5" ht="15.75" customHeight="1">
      <c r="E334" s="26"/>
    </row>
    <row r="335" spans="5:5" ht="15.75" customHeight="1">
      <c r="E335" s="26"/>
    </row>
    <row r="336" spans="5:5" ht="15.75" customHeight="1">
      <c r="E336" s="26"/>
    </row>
    <row r="337" spans="5:5" ht="15.75" customHeight="1">
      <c r="E337" s="26"/>
    </row>
    <row r="338" spans="5:5" ht="15.75" customHeight="1">
      <c r="E338" s="26"/>
    </row>
    <row r="339" spans="5:5" ht="15.75" customHeight="1">
      <c r="E339" s="26"/>
    </row>
    <row r="340" spans="5:5" ht="15.75" customHeight="1">
      <c r="E340" s="26"/>
    </row>
    <row r="341" spans="5:5" ht="15.75" customHeight="1">
      <c r="E341" s="26"/>
    </row>
    <row r="342" spans="5:5" ht="15.75" customHeight="1">
      <c r="E342" s="26"/>
    </row>
    <row r="343" spans="5:5" ht="15.75" customHeight="1">
      <c r="E343" s="26"/>
    </row>
    <row r="344" spans="5:5" ht="15.75" customHeight="1">
      <c r="E344" s="26"/>
    </row>
    <row r="345" spans="5:5" ht="15.75" customHeight="1">
      <c r="E345" s="26"/>
    </row>
    <row r="346" spans="5:5" ht="15.75" customHeight="1">
      <c r="E346" s="26"/>
    </row>
    <row r="347" spans="5:5" ht="15.75" customHeight="1">
      <c r="E347" s="26"/>
    </row>
    <row r="348" spans="5:5" ht="15.75" customHeight="1">
      <c r="E348" s="26"/>
    </row>
    <row r="349" spans="5:5" ht="15.75" customHeight="1">
      <c r="E349" s="26"/>
    </row>
    <row r="350" spans="5:5" ht="15.75" customHeight="1">
      <c r="E350" s="26"/>
    </row>
    <row r="351" spans="5:5" ht="15.75" customHeight="1">
      <c r="E351" s="26"/>
    </row>
    <row r="352" spans="5:5" ht="15.75" customHeight="1">
      <c r="E352" s="26"/>
    </row>
    <row r="353" spans="5:5" ht="15.75" customHeight="1">
      <c r="E353" s="26"/>
    </row>
    <row r="354" spans="5:5" ht="15.75" customHeight="1">
      <c r="E354" s="26"/>
    </row>
    <row r="355" spans="5:5" ht="15.75" customHeight="1">
      <c r="E355" s="26"/>
    </row>
    <row r="356" spans="5:5" ht="15.75" customHeight="1">
      <c r="E356" s="26"/>
    </row>
    <row r="357" spans="5:5" ht="15.75" customHeight="1">
      <c r="E357" s="26"/>
    </row>
    <row r="358" spans="5:5" ht="15.75" customHeight="1">
      <c r="E358" s="26"/>
    </row>
    <row r="359" spans="5:5" ht="15.75" customHeight="1">
      <c r="E359" s="26"/>
    </row>
    <row r="360" spans="5:5" ht="15.75" customHeight="1">
      <c r="E360" s="26"/>
    </row>
    <row r="361" spans="5:5" ht="15.75" customHeight="1">
      <c r="E361" s="26"/>
    </row>
    <row r="362" spans="5:5" ht="15.75" customHeight="1">
      <c r="E362" s="26"/>
    </row>
    <row r="363" spans="5:5" ht="15.75" customHeight="1">
      <c r="E363" s="26"/>
    </row>
    <row r="364" spans="5:5" ht="15.75" customHeight="1">
      <c r="E364" s="26"/>
    </row>
    <row r="365" spans="5:5" ht="15.75" customHeight="1">
      <c r="E365" s="26"/>
    </row>
    <row r="366" spans="5:5" ht="15.75" customHeight="1">
      <c r="E366" s="26"/>
    </row>
    <row r="367" spans="5:5" ht="15.75" customHeight="1">
      <c r="E367" s="26"/>
    </row>
    <row r="368" spans="5:5" ht="15.75" customHeight="1">
      <c r="E368" s="26"/>
    </row>
    <row r="369" spans="5:5" ht="15.75" customHeight="1">
      <c r="E369" s="26"/>
    </row>
    <row r="370" spans="5:5" ht="15.75" customHeight="1">
      <c r="E370" s="26"/>
    </row>
    <row r="371" spans="5:5" ht="15.75" customHeight="1">
      <c r="E371" s="26"/>
    </row>
    <row r="372" spans="5:5" ht="15.75" customHeight="1">
      <c r="E372" s="26"/>
    </row>
    <row r="373" spans="5:5" ht="15.75" customHeight="1">
      <c r="E373" s="26"/>
    </row>
    <row r="374" spans="5:5" ht="15.75" customHeight="1">
      <c r="E374" s="26"/>
    </row>
    <row r="375" spans="5:5" ht="15.75" customHeight="1">
      <c r="E375" s="26"/>
    </row>
    <row r="376" spans="5:5" ht="15.75" customHeight="1">
      <c r="E376" s="26"/>
    </row>
    <row r="377" spans="5:5" ht="15.75" customHeight="1">
      <c r="E377" s="26"/>
    </row>
    <row r="378" spans="5:5" ht="15.75" customHeight="1">
      <c r="E378" s="26"/>
    </row>
    <row r="379" spans="5:5" ht="15.75" customHeight="1">
      <c r="E379" s="26"/>
    </row>
    <row r="380" spans="5:5" ht="15.75" customHeight="1">
      <c r="E380" s="26"/>
    </row>
    <row r="381" spans="5:5" ht="15.75" customHeight="1">
      <c r="E381" s="26"/>
    </row>
    <row r="382" spans="5:5" ht="15.75" customHeight="1">
      <c r="E382" s="26"/>
    </row>
    <row r="383" spans="5:5" ht="15.75" customHeight="1">
      <c r="E383" s="26"/>
    </row>
    <row r="384" spans="5:5" ht="15.75" customHeight="1">
      <c r="E384" s="26"/>
    </row>
    <row r="385" spans="5:5" ht="15.75" customHeight="1">
      <c r="E385" s="26"/>
    </row>
    <row r="386" spans="5:5" ht="15.75" customHeight="1">
      <c r="E386" s="26"/>
    </row>
    <row r="387" spans="5:5" ht="15.75" customHeight="1">
      <c r="E387" s="26"/>
    </row>
    <row r="388" spans="5:5" ht="15.75" customHeight="1">
      <c r="E388" s="26"/>
    </row>
    <row r="389" spans="5:5" ht="15.75" customHeight="1">
      <c r="E389" s="26"/>
    </row>
    <row r="390" spans="5:5" ht="15.75" customHeight="1">
      <c r="E390" s="26"/>
    </row>
    <row r="391" spans="5:5" ht="15.75" customHeight="1">
      <c r="E391" s="26"/>
    </row>
    <row r="392" spans="5:5" ht="15.75" customHeight="1">
      <c r="E392" s="26"/>
    </row>
    <row r="393" spans="5:5" ht="15.75" customHeight="1">
      <c r="E393" s="26"/>
    </row>
    <row r="394" spans="5:5" ht="15.75" customHeight="1">
      <c r="E394" s="26"/>
    </row>
    <row r="395" spans="5:5" ht="15.75" customHeight="1">
      <c r="E395" s="26"/>
    </row>
    <row r="396" spans="5:5" ht="15.75" customHeight="1">
      <c r="E396" s="26"/>
    </row>
    <row r="397" spans="5:5" ht="15.75" customHeight="1">
      <c r="E397" s="26"/>
    </row>
    <row r="398" spans="5:5" ht="15.75" customHeight="1">
      <c r="E398" s="26"/>
    </row>
    <row r="399" spans="5:5" ht="15.75" customHeight="1">
      <c r="E399" s="26"/>
    </row>
    <row r="400" spans="5:5" ht="15.75" customHeight="1">
      <c r="E400" s="26"/>
    </row>
    <row r="401" spans="5:5" ht="15.75" customHeight="1">
      <c r="E401" s="26"/>
    </row>
    <row r="402" spans="5:5" ht="15.75" customHeight="1">
      <c r="E402" s="26"/>
    </row>
    <row r="403" spans="5:5" ht="15.75" customHeight="1">
      <c r="E403" s="26"/>
    </row>
    <row r="404" spans="5:5" ht="15.75" customHeight="1">
      <c r="E404" s="26"/>
    </row>
    <row r="405" spans="5:5" ht="15.75" customHeight="1">
      <c r="E405" s="26"/>
    </row>
    <row r="406" spans="5:5" ht="15.75" customHeight="1">
      <c r="E406" s="26"/>
    </row>
    <row r="407" spans="5:5" ht="15.75" customHeight="1">
      <c r="E407" s="26"/>
    </row>
    <row r="408" spans="5:5" ht="15.75" customHeight="1">
      <c r="E408" s="26"/>
    </row>
    <row r="409" spans="5:5" ht="15.75" customHeight="1">
      <c r="E409" s="26"/>
    </row>
    <row r="410" spans="5:5" ht="15.75" customHeight="1">
      <c r="E410" s="26"/>
    </row>
    <row r="411" spans="5:5" ht="15.75" customHeight="1">
      <c r="E411" s="26"/>
    </row>
    <row r="412" spans="5:5" ht="15.75" customHeight="1">
      <c r="E412" s="26"/>
    </row>
    <row r="413" spans="5:5" ht="15.75" customHeight="1">
      <c r="E413" s="26"/>
    </row>
    <row r="414" spans="5:5" ht="15.75" customHeight="1">
      <c r="E414" s="26"/>
    </row>
    <row r="415" spans="5:5" ht="15.75" customHeight="1">
      <c r="E415" s="26"/>
    </row>
    <row r="416" spans="5:5" ht="15.75" customHeight="1">
      <c r="E416" s="26"/>
    </row>
    <row r="417" spans="5:5" ht="15.75" customHeight="1">
      <c r="E417" s="26"/>
    </row>
    <row r="418" spans="5:5" ht="15.75" customHeight="1">
      <c r="E418" s="26"/>
    </row>
    <row r="419" spans="5:5" ht="15.75" customHeight="1">
      <c r="E419" s="26"/>
    </row>
    <row r="420" spans="5:5" ht="15.75" customHeight="1">
      <c r="E420" s="26"/>
    </row>
    <row r="421" spans="5:5" ht="15.75" customHeight="1">
      <c r="E421" s="26"/>
    </row>
    <row r="422" spans="5:5" ht="15.75" customHeight="1">
      <c r="E422" s="26"/>
    </row>
    <row r="423" spans="5:5" ht="15.75" customHeight="1">
      <c r="E423" s="26"/>
    </row>
    <row r="424" spans="5:5" ht="15.75" customHeight="1">
      <c r="E424" s="26"/>
    </row>
    <row r="425" spans="5:5" ht="15.75" customHeight="1">
      <c r="E425" s="26"/>
    </row>
    <row r="426" spans="5:5" ht="15.75" customHeight="1">
      <c r="E426" s="26"/>
    </row>
    <row r="427" spans="5:5" ht="15.75" customHeight="1">
      <c r="E427" s="26"/>
    </row>
    <row r="428" spans="5:5" ht="15.75" customHeight="1">
      <c r="E428" s="26"/>
    </row>
    <row r="429" spans="5:5" ht="15.75" customHeight="1">
      <c r="E429" s="26"/>
    </row>
    <row r="430" spans="5:5" ht="15.75" customHeight="1">
      <c r="E430" s="26"/>
    </row>
    <row r="431" spans="5:5" ht="15.75" customHeight="1">
      <c r="E431" s="26"/>
    </row>
    <row r="432" spans="5:5" ht="15.75" customHeight="1">
      <c r="E432" s="26"/>
    </row>
    <row r="433" spans="5:5" ht="15.75" customHeight="1">
      <c r="E433" s="26"/>
    </row>
    <row r="434" spans="5:5" ht="15.75" customHeight="1">
      <c r="E434" s="26"/>
    </row>
    <row r="435" spans="5:5" ht="15.75" customHeight="1">
      <c r="E435" s="26"/>
    </row>
    <row r="436" spans="5:5" ht="15.75" customHeight="1">
      <c r="E436" s="26"/>
    </row>
    <row r="437" spans="5:5" ht="15.75" customHeight="1">
      <c r="E437" s="26"/>
    </row>
    <row r="438" spans="5:5" ht="15.75" customHeight="1">
      <c r="E438" s="26"/>
    </row>
    <row r="439" spans="5:5" ht="15.75" customHeight="1">
      <c r="E439" s="26"/>
    </row>
    <row r="440" spans="5:5" ht="15.75" customHeight="1">
      <c r="E440" s="26"/>
    </row>
    <row r="441" spans="5:5" ht="15.75" customHeight="1">
      <c r="E441" s="26"/>
    </row>
    <row r="442" spans="5:5" ht="15.75" customHeight="1">
      <c r="E442" s="26"/>
    </row>
    <row r="443" spans="5:5" ht="15.75" customHeight="1">
      <c r="E443" s="26"/>
    </row>
    <row r="444" spans="5:5" ht="15.75" customHeight="1">
      <c r="E444" s="26"/>
    </row>
    <row r="445" spans="5:5" ht="15.75" customHeight="1">
      <c r="E445" s="26"/>
    </row>
    <row r="446" spans="5:5" ht="15.75" customHeight="1">
      <c r="E446" s="26"/>
    </row>
    <row r="447" spans="5:5" ht="15.75" customHeight="1">
      <c r="E447" s="26"/>
    </row>
    <row r="448" spans="5:5" ht="15.75" customHeight="1">
      <c r="E448" s="26"/>
    </row>
    <row r="449" spans="5:5" ht="15.75" customHeight="1">
      <c r="E449" s="26"/>
    </row>
    <row r="450" spans="5:5" ht="15.75" customHeight="1">
      <c r="E450" s="26"/>
    </row>
    <row r="451" spans="5:5" ht="15.75" customHeight="1">
      <c r="E451" s="26"/>
    </row>
    <row r="452" spans="5:5" ht="15.75" customHeight="1">
      <c r="E452" s="26"/>
    </row>
    <row r="453" spans="5:5" ht="15.75" customHeight="1">
      <c r="E453" s="26"/>
    </row>
    <row r="454" spans="5:5" ht="15.75" customHeight="1">
      <c r="E454" s="26"/>
    </row>
    <row r="455" spans="5:5" ht="15.75" customHeight="1">
      <c r="E455" s="26"/>
    </row>
    <row r="456" spans="5:5" ht="15.75" customHeight="1">
      <c r="E456" s="26"/>
    </row>
    <row r="457" spans="5:5" ht="15.75" customHeight="1">
      <c r="E457" s="26"/>
    </row>
    <row r="458" spans="5:5" ht="15.75" customHeight="1">
      <c r="E458" s="26"/>
    </row>
    <row r="459" spans="5:5" ht="15.75" customHeight="1">
      <c r="E459" s="26"/>
    </row>
    <row r="460" spans="5:5" ht="15.75" customHeight="1">
      <c r="E460" s="26"/>
    </row>
    <row r="461" spans="5:5" ht="15.75" customHeight="1">
      <c r="E461" s="26"/>
    </row>
    <row r="462" spans="5:5" ht="15.75" customHeight="1">
      <c r="E462" s="26"/>
    </row>
    <row r="463" spans="5:5" ht="15.75" customHeight="1">
      <c r="E463" s="26"/>
    </row>
    <row r="464" spans="5:5" ht="15.75" customHeight="1">
      <c r="E464" s="26"/>
    </row>
    <row r="465" spans="5:5" ht="15.75" customHeight="1">
      <c r="E465" s="26"/>
    </row>
    <row r="466" spans="5:5" ht="15.75" customHeight="1">
      <c r="E466" s="26"/>
    </row>
    <row r="467" spans="5:5" ht="15.75" customHeight="1">
      <c r="E467" s="26"/>
    </row>
    <row r="468" spans="5:5" ht="15.75" customHeight="1">
      <c r="E468" s="26"/>
    </row>
    <row r="469" spans="5:5" ht="15.75" customHeight="1">
      <c r="E469" s="26"/>
    </row>
    <row r="470" spans="5:5" ht="15.75" customHeight="1">
      <c r="E470" s="26"/>
    </row>
    <row r="471" spans="5:5" ht="15.75" customHeight="1">
      <c r="E471" s="26"/>
    </row>
    <row r="472" spans="5:5" ht="15.75" customHeight="1">
      <c r="E472" s="26"/>
    </row>
    <row r="473" spans="5:5" ht="15.75" customHeight="1">
      <c r="E473" s="26"/>
    </row>
    <row r="474" spans="5:5" ht="15.75" customHeight="1">
      <c r="E474" s="26"/>
    </row>
    <row r="475" spans="5:5" ht="15.75" customHeight="1">
      <c r="E475" s="26"/>
    </row>
    <row r="476" spans="5:5" ht="15.75" customHeight="1">
      <c r="E476" s="26"/>
    </row>
    <row r="477" spans="5:5" ht="15.75" customHeight="1">
      <c r="E477" s="26"/>
    </row>
    <row r="478" spans="5:5" ht="15.75" customHeight="1">
      <c r="E478" s="26"/>
    </row>
    <row r="479" spans="5:5" ht="15.75" customHeight="1">
      <c r="E479" s="26"/>
    </row>
    <row r="480" spans="5:5" ht="15.75" customHeight="1">
      <c r="E480" s="26"/>
    </row>
    <row r="481" spans="5:5" ht="15.75" customHeight="1">
      <c r="E481" s="26"/>
    </row>
    <row r="482" spans="5:5" ht="15.75" customHeight="1">
      <c r="E482" s="26"/>
    </row>
    <row r="483" spans="5:5" ht="15.75" customHeight="1">
      <c r="E483" s="26"/>
    </row>
    <row r="484" spans="5:5" ht="15.75" customHeight="1">
      <c r="E484" s="26"/>
    </row>
    <row r="485" spans="5:5" ht="15.75" customHeight="1">
      <c r="E485" s="26"/>
    </row>
    <row r="486" spans="5:5" ht="15.75" customHeight="1">
      <c r="E486" s="26"/>
    </row>
    <row r="487" spans="5:5" ht="15.75" customHeight="1">
      <c r="E487" s="26"/>
    </row>
    <row r="488" spans="5:5" ht="15.75" customHeight="1">
      <c r="E488" s="26"/>
    </row>
    <row r="489" spans="5:5" ht="15.75" customHeight="1">
      <c r="E489" s="26"/>
    </row>
    <row r="490" spans="5:5" ht="15.75" customHeight="1">
      <c r="E490" s="26"/>
    </row>
    <row r="491" spans="5:5" ht="15.75" customHeight="1">
      <c r="E491" s="26"/>
    </row>
    <row r="492" spans="5:5" ht="15.75" customHeight="1">
      <c r="E492" s="26"/>
    </row>
    <row r="493" spans="5:5" ht="15.75" customHeight="1">
      <c r="E493" s="26"/>
    </row>
    <row r="494" spans="5:5" ht="15.75" customHeight="1">
      <c r="E494" s="26"/>
    </row>
    <row r="495" spans="5:5" ht="15.75" customHeight="1">
      <c r="E495" s="26"/>
    </row>
    <row r="496" spans="5:5" ht="15.75" customHeight="1">
      <c r="E496" s="26"/>
    </row>
    <row r="497" spans="5:5" ht="15.75" customHeight="1">
      <c r="E497" s="26"/>
    </row>
    <row r="498" spans="5:5" ht="15.75" customHeight="1">
      <c r="E498" s="26"/>
    </row>
    <row r="499" spans="5:5" ht="15.75" customHeight="1">
      <c r="E499" s="26"/>
    </row>
    <row r="500" spans="5:5" ht="15.75" customHeight="1">
      <c r="E500" s="26"/>
    </row>
    <row r="501" spans="5:5" ht="15.75" customHeight="1">
      <c r="E501" s="26"/>
    </row>
    <row r="502" spans="5:5" ht="15.75" customHeight="1">
      <c r="E502" s="26"/>
    </row>
    <row r="503" spans="5:5" ht="15.75" customHeight="1">
      <c r="E503" s="26"/>
    </row>
    <row r="504" spans="5:5" ht="15.75" customHeight="1">
      <c r="E504" s="26"/>
    </row>
    <row r="505" spans="5:5" ht="15.75" customHeight="1">
      <c r="E505" s="26"/>
    </row>
    <row r="506" spans="5:5" ht="15.75" customHeight="1">
      <c r="E506" s="26"/>
    </row>
    <row r="507" spans="5:5" ht="15.75" customHeight="1">
      <c r="E507" s="26"/>
    </row>
    <row r="508" spans="5:5" ht="15.75" customHeight="1">
      <c r="E508" s="26"/>
    </row>
    <row r="509" spans="5:5" ht="15.75" customHeight="1">
      <c r="E509" s="26"/>
    </row>
    <row r="510" spans="5:5" ht="15.75" customHeight="1">
      <c r="E510" s="26"/>
    </row>
    <row r="511" spans="5:5" ht="15.75" customHeight="1">
      <c r="E511" s="26"/>
    </row>
    <row r="512" spans="5:5" ht="15.75" customHeight="1">
      <c r="E512" s="26"/>
    </row>
    <row r="513" spans="5:5" ht="15.75" customHeight="1">
      <c r="E513" s="26"/>
    </row>
    <row r="514" spans="5:5" ht="15.75" customHeight="1">
      <c r="E514" s="26"/>
    </row>
    <row r="515" spans="5:5" ht="15.75" customHeight="1">
      <c r="E515" s="26"/>
    </row>
    <row r="516" spans="5:5" ht="15.75" customHeight="1">
      <c r="E516" s="26"/>
    </row>
    <row r="517" spans="5:5" ht="15.75" customHeight="1">
      <c r="E517" s="26"/>
    </row>
    <row r="518" spans="5:5" ht="15.75" customHeight="1">
      <c r="E518" s="26"/>
    </row>
    <row r="519" spans="5:5" ht="15.75" customHeight="1">
      <c r="E519" s="26"/>
    </row>
    <row r="520" spans="5:5" ht="15.75" customHeight="1">
      <c r="E520" s="26"/>
    </row>
    <row r="521" spans="5:5" ht="15.75" customHeight="1">
      <c r="E521" s="26"/>
    </row>
    <row r="522" spans="5:5" ht="15.75" customHeight="1">
      <c r="E522" s="26"/>
    </row>
    <row r="523" spans="5:5" ht="15.75" customHeight="1">
      <c r="E523" s="26"/>
    </row>
    <row r="524" spans="5:5" ht="15.75" customHeight="1">
      <c r="E524" s="26"/>
    </row>
    <row r="525" spans="5:5" ht="15.75" customHeight="1">
      <c r="E525" s="26"/>
    </row>
    <row r="526" spans="5:5" ht="15.75" customHeight="1">
      <c r="E526" s="26"/>
    </row>
    <row r="527" spans="5:5" ht="15.75" customHeight="1">
      <c r="E527" s="26"/>
    </row>
    <row r="528" spans="5:5" ht="15.75" customHeight="1">
      <c r="E528" s="26"/>
    </row>
    <row r="529" spans="5:5" ht="15.75" customHeight="1">
      <c r="E529" s="26"/>
    </row>
    <row r="530" spans="5:5" ht="15.75" customHeight="1">
      <c r="E530" s="26"/>
    </row>
    <row r="531" spans="5:5" ht="15.75" customHeight="1">
      <c r="E531" s="26"/>
    </row>
    <row r="532" spans="5:5" ht="15.75" customHeight="1">
      <c r="E532" s="26"/>
    </row>
    <row r="533" spans="5:5" ht="15.75" customHeight="1">
      <c r="E533" s="26"/>
    </row>
    <row r="534" spans="5:5" ht="15.75" customHeight="1">
      <c r="E534" s="26"/>
    </row>
    <row r="535" spans="5:5" ht="15.75" customHeight="1">
      <c r="E535" s="26"/>
    </row>
    <row r="536" spans="5:5" ht="15.75" customHeight="1">
      <c r="E536" s="26"/>
    </row>
    <row r="537" spans="5:5" ht="15.75" customHeight="1">
      <c r="E537" s="26"/>
    </row>
    <row r="538" spans="5:5" ht="15.75" customHeight="1">
      <c r="E538" s="26"/>
    </row>
    <row r="539" spans="5:5" ht="15.75" customHeight="1">
      <c r="E539" s="26"/>
    </row>
    <row r="540" spans="5:5" ht="15.75" customHeight="1">
      <c r="E540" s="26"/>
    </row>
    <row r="541" spans="5:5" ht="15.75" customHeight="1">
      <c r="E541" s="26"/>
    </row>
    <row r="542" spans="5:5" ht="15.75" customHeight="1">
      <c r="E542" s="26"/>
    </row>
    <row r="543" spans="5:5" ht="15.75" customHeight="1">
      <c r="E543" s="26"/>
    </row>
    <row r="544" spans="5:5" ht="15.75" customHeight="1">
      <c r="E544" s="26"/>
    </row>
    <row r="545" spans="5:5" ht="15.75" customHeight="1">
      <c r="E545" s="26"/>
    </row>
    <row r="546" spans="5:5" ht="15.75" customHeight="1">
      <c r="E546" s="26"/>
    </row>
    <row r="547" spans="5:5" ht="15.75" customHeight="1">
      <c r="E547" s="26"/>
    </row>
    <row r="548" spans="5:5" ht="15.75" customHeight="1">
      <c r="E548" s="26"/>
    </row>
    <row r="549" spans="5:5" ht="15.75" customHeight="1">
      <c r="E549" s="26"/>
    </row>
    <row r="550" spans="5:5" ht="15.75" customHeight="1">
      <c r="E550" s="26"/>
    </row>
    <row r="551" spans="5:5" ht="15.75" customHeight="1">
      <c r="E551" s="26"/>
    </row>
    <row r="552" spans="5:5" ht="15.75" customHeight="1">
      <c r="E552" s="26"/>
    </row>
    <row r="553" spans="5:5" ht="15.75" customHeight="1">
      <c r="E553" s="26"/>
    </row>
    <row r="554" spans="5:5" ht="15.75" customHeight="1">
      <c r="E554" s="26"/>
    </row>
    <row r="555" spans="5:5" ht="15.75" customHeight="1">
      <c r="E555" s="26"/>
    </row>
    <row r="556" spans="5:5" ht="15.75" customHeight="1">
      <c r="E556" s="26"/>
    </row>
    <row r="557" spans="5:5" ht="15.75" customHeight="1">
      <c r="E557" s="26"/>
    </row>
    <row r="558" spans="5:5" ht="15.75" customHeight="1">
      <c r="E558" s="26"/>
    </row>
    <row r="559" spans="5:5" ht="15.75" customHeight="1">
      <c r="E559" s="26"/>
    </row>
    <row r="560" spans="5:5" ht="15.75" customHeight="1">
      <c r="E560" s="26"/>
    </row>
    <row r="561" spans="5:5" ht="15.75" customHeight="1">
      <c r="E561" s="26"/>
    </row>
    <row r="562" spans="5:5" ht="15.75" customHeight="1">
      <c r="E562" s="26"/>
    </row>
    <row r="563" spans="5:5" ht="15.75" customHeight="1">
      <c r="E563" s="26"/>
    </row>
    <row r="564" spans="5:5" ht="15.75" customHeight="1">
      <c r="E564" s="26"/>
    </row>
    <row r="565" spans="5:5" ht="15.75" customHeight="1">
      <c r="E565" s="26"/>
    </row>
    <row r="566" spans="5:5" ht="15.75" customHeight="1">
      <c r="E566" s="26"/>
    </row>
    <row r="567" spans="5:5" ht="15.75" customHeight="1">
      <c r="E567" s="26"/>
    </row>
    <row r="568" spans="5:5" ht="15.75" customHeight="1">
      <c r="E568" s="26"/>
    </row>
    <row r="569" spans="5:5" ht="15.75" customHeight="1">
      <c r="E569" s="26"/>
    </row>
    <row r="570" spans="5:5" ht="15.75" customHeight="1">
      <c r="E570" s="26"/>
    </row>
    <row r="571" spans="5:5" ht="15.75" customHeight="1">
      <c r="E571" s="26"/>
    </row>
    <row r="572" spans="5:5" ht="15.75" customHeight="1">
      <c r="E572" s="26"/>
    </row>
    <row r="573" spans="5:5" ht="15.75" customHeight="1">
      <c r="E573" s="26"/>
    </row>
    <row r="574" spans="5:5" ht="15.75" customHeight="1">
      <c r="E574" s="26"/>
    </row>
    <row r="575" spans="5:5" ht="15.75" customHeight="1">
      <c r="E575" s="26"/>
    </row>
    <row r="576" spans="5:5" ht="15.75" customHeight="1">
      <c r="E576" s="26"/>
    </row>
    <row r="577" spans="5:5" ht="15.75" customHeight="1">
      <c r="E577" s="26"/>
    </row>
    <row r="578" spans="5:5" ht="15.75" customHeight="1">
      <c r="E578" s="26"/>
    </row>
    <row r="579" spans="5:5" ht="15.75" customHeight="1">
      <c r="E579" s="26"/>
    </row>
    <row r="580" spans="5:5" ht="15.75" customHeight="1">
      <c r="E580" s="26"/>
    </row>
    <row r="581" spans="5:5" ht="15.75" customHeight="1">
      <c r="E581" s="26"/>
    </row>
    <row r="582" spans="5:5" ht="15.75" customHeight="1">
      <c r="E582" s="26"/>
    </row>
    <row r="583" spans="5:5" ht="15.75" customHeight="1">
      <c r="E583" s="26"/>
    </row>
    <row r="584" spans="5:5" ht="15.75" customHeight="1">
      <c r="E584" s="26"/>
    </row>
    <row r="585" spans="5:5" ht="15.75" customHeight="1">
      <c r="E585" s="26"/>
    </row>
    <row r="586" spans="5:5" ht="15.75" customHeight="1">
      <c r="E586" s="26"/>
    </row>
    <row r="587" spans="5:5" ht="15.75" customHeight="1">
      <c r="E587" s="26"/>
    </row>
    <row r="588" spans="5:5" ht="15.75" customHeight="1">
      <c r="E588" s="26"/>
    </row>
    <row r="589" spans="5:5" ht="15.75" customHeight="1">
      <c r="E589" s="26"/>
    </row>
    <row r="590" spans="5:5" ht="15.75" customHeight="1">
      <c r="E590" s="26"/>
    </row>
    <row r="591" spans="5:5" ht="15.75" customHeight="1">
      <c r="E591" s="26"/>
    </row>
    <row r="592" spans="5:5" ht="15.75" customHeight="1">
      <c r="E592" s="26"/>
    </row>
    <row r="593" spans="5:5" ht="15.75" customHeight="1">
      <c r="E593" s="26"/>
    </row>
    <row r="594" spans="5:5" ht="15.75" customHeight="1">
      <c r="E594" s="26"/>
    </row>
    <row r="595" spans="5:5" ht="15.75" customHeight="1">
      <c r="E595" s="26"/>
    </row>
    <row r="596" spans="5:5" ht="15.75" customHeight="1">
      <c r="E596" s="26"/>
    </row>
    <row r="597" spans="5:5" ht="15.75" customHeight="1">
      <c r="E597" s="26"/>
    </row>
    <row r="598" spans="5:5" ht="15.75" customHeight="1">
      <c r="E598" s="26"/>
    </row>
    <row r="599" spans="5:5" ht="15.75" customHeight="1">
      <c r="E599" s="26"/>
    </row>
    <row r="600" spans="5:5" ht="15.75" customHeight="1">
      <c r="E600" s="26"/>
    </row>
    <row r="601" spans="5:5" ht="15.75" customHeight="1">
      <c r="E601" s="26"/>
    </row>
    <row r="602" spans="5:5" ht="15.75" customHeight="1">
      <c r="E602" s="26"/>
    </row>
    <row r="603" spans="5:5" ht="15.75" customHeight="1">
      <c r="E603" s="26"/>
    </row>
    <row r="604" spans="5:5" ht="15.75" customHeight="1">
      <c r="E604" s="26"/>
    </row>
    <row r="605" spans="5:5" ht="15.75" customHeight="1">
      <c r="E605" s="26"/>
    </row>
    <row r="606" spans="5:5" ht="15.75" customHeight="1">
      <c r="E606" s="26"/>
    </row>
    <row r="607" spans="5:5" ht="15.75" customHeight="1">
      <c r="E607" s="26"/>
    </row>
    <row r="608" spans="5:5" ht="15.75" customHeight="1">
      <c r="E608" s="26"/>
    </row>
    <row r="609" spans="5:5" ht="15.75" customHeight="1">
      <c r="E609" s="26"/>
    </row>
    <row r="610" spans="5:5" ht="15.75" customHeight="1">
      <c r="E610" s="26"/>
    </row>
    <row r="611" spans="5:5" ht="15.75" customHeight="1">
      <c r="E611" s="26"/>
    </row>
    <row r="612" spans="5:5" ht="15.75" customHeight="1">
      <c r="E612" s="26"/>
    </row>
    <row r="613" spans="5:5" ht="15.75" customHeight="1">
      <c r="E613" s="26"/>
    </row>
    <row r="614" spans="5:5" ht="15.75" customHeight="1">
      <c r="E614" s="26"/>
    </row>
    <row r="615" spans="5:5" ht="15.75" customHeight="1">
      <c r="E615" s="26"/>
    </row>
    <row r="616" spans="5:5" ht="15.75" customHeight="1">
      <c r="E616" s="26"/>
    </row>
    <row r="617" spans="5:5" ht="15.75" customHeight="1">
      <c r="E617" s="26"/>
    </row>
    <row r="618" spans="5:5" ht="15.75" customHeight="1">
      <c r="E618" s="26"/>
    </row>
    <row r="619" spans="5:5" ht="15.75" customHeight="1">
      <c r="E619" s="26"/>
    </row>
    <row r="620" spans="5:5" ht="15.75" customHeight="1">
      <c r="E620" s="26"/>
    </row>
    <row r="621" spans="5:5" ht="15.75" customHeight="1">
      <c r="E621" s="26"/>
    </row>
    <row r="622" spans="5:5" ht="15.75" customHeight="1">
      <c r="E622" s="26"/>
    </row>
    <row r="623" spans="5:5" ht="15.75" customHeight="1">
      <c r="E623" s="26"/>
    </row>
    <row r="624" spans="5:5" ht="15.75" customHeight="1">
      <c r="E624" s="26"/>
    </row>
    <row r="625" spans="5:5" ht="15.75" customHeight="1">
      <c r="E625" s="26"/>
    </row>
    <row r="626" spans="5:5" ht="15.75" customHeight="1">
      <c r="E626" s="26"/>
    </row>
    <row r="627" spans="5:5" ht="15.75" customHeight="1">
      <c r="E627" s="26"/>
    </row>
    <row r="628" spans="5:5" ht="15.75" customHeight="1">
      <c r="E628" s="26"/>
    </row>
    <row r="629" spans="5:5" ht="15.75" customHeight="1">
      <c r="E629" s="26"/>
    </row>
    <row r="630" spans="5:5" ht="15.75" customHeight="1">
      <c r="E630" s="26"/>
    </row>
    <row r="631" spans="5:5" ht="15.75" customHeight="1">
      <c r="E631" s="26"/>
    </row>
    <row r="632" spans="5:5" ht="15.75" customHeight="1">
      <c r="E632" s="26"/>
    </row>
    <row r="633" spans="5:5" ht="15.75" customHeight="1">
      <c r="E633" s="26"/>
    </row>
    <row r="634" spans="5:5" ht="15.75" customHeight="1">
      <c r="E634" s="26"/>
    </row>
    <row r="635" spans="5:5" ht="15.75" customHeight="1">
      <c r="E635" s="26"/>
    </row>
    <row r="636" spans="5:5" ht="15.75" customHeight="1">
      <c r="E636" s="26"/>
    </row>
    <row r="637" spans="5:5" ht="15.75" customHeight="1">
      <c r="E637" s="26"/>
    </row>
    <row r="638" spans="5:5" ht="15.75" customHeight="1">
      <c r="E638" s="26"/>
    </row>
    <row r="639" spans="5:5" ht="15.75" customHeight="1">
      <c r="E639" s="26"/>
    </row>
    <row r="640" spans="5:5" ht="15.75" customHeight="1">
      <c r="E640" s="26"/>
    </row>
    <row r="641" spans="5:5" ht="15.75" customHeight="1">
      <c r="E641" s="26"/>
    </row>
    <row r="642" spans="5:5" ht="15.75" customHeight="1">
      <c r="E642" s="26"/>
    </row>
    <row r="643" spans="5:5" ht="15.75" customHeight="1">
      <c r="E643" s="26"/>
    </row>
    <row r="644" spans="5:5" ht="15.75" customHeight="1">
      <c r="E644" s="26"/>
    </row>
    <row r="645" spans="5:5" ht="15.75" customHeight="1">
      <c r="E645" s="26"/>
    </row>
    <row r="646" spans="5:5" ht="15.75" customHeight="1">
      <c r="E646" s="26"/>
    </row>
    <row r="647" spans="5:5" ht="15.75" customHeight="1">
      <c r="E647" s="26"/>
    </row>
    <row r="648" spans="5:5" ht="15.75" customHeight="1">
      <c r="E648" s="26"/>
    </row>
    <row r="649" spans="5:5" ht="15.75" customHeight="1">
      <c r="E649" s="26"/>
    </row>
    <row r="650" spans="5:5" ht="15.75" customHeight="1">
      <c r="E650" s="26"/>
    </row>
    <row r="651" spans="5:5" ht="15.75" customHeight="1">
      <c r="E651" s="26"/>
    </row>
    <row r="652" spans="5:5" ht="15.75" customHeight="1">
      <c r="E652" s="26"/>
    </row>
    <row r="653" spans="5:5" ht="15.75" customHeight="1">
      <c r="E653" s="26"/>
    </row>
    <row r="654" spans="5:5" ht="15.75" customHeight="1">
      <c r="E654" s="26"/>
    </row>
    <row r="655" spans="5:5" ht="15.75" customHeight="1">
      <c r="E655" s="26"/>
    </row>
    <row r="656" spans="5:5" ht="15.75" customHeight="1">
      <c r="E656" s="26"/>
    </row>
    <row r="657" spans="5:5" ht="15.75" customHeight="1">
      <c r="E657" s="26"/>
    </row>
    <row r="658" spans="5:5" ht="15.75" customHeight="1">
      <c r="E658" s="26"/>
    </row>
    <row r="659" spans="5:5" ht="15.75" customHeight="1">
      <c r="E659" s="26"/>
    </row>
    <row r="660" spans="5:5" ht="15.75" customHeight="1">
      <c r="E660" s="26"/>
    </row>
    <row r="661" spans="5:5" ht="15.75" customHeight="1">
      <c r="E661" s="26"/>
    </row>
    <row r="662" spans="5:5" ht="15.75" customHeight="1">
      <c r="E662" s="26"/>
    </row>
    <row r="663" spans="5:5" ht="15.75" customHeight="1">
      <c r="E663" s="26"/>
    </row>
    <row r="664" spans="5:5" ht="15.75" customHeight="1">
      <c r="E664" s="26"/>
    </row>
    <row r="665" spans="5:5" ht="15.75" customHeight="1">
      <c r="E665" s="26"/>
    </row>
    <row r="666" spans="5:5" ht="15.75" customHeight="1">
      <c r="E666" s="26"/>
    </row>
    <row r="667" spans="5:5" ht="15.75" customHeight="1">
      <c r="E667" s="26"/>
    </row>
    <row r="668" spans="5:5" ht="15.75" customHeight="1">
      <c r="E668" s="26"/>
    </row>
    <row r="669" spans="5:5" ht="15.75" customHeight="1">
      <c r="E669" s="26"/>
    </row>
    <row r="670" spans="5:5" ht="15.75" customHeight="1">
      <c r="E670" s="26"/>
    </row>
    <row r="671" spans="5:5" ht="15.75" customHeight="1">
      <c r="E671" s="26"/>
    </row>
    <row r="672" spans="5:5" ht="15.75" customHeight="1">
      <c r="E672" s="26"/>
    </row>
    <row r="673" spans="5:5" ht="15.75" customHeight="1">
      <c r="E673" s="26"/>
    </row>
    <row r="674" spans="5:5" ht="15.75" customHeight="1">
      <c r="E674" s="26"/>
    </row>
    <row r="675" spans="5:5" ht="15.75" customHeight="1">
      <c r="E675" s="26"/>
    </row>
    <row r="676" spans="5:5" ht="15.75" customHeight="1">
      <c r="E676" s="26"/>
    </row>
    <row r="677" spans="5:5" ht="15.75" customHeight="1">
      <c r="E677" s="26"/>
    </row>
    <row r="678" spans="5:5" ht="15.75" customHeight="1">
      <c r="E678" s="26"/>
    </row>
    <row r="679" spans="5:5" ht="15.75" customHeight="1">
      <c r="E679" s="26"/>
    </row>
    <row r="680" spans="5:5" ht="15.75" customHeight="1">
      <c r="E680" s="26"/>
    </row>
    <row r="681" spans="5:5" ht="15.75" customHeight="1">
      <c r="E681" s="26"/>
    </row>
    <row r="682" spans="5:5" ht="15.75" customHeight="1">
      <c r="E682" s="26"/>
    </row>
    <row r="683" spans="5:5" ht="15.75" customHeight="1">
      <c r="E683" s="26"/>
    </row>
    <row r="684" spans="5:5" ht="15.75" customHeight="1">
      <c r="E684" s="26"/>
    </row>
    <row r="685" spans="5:5" ht="15.75" customHeight="1">
      <c r="E685" s="26"/>
    </row>
    <row r="686" spans="5:5" ht="15.75" customHeight="1">
      <c r="E686" s="26"/>
    </row>
    <row r="687" spans="5:5" ht="15.75" customHeight="1">
      <c r="E687" s="26"/>
    </row>
    <row r="688" spans="5:5" ht="15.75" customHeight="1">
      <c r="E688" s="26"/>
    </row>
    <row r="689" spans="5:5" ht="15.75" customHeight="1">
      <c r="E689" s="26"/>
    </row>
    <row r="690" spans="5:5" ht="15.75" customHeight="1">
      <c r="E690" s="26"/>
    </row>
    <row r="691" spans="5:5" ht="15.75" customHeight="1">
      <c r="E691" s="26"/>
    </row>
    <row r="692" spans="5:5" ht="15.75" customHeight="1">
      <c r="E692" s="26"/>
    </row>
    <row r="693" spans="5:5" ht="15.75" customHeight="1">
      <c r="E693" s="26"/>
    </row>
    <row r="694" spans="5:5" ht="15.75" customHeight="1">
      <c r="E694" s="26"/>
    </row>
    <row r="695" spans="5:5" ht="15.75" customHeight="1">
      <c r="E695" s="26"/>
    </row>
    <row r="696" spans="5:5" ht="15.75" customHeight="1">
      <c r="E696" s="26"/>
    </row>
    <row r="697" spans="5:5" ht="15.75" customHeight="1">
      <c r="E697" s="26"/>
    </row>
    <row r="698" spans="5:5" ht="15.75" customHeight="1">
      <c r="E698" s="26"/>
    </row>
    <row r="699" spans="5:5" ht="15.75" customHeight="1">
      <c r="E699" s="26"/>
    </row>
    <row r="700" spans="5:5" ht="15.75" customHeight="1">
      <c r="E700" s="26"/>
    </row>
    <row r="701" spans="5:5" ht="15.75" customHeight="1">
      <c r="E701" s="26"/>
    </row>
    <row r="702" spans="5:5" ht="15.75" customHeight="1">
      <c r="E702" s="26"/>
    </row>
    <row r="703" spans="5:5" ht="15.75" customHeight="1">
      <c r="E703" s="26"/>
    </row>
    <row r="704" spans="5:5" ht="15.75" customHeight="1">
      <c r="E704" s="26"/>
    </row>
    <row r="705" spans="5:5" ht="15.75" customHeight="1">
      <c r="E705" s="26"/>
    </row>
    <row r="706" spans="5:5" ht="15.75" customHeight="1">
      <c r="E706" s="26"/>
    </row>
    <row r="707" spans="5:5" ht="15.75" customHeight="1">
      <c r="E707" s="26"/>
    </row>
    <row r="708" spans="5:5" ht="15.75" customHeight="1">
      <c r="E708" s="26"/>
    </row>
    <row r="709" spans="5:5" ht="15.75" customHeight="1">
      <c r="E709" s="26"/>
    </row>
    <row r="710" spans="5:5" ht="15.75" customHeight="1">
      <c r="E710" s="26"/>
    </row>
    <row r="711" spans="5:5" ht="15.75" customHeight="1">
      <c r="E711" s="26"/>
    </row>
    <row r="712" spans="5:5" ht="15.75" customHeight="1">
      <c r="E712" s="26"/>
    </row>
    <row r="713" spans="5:5" ht="15.75" customHeight="1">
      <c r="E713" s="26"/>
    </row>
    <row r="714" spans="5:5" ht="15.75" customHeight="1">
      <c r="E714" s="26"/>
    </row>
    <row r="715" spans="5:5" ht="15.75" customHeight="1">
      <c r="E715" s="26"/>
    </row>
    <row r="716" spans="5:5" ht="15.75" customHeight="1">
      <c r="E716" s="26"/>
    </row>
    <row r="717" spans="5:5" ht="15.75" customHeight="1">
      <c r="E717" s="26"/>
    </row>
    <row r="718" spans="5:5" ht="15.75" customHeight="1">
      <c r="E718" s="26"/>
    </row>
    <row r="719" spans="5:5" ht="15.75" customHeight="1">
      <c r="E719" s="26"/>
    </row>
    <row r="720" spans="5:5" ht="15.75" customHeight="1">
      <c r="E720" s="26"/>
    </row>
    <row r="721" spans="5:5" ht="15.75" customHeight="1">
      <c r="E721" s="26"/>
    </row>
    <row r="722" spans="5:5" ht="15.75" customHeight="1">
      <c r="E722" s="26"/>
    </row>
    <row r="723" spans="5:5" ht="15.75" customHeight="1">
      <c r="E723" s="26"/>
    </row>
    <row r="724" spans="5:5" ht="15.75" customHeight="1">
      <c r="E724" s="26"/>
    </row>
    <row r="725" spans="5:5" ht="15.75" customHeight="1">
      <c r="E725" s="26"/>
    </row>
    <row r="726" spans="5:5" ht="15.75" customHeight="1">
      <c r="E726" s="26"/>
    </row>
    <row r="727" spans="5:5" ht="15.75" customHeight="1">
      <c r="E727" s="26"/>
    </row>
    <row r="728" spans="5:5" ht="15.75" customHeight="1">
      <c r="E728" s="26"/>
    </row>
    <row r="729" spans="5:5" ht="15.75" customHeight="1">
      <c r="E729" s="26"/>
    </row>
    <row r="730" spans="5:5" ht="15.75" customHeight="1">
      <c r="E730" s="26"/>
    </row>
    <row r="731" spans="5:5" ht="15.75" customHeight="1">
      <c r="E731" s="26"/>
    </row>
    <row r="732" spans="5:5" ht="15.75" customHeight="1">
      <c r="E732" s="26"/>
    </row>
    <row r="733" spans="5:5" ht="15.75" customHeight="1">
      <c r="E733" s="26"/>
    </row>
    <row r="734" spans="5:5" ht="15.75" customHeight="1">
      <c r="E734" s="26"/>
    </row>
    <row r="735" spans="5:5" ht="15.75" customHeight="1">
      <c r="E735" s="26"/>
    </row>
    <row r="736" spans="5:5" ht="15.75" customHeight="1">
      <c r="E736" s="26"/>
    </row>
    <row r="737" spans="5:5" ht="15.75" customHeight="1">
      <c r="E737" s="26"/>
    </row>
    <row r="738" spans="5:5" ht="15.75" customHeight="1">
      <c r="E738" s="26"/>
    </row>
    <row r="739" spans="5:5" ht="15.75" customHeight="1">
      <c r="E739" s="26"/>
    </row>
    <row r="740" spans="5:5" ht="15.75" customHeight="1">
      <c r="E740" s="26"/>
    </row>
    <row r="741" spans="5:5" ht="15.75" customHeight="1">
      <c r="E741" s="26"/>
    </row>
    <row r="742" spans="5:5" ht="15.75" customHeight="1">
      <c r="E742" s="26"/>
    </row>
    <row r="743" spans="5:5" ht="15.75" customHeight="1">
      <c r="E743" s="26"/>
    </row>
    <row r="744" spans="5:5" ht="15.75" customHeight="1">
      <c r="E744" s="26"/>
    </row>
    <row r="745" spans="5:5" ht="15.75" customHeight="1">
      <c r="E745" s="26"/>
    </row>
    <row r="746" spans="5:5" ht="15.75" customHeight="1">
      <c r="E746" s="26"/>
    </row>
    <row r="747" spans="5:5" ht="15.75" customHeight="1">
      <c r="E747" s="26"/>
    </row>
    <row r="748" spans="5:5" ht="15.75" customHeight="1">
      <c r="E748" s="26"/>
    </row>
    <row r="749" spans="5:5" ht="15.75" customHeight="1">
      <c r="E749" s="26"/>
    </row>
    <row r="750" spans="5:5" ht="15.75" customHeight="1">
      <c r="E750" s="26"/>
    </row>
    <row r="751" spans="5:5" ht="15.75" customHeight="1">
      <c r="E751" s="26"/>
    </row>
    <row r="752" spans="5:5" ht="15.75" customHeight="1">
      <c r="E752" s="26"/>
    </row>
    <row r="753" spans="5:5" ht="15.75" customHeight="1">
      <c r="E753" s="26"/>
    </row>
    <row r="754" spans="5:5" ht="15.75" customHeight="1">
      <c r="E754" s="26"/>
    </row>
    <row r="755" spans="5:5" ht="15.75" customHeight="1">
      <c r="E755" s="26"/>
    </row>
    <row r="756" spans="5:5" ht="15.75" customHeight="1">
      <c r="E756" s="26"/>
    </row>
    <row r="757" spans="5:5" ht="15.75" customHeight="1">
      <c r="E757" s="26"/>
    </row>
    <row r="758" spans="5:5" ht="15.75" customHeight="1">
      <c r="E758" s="26"/>
    </row>
    <row r="759" spans="5:5" ht="15.75" customHeight="1">
      <c r="E759" s="26"/>
    </row>
    <row r="760" spans="5:5" ht="15.75" customHeight="1">
      <c r="E760" s="26"/>
    </row>
    <row r="761" spans="5:5" ht="15.75" customHeight="1">
      <c r="E761" s="26"/>
    </row>
    <row r="762" spans="5:5" ht="15.75" customHeight="1">
      <c r="E762" s="26"/>
    </row>
    <row r="763" spans="5:5" ht="15.75" customHeight="1">
      <c r="E763" s="26"/>
    </row>
    <row r="764" spans="5:5" ht="15.75" customHeight="1">
      <c r="E764" s="26"/>
    </row>
    <row r="765" spans="5:5" ht="15.75" customHeight="1">
      <c r="E765" s="26"/>
    </row>
    <row r="766" spans="5:5" ht="15.75" customHeight="1">
      <c r="E766" s="26"/>
    </row>
    <row r="767" spans="5:5" ht="15.75" customHeight="1">
      <c r="E767" s="26"/>
    </row>
    <row r="768" spans="5:5" ht="15.75" customHeight="1">
      <c r="E768" s="26"/>
    </row>
    <row r="769" spans="5:5" ht="15.75" customHeight="1">
      <c r="E769" s="26"/>
    </row>
    <row r="770" spans="5:5" ht="15.75" customHeight="1">
      <c r="E770" s="26"/>
    </row>
    <row r="771" spans="5:5" ht="15.75" customHeight="1">
      <c r="E771" s="26"/>
    </row>
    <row r="772" spans="5:5" ht="15.75" customHeight="1">
      <c r="E772" s="26"/>
    </row>
    <row r="773" spans="5:5" ht="15.75" customHeight="1">
      <c r="E773" s="26"/>
    </row>
    <row r="774" spans="5:5" ht="15.75" customHeight="1">
      <c r="E774" s="26"/>
    </row>
    <row r="775" spans="5:5" ht="15.75" customHeight="1">
      <c r="E775" s="26"/>
    </row>
    <row r="776" spans="5:5" ht="15.75" customHeight="1">
      <c r="E776" s="26"/>
    </row>
    <row r="777" spans="5:5" ht="15.75" customHeight="1">
      <c r="E777" s="26"/>
    </row>
    <row r="778" spans="5:5" ht="15.75" customHeight="1">
      <c r="E778" s="26"/>
    </row>
    <row r="779" spans="5:5" ht="15.75" customHeight="1">
      <c r="E779" s="26"/>
    </row>
    <row r="780" spans="5:5" ht="15.75" customHeight="1">
      <c r="E780" s="26"/>
    </row>
    <row r="781" spans="5:5" ht="15.75" customHeight="1">
      <c r="E781" s="26"/>
    </row>
    <row r="782" spans="5:5" ht="15.75" customHeight="1">
      <c r="E782" s="26"/>
    </row>
    <row r="783" spans="5:5" ht="15.75" customHeight="1">
      <c r="E783" s="26"/>
    </row>
    <row r="784" spans="5:5" ht="15.75" customHeight="1">
      <c r="E784" s="26"/>
    </row>
    <row r="785" spans="5:5" ht="15.75" customHeight="1">
      <c r="E785" s="26"/>
    </row>
    <row r="786" spans="5:5" ht="15.75" customHeight="1">
      <c r="E786" s="26"/>
    </row>
    <row r="787" spans="5:5" ht="15.75" customHeight="1">
      <c r="E787" s="26"/>
    </row>
    <row r="788" spans="5:5" ht="15.75" customHeight="1">
      <c r="E788" s="26"/>
    </row>
    <row r="789" spans="5:5" ht="15.75" customHeight="1">
      <c r="E789" s="26"/>
    </row>
    <row r="790" spans="5:5" ht="15.75" customHeight="1">
      <c r="E790" s="26"/>
    </row>
    <row r="791" spans="5:5" ht="15.75" customHeight="1">
      <c r="E791" s="26"/>
    </row>
    <row r="792" spans="5:5" ht="15.75" customHeight="1">
      <c r="E792" s="26"/>
    </row>
    <row r="793" spans="5:5" ht="15.75" customHeight="1">
      <c r="E793" s="26"/>
    </row>
    <row r="794" spans="5:5" ht="15.75" customHeight="1">
      <c r="E794" s="26"/>
    </row>
    <row r="795" spans="5:5" ht="15.75" customHeight="1">
      <c r="E795" s="26"/>
    </row>
    <row r="796" spans="5:5" ht="15.75" customHeight="1">
      <c r="E796" s="26"/>
    </row>
    <row r="797" spans="5:5" ht="15.75" customHeight="1">
      <c r="E797" s="26"/>
    </row>
    <row r="798" spans="5:5" ht="15.75" customHeight="1">
      <c r="E798" s="26"/>
    </row>
    <row r="799" spans="5:5" ht="15.75" customHeight="1">
      <c r="E799" s="26"/>
    </row>
    <row r="800" spans="5:5" ht="15.75" customHeight="1">
      <c r="E800" s="26"/>
    </row>
    <row r="801" spans="5:5" ht="15.75" customHeight="1">
      <c r="E801" s="26"/>
    </row>
    <row r="802" spans="5:5" ht="15.75" customHeight="1">
      <c r="E802" s="26"/>
    </row>
    <row r="803" spans="5:5" ht="15.75" customHeight="1">
      <c r="E803" s="26"/>
    </row>
    <row r="804" spans="5:5" ht="15.75" customHeight="1">
      <c r="E804" s="26"/>
    </row>
    <row r="805" spans="5:5" ht="15.75" customHeight="1">
      <c r="E805" s="26"/>
    </row>
    <row r="806" spans="5:5" ht="15.75" customHeight="1">
      <c r="E806" s="26"/>
    </row>
    <row r="807" spans="5:5" ht="15.75" customHeight="1">
      <c r="E807" s="26"/>
    </row>
    <row r="808" spans="5:5" ht="15.75" customHeight="1">
      <c r="E808" s="26"/>
    </row>
    <row r="809" spans="5:5" ht="15.75" customHeight="1">
      <c r="E809" s="26"/>
    </row>
    <row r="810" spans="5:5" ht="15.75" customHeight="1">
      <c r="E810" s="26"/>
    </row>
    <row r="811" spans="5:5" ht="15.75" customHeight="1">
      <c r="E811" s="26"/>
    </row>
    <row r="812" spans="5:5" ht="15.75" customHeight="1">
      <c r="E812" s="26"/>
    </row>
    <row r="813" spans="5:5" ht="15.75" customHeight="1">
      <c r="E813" s="26"/>
    </row>
    <row r="814" spans="5:5" ht="15.75" customHeight="1">
      <c r="E814" s="26"/>
    </row>
    <row r="815" spans="5:5" ht="15.75" customHeight="1">
      <c r="E815" s="26"/>
    </row>
    <row r="816" spans="5:5" ht="15.75" customHeight="1">
      <c r="E816" s="26"/>
    </row>
    <row r="817" spans="5:5" ht="15.75" customHeight="1">
      <c r="E817" s="26"/>
    </row>
    <row r="818" spans="5:5" ht="15.75" customHeight="1">
      <c r="E818" s="26"/>
    </row>
    <row r="819" spans="5:5" ht="15.75" customHeight="1">
      <c r="E819" s="26"/>
    </row>
    <row r="820" spans="5:5" ht="15.75" customHeight="1">
      <c r="E820" s="26"/>
    </row>
    <row r="821" spans="5:5" ht="15.75" customHeight="1">
      <c r="E821" s="26"/>
    </row>
    <row r="822" spans="5:5" ht="15.75" customHeight="1">
      <c r="E822" s="26"/>
    </row>
    <row r="823" spans="5:5" ht="15.75" customHeight="1">
      <c r="E823" s="26"/>
    </row>
    <row r="824" spans="5:5" ht="15.75" customHeight="1">
      <c r="E824" s="26"/>
    </row>
    <row r="825" spans="5:5" ht="15.75" customHeight="1">
      <c r="E825" s="26"/>
    </row>
    <row r="826" spans="5:5" ht="15.75" customHeight="1">
      <c r="E826" s="26"/>
    </row>
    <row r="827" spans="5:5" ht="15.75" customHeight="1">
      <c r="E827" s="26"/>
    </row>
    <row r="828" spans="5:5" ht="15.75" customHeight="1">
      <c r="E828" s="26"/>
    </row>
    <row r="829" spans="5:5" ht="15.75" customHeight="1">
      <c r="E829" s="26"/>
    </row>
    <row r="830" spans="5:5" ht="15.75" customHeight="1">
      <c r="E830" s="26"/>
    </row>
    <row r="831" spans="5:5" ht="15.75" customHeight="1">
      <c r="E831" s="26"/>
    </row>
    <row r="832" spans="5:5" ht="15.75" customHeight="1">
      <c r="E832" s="26"/>
    </row>
    <row r="833" spans="5:5" ht="15.75" customHeight="1">
      <c r="E833" s="26"/>
    </row>
    <row r="834" spans="5:5" ht="15.75" customHeight="1">
      <c r="E834" s="26"/>
    </row>
    <row r="835" spans="5:5" ht="15.75" customHeight="1">
      <c r="E835" s="26"/>
    </row>
    <row r="836" spans="5:5" ht="15.75" customHeight="1">
      <c r="E836" s="26"/>
    </row>
    <row r="837" spans="5:5" ht="15.75" customHeight="1">
      <c r="E837" s="26"/>
    </row>
    <row r="838" spans="5:5" ht="15.75" customHeight="1">
      <c r="E838" s="26"/>
    </row>
    <row r="839" spans="5:5" ht="15.75" customHeight="1">
      <c r="E839" s="26"/>
    </row>
    <row r="840" spans="5:5" ht="15.75" customHeight="1">
      <c r="E840" s="26"/>
    </row>
    <row r="841" spans="5:5" ht="15.75" customHeight="1">
      <c r="E841" s="26"/>
    </row>
    <row r="842" spans="5:5" ht="15.75" customHeight="1">
      <c r="E842" s="26"/>
    </row>
    <row r="843" spans="5:5" ht="15.75" customHeight="1">
      <c r="E843" s="26"/>
    </row>
    <row r="844" spans="5:5" ht="15.75" customHeight="1">
      <c r="E844" s="26"/>
    </row>
    <row r="845" spans="5:5" ht="15.75" customHeight="1">
      <c r="E845" s="26"/>
    </row>
    <row r="846" spans="5:5" ht="15.75" customHeight="1">
      <c r="E846" s="26"/>
    </row>
    <row r="847" spans="5:5" ht="15.75" customHeight="1">
      <c r="E847" s="26"/>
    </row>
    <row r="848" spans="5:5" ht="15.75" customHeight="1">
      <c r="E848" s="26"/>
    </row>
    <row r="849" spans="5:5" ht="15.75" customHeight="1">
      <c r="E849" s="26"/>
    </row>
    <row r="850" spans="5:5" ht="15.75" customHeight="1">
      <c r="E850" s="26"/>
    </row>
    <row r="851" spans="5:5" ht="15.75" customHeight="1">
      <c r="E851" s="26"/>
    </row>
    <row r="852" spans="5:5" ht="15.75" customHeight="1">
      <c r="E852" s="26"/>
    </row>
    <row r="853" spans="5:5" ht="15.75" customHeight="1">
      <c r="E853" s="26"/>
    </row>
    <row r="854" spans="5:5" ht="15.75" customHeight="1">
      <c r="E854" s="26"/>
    </row>
    <row r="855" spans="5:5" ht="15.75" customHeight="1">
      <c r="E855" s="26"/>
    </row>
    <row r="856" spans="5:5" ht="15.75" customHeight="1">
      <c r="E856" s="26"/>
    </row>
    <row r="857" spans="5:5" ht="15.75" customHeight="1">
      <c r="E857" s="26"/>
    </row>
    <row r="858" spans="5:5" ht="15.75" customHeight="1">
      <c r="E858" s="26"/>
    </row>
    <row r="859" spans="5:5" ht="15.75" customHeight="1">
      <c r="E859" s="26"/>
    </row>
    <row r="860" spans="5:5" ht="15.75" customHeight="1">
      <c r="E860" s="26"/>
    </row>
    <row r="861" spans="5:5" ht="15.75" customHeight="1">
      <c r="E861" s="26"/>
    </row>
    <row r="862" spans="5:5" ht="15.75" customHeight="1">
      <c r="E862" s="26"/>
    </row>
    <row r="863" spans="5:5" ht="15.75" customHeight="1">
      <c r="E863" s="26"/>
    </row>
    <row r="864" spans="5:5" ht="15.75" customHeight="1">
      <c r="E864" s="26"/>
    </row>
    <row r="865" spans="5:5" ht="15.75" customHeight="1">
      <c r="E865" s="26"/>
    </row>
    <row r="866" spans="5:5" ht="15.75" customHeight="1">
      <c r="E866" s="26"/>
    </row>
    <row r="867" spans="5:5" ht="15.75" customHeight="1">
      <c r="E867" s="26"/>
    </row>
    <row r="868" spans="5:5" ht="15.75" customHeight="1">
      <c r="E868" s="26"/>
    </row>
    <row r="869" spans="5:5" ht="15.75" customHeight="1">
      <c r="E869" s="26"/>
    </row>
    <row r="870" spans="5:5" ht="15.75" customHeight="1">
      <c r="E870" s="26"/>
    </row>
    <row r="871" spans="5:5" ht="15.75" customHeight="1">
      <c r="E871" s="26"/>
    </row>
    <row r="872" spans="5:5" ht="15.75" customHeight="1">
      <c r="E872" s="26"/>
    </row>
    <row r="873" spans="5:5" ht="15.75" customHeight="1">
      <c r="E873" s="26"/>
    </row>
    <row r="874" spans="5:5" ht="15.75" customHeight="1">
      <c r="E874" s="26"/>
    </row>
    <row r="875" spans="5:5" ht="15.75" customHeight="1">
      <c r="E875" s="26"/>
    </row>
    <row r="876" spans="5:5" ht="15.75" customHeight="1">
      <c r="E876" s="26"/>
    </row>
    <row r="877" spans="5:5" ht="15.75" customHeight="1">
      <c r="E877" s="26"/>
    </row>
    <row r="878" spans="5:5" ht="15.75" customHeight="1">
      <c r="E878" s="26"/>
    </row>
    <row r="879" spans="5:5" ht="15.75" customHeight="1">
      <c r="E879" s="26"/>
    </row>
    <row r="880" spans="5:5" ht="15.75" customHeight="1">
      <c r="E880" s="26"/>
    </row>
    <row r="881" spans="5:5" ht="15.75" customHeight="1">
      <c r="E881" s="26"/>
    </row>
    <row r="882" spans="5:5" ht="15.75" customHeight="1">
      <c r="E882" s="26"/>
    </row>
    <row r="883" spans="5:5" ht="15.75" customHeight="1">
      <c r="E883" s="26"/>
    </row>
    <row r="884" spans="5:5" ht="15.75" customHeight="1">
      <c r="E884" s="26"/>
    </row>
    <row r="885" spans="5:5" ht="15.75" customHeight="1">
      <c r="E885" s="26"/>
    </row>
    <row r="886" spans="5:5" ht="15.75" customHeight="1">
      <c r="E886" s="26"/>
    </row>
    <row r="887" spans="5:5" ht="15.75" customHeight="1">
      <c r="E887" s="26"/>
    </row>
    <row r="888" spans="5:5" ht="15.75" customHeight="1">
      <c r="E888" s="26"/>
    </row>
    <row r="889" spans="5:5" ht="15.75" customHeight="1">
      <c r="E889" s="26"/>
    </row>
    <row r="890" spans="5:5" ht="15.75" customHeight="1">
      <c r="E890" s="26"/>
    </row>
    <row r="891" spans="5:5" ht="15.75" customHeight="1">
      <c r="E891" s="26"/>
    </row>
    <row r="892" spans="5:5" ht="15.75" customHeight="1">
      <c r="E892" s="26"/>
    </row>
    <row r="893" spans="5:5" ht="15.75" customHeight="1">
      <c r="E893" s="26"/>
    </row>
    <row r="894" spans="5:5" ht="15.75" customHeight="1">
      <c r="E894" s="26"/>
    </row>
    <row r="895" spans="5:5" ht="15.75" customHeight="1">
      <c r="E895" s="26"/>
    </row>
    <row r="896" spans="5:5" ht="15.75" customHeight="1">
      <c r="E896" s="26"/>
    </row>
    <row r="897" spans="5:5" ht="15.75" customHeight="1">
      <c r="E897" s="26"/>
    </row>
    <row r="898" spans="5:5" ht="15.75" customHeight="1">
      <c r="E898" s="26"/>
    </row>
    <row r="899" spans="5:5" ht="15.75" customHeight="1">
      <c r="E899" s="26"/>
    </row>
    <row r="900" spans="5:5" ht="15.75" customHeight="1">
      <c r="E900" s="26"/>
    </row>
    <row r="901" spans="5:5" ht="15.75" customHeight="1">
      <c r="E901" s="26"/>
    </row>
    <row r="902" spans="5:5" ht="15.75" customHeight="1">
      <c r="E902" s="26"/>
    </row>
    <row r="903" spans="5:5" ht="15.75" customHeight="1">
      <c r="E903" s="26"/>
    </row>
    <row r="904" spans="5:5" ht="15.75" customHeight="1">
      <c r="E904" s="26"/>
    </row>
    <row r="905" spans="5:5" ht="15.75" customHeight="1">
      <c r="E905" s="26"/>
    </row>
    <row r="906" spans="5:5" ht="15.75" customHeight="1">
      <c r="E906" s="26"/>
    </row>
    <row r="907" spans="5:5" ht="15.75" customHeight="1">
      <c r="E907" s="26"/>
    </row>
    <row r="908" spans="5:5" ht="15.75" customHeight="1">
      <c r="E908" s="26"/>
    </row>
    <row r="909" spans="5:5" ht="15.75" customHeight="1">
      <c r="E909" s="26"/>
    </row>
    <row r="910" spans="5:5" ht="15.75" customHeight="1">
      <c r="E910" s="26"/>
    </row>
    <row r="911" spans="5:5" ht="15.75" customHeight="1">
      <c r="E911" s="26"/>
    </row>
    <row r="912" spans="5:5" ht="15.75" customHeight="1">
      <c r="E912" s="26"/>
    </row>
    <row r="913" spans="5:5" ht="15.75" customHeight="1">
      <c r="E913" s="26"/>
    </row>
    <row r="914" spans="5:5" ht="15.75" customHeight="1">
      <c r="E914" s="26"/>
    </row>
    <row r="915" spans="5:5" ht="15.75" customHeight="1">
      <c r="E915" s="26"/>
    </row>
    <row r="916" spans="5:5" ht="15.75" customHeight="1">
      <c r="E916" s="26"/>
    </row>
    <row r="917" spans="5:5" ht="15.75" customHeight="1">
      <c r="E917" s="26"/>
    </row>
    <row r="918" spans="5:5" ht="15.75" customHeight="1">
      <c r="E918" s="26"/>
    </row>
    <row r="919" spans="5:5" ht="15.75" customHeight="1">
      <c r="E919" s="26"/>
    </row>
    <row r="920" spans="5:5" ht="15.75" customHeight="1">
      <c r="E920" s="26"/>
    </row>
    <row r="921" spans="5:5" ht="15.75" customHeight="1">
      <c r="E921" s="26"/>
    </row>
    <row r="922" spans="5:5" ht="15.75" customHeight="1">
      <c r="E922" s="26"/>
    </row>
    <row r="923" spans="5:5" ht="15.75" customHeight="1">
      <c r="E923" s="26"/>
    </row>
    <row r="924" spans="5:5" ht="15.75" customHeight="1">
      <c r="E924" s="26"/>
    </row>
    <row r="925" spans="5:5" ht="15.75" customHeight="1">
      <c r="E925" s="26"/>
    </row>
    <row r="926" spans="5:5" ht="15.75" customHeight="1">
      <c r="E926" s="26"/>
    </row>
    <row r="927" spans="5:5" ht="15.75" customHeight="1">
      <c r="E927" s="26"/>
    </row>
    <row r="928" spans="5:5" ht="15.75" customHeight="1">
      <c r="E928" s="26"/>
    </row>
    <row r="929" spans="5:5" ht="15.75" customHeight="1">
      <c r="E929" s="26"/>
    </row>
    <row r="930" spans="5:5" ht="15.75" customHeight="1">
      <c r="E930" s="26"/>
    </row>
    <row r="931" spans="5:5" ht="15.75" customHeight="1">
      <c r="E931" s="26"/>
    </row>
    <row r="932" spans="5:5" ht="15.75" customHeight="1">
      <c r="E932" s="26"/>
    </row>
    <row r="933" spans="5:5" ht="15.75" customHeight="1">
      <c r="E933" s="26"/>
    </row>
    <row r="934" spans="5:5" ht="15.75" customHeight="1">
      <c r="E934" s="26"/>
    </row>
    <row r="935" spans="5:5" ht="15.75" customHeight="1">
      <c r="E935" s="26"/>
    </row>
    <row r="936" spans="5:5" ht="15.75" customHeight="1">
      <c r="E936" s="26"/>
    </row>
    <row r="937" spans="5:5" ht="15.75" customHeight="1">
      <c r="E937" s="26"/>
    </row>
    <row r="938" spans="5:5" ht="15.75" customHeight="1">
      <c r="E938" s="26"/>
    </row>
    <row r="939" spans="5:5" ht="15.75" customHeight="1">
      <c r="E939" s="26"/>
    </row>
    <row r="940" spans="5:5" ht="15.75" customHeight="1">
      <c r="E940" s="26"/>
    </row>
    <row r="941" spans="5:5" ht="15.75" customHeight="1">
      <c r="E941" s="26"/>
    </row>
    <row r="942" spans="5:5" ht="15.75" customHeight="1">
      <c r="E942" s="26"/>
    </row>
    <row r="943" spans="5:5" ht="15.75" customHeight="1">
      <c r="E943" s="26"/>
    </row>
    <row r="944" spans="5:5" ht="15.75" customHeight="1">
      <c r="E944" s="26"/>
    </row>
    <row r="945" spans="5:5" ht="15.75" customHeight="1">
      <c r="E945" s="26"/>
    </row>
    <row r="946" spans="5:5" ht="15.75" customHeight="1">
      <c r="E946" s="26"/>
    </row>
    <row r="947" spans="5:5" ht="15.75" customHeight="1">
      <c r="E947" s="26"/>
    </row>
    <row r="948" spans="5:5" ht="15.75" customHeight="1">
      <c r="E948" s="26"/>
    </row>
    <row r="949" spans="5:5" ht="15.75" customHeight="1">
      <c r="E949" s="26"/>
    </row>
    <row r="950" spans="5:5" ht="15.75" customHeight="1">
      <c r="E950" s="26"/>
    </row>
    <row r="951" spans="5:5" ht="15.75" customHeight="1">
      <c r="E951" s="26"/>
    </row>
    <row r="952" spans="5:5" ht="15.75" customHeight="1">
      <c r="E952" s="26"/>
    </row>
    <row r="953" spans="5:5" ht="15.75" customHeight="1">
      <c r="E953" s="26"/>
    </row>
    <row r="954" spans="5:5" ht="15.75" customHeight="1">
      <c r="E954" s="26"/>
    </row>
    <row r="955" spans="5:5" ht="15.75" customHeight="1">
      <c r="E955" s="26"/>
    </row>
    <row r="956" spans="5:5" ht="15.75" customHeight="1">
      <c r="E956" s="26"/>
    </row>
    <row r="957" spans="5:5" ht="15.75" customHeight="1">
      <c r="E957" s="26"/>
    </row>
    <row r="958" spans="5:5" ht="15.75" customHeight="1">
      <c r="E958" s="26"/>
    </row>
    <row r="959" spans="5:5" ht="15.75" customHeight="1">
      <c r="E959" s="26"/>
    </row>
    <row r="960" spans="5:5" ht="15.75" customHeight="1">
      <c r="E960" s="26"/>
    </row>
    <row r="961" spans="5:5" ht="15.75" customHeight="1">
      <c r="E961" s="26"/>
    </row>
    <row r="962" spans="5:5" ht="15.75" customHeight="1">
      <c r="E962" s="26"/>
    </row>
    <row r="963" spans="5:5" ht="15.75" customHeight="1">
      <c r="E963" s="26"/>
    </row>
    <row r="964" spans="5:5" ht="15.75" customHeight="1">
      <c r="E964" s="26"/>
    </row>
    <row r="965" spans="5:5" ht="15.75" customHeight="1">
      <c r="E965" s="26"/>
    </row>
    <row r="966" spans="5:5" ht="15.75" customHeight="1">
      <c r="E966" s="26"/>
    </row>
    <row r="967" spans="5:5" ht="15.75" customHeight="1">
      <c r="E967" s="26"/>
    </row>
    <row r="968" spans="5:5" ht="15.75" customHeight="1">
      <c r="E968" s="26"/>
    </row>
    <row r="969" spans="5:5" ht="15.75" customHeight="1">
      <c r="E969" s="26"/>
    </row>
    <row r="970" spans="5:5" ht="15.75" customHeight="1">
      <c r="E970" s="26"/>
    </row>
    <row r="971" spans="5:5" ht="15.75" customHeight="1">
      <c r="E971" s="26"/>
    </row>
    <row r="972" spans="5:5" ht="15.75" customHeight="1">
      <c r="E972" s="26"/>
    </row>
    <row r="973" spans="5:5" ht="15.75" customHeight="1">
      <c r="E973" s="26"/>
    </row>
    <row r="974" spans="5:5" ht="15.75" customHeight="1">
      <c r="E974" s="26"/>
    </row>
    <row r="975" spans="5:5" ht="15.75" customHeight="1">
      <c r="E975" s="26"/>
    </row>
    <row r="976" spans="5:5" ht="15.75" customHeight="1">
      <c r="E976" s="26"/>
    </row>
    <row r="977" spans="5:5" ht="15.75" customHeight="1">
      <c r="E977" s="26"/>
    </row>
    <row r="978" spans="5:5" ht="15.75" customHeight="1">
      <c r="E978" s="26"/>
    </row>
    <row r="979" spans="5:5" ht="15.75" customHeight="1">
      <c r="E979" s="26"/>
    </row>
    <row r="980" spans="5:5" ht="15.75" customHeight="1">
      <c r="E980" s="26"/>
    </row>
    <row r="981" spans="5:5" ht="15.75" customHeight="1">
      <c r="E981" s="26"/>
    </row>
    <row r="982" spans="5:5" ht="15.75" customHeight="1">
      <c r="E982" s="26"/>
    </row>
    <row r="983" spans="5:5" ht="15.75" customHeight="1">
      <c r="E983" s="26"/>
    </row>
    <row r="984" spans="5:5" ht="15.75" customHeight="1">
      <c r="E984" s="26"/>
    </row>
    <row r="985" spans="5:5" ht="15.75" customHeight="1">
      <c r="E985" s="26"/>
    </row>
    <row r="986" spans="5:5" ht="15.75" customHeight="1">
      <c r="E986" s="26"/>
    </row>
    <row r="987" spans="5:5" ht="15.75" customHeight="1">
      <c r="E987" s="26"/>
    </row>
    <row r="988" spans="5:5" ht="15.75" customHeight="1">
      <c r="E988" s="26"/>
    </row>
    <row r="989" spans="5:5" ht="15.75" customHeight="1">
      <c r="E989" s="26"/>
    </row>
    <row r="990" spans="5:5" ht="15.75" customHeight="1">
      <c r="E990" s="26"/>
    </row>
    <row r="991" spans="5:5" ht="15.75" customHeight="1">
      <c r="E991" s="26"/>
    </row>
    <row r="992" spans="5:5" ht="15.75" customHeight="1">
      <c r="E992" s="26"/>
    </row>
    <row r="993" spans="5:5" ht="15.75" customHeight="1">
      <c r="E993" s="2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Lookups!$A$1:$A$6</xm:f>
          </x14:formula1>
          <xm:sqref>B2 B119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3" max="3" width="28.1640625" customWidth="1"/>
  </cols>
  <sheetData>
    <row r="1" spans="1:26">
      <c r="A1" s="1" t="s">
        <v>0</v>
      </c>
      <c r="B1" s="1" t="s">
        <v>1</v>
      </c>
      <c r="C1" s="2" t="s">
        <v>276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 t="s">
        <v>8</v>
      </c>
      <c r="B2" s="6" t="s">
        <v>9</v>
      </c>
      <c r="C2" s="7" t="s">
        <v>10</v>
      </c>
      <c r="D2" s="8">
        <f ca="1">IFERROR(__xludf.DUMMYFUNCTION("SPLIT(C2,"","")"),57.0482555)</f>
        <v>57.048255500000003</v>
      </c>
      <c r="E2" s="9">
        <f ca="1">IFERROR(__xludf.DUMMYFUNCTION("""COMPUTED_VALUE"""),9.913457)</f>
        <v>9.9134569999999993</v>
      </c>
      <c r="F2" s="10" t="s">
        <v>11</v>
      </c>
      <c r="G2" s="6">
        <v>3</v>
      </c>
      <c r="H2" s="11" t="s">
        <v>12</v>
      </c>
    </row>
    <row r="3" spans="1:26">
      <c r="A3" s="11" t="s">
        <v>1059</v>
      </c>
      <c r="B3" s="11" t="s">
        <v>9</v>
      </c>
      <c r="C3" s="12" t="s">
        <v>1060</v>
      </c>
      <c r="D3" s="8">
        <f ca="1">IFERROR(__xludf.DUMMYFUNCTION("SPLIT(C3,"","")"),56.623432377039)</f>
        <v>56.623432377039002</v>
      </c>
      <c r="E3" s="11">
        <f ca="1">IFERROR(__xludf.DUMMYFUNCTION("""COMPUTED_VALUE"""),9.77017806919847)</f>
        <v>9.7701780691984705</v>
      </c>
      <c r="G3" s="11">
        <v>5</v>
      </c>
      <c r="H3" s="11" t="s">
        <v>1061</v>
      </c>
    </row>
    <row r="4" spans="1:26">
      <c r="A4" s="11" t="s">
        <v>343</v>
      </c>
      <c r="B4" s="11" t="s">
        <v>1062</v>
      </c>
      <c r="C4" s="12" t="s">
        <v>1063</v>
      </c>
      <c r="D4" s="8">
        <f ca="1">IFERROR(__xludf.DUMMYFUNCTION("SPLIT(C4,"","")"),57.7253765607988)</f>
        <v>57.7253765607988</v>
      </c>
      <c r="E4" s="11">
        <f ca="1">IFERROR(__xludf.DUMMYFUNCTION("""COMPUTED_VALUE"""),10.5723699650336)</f>
        <v>10.5723699650336</v>
      </c>
      <c r="G4" s="11">
        <v>5</v>
      </c>
      <c r="H4" s="11" t="s">
        <v>1061</v>
      </c>
    </row>
    <row r="5" spans="1:26">
      <c r="C5" s="12"/>
      <c r="D5" s="8" t="str">
        <f ca="1">IFERROR(__xludf.DUMMYFUNCTION("SPLIT(C5,"","")"),"#VALUE!")</f>
        <v>#VALUE!</v>
      </c>
    </row>
    <row r="6" spans="1:26">
      <c r="C6" s="12"/>
      <c r="D6" s="8" t="str">
        <f ca="1">IFERROR(__xludf.DUMMYFUNCTION("SPLIT(C6,"","")"),"#VALUE!")</f>
        <v>#VALUE!</v>
      </c>
    </row>
    <row r="7" spans="1:26">
      <c r="C7" s="12"/>
      <c r="D7" s="8" t="str">
        <f ca="1">IFERROR(__xludf.DUMMYFUNCTION("SPLIT(C7,"","")"),"#VALUE!")</f>
        <v>#VALUE!</v>
      </c>
    </row>
    <row r="8" spans="1:26">
      <c r="C8" s="12"/>
      <c r="D8" s="8" t="str">
        <f ca="1">IFERROR(__xludf.DUMMYFUNCTION("SPLIT(C8,"","")"),"#VALUE!")</f>
        <v>#VALUE!</v>
      </c>
    </row>
    <row r="9" spans="1:26">
      <c r="C9" s="12"/>
      <c r="D9" s="8" t="str">
        <f ca="1">IFERROR(__xludf.DUMMYFUNCTION("SPLIT(C9,"","")"),"#VALUE!")</f>
        <v>#VALUE!</v>
      </c>
    </row>
    <row r="10" spans="1:26">
      <c r="A10" s="11" t="s">
        <v>1064</v>
      </c>
      <c r="B10" s="11" t="s">
        <v>1065</v>
      </c>
      <c r="C10" s="12" t="s">
        <v>1066</v>
      </c>
      <c r="D10" s="8">
        <f ca="1">IFERROR(__xludf.DUMMYFUNCTION("SPLIT(C10,"","")"),56.15857)</f>
        <v>56.158569999999997</v>
      </c>
      <c r="E10" s="11">
        <f ca="1">IFERROR(__xludf.DUMMYFUNCTION("""COMPUTED_VALUE"""),10.21044)</f>
        <v>10.21044</v>
      </c>
      <c r="F10" s="11" t="s">
        <v>1067</v>
      </c>
      <c r="G10" s="11">
        <v>5</v>
      </c>
      <c r="H10" s="11" t="s">
        <v>1068</v>
      </c>
    </row>
    <row r="11" spans="1:26">
      <c r="A11" s="11" t="s">
        <v>1069</v>
      </c>
      <c r="B11" s="11" t="s">
        <v>9</v>
      </c>
      <c r="C11" s="12" t="s">
        <v>1070</v>
      </c>
      <c r="D11" s="8">
        <f ca="1">IFERROR(__xludf.DUMMYFUNCTION("SPLIT(C11,"","")"),56.17047)</f>
        <v>56.170470000000002</v>
      </c>
      <c r="E11" s="11">
        <f ca="1">IFERROR(__xludf.DUMMYFUNCTION("""COMPUTED_VALUE"""),10.19937)</f>
        <v>10.19937</v>
      </c>
      <c r="F11" s="11" t="s">
        <v>1071</v>
      </c>
      <c r="G11" s="11">
        <v>5</v>
      </c>
      <c r="H11" s="11" t="s">
        <v>1068</v>
      </c>
    </row>
    <row r="12" spans="1:26">
      <c r="A12" s="11" t="s">
        <v>1072</v>
      </c>
      <c r="B12" s="11" t="s">
        <v>9</v>
      </c>
      <c r="C12" s="12" t="s">
        <v>1073</v>
      </c>
      <c r="D12" s="8">
        <f ca="1">IFERROR(__xludf.DUMMYFUNCTION("SPLIT(C12,"","")"),56.15605)</f>
        <v>56.15605</v>
      </c>
      <c r="E12" s="11">
        <f ca="1">IFERROR(__xludf.DUMMYFUNCTION("""COMPUTED_VALUE"""),10.20613)</f>
        <v>10.20613</v>
      </c>
      <c r="F12" s="11" t="s">
        <v>1074</v>
      </c>
      <c r="G12" s="11">
        <v>5</v>
      </c>
      <c r="H12" s="11" t="s">
        <v>1068</v>
      </c>
    </row>
    <row r="13" spans="1:26">
      <c r="A13" s="11" t="s">
        <v>1075</v>
      </c>
      <c r="B13" s="11" t="s">
        <v>9</v>
      </c>
      <c r="C13" s="12" t="s">
        <v>1076</v>
      </c>
      <c r="D13" s="8">
        <f ca="1">IFERROR(__xludf.DUMMYFUNCTION("SPLIT(C13,"","")"),56.16739)</f>
        <v>56.167389999999997</v>
      </c>
      <c r="E13" s="11">
        <f ca="1">IFERROR(__xludf.DUMMYFUNCTION("""COMPUTED_VALUE"""),10.18795)</f>
        <v>10.187950000000001</v>
      </c>
      <c r="F13" s="11" t="s">
        <v>1077</v>
      </c>
      <c r="G13" s="11">
        <v>5</v>
      </c>
      <c r="H13" s="11" t="s">
        <v>1068</v>
      </c>
    </row>
    <row r="14" spans="1:26">
      <c r="C14" s="12"/>
      <c r="D14" s="8" t="str">
        <f ca="1">IFERROR(__xludf.DUMMYFUNCTION("SPLIT(C14,"","")"),"#VALUE!")</f>
        <v>#VALUE!</v>
      </c>
    </row>
    <row r="15" spans="1:26">
      <c r="C15" s="12"/>
      <c r="D15" s="8" t="str">
        <f ca="1">IFERROR(__xludf.DUMMYFUNCTION("SPLIT(C15,"","")"),"#VALUE!")</f>
        <v>#VALUE!</v>
      </c>
    </row>
    <row r="16" spans="1:26">
      <c r="C16" s="12"/>
      <c r="D16" s="8" t="str">
        <f ca="1">IFERROR(__xludf.DUMMYFUNCTION("SPLIT(C16,"","")"),"#VALUE!")</f>
        <v>#VALUE!</v>
      </c>
    </row>
    <row r="17" spans="1:8">
      <c r="C17" s="12"/>
      <c r="D17" s="8" t="str">
        <f ca="1">IFERROR(__xludf.DUMMYFUNCTION("SPLIT(C17,"","")"),"#VALUE!")</f>
        <v>#VALUE!</v>
      </c>
    </row>
    <row r="18" spans="1:8">
      <c r="A18" s="11" t="s">
        <v>1078</v>
      </c>
      <c r="B18" s="11" t="s">
        <v>1065</v>
      </c>
      <c r="C18" s="12" t="s">
        <v>1079</v>
      </c>
      <c r="D18" s="8">
        <f ca="1">IFERROR(__xludf.DUMMYFUNCTION("SPLIT(C18,"","")"),55.6861663099101)</f>
        <v>55.686166309910099</v>
      </c>
      <c r="E18" s="11">
        <f ca="1">IFERROR(__xludf.DUMMYFUNCTION("""COMPUTED_VALUE"""),12.597241097429)</f>
        <v>12.597241097429</v>
      </c>
      <c r="F18" s="11" t="s">
        <v>1080</v>
      </c>
      <c r="G18" s="11" t="s">
        <v>1081</v>
      </c>
      <c r="H18" s="11" t="s">
        <v>1082</v>
      </c>
    </row>
    <row r="19" spans="1:8">
      <c r="A19" s="11" t="s">
        <v>1083</v>
      </c>
      <c r="B19" s="11" t="s">
        <v>51</v>
      </c>
      <c r="C19" s="12" t="s">
        <v>1084</v>
      </c>
      <c r="D19" s="8">
        <f ca="1">IFERROR(__xludf.DUMMYFUNCTION("SPLIT(C19,"","")"),55.6778364983942)</f>
        <v>55.6778364983942</v>
      </c>
      <c r="E19" s="11">
        <f ca="1">IFERROR(__xludf.DUMMYFUNCTION("""COMPUTED_VALUE"""),12.5965829702349)</f>
        <v>12.5965829702349</v>
      </c>
      <c r="F19" s="11" t="s">
        <v>1085</v>
      </c>
      <c r="G19" s="11" t="s">
        <v>1081</v>
      </c>
      <c r="H19" s="11" t="s">
        <v>1082</v>
      </c>
    </row>
    <row r="20" spans="1:8">
      <c r="A20" s="11" t="s">
        <v>1083</v>
      </c>
      <c r="B20" s="11" t="s">
        <v>51</v>
      </c>
      <c r="C20" s="12" t="s">
        <v>1086</v>
      </c>
      <c r="D20" s="8">
        <f ca="1">IFERROR(__xludf.DUMMYFUNCTION("SPLIT(C20,"","")"),55.4078616949564)</f>
        <v>55.407861694956402</v>
      </c>
      <c r="E20" s="11">
        <f ca="1">IFERROR(__xludf.DUMMYFUNCTION("""COMPUTED_VALUE"""),10.3802079127471)</f>
        <v>10.3802079127471</v>
      </c>
      <c r="F20" s="11" t="s">
        <v>1085</v>
      </c>
      <c r="G20" s="11" t="s">
        <v>1081</v>
      </c>
      <c r="H20" s="11" t="s">
        <v>1082</v>
      </c>
    </row>
    <row r="21" spans="1:8">
      <c r="C21" s="12"/>
      <c r="D21" s="8" t="str">
        <f ca="1">IFERROR(__xludf.DUMMYFUNCTION("SPLIT(C21,"","")"),"#VALUE!")</f>
        <v>#VALUE!</v>
      </c>
    </row>
    <row r="22" spans="1:8">
      <c r="C22" s="12"/>
      <c r="D22" s="8" t="str">
        <f ca="1">IFERROR(__xludf.DUMMYFUNCTION("SPLIT(C22,"","")"),"#VALUE!")</f>
        <v>#VALUE!</v>
      </c>
    </row>
    <row r="23" spans="1:8">
      <c r="C23" s="12"/>
      <c r="D23" s="8" t="str">
        <f ca="1">IFERROR(__xludf.DUMMYFUNCTION("SPLIT(C23,"","")"),"#VALUE!")</f>
        <v>#VALUE!</v>
      </c>
    </row>
    <row r="24" spans="1:8">
      <c r="C24" s="12"/>
      <c r="D24" s="8" t="str">
        <f ca="1">IFERROR(__xludf.DUMMYFUNCTION("SPLIT(C24,"","")"),"#VALUE!")</f>
        <v>#VALUE!</v>
      </c>
    </row>
    <row r="25" spans="1:8">
      <c r="C25" s="12"/>
      <c r="D25" s="8" t="str">
        <f ca="1">IFERROR(__xludf.DUMMYFUNCTION("SPLIT(C25,"","")"),"#VALUE!")</f>
        <v>#VALUE!</v>
      </c>
    </row>
    <row r="26" spans="1:8">
      <c r="C26" s="12"/>
      <c r="D26" s="8" t="str">
        <f ca="1">IFERROR(__xludf.DUMMYFUNCTION("SPLIT(C26,"","")"),"#VALUE!")</f>
        <v>#VALUE!</v>
      </c>
    </row>
    <row r="27" spans="1:8">
      <c r="C27" s="12"/>
      <c r="D27" s="8" t="str">
        <f ca="1">IFERROR(__xludf.DUMMYFUNCTION("SPLIT(C27,"","")"),"#VALUE!")</f>
        <v>#VALUE!</v>
      </c>
    </row>
    <row r="28" spans="1:8">
      <c r="C28" s="12"/>
      <c r="D28" s="8" t="str">
        <f ca="1">IFERROR(__xludf.DUMMYFUNCTION("SPLIT(C28,"","")"),"#VALUE!")</f>
        <v>#VALUE!</v>
      </c>
    </row>
    <row r="29" spans="1:8">
      <c r="C29" s="12"/>
      <c r="D29" s="8" t="str">
        <f ca="1">IFERROR(__xludf.DUMMYFUNCTION("SPLIT(C29,"","")"),"#VALUE!")</f>
        <v>#VALUE!</v>
      </c>
    </row>
    <row r="30" spans="1:8">
      <c r="C30" s="12"/>
      <c r="D30" s="8" t="str">
        <f ca="1">IFERROR(__xludf.DUMMYFUNCTION("SPLIT(C30,"","")"),"#VALUE!")</f>
        <v>#VALUE!</v>
      </c>
    </row>
    <row r="31" spans="1:8">
      <c r="C31" s="12"/>
      <c r="D31" s="8" t="str">
        <f ca="1">IFERROR(__xludf.DUMMYFUNCTION("SPLIT(C31,"","")"),"#VALUE!")</f>
        <v>#VALUE!</v>
      </c>
    </row>
    <row r="32" spans="1:8">
      <c r="C32" s="12"/>
      <c r="D32" s="8" t="str">
        <f ca="1">IFERROR(__xludf.DUMMYFUNCTION("SPLIT(C32,"","")"),"#VALUE!")</f>
        <v>#VALUE!</v>
      </c>
    </row>
    <row r="33" spans="3:4">
      <c r="C33" s="12"/>
      <c r="D33" s="8" t="str">
        <f ca="1">IFERROR(__xludf.DUMMYFUNCTION("SPLIT(C33,"","")"),"#VALUE!")</f>
        <v>#VALUE!</v>
      </c>
    </row>
    <row r="34" spans="3:4">
      <c r="C34" s="12"/>
      <c r="D34" s="8" t="str">
        <f ca="1">IFERROR(__xludf.DUMMYFUNCTION("SPLIT(C34,"","")"),"#VALUE!")</f>
        <v>#VALUE!</v>
      </c>
    </row>
    <row r="35" spans="3:4">
      <c r="C35" s="12"/>
      <c r="D35" s="8" t="str">
        <f ca="1">IFERROR(__xludf.DUMMYFUNCTION("SPLIT(C35,"","")"),"#VALUE!")</f>
        <v>#VALUE!</v>
      </c>
    </row>
    <row r="36" spans="3:4">
      <c r="C36" s="12"/>
      <c r="D36" s="8" t="str">
        <f ca="1">IFERROR(__xludf.DUMMYFUNCTION("SPLIT(C36,"","")"),"#VALUE!")</f>
        <v>#VALUE!</v>
      </c>
    </row>
    <row r="37" spans="3:4">
      <c r="C37" s="12"/>
      <c r="D37" s="8" t="str">
        <f ca="1">IFERROR(__xludf.DUMMYFUNCTION("SPLIT(C37,"","")"),"#VALUE!")</f>
        <v>#VALUE!</v>
      </c>
    </row>
    <row r="38" spans="3:4">
      <c r="C38" s="12"/>
      <c r="D38" s="8" t="str">
        <f ca="1">IFERROR(__xludf.DUMMYFUNCTION("SPLIT(C38,"","")"),"#VALUE!")</f>
        <v>#VALUE!</v>
      </c>
    </row>
    <row r="39" spans="3:4">
      <c r="C39" s="12"/>
      <c r="D39" s="8" t="str">
        <f ca="1">IFERROR(__xludf.DUMMYFUNCTION("SPLIT(C39,"","")"),"#VALUE!")</f>
        <v>#VALUE!</v>
      </c>
    </row>
    <row r="40" spans="3:4">
      <c r="C40" s="12"/>
      <c r="D40" s="8" t="str">
        <f ca="1">IFERROR(__xludf.DUMMYFUNCTION("SPLIT(C40,"","")"),"#VALUE!")</f>
        <v>#VALUE!</v>
      </c>
    </row>
    <row r="41" spans="3:4">
      <c r="C41" s="12"/>
      <c r="D41" s="8" t="str">
        <f ca="1">IFERROR(__xludf.DUMMYFUNCTION("SPLIT(C41,"","")"),"#VALUE!")</f>
        <v>#VALUE!</v>
      </c>
    </row>
    <row r="42" spans="3:4">
      <c r="C42" s="12"/>
      <c r="D42" s="8" t="str">
        <f ca="1">IFERROR(__xludf.DUMMYFUNCTION("SPLIT(C42,"","")"),"#VALUE!")</f>
        <v>#VALUE!</v>
      </c>
    </row>
    <row r="43" spans="3:4">
      <c r="C43" s="12"/>
      <c r="D43" s="8" t="str">
        <f ca="1">IFERROR(__xludf.DUMMYFUNCTION("SPLIT(C43,"","")"),"#VALUE!")</f>
        <v>#VALUE!</v>
      </c>
    </row>
    <row r="44" spans="3:4">
      <c r="C44" s="12"/>
      <c r="D44" s="8" t="str">
        <f ca="1">IFERROR(__xludf.DUMMYFUNCTION("SPLIT(C44,"","")"),"#VALUE!")</f>
        <v>#VALUE!</v>
      </c>
    </row>
    <row r="45" spans="3:4">
      <c r="C45" s="12"/>
      <c r="D45" s="8" t="str">
        <f ca="1">IFERROR(__xludf.DUMMYFUNCTION("SPLIT(C45,"","")"),"#VALUE!")</f>
        <v>#VALUE!</v>
      </c>
    </row>
    <row r="46" spans="3:4">
      <c r="C46" s="12"/>
      <c r="D46" s="8" t="str">
        <f ca="1">IFERROR(__xludf.DUMMYFUNCTION("SPLIT(C46,"","")"),"#VALUE!")</f>
        <v>#VALUE!</v>
      </c>
    </row>
    <row r="47" spans="3:4">
      <c r="C47" s="12"/>
      <c r="D47" s="8" t="str">
        <f ca="1">IFERROR(__xludf.DUMMYFUNCTION("SPLIT(C47,"","")"),"#VALUE!")</f>
        <v>#VALUE!</v>
      </c>
    </row>
    <row r="48" spans="3:4">
      <c r="C48" s="12"/>
      <c r="D48" s="8" t="str">
        <f ca="1">IFERROR(__xludf.DUMMYFUNCTION("SPLIT(C48,"","")"),"#VALUE!")</f>
        <v>#VALUE!</v>
      </c>
    </row>
    <row r="49" spans="3:4">
      <c r="C49" s="12"/>
      <c r="D49" s="8" t="str">
        <f ca="1">IFERROR(__xludf.DUMMYFUNCTION("SPLIT(C49,"","")"),"#VALUE!")</f>
        <v>#VALUE!</v>
      </c>
    </row>
    <row r="50" spans="3:4">
      <c r="C50" s="12"/>
      <c r="D50" s="8" t="str">
        <f ca="1">IFERROR(__xludf.DUMMYFUNCTION("SPLIT(C50,"","")"),"#VALUE!")</f>
        <v>#VALUE!</v>
      </c>
    </row>
    <row r="51" spans="3:4">
      <c r="C51" s="12"/>
      <c r="D51" s="8" t="str">
        <f ca="1">IFERROR(__xludf.DUMMYFUNCTION("SPLIT(C51,"","")"),"#VALUE!")</f>
        <v>#VALUE!</v>
      </c>
    </row>
    <row r="52" spans="3:4">
      <c r="C52" s="12"/>
      <c r="D52" s="8" t="str">
        <f ca="1">IFERROR(__xludf.DUMMYFUNCTION("SPLIT(C52,"","")"),"#VALUE!")</f>
        <v>#VALUE!</v>
      </c>
    </row>
    <row r="53" spans="3:4">
      <c r="C53" s="12"/>
      <c r="D53" s="8" t="str">
        <f ca="1">IFERROR(__xludf.DUMMYFUNCTION("SPLIT(C53,"","")"),"#VALUE!")</f>
        <v>#VALUE!</v>
      </c>
    </row>
    <row r="54" spans="3:4">
      <c r="C54" s="12"/>
      <c r="D54" s="8" t="str">
        <f ca="1">IFERROR(__xludf.DUMMYFUNCTION("SPLIT(C54,"","")"),"#VALUE!")</f>
        <v>#VALUE!</v>
      </c>
    </row>
    <row r="55" spans="3:4" ht="15.75" customHeight="1">
      <c r="C55" s="12"/>
    </row>
    <row r="56" spans="3:4" ht="15.75" customHeight="1">
      <c r="C56" s="12"/>
    </row>
    <row r="57" spans="3:4" ht="15.75" customHeight="1">
      <c r="C57" s="12"/>
    </row>
    <row r="58" spans="3:4" ht="15.75" customHeight="1">
      <c r="C58" s="12"/>
    </row>
    <row r="59" spans="3:4" ht="15.75" customHeight="1">
      <c r="C59" s="12"/>
    </row>
    <row r="60" spans="3:4" ht="15.75" customHeight="1">
      <c r="C60" s="12"/>
    </row>
    <row r="61" spans="3:4" ht="15.75" customHeight="1">
      <c r="C61" s="12"/>
    </row>
    <row r="62" spans="3:4" ht="15.75" customHeight="1">
      <c r="C62" s="12"/>
    </row>
    <row r="63" spans="3:4" ht="15.75" customHeight="1">
      <c r="C63" s="12"/>
    </row>
    <row r="64" spans="3:4" ht="15.75" customHeight="1">
      <c r="C64" s="12"/>
    </row>
    <row r="65" spans="3:3" ht="15.75" customHeight="1">
      <c r="C65" s="12"/>
    </row>
    <row r="66" spans="3:3" ht="15.75" customHeight="1">
      <c r="C66" s="12"/>
    </row>
    <row r="67" spans="3:3" ht="15.75" customHeight="1">
      <c r="C67" s="12"/>
    </row>
    <row r="68" spans="3:3" ht="15.75" customHeight="1">
      <c r="C68" s="12"/>
    </row>
    <row r="69" spans="3:3" ht="15.75" customHeight="1">
      <c r="C69" s="12"/>
    </row>
    <row r="70" spans="3:3" ht="15.75" customHeight="1">
      <c r="C70" s="12"/>
    </row>
    <row r="71" spans="3:3" ht="15.75" customHeight="1">
      <c r="C71" s="12"/>
    </row>
    <row r="72" spans="3:3" ht="15.75" customHeight="1">
      <c r="C72" s="12"/>
    </row>
    <row r="73" spans="3:3" ht="15.75" customHeight="1">
      <c r="C73" s="12"/>
    </row>
    <row r="74" spans="3:3" ht="15.75" customHeight="1">
      <c r="C74" s="12"/>
    </row>
    <row r="75" spans="3:3" ht="15.75" customHeight="1">
      <c r="C75" s="12"/>
    </row>
    <row r="76" spans="3:3" ht="15.75" customHeight="1">
      <c r="C76" s="12"/>
    </row>
    <row r="77" spans="3:3" ht="15.75" customHeight="1">
      <c r="C77" s="12"/>
    </row>
    <row r="78" spans="3:3" ht="15.75" customHeight="1">
      <c r="C78" s="12"/>
    </row>
    <row r="79" spans="3:3" ht="15.75" customHeight="1">
      <c r="C79" s="12"/>
    </row>
    <row r="80" spans="3:3" ht="15.75" customHeight="1">
      <c r="C80" s="12"/>
    </row>
    <row r="81" spans="3:3" ht="15.75" customHeight="1">
      <c r="C81" s="12"/>
    </row>
    <row r="82" spans="3:3" ht="15.75" customHeight="1">
      <c r="C82" s="12"/>
    </row>
    <row r="83" spans="3:3" ht="15.75" customHeight="1">
      <c r="C83" s="12"/>
    </row>
    <row r="84" spans="3:3" ht="15.75" customHeight="1">
      <c r="C84" s="12"/>
    </row>
    <row r="85" spans="3:3" ht="15.75" customHeight="1">
      <c r="C85" s="12"/>
    </row>
    <row r="86" spans="3:3" ht="15.75" customHeight="1">
      <c r="C86" s="12"/>
    </row>
    <row r="87" spans="3:3" ht="15.75" customHeight="1">
      <c r="C87" s="12"/>
    </row>
    <row r="88" spans="3:3" ht="15.75" customHeight="1">
      <c r="C88" s="12"/>
    </row>
    <row r="89" spans="3:3" ht="15.75" customHeight="1">
      <c r="C89" s="12"/>
    </row>
    <row r="90" spans="3:3" ht="15.75" customHeight="1">
      <c r="C90" s="12"/>
    </row>
    <row r="91" spans="3:3" ht="15.75" customHeight="1">
      <c r="C91" s="12"/>
    </row>
    <row r="92" spans="3:3" ht="15.75" customHeight="1">
      <c r="C92" s="12"/>
    </row>
    <row r="93" spans="3:3" ht="15.75" customHeight="1">
      <c r="C93" s="12"/>
    </row>
    <row r="94" spans="3:3" ht="15.75" customHeight="1">
      <c r="C94" s="12"/>
    </row>
    <row r="95" spans="3:3" ht="15.75" customHeight="1">
      <c r="C95" s="12"/>
    </row>
    <row r="96" spans="3:3" ht="15.75" customHeight="1">
      <c r="C96" s="12"/>
    </row>
    <row r="97" spans="3:3" ht="15.75" customHeight="1">
      <c r="C97" s="12"/>
    </row>
    <row r="98" spans="3:3" ht="15.75" customHeight="1">
      <c r="C98" s="12"/>
    </row>
    <row r="99" spans="3:3" ht="15.75" customHeight="1">
      <c r="C99" s="12"/>
    </row>
    <row r="100" spans="3:3" ht="15.75" customHeight="1">
      <c r="C100" s="12"/>
    </row>
    <row r="101" spans="3:3" ht="15.75" customHeight="1">
      <c r="C101" s="12"/>
    </row>
    <row r="102" spans="3:3" ht="15.75" customHeight="1">
      <c r="C102" s="12"/>
    </row>
    <row r="103" spans="3:3" ht="15.75" customHeight="1">
      <c r="C103" s="12"/>
    </row>
    <row r="104" spans="3:3" ht="15.75" customHeight="1">
      <c r="C104" s="12"/>
    </row>
    <row r="105" spans="3:3" ht="15.75" customHeight="1">
      <c r="C105" s="12"/>
    </row>
    <row r="106" spans="3:3" ht="15.75" customHeight="1">
      <c r="C106" s="12"/>
    </row>
    <row r="107" spans="3:3" ht="15.75" customHeight="1">
      <c r="C107" s="12"/>
    </row>
    <row r="108" spans="3:3" ht="15.75" customHeight="1">
      <c r="C108" s="12"/>
    </row>
    <row r="109" spans="3:3" ht="15.75" customHeight="1">
      <c r="C109" s="12"/>
    </row>
    <row r="110" spans="3:3" ht="15.75" customHeight="1">
      <c r="C110" s="12"/>
    </row>
    <row r="111" spans="3:3" ht="15.75" customHeight="1">
      <c r="C111" s="12"/>
    </row>
    <row r="112" spans="3:3" ht="15.75" customHeight="1">
      <c r="C112" s="12"/>
    </row>
    <row r="113" spans="3:3" ht="15.75" customHeight="1">
      <c r="C113" s="12"/>
    </row>
    <row r="114" spans="3:3" ht="15.75" customHeight="1">
      <c r="C114" s="12"/>
    </row>
    <row r="115" spans="3:3" ht="15.75" customHeight="1">
      <c r="C115" s="12"/>
    </row>
    <row r="116" spans="3:3" ht="15.75" customHeight="1">
      <c r="C116" s="12"/>
    </row>
    <row r="117" spans="3:3" ht="15.75" customHeight="1">
      <c r="C117" s="12"/>
    </row>
    <row r="118" spans="3:3" ht="15.75" customHeight="1">
      <c r="C118" s="12"/>
    </row>
    <row r="119" spans="3:3" ht="15.75" customHeight="1">
      <c r="C119" s="12"/>
    </row>
    <row r="120" spans="3:3" ht="15.75" customHeight="1">
      <c r="C120" s="12"/>
    </row>
    <row r="121" spans="3:3" ht="15.75" customHeight="1">
      <c r="C121" s="12"/>
    </row>
    <row r="122" spans="3:3" ht="15.75" customHeight="1">
      <c r="C122" s="12"/>
    </row>
    <row r="123" spans="3:3" ht="15.75" customHeight="1">
      <c r="C123" s="12"/>
    </row>
    <row r="124" spans="3:3" ht="15.75" customHeight="1">
      <c r="C124" s="12"/>
    </row>
    <row r="125" spans="3:3" ht="15.75" customHeight="1">
      <c r="C125" s="12"/>
    </row>
    <row r="126" spans="3:3" ht="15.75" customHeight="1">
      <c r="C126" s="12"/>
    </row>
    <row r="127" spans="3:3" ht="15.75" customHeight="1">
      <c r="C127" s="12"/>
    </row>
    <row r="128" spans="3:3" ht="15.75" customHeight="1">
      <c r="C128" s="12"/>
    </row>
    <row r="129" spans="3:3" ht="15.75" customHeight="1">
      <c r="C129" s="12"/>
    </row>
    <row r="130" spans="3:3" ht="15.75" customHeight="1">
      <c r="C130" s="12"/>
    </row>
    <row r="131" spans="3:3" ht="15.75" customHeight="1">
      <c r="C131" s="12"/>
    </row>
    <row r="132" spans="3:3" ht="15.75" customHeight="1">
      <c r="C132" s="12"/>
    </row>
    <row r="133" spans="3:3" ht="15.75" customHeight="1">
      <c r="C133" s="12"/>
    </row>
    <row r="134" spans="3:3" ht="15.75" customHeight="1">
      <c r="C134" s="12"/>
    </row>
    <row r="135" spans="3:3" ht="15.75" customHeight="1">
      <c r="C135" s="12"/>
    </row>
    <row r="136" spans="3:3" ht="15.75" customHeight="1">
      <c r="C136" s="12"/>
    </row>
    <row r="137" spans="3:3" ht="15.75" customHeight="1">
      <c r="C137" s="12"/>
    </row>
    <row r="138" spans="3:3" ht="15.75" customHeight="1">
      <c r="C138" s="12"/>
    </row>
    <row r="139" spans="3:3" ht="15.75" customHeight="1">
      <c r="C139" s="12"/>
    </row>
    <row r="140" spans="3:3" ht="15.75" customHeight="1">
      <c r="C140" s="12"/>
    </row>
    <row r="141" spans="3:3" ht="15.75" customHeight="1">
      <c r="C141" s="12"/>
    </row>
    <row r="142" spans="3:3" ht="15.75" customHeight="1">
      <c r="C142" s="12"/>
    </row>
    <row r="143" spans="3:3" ht="15.75" customHeight="1">
      <c r="C143" s="12"/>
    </row>
    <row r="144" spans="3:3" ht="15.75" customHeight="1">
      <c r="C144" s="12"/>
    </row>
    <row r="145" spans="3:3" ht="15.75" customHeight="1">
      <c r="C145" s="12"/>
    </row>
    <row r="146" spans="3:3" ht="15.75" customHeight="1">
      <c r="C146" s="12"/>
    </row>
    <row r="147" spans="3:3" ht="15.75" customHeight="1">
      <c r="C147" s="12"/>
    </row>
    <row r="148" spans="3:3" ht="15.75" customHeight="1">
      <c r="C148" s="12"/>
    </row>
    <row r="149" spans="3:3" ht="15.75" customHeight="1">
      <c r="C149" s="12"/>
    </row>
    <row r="150" spans="3:3" ht="15.75" customHeight="1">
      <c r="C150" s="12"/>
    </row>
    <row r="151" spans="3:3" ht="15.75" customHeight="1">
      <c r="C151" s="12"/>
    </row>
    <row r="152" spans="3:3" ht="15.75" customHeight="1">
      <c r="C152" s="12"/>
    </row>
    <row r="153" spans="3:3" ht="15.75" customHeight="1">
      <c r="C153" s="12"/>
    </row>
    <row r="154" spans="3:3" ht="15.75" customHeight="1">
      <c r="C154" s="12"/>
    </row>
    <row r="155" spans="3:3" ht="15.75" customHeight="1">
      <c r="C155" s="12"/>
    </row>
    <row r="156" spans="3:3" ht="15.75" customHeight="1">
      <c r="C156" s="12"/>
    </row>
    <row r="157" spans="3:3" ht="15.75" customHeight="1">
      <c r="C157" s="12"/>
    </row>
    <row r="158" spans="3:3" ht="15.75" customHeight="1">
      <c r="C158" s="12"/>
    </row>
    <row r="159" spans="3:3" ht="15.75" customHeight="1">
      <c r="C159" s="12"/>
    </row>
    <row r="160" spans="3:3" ht="15.75" customHeight="1">
      <c r="C160" s="12"/>
    </row>
    <row r="161" spans="3:3" ht="15.75" customHeight="1">
      <c r="C161" s="12"/>
    </row>
    <row r="162" spans="3:3" ht="15.75" customHeight="1">
      <c r="C162" s="12"/>
    </row>
    <row r="163" spans="3:3" ht="15.75" customHeight="1">
      <c r="C163" s="12"/>
    </row>
    <row r="164" spans="3:3" ht="15.75" customHeight="1">
      <c r="C164" s="12"/>
    </row>
    <row r="165" spans="3:3" ht="15.75" customHeight="1">
      <c r="C165" s="12"/>
    </row>
    <row r="166" spans="3:3" ht="15.75" customHeight="1">
      <c r="C166" s="12"/>
    </row>
    <row r="167" spans="3:3" ht="15.75" customHeight="1">
      <c r="C167" s="12"/>
    </row>
    <row r="168" spans="3:3" ht="15.75" customHeight="1">
      <c r="C168" s="12"/>
    </row>
    <row r="169" spans="3:3" ht="15.75" customHeight="1">
      <c r="C169" s="12"/>
    </row>
    <row r="170" spans="3:3" ht="15.75" customHeight="1">
      <c r="C170" s="12"/>
    </row>
    <row r="171" spans="3:3" ht="15.75" customHeight="1">
      <c r="C171" s="12"/>
    </row>
    <row r="172" spans="3:3" ht="15.75" customHeight="1">
      <c r="C172" s="12"/>
    </row>
    <row r="173" spans="3:3" ht="15.75" customHeight="1">
      <c r="C173" s="12"/>
    </row>
    <row r="174" spans="3:3" ht="15.75" customHeight="1">
      <c r="C174" s="12"/>
    </row>
    <row r="175" spans="3:3" ht="15.75" customHeight="1">
      <c r="C175" s="12"/>
    </row>
    <row r="176" spans="3:3" ht="15.75" customHeight="1">
      <c r="C176" s="12"/>
    </row>
    <row r="177" spans="3:3" ht="15.75" customHeight="1">
      <c r="C177" s="12"/>
    </row>
    <row r="178" spans="3:3" ht="15.75" customHeight="1">
      <c r="C178" s="12"/>
    </row>
    <row r="179" spans="3:3" ht="15.75" customHeight="1">
      <c r="C179" s="12"/>
    </row>
    <row r="180" spans="3:3" ht="15.75" customHeight="1">
      <c r="C180" s="12"/>
    </row>
    <row r="181" spans="3:3" ht="15.75" customHeight="1">
      <c r="C181" s="12"/>
    </row>
    <row r="182" spans="3:3" ht="15.75" customHeight="1">
      <c r="C182" s="12"/>
    </row>
    <row r="183" spans="3:3" ht="15.75" customHeight="1">
      <c r="C183" s="12"/>
    </row>
    <row r="184" spans="3:3" ht="15.75" customHeight="1">
      <c r="C184" s="12"/>
    </row>
    <row r="185" spans="3:3" ht="15.75" customHeight="1">
      <c r="C185" s="12"/>
    </row>
    <row r="186" spans="3:3" ht="15.75" customHeight="1">
      <c r="C186" s="12"/>
    </row>
    <row r="187" spans="3:3" ht="15.75" customHeight="1">
      <c r="C187" s="12"/>
    </row>
    <row r="188" spans="3:3" ht="15.75" customHeight="1">
      <c r="C188" s="12"/>
    </row>
    <row r="189" spans="3:3" ht="15.75" customHeight="1">
      <c r="C189" s="12"/>
    </row>
    <row r="190" spans="3:3" ht="15.75" customHeight="1">
      <c r="C190" s="12"/>
    </row>
    <row r="191" spans="3:3" ht="15.75" customHeight="1">
      <c r="C191" s="12"/>
    </row>
    <row r="192" spans="3:3" ht="15.75" customHeight="1">
      <c r="C192" s="12"/>
    </row>
    <row r="193" spans="3:3" ht="15.75" customHeight="1">
      <c r="C193" s="12"/>
    </row>
    <row r="194" spans="3:3" ht="15.75" customHeight="1">
      <c r="C194" s="12"/>
    </row>
    <row r="195" spans="3:3" ht="15.75" customHeight="1">
      <c r="C195" s="12"/>
    </row>
    <row r="196" spans="3:3" ht="15.75" customHeight="1">
      <c r="C196" s="12"/>
    </row>
    <row r="197" spans="3:3" ht="15.75" customHeight="1">
      <c r="C197" s="12"/>
    </row>
    <row r="198" spans="3:3" ht="15.75" customHeight="1">
      <c r="C198" s="12"/>
    </row>
    <row r="199" spans="3:3" ht="15.75" customHeight="1">
      <c r="C199" s="12"/>
    </row>
    <row r="200" spans="3:3" ht="15.75" customHeight="1">
      <c r="C200" s="12"/>
    </row>
    <row r="201" spans="3:3" ht="15.75" customHeight="1">
      <c r="C201" s="12"/>
    </row>
    <row r="202" spans="3:3" ht="15.75" customHeight="1">
      <c r="C202" s="12"/>
    </row>
    <row r="203" spans="3:3" ht="15.75" customHeight="1">
      <c r="C203" s="12"/>
    </row>
    <row r="204" spans="3:3" ht="15.75" customHeight="1">
      <c r="C204" s="12"/>
    </row>
    <row r="205" spans="3:3" ht="15.75" customHeight="1">
      <c r="C205" s="12"/>
    </row>
    <row r="206" spans="3:3" ht="15.75" customHeight="1">
      <c r="C206" s="12"/>
    </row>
    <row r="207" spans="3:3" ht="15.75" customHeight="1">
      <c r="C207" s="12"/>
    </row>
    <row r="208" spans="3:3" ht="15.75" customHeight="1">
      <c r="C208" s="12"/>
    </row>
    <row r="209" spans="3:3" ht="15.75" customHeight="1">
      <c r="C209" s="12"/>
    </row>
    <row r="210" spans="3:3" ht="15.75" customHeight="1">
      <c r="C210" s="12"/>
    </row>
    <row r="211" spans="3:3" ht="15.75" customHeight="1">
      <c r="C211" s="12"/>
    </row>
    <row r="212" spans="3:3" ht="15.75" customHeight="1">
      <c r="C212" s="12"/>
    </row>
    <row r="213" spans="3:3" ht="15.75" customHeight="1">
      <c r="C213" s="12"/>
    </row>
    <row r="214" spans="3:3" ht="15.75" customHeight="1">
      <c r="C214" s="12"/>
    </row>
    <row r="215" spans="3:3" ht="15.75" customHeight="1">
      <c r="C215" s="12"/>
    </row>
    <row r="216" spans="3:3" ht="15.75" customHeight="1">
      <c r="C216" s="12"/>
    </row>
    <row r="217" spans="3:3" ht="15.75" customHeight="1">
      <c r="C217" s="12"/>
    </row>
    <row r="218" spans="3:3" ht="15.75" customHeight="1">
      <c r="C218" s="12"/>
    </row>
    <row r="219" spans="3:3" ht="15.75" customHeight="1">
      <c r="C219" s="12"/>
    </row>
    <row r="220" spans="3:3" ht="15.75" customHeight="1">
      <c r="C220" s="12"/>
    </row>
    <row r="221" spans="3:3" ht="15.75" customHeight="1">
      <c r="C221" s="12"/>
    </row>
    <row r="222" spans="3:3" ht="15.75" customHeight="1">
      <c r="C222" s="12"/>
    </row>
    <row r="223" spans="3:3" ht="15.75" customHeight="1">
      <c r="C223" s="12"/>
    </row>
    <row r="224" spans="3:3" ht="15.75" customHeight="1">
      <c r="C224" s="12"/>
    </row>
    <row r="225" spans="3:3" ht="15.75" customHeight="1">
      <c r="C225" s="12"/>
    </row>
    <row r="226" spans="3:3" ht="15.75" customHeight="1">
      <c r="C226" s="12"/>
    </row>
    <row r="227" spans="3:3" ht="15.75" customHeight="1">
      <c r="C227" s="12"/>
    </row>
    <row r="228" spans="3:3" ht="15.75" customHeight="1">
      <c r="C228" s="12"/>
    </row>
    <row r="229" spans="3:3" ht="15.75" customHeight="1">
      <c r="C229" s="12"/>
    </row>
    <row r="230" spans="3:3" ht="15.75" customHeight="1">
      <c r="C230" s="12"/>
    </row>
    <row r="231" spans="3:3" ht="15.75" customHeight="1">
      <c r="C231" s="12"/>
    </row>
    <row r="232" spans="3:3" ht="15.75" customHeight="1">
      <c r="C232" s="12"/>
    </row>
    <row r="233" spans="3:3" ht="15.75" customHeight="1">
      <c r="C233" s="12"/>
    </row>
    <row r="234" spans="3:3" ht="15.75" customHeight="1">
      <c r="C234" s="12"/>
    </row>
    <row r="235" spans="3:3" ht="15.75" customHeight="1">
      <c r="C235" s="12"/>
    </row>
    <row r="236" spans="3:3" ht="15.75" customHeight="1">
      <c r="C236" s="12"/>
    </row>
    <row r="237" spans="3:3" ht="15.75" customHeight="1">
      <c r="C237" s="12"/>
    </row>
    <row r="238" spans="3:3" ht="15.75" customHeight="1">
      <c r="C238" s="12"/>
    </row>
    <row r="239" spans="3:3" ht="15.75" customHeight="1">
      <c r="C239" s="12"/>
    </row>
    <row r="240" spans="3:3" ht="15.75" customHeight="1">
      <c r="C240" s="12"/>
    </row>
    <row r="241" spans="3:3" ht="15.75" customHeight="1">
      <c r="C241" s="12"/>
    </row>
    <row r="242" spans="3:3" ht="15.75" customHeight="1">
      <c r="C242" s="12"/>
    </row>
    <row r="243" spans="3:3" ht="15.75" customHeight="1">
      <c r="C243" s="12"/>
    </row>
    <row r="244" spans="3:3" ht="15.75" customHeight="1">
      <c r="C244" s="12"/>
    </row>
    <row r="245" spans="3:3" ht="15.75" customHeight="1">
      <c r="C245" s="12"/>
    </row>
    <row r="246" spans="3:3" ht="15.75" customHeight="1">
      <c r="C246" s="12"/>
    </row>
    <row r="247" spans="3:3" ht="15.75" customHeight="1">
      <c r="C247" s="12"/>
    </row>
    <row r="248" spans="3:3" ht="15.75" customHeight="1">
      <c r="C248" s="12"/>
    </row>
    <row r="249" spans="3:3" ht="15.75" customHeight="1">
      <c r="C249" s="12"/>
    </row>
    <row r="250" spans="3:3" ht="15.75" customHeight="1">
      <c r="C250" s="12"/>
    </row>
    <row r="251" spans="3:3" ht="15.75" customHeight="1">
      <c r="C251" s="12"/>
    </row>
    <row r="252" spans="3:3" ht="15.75" customHeight="1">
      <c r="C252" s="12"/>
    </row>
    <row r="253" spans="3:3" ht="15.75" customHeight="1">
      <c r="C253" s="12"/>
    </row>
    <row r="254" spans="3:3" ht="15.75" customHeight="1">
      <c r="C254" s="12"/>
    </row>
    <row r="255" spans="3:3" ht="15.75" customHeight="1">
      <c r="C255" s="12"/>
    </row>
    <row r="256" spans="3:3" ht="15.75" customHeight="1">
      <c r="C256" s="12"/>
    </row>
    <row r="257" spans="3:3" ht="15.75" customHeight="1">
      <c r="C257" s="12"/>
    </row>
    <row r="258" spans="3:3" ht="15.75" customHeight="1">
      <c r="C258" s="12"/>
    </row>
    <row r="259" spans="3:3" ht="15.75" customHeight="1">
      <c r="C259" s="12"/>
    </row>
    <row r="260" spans="3:3" ht="15.75" customHeight="1">
      <c r="C260" s="12"/>
    </row>
    <row r="261" spans="3:3" ht="15.75" customHeight="1">
      <c r="C261" s="12"/>
    </row>
    <row r="262" spans="3:3" ht="15.75" customHeight="1">
      <c r="C262" s="12"/>
    </row>
    <row r="263" spans="3:3" ht="15.75" customHeight="1">
      <c r="C263" s="12"/>
    </row>
    <row r="264" spans="3:3" ht="15.75" customHeight="1">
      <c r="C264" s="12"/>
    </row>
    <row r="265" spans="3:3" ht="15.75" customHeight="1">
      <c r="C265" s="12"/>
    </row>
    <row r="266" spans="3:3" ht="15.75" customHeight="1">
      <c r="C266" s="12"/>
    </row>
    <row r="267" spans="3:3" ht="15.75" customHeight="1">
      <c r="C267" s="12"/>
    </row>
    <row r="268" spans="3:3" ht="15.75" customHeight="1">
      <c r="C268" s="12"/>
    </row>
    <row r="269" spans="3:3" ht="15.75" customHeight="1">
      <c r="C269" s="12"/>
    </row>
    <row r="270" spans="3:3" ht="15.75" customHeight="1">
      <c r="C270" s="12"/>
    </row>
    <row r="271" spans="3:3" ht="15.75" customHeight="1">
      <c r="C271" s="12"/>
    </row>
    <row r="272" spans="3:3" ht="15.75" customHeight="1">
      <c r="C272" s="12"/>
    </row>
    <row r="273" spans="3:3" ht="15.75" customHeight="1">
      <c r="C273" s="12"/>
    </row>
    <row r="274" spans="3:3" ht="15.75" customHeight="1">
      <c r="C274" s="12"/>
    </row>
    <row r="275" spans="3:3" ht="15.75" customHeight="1">
      <c r="C275" s="12"/>
    </row>
    <row r="276" spans="3:3" ht="15.75" customHeight="1">
      <c r="C276" s="12"/>
    </row>
    <row r="277" spans="3:3" ht="15.75" customHeight="1">
      <c r="C277" s="12"/>
    </row>
    <row r="278" spans="3:3" ht="15.75" customHeight="1">
      <c r="C278" s="12"/>
    </row>
    <row r="279" spans="3:3" ht="15.75" customHeight="1">
      <c r="C279" s="12"/>
    </row>
    <row r="280" spans="3:3" ht="15.75" customHeight="1">
      <c r="C280" s="12"/>
    </row>
    <row r="281" spans="3:3" ht="15.75" customHeight="1">
      <c r="C281" s="12"/>
    </row>
    <row r="282" spans="3:3" ht="15.75" customHeight="1">
      <c r="C282" s="12"/>
    </row>
    <row r="283" spans="3:3" ht="15.75" customHeight="1">
      <c r="C283" s="12"/>
    </row>
    <row r="284" spans="3:3" ht="15.75" customHeight="1">
      <c r="C284" s="12"/>
    </row>
    <row r="285" spans="3:3" ht="15.75" customHeight="1">
      <c r="C285" s="12"/>
    </row>
    <row r="286" spans="3:3" ht="15.75" customHeight="1">
      <c r="C286" s="12"/>
    </row>
    <row r="287" spans="3:3" ht="15.75" customHeight="1">
      <c r="C287" s="12"/>
    </row>
    <row r="288" spans="3:3" ht="15.75" customHeight="1">
      <c r="C288" s="12"/>
    </row>
    <row r="289" spans="3:3" ht="15.75" customHeight="1">
      <c r="C289" s="12"/>
    </row>
    <row r="290" spans="3:3" ht="15.75" customHeight="1">
      <c r="C290" s="12"/>
    </row>
    <row r="291" spans="3:3" ht="15.75" customHeight="1">
      <c r="C291" s="12"/>
    </row>
    <row r="292" spans="3:3" ht="15.75" customHeight="1">
      <c r="C292" s="12"/>
    </row>
    <row r="293" spans="3:3" ht="15.75" customHeight="1">
      <c r="C293" s="12"/>
    </row>
    <row r="294" spans="3:3" ht="15.75" customHeight="1">
      <c r="C294" s="12"/>
    </row>
    <row r="295" spans="3:3" ht="15.75" customHeight="1">
      <c r="C295" s="12"/>
    </row>
    <row r="296" spans="3:3" ht="15.75" customHeight="1">
      <c r="C296" s="12"/>
    </row>
    <row r="297" spans="3:3" ht="15.75" customHeight="1">
      <c r="C297" s="12"/>
    </row>
    <row r="298" spans="3:3" ht="15.75" customHeight="1">
      <c r="C298" s="12"/>
    </row>
    <row r="299" spans="3:3" ht="15.75" customHeight="1">
      <c r="C299" s="12"/>
    </row>
    <row r="300" spans="3:3" ht="15.75" customHeight="1">
      <c r="C300" s="12"/>
    </row>
    <row r="301" spans="3:3" ht="15.75" customHeight="1">
      <c r="C301" s="12"/>
    </row>
    <row r="302" spans="3:3" ht="15.75" customHeight="1">
      <c r="C302" s="12"/>
    </row>
    <row r="303" spans="3:3" ht="15.75" customHeight="1">
      <c r="C303" s="12"/>
    </row>
    <row r="304" spans="3:3" ht="15.75" customHeight="1">
      <c r="C304" s="12"/>
    </row>
    <row r="305" spans="3:3" ht="15.75" customHeight="1">
      <c r="C305" s="12"/>
    </row>
    <row r="306" spans="3:3" ht="15.75" customHeight="1">
      <c r="C306" s="12"/>
    </row>
    <row r="307" spans="3:3" ht="15.75" customHeight="1">
      <c r="C307" s="12"/>
    </row>
    <row r="308" spans="3:3" ht="15.75" customHeight="1">
      <c r="C308" s="12"/>
    </row>
    <row r="309" spans="3:3" ht="15.75" customHeight="1">
      <c r="C309" s="12"/>
    </row>
    <row r="310" spans="3:3" ht="15.75" customHeight="1">
      <c r="C310" s="12"/>
    </row>
    <row r="311" spans="3:3" ht="15.75" customHeight="1">
      <c r="C311" s="12"/>
    </row>
    <row r="312" spans="3:3" ht="15.75" customHeight="1">
      <c r="C312" s="12"/>
    </row>
    <row r="313" spans="3:3" ht="15.75" customHeight="1">
      <c r="C313" s="12"/>
    </row>
    <row r="314" spans="3:3" ht="15.75" customHeight="1">
      <c r="C314" s="12"/>
    </row>
    <row r="315" spans="3:3" ht="15.75" customHeight="1">
      <c r="C315" s="12"/>
    </row>
    <row r="316" spans="3:3" ht="15.75" customHeight="1">
      <c r="C316" s="12"/>
    </row>
    <row r="317" spans="3:3" ht="15.75" customHeight="1">
      <c r="C317" s="12"/>
    </row>
    <row r="318" spans="3:3" ht="15.75" customHeight="1">
      <c r="C318" s="12"/>
    </row>
    <row r="319" spans="3:3" ht="15.75" customHeight="1">
      <c r="C319" s="12"/>
    </row>
    <row r="320" spans="3:3" ht="15.75" customHeight="1">
      <c r="C320" s="12"/>
    </row>
    <row r="321" spans="3:3" ht="15.75" customHeight="1">
      <c r="C321" s="12"/>
    </row>
    <row r="322" spans="3:3" ht="15.75" customHeight="1">
      <c r="C322" s="12"/>
    </row>
    <row r="323" spans="3:3" ht="15.75" customHeight="1">
      <c r="C323" s="12"/>
    </row>
    <row r="324" spans="3:3" ht="15.75" customHeight="1">
      <c r="C324" s="12"/>
    </row>
    <row r="325" spans="3:3" ht="15.75" customHeight="1">
      <c r="C325" s="12"/>
    </row>
    <row r="326" spans="3:3" ht="15.75" customHeight="1">
      <c r="C326" s="12"/>
    </row>
    <row r="327" spans="3:3" ht="15.75" customHeight="1">
      <c r="C327" s="12"/>
    </row>
    <row r="328" spans="3:3" ht="15.75" customHeight="1">
      <c r="C328" s="12"/>
    </row>
    <row r="329" spans="3:3" ht="15.75" customHeight="1">
      <c r="C329" s="12"/>
    </row>
    <row r="330" spans="3:3" ht="15.75" customHeight="1">
      <c r="C330" s="12"/>
    </row>
    <row r="331" spans="3:3" ht="15.75" customHeight="1">
      <c r="C331" s="12"/>
    </row>
    <row r="332" spans="3:3" ht="15.75" customHeight="1">
      <c r="C332" s="12"/>
    </row>
    <row r="333" spans="3:3" ht="15.75" customHeight="1">
      <c r="C333" s="12"/>
    </row>
    <row r="334" spans="3:3" ht="15.75" customHeight="1">
      <c r="C334" s="12"/>
    </row>
    <row r="335" spans="3:3" ht="15.75" customHeight="1">
      <c r="C335" s="12"/>
    </row>
    <row r="336" spans="3:3" ht="15.75" customHeight="1">
      <c r="C336" s="12"/>
    </row>
    <row r="337" spans="3:3" ht="15.75" customHeight="1">
      <c r="C337" s="12"/>
    </row>
    <row r="338" spans="3:3" ht="15.75" customHeight="1">
      <c r="C338" s="12"/>
    </row>
    <row r="339" spans="3:3" ht="15.75" customHeight="1">
      <c r="C339" s="12"/>
    </row>
    <row r="340" spans="3:3" ht="15.75" customHeight="1">
      <c r="C340" s="12"/>
    </row>
    <row r="341" spans="3:3" ht="15.75" customHeight="1">
      <c r="C341" s="12"/>
    </row>
    <row r="342" spans="3:3" ht="15.75" customHeight="1">
      <c r="C342" s="12"/>
    </row>
    <row r="343" spans="3:3" ht="15.75" customHeight="1">
      <c r="C343" s="12"/>
    </row>
    <row r="344" spans="3:3" ht="15.75" customHeight="1">
      <c r="C344" s="12"/>
    </row>
    <row r="345" spans="3:3" ht="15.75" customHeight="1">
      <c r="C345" s="12"/>
    </row>
    <row r="346" spans="3:3" ht="15.75" customHeight="1">
      <c r="C346" s="12"/>
    </row>
    <row r="347" spans="3:3" ht="15.75" customHeight="1">
      <c r="C347" s="12"/>
    </row>
    <row r="348" spans="3:3" ht="15.75" customHeight="1">
      <c r="C348" s="12"/>
    </row>
    <row r="349" spans="3:3" ht="15.75" customHeight="1">
      <c r="C349" s="12"/>
    </row>
    <row r="350" spans="3:3" ht="15.75" customHeight="1">
      <c r="C350" s="12"/>
    </row>
    <row r="351" spans="3:3" ht="15.75" customHeight="1">
      <c r="C351" s="12"/>
    </row>
    <row r="352" spans="3:3" ht="15.75" customHeight="1">
      <c r="C352" s="12"/>
    </row>
    <row r="353" spans="3:3" ht="15.75" customHeight="1">
      <c r="C353" s="12"/>
    </row>
    <row r="354" spans="3:3" ht="15.75" customHeight="1">
      <c r="C354" s="12"/>
    </row>
    <row r="355" spans="3:3" ht="15.75" customHeight="1">
      <c r="C355" s="12"/>
    </row>
    <row r="356" spans="3:3" ht="15.75" customHeight="1">
      <c r="C356" s="12"/>
    </row>
    <row r="357" spans="3:3" ht="15.75" customHeight="1">
      <c r="C357" s="12"/>
    </row>
    <row r="358" spans="3:3" ht="15.75" customHeight="1">
      <c r="C358" s="12"/>
    </row>
    <row r="359" spans="3:3" ht="15.75" customHeight="1">
      <c r="C359" s="12"/>
    </row>
    <row r="360" spans="3:3" ht="15.75" customHeight="1">
      <c r="C360" s="12"/>
    </row>
    <row r="361" spans="3:3" ht="15.75" customHeight="1">
      <c r="C361" s="12"/>
    </row>
    <row r="362" spans="3:3" ht="15.75" customHeight="1">
      <c r="C362" s="12"/>
    </row>
    <row r="363" spans="3:3" ht="15.75" customHeight="1">
      <c r="C363" s="12"/>
    </row>
    <row r="364" spans="3:3" ht="15.75" customHeight="1">
      <c r="C364" s="12"/>
    </row>
    <row r="365" spans="3:3" ht="15.75" customHeight="1">
      <c r="C365" s="12"/>
    </row>
    <row r="366" spans="3:3" ht="15.75" customHeight="1">
      <c r="C366" s="12"/>
    </row>
    <row r="367" spans="3:3" ht="15.75" customHeight="1">
      <c r="C367" s="12"/>
    </row>
    <row r="368" spans="3:3" ht="15.75" customHeight="1">
      <c r="C368" s="12"/>
    </row>
    <row r="369" spans="3:3" ht="15.75" customHeight="1">
      <c r="C369" s="12"/>
    </row>
    <row r="370" spans="3:3" ht="15.75" customHeight="1">
      <c r="C370" s="12"/>
    </row>
    <row r="371" spans="3:3" ht="15.75" customHeight="1">
      <c r="C371" s="12"/>
    </row>
    <row r="372" spans="3:3" ht="15.75" customHeight="1">
      <c r="C372" s="12"/>
    </row>
    <row r="373" spans="3:3" ht="15.75" customHeight="1">
      <c r="C373" s="12"/>
    </row>
    <row r="374" spans="3:3" ht="15.75" customHeight="1">
      <c r="C374" s="12"/>
    </row>
    <row r="375" spans="3:3" ht="15.75" customHeight="1">
      <c r="C375" s="12"/>
    </row>
    <row r="376" spans="3:3" ht="15.75" customHeight="1">
      <c r="C376" s="12"/>
    </row>
    <row r="377" spans="3:3" ht="15.75" customHeight="1">
      <c r="C377" s="12"/>
    </row>
    <row r="378" spans="3:3" ht="15.75" customHeight="1">
      <c r="C378" s="12"/>
    </row>
    <row r="379" spans="3:3" ht="15.75" customHeight="1">
      <c r="C379" s="12"/>
    </row>
    <row r="380" spans="3:3" ht="15.75" customHeight="1">
      <c r="C380" s="12"/>
    </row>
    <row r="381" spans="3:3" ht="15.75" customHeight="1">
      <c r="C381" s="12"/>
    </row>
    <row r="382" spans="3:3" ht="15.75" customHeight="1">
      <c r="C382" s="12"/>
    </row>
    <row r="383" spans="3:3" ht="15.75" customHeight="1">
      <c r="C383" s="12"/>
    </row>
    <row r="384" spans="3:3" ht="15.75" customHeight="1">
      <c r="C384" s="12"/>
    </row>
    <row r="385" spans="3:3" ht="15.75" customHeight="1">
      <c r="C385" s="12"/>
    </row>
    <row r="386" spans="3:3" ht="15.75" customHeight="1">
      <c r="C386" s="12"/>
    </row>
    <row r="387" spans="3:3" ht="15.75" customHeight="1">
      <c r="C387" s="12"/>
    </row>
    <row r="388" spans="3:3" ht="15.75" customHeight="1">
      <c r="C388" s="12"/>
    </row>
    <row r="389" spans="3:3" ht="15.75" customHeight="1">
      <c r="C389" s="12"/>
    </row>
    <row r="390" spans="3:3" ht="15.75" customHeight="1">
      <c r="C390" s="12"/>
    </row>
    <row r="391" spans="3:3" ht="15.75" customHeight="1">
      <c r="C391" s="12"/>
    </row>
    <row r="392" spans="3:3" ht="15.75" customHeight="1">
      <c r="C392" s="12"/>
    </row>
    <row r="393" spans="3:3" ht="15.75" customHeight="1">
      <c r="C393" s="12"/>
    </row>
    <row r="394" spans="3:3" ht="15.75" customHeight="1">
      <c r="C394" s="12"/>
    </row>
    <row r="395" spans="3:3" ht="15.75" customHeight="1">
      <c r="C395" s="12"/>
    </row>
    <row r="396" spans="3:3" ht="15.75" customHeight="1">
      <c r="C396" s="12"/>
    </row>
    <row r="397" spans="3:3" ht="15.75" customHeight="1">
      <c r="C397" s="12"/>
    </row>
    <row r="398" spans="3:3" ht="15.75" customHeight="1">
      <c r="C398" s="12"/>
    </row>
    <row r="399" spans="3:3" ht="15.75" customHeight="1">
      <c r="C399" s="12"/>
    </row>
    <row r="400" spans="3:3" ht="15.75" customHeight="1">
      <c r="C400" s="12"/>
    </row>
    <row r="401" spans="3:3" ht="15.75" customHeight="1">
      <c r="C401" s="12"/>
    </row>
    <row r="402" spans="3:3" ht="15.75" customHeight="1">
      <c r="C402" s="12"/>
    </row>
    <row r="403" spans="3:3" ht="15.75" customHeight="1">
      <c r="C403" s="12"/>
    </row>
    <row r="404" spans="3:3" ht="15.75" customHeight="1">
      <c r="C404" s="12"/>
    </row>
    <row r="405" spans="3:3" ht="15.75" customHeight="1">
      <c r="C405" s="12"/>
    </row>
    <row r="406" spans="3:3" ht="15.75" customHeight="1">
      <c r="C406" s="12"/>
    </row>
    <row r="407" spans="3:3" ht="15.75" customHeight="1">
      <c r="C407" s="12"/>
    </row>
    <row r="408" spans="3:3" ht="15.75" customHeight="1">
      <c r="C408" s="12"/>
    </row>
    <row r="409" spans="3:3" ht="15.75" customHeight="1">
      <c r="C409" s="12"/>
    </row>
    <row r="410" spans="3:3" ht="15.75" customHeight="1">
      <c r="C410" s="12"/>
    </row>
    <row r="411" spans="3:3" ht="15.75" customHeight="1">
      <c r="C411" s="12"/>
    </row>
    <row r="412" spans="3:3" ht="15.75" customHeight="1">
      <c r="C412" s="12"/>
    </row>
    <row r="413" spans="3:3" ht="15.75" customHeight="1">
      <c r="C413" s="12"/>
    </row>
    <row r="414" spans="3:3" ht="15.75" customHeight="1">
      <c r="C414" s="12"/>
    </row>
    <row r="415" spans="3:3" ht="15.75" customHeight="1">
      <c r="C415" s="12"/>
    </row>
    <row r="416" spans="3:3" ht="15.75" customHeight="1">
      <c r="C416" s="12"/>
    </row>
    <row r="417" spans="3:3" ht="15.75" customHeight="1">
      <c r="C417" s="12"/>
    </row>
    <row r="418" spans="3:3" ht="15.75" customHeight="1">
      <c r="C418" s="12"/>
    </row>
    <row r="419" spans="3:3" ht="15.75" customHeight="1">
      <c r="C419" s="12"/>
    </row>
    <row r="420" spans="3:3" ht="15.75" customHeight="1">
      <c r="C420" s="12"/>
    </row>
    <row r="421" spans="3:3" ht="15.75" customHeight="1">
      <c r="C421" s="12"/>
    </row>
    <row r="422" spans="3:3" ht="15.75" customHeight="1">
      <c r="C422" s="12"/>
    </row>
    <row r="423" spans="3:3" ht="15.75" customHeight="1">
      <c r="C423" s="12"/>
    </row>
    <row r="424" spans="3:3" ht="15.75" customHeight="1">
      <c r="C424" s="12"/>
    </row>
    <row r="425" spans="3:3" ht="15.75" customHeight="1">
      <c r="C425" s="12"/>
    </row>
    <row r="426" spans="3:3" ht="15.75" customHeight="1">
      <c r="C426" s="12"/>
    </row>
    <row r="427" spans="3:3" ht="15.75" customHeight="1">
      <c r="C427" s="12"/>
    </row>
    <row r="428" spans="3:3" ht="15.75" customHeight="1">
      <c r="C428" s="12"/>
    </row>
    <row r="429" spans="3:3" ht="15.75" customHeight="1">
      <c r="C429" s="12"/>
    </row>
    <row r="430" spans="3:3" ht="15.75" customHeight="1">
      <c r="C430" s="12"/>
    </row>
    <row r="431" spans="3:3" ht="15.75" customHeight="1">
      <c r="C431" s="12"/>
    </row>
    <row r="432" spans="3:3" ht="15.75" customHeight="1">
      <c r="C432" s="12"/>
    </row>
    <row r="433" spans="3:3" ht="15.75" customHeight="1">
      <c r="C433" s="12"/>
    </row>
    <row r="434" spans="3:3" ht="15.75" customHeight="1">
      <c r="C434" s="12"/>
    </row>
    <row r="435" spans="3:3" ht="15.75" customHeight="1">
      <c r="C435" s="12"/>
    </row>
    <row r="436" spans="3:3" ht="15.75" customHeight="1">
      <c r="C436" s="12"/>
    </row>
    <row r="437" spans="3:3" ht="15.75" customHeight="1">
      <c r="C437" s="12"/>
    </row>
    <row r="438" spans="3:3" ht="15.75" customHeight="1">
      <c r="C438" s="12"/>
    </row>
    <row r="439" spans="3:3" ht="15.75" customHeight="1">
      <c r="C439" s="12"/>
    </row>
    <row r="440" spans="3:3" ht="15.75" customHeight="1">
      <c r="C440" s="12"/>
    </row>
    <row r="441" spans="3:3" ht="15.75" customHeight="1">
      <c r="C441" s="12"/>
    </row>
    <row r="442" spans="3:3" ht="15.75" customHeight="1">
      <c r="C442" s="12"/>
    </row>
    <row r="443" spans="3:3" ht="15.75" customHeight="1">
      <c r="C443" s="12"/>
    </row>
    <row r="444" spans="3:3" ht="15.75" customHeight="1">
      <c r="C444" s="12"/>
    </row>
    <row r="445" spans="3:3" ht="15.75" customHeight="1">
      <c r="C445" s="12"/>
    </row>
    <row r="446" spans="3:3" ht="15.75" customHeight="1">
      <c r="C446" s="12"/>
    </row>
    <row r="447" spans="3:3" ht="15.75" customHeight="1">
      <c r="C447" s="12"/>
    </row>
    <row r="448" spans="3:3" ht="15.75" customHeight="1">
      <c r="C448" s="12"/>
    </row>
    <row r="449" spans="3:3" ht="15.75" customHeight="1">
      <c r="C449" s="12"/>
    </row>
    <row r="450" spans="3:3" ht="15.75" customHeight="1">
      <c r="C450" s="12"/>
    </row>
    <row r="451" spans="3:3" ht="15.75" customHeight="1">
      <c r="C451" s="12"/>
    </row>
    <row r="452" spans="3:3" ht="15.75" customHeight="1">
      <c r="C452" s="12"/>
    </row>
    <row r="453" spans="3:3" ht="15.75" customHeight="1">
      <c r="C453" s="12"/>
    </row>
    <row r="454" spans="3:3" ht="15.75" customHeight="1">
      <c r="C454" s="12"/>
    </row>
    <row r="455" spans="3:3" ht="15.75" customHeight="1">
      <c r="C455" s="12"/>
    </row>
    <row r="456" spans="3:3" ht="15.75" customHeight="1">
      <c r="C456" s="12"/>
    </row>
    <row r="457" spans="3:3" ht="15.75" customHeight="1">
      <c r="C457" s="12"/>
    </row>
    <row r="458" spans="3:3" ht="15.75" customHeight="1">
      <c r="C458" s="12"/>
    </row>
    <row r="459" spans="3:3" ht="15.75" customHeight="1">
      <c r="C459" s="12"/>
    </row>
    <row r="460" spans="3:3" ht="15.75" customHeight="1">
      <c r="C460" s="12"/>
    </row>
    <row r="461" spans="3:3" ht="15.75" customHeight="1">
      <c r="C461" s="12"/>
    </row>
    <row r="462" spans="3:3" ht="15.75" customHeight="1">
      <c r="C462" s="12"/>
    </row>
    <row r="463" spans="3:3" ht="15.75" customHeight="1">
      <c r="C463" s="12"/>
    </row>
    <row r="464" spans="3:3" ht="15.75" customHeight="1">
      <c r="C464" s="12"/>
    </row>
    <row r="465" spans="3:3" ht="15.75" customHeight="1">
      <c r="C465" s="12"/>
    </row>
    <row r="466" spans="3:3" ht="15.75" customHeight="1">
      <c r="C466" s="12"/>
    </row>
    <row r="467" spans="3:3" ht="15.75" customHeight="1">
      <c r="C467" s="12"/>
    </row>
    <row r="468" spans="3:3" ht="15.75" customHeight="1">
      <c r="C468" s="12"/>
    </row>
    <row r="469" spans="3:3" ht="15.75" customHeight="1">
      <c r="C469" s="12"/>
    </row>
    <row r="470" spans="3:3" ht="15.75" customHeight="1">
      <c r="C470" s="12"/>
    </row>
    <row r="471" spans="3:3" ht="15.75" customHeight="1">
      <c r="C471" s="12"/>
    </row>
    <row r="472" spans="3:3" ht="15.75" customHeight="1">
      <c r="C472" s="12"/>
    </row>
    <row r="473" spans="3:3" ht="15.75" customHeight="1">
      <c r="C473" s="12"/>
    </row>
    <row r="474" spans="3:3" ht="15.75" customHeight="1">
      <c r="C474" s="12"/>
    </row>
    <row r="475" spans="3:3" ht="15.75" customHeight="1">
      <c r="C475" s="12"/>
    </row>
    <row r="476" spans="3:3" ht="15.75" customHeight="1">
      <c r="C476" s="12"/>
    </row>
    <row r="477" spans="3:3" ht="15.75" customHeight="1">
      <c r="C477" s="12"/>
    </row>
    <row r="478" spans="3:3" ht="15.75" customHeight="1">
      <c r="C478" s="12"/>
    </row>
    <row r="479" spans="3:3" ht="15.75" customHeight="1">
      <c r="C479" s="12"/>
    </row>
    <row r="480" spans="3:3" ht="15.75" customHeight="1">
      <c r="C480" s="12"/>
    </row>
    <row r="481" spans="3:3" ht="15.75" customHeight="1">
      <c r="C481" s="12"/>
    </row>
    <row r="482" spans="3:3" ht="15.75" customHeight="1">
      <c r="C482" s="12"/>
    </row>
    <row r="483" spans="3:3" ht="15.75" customHeight="1">
      <c r="C483" s="12"/>
    </row>
    <row r="484" spans="3:3" ht="15.75" customHeight="1">
      <c r="C484" s="12"/>
    </row>
    <row r="485" spans="3:3" ht="15.75" customHeight="1">
      <c r="C485" s="12"/>
    </row>
    <row r="486" spans="3:3" ht="15.75" customHeight="1">
      <c r="C486" s="12"/>
    </row>
    <row r="487" spans="3:3" ht="15.75" customHeight="1">
      <c r="C487" s="12"/>
    </row>
    <row r="488" spans="3:3" ht="15.75" customHeight="1">
      <c r="C488" s="12"/>
    </row>
    <row r="489" spans="3:3" ht="15.75" customHeight="1">
      <c r="C489" s="12"/>
    </row>
    <row r="490" spans="3:3" ht="15.75" customHeight="1">
      <c r="C490" s="12"/>
    </row>
    <row r="491" spans="3:3" ht="15.75" customHeight="1">
      <c r="C491" s="12"/>
    </row>
    <row r="492" spans="3:3" ht="15.75" customHeight="1">
      <c r="C492" s="12"/>
    </row>
    <row r="493" spans="3:3" ht="15.75" customHeight="1">
      <c r="C493" s="12"/>
    </row>
    <row r="494" spans="3:3" ht="15.75" customHeight="1">
      <c r="C494" s="12"/>
    </row>
    <row r="495" spans="3:3" ht="15.75" customHeight="1">
      <c r="C495" s="12"/>
    </row>
    <row r="496" spans="3:3" ht="15.75" customHeight="1">
      <c r="C496" s="12"/>
    </row>
    <row r="497" spans="3:3" ht="15.75" customHeight="1">
      <c r="C497" s="12"/>
    </row>
    <row r="498" spans="3:3" ht="15.75" customHeight="1">
      <c r="C498" s="12"/>
    </row>
    <row r="499" spans="3:3" ht="15.75" customHeight="1">
      <c r="C499" s="12"/>
    </row>
    <row r="500" spans="3:3" ht="15.75" customHeight="1">
      <c r="C500" s="12"/>
    </row>
    <row r="501" spans="3:3" ht="15.75" customHeight="1">
      <c r="C501" s="12"/>
    </row>
    <row r="502" spans="3:3" ht="15.75" customHeight="1">
      <c r="C502" s="12"/>
    </row>
    <row r="503" spans="3:3" ht="15.75" customHeight="1">
      <c r="C503" s="12"/>
    </row>
    <row r="504" spans="3:3" ht="15.75" customHeight="1">
      <c r="C504" s="12"/>
    </row>
    <row r="505" spans="3:3" ht="15.75" customHeight="1">
      <c r="C505" s="12"/>
    </row>
    <row r="506" spans="3:3" ht="15.75" customHeight="1">
      <c r="C506" s="12"/>
    </row>
    <row r="507" spans="3:3" ht="15.75" customHeight="1">
      <c r="C507" s="12"/>
    </row>
    <row r="508" spans="3:3" ht="15.75" customHeight="1">
      <c r="C508" s="12"/>
    </row>
    <row r="509" spans="3:3" ht="15.75" customHeight="1">
      <c r="C509" s="12"/>
    </row>
    <row r="510" spans="3:3" ht="15.75" customHeight="1">
      <c r="C510" s="12"/>
    </row>
    <row r="511" spans="3:3" ht="15.75" customHeight="1">
      <c r="C511" s="12"/>
    </row>
    <row r="512" spans="3:3" ht="15.75" customHeight="1">
      <c r="C512" s="12"/>
    </row>
    <row r="513" spans="3:3" ht="15.75" customHeight="1">
      <c r="C513" s="12"/>
    </row>
    <row r="514" spans="3:3" ht="15.75" customHeight="1">
      <c r="C514" s="12"/>
    </row>
    <row r="515" spans="3:3" ht="15.75" customHeight="1">
      <c r="C515" s="12"/>
    </row>
    <row r="516" spans="3:3" ht="15.75" customHeight="1">
      <c r="C516" s="12"/>
    </row>
    <row r="517" spans="3:3" ht="15.75" customHeight="1">
      <c r="C517" s="12"/>
    </row>
    <row r="518" spans="3:3" ht="15.75" customHeight="1">
      <c r="C518" s="12"/>
    </row>
    <row r="519" spans="3:3" ht="15.75" customHeight="1">
      <c r="C519" s="12"/>
    </row>
    <row r="520" spans="3:3" ht="15.75" customHeight="1">
      <c r="C520" s="12"/>
    </row>
    <row r="521" spans="3:3" ht="15.75" customHeight="1">
      <c r="C521" s="12"/>
    </row>
    <row r="522" spans="3:3" ht="15.75" customHeight="1">
      <c r="C522" s="12"/>
    </row>
    <row r="523" spans="3:3" ht="15.75" customHeight="1">
      <c r="C523" s="12"/>
    </row>
    <row r="524" spans="3:3" ht="15.75" customHeight="1">
      <c r="C524" s="12"/>
    </row>
    <row r="525" spans="3:3" ht="15.75" customHeight="1">
      <c r="C525" s="12"/>
    </row>
    <row r="526" spans="3:3" ht="15.75" customHeight="1">
      <c r="C526" s="12"/>
    </row>
    <row r="527" spans="3:3" ht="15.75" customHeight="1">
      <c r="C527" s="12"/>
    </row>
    <row r="528" spans="3:3" ht="15.75" customHeight="1">
      <c r="C528" s="12"/>
    </row>
    <row r="529" spans="3:3" ht="15.75" customHeight="1">
      <c r="C529" s="12"/>
    </row>
    <row r="530" spans="3:3" ht="15.75" customHeight="1">
      <c r="C530" s="12"/>
    </row>
    <row r="531" spans="3:3" ht="15.75" customHeight="1">
      <c r="C531" s="12"/>
    </row>
    <row r="532" spans="3:3" ht="15.75" customHeight="1">
      <c r="C532" s="12"/>
    </row>
    <row r="533" spans="3:3" ht="15.75" customHeight="1">
      <c r="C533" s="12"/>
    </row>
    <row r="534" spans="3:3" ht="15.75" customHeight="1">
      <c r="C534" s="12"/>
    </row>
    <row r="535" spans="3:3" ht="15.75" customHeight="1">
      <c r="C535" s="12"/>
    </row>
    <row r="536" spans="3:3" ht="15.75" customHeight="1">
      <c r="C536" s="12"/>
    </row>
    <row r="537" spans="3:3" ht="15.75" customHeight="1">
      <c r="C537" s="12"/>
    </row>
    <row r="538" spans="3:3" ht="15.75" customHeight="1">
      <c r="C538" s="12"/>
    </row>
    <row r="539" spans="3:3" ht="15.75" customHeight="1">
      <c r="C539" s="12"/>
    </row>
    <row r="540" spans="3:3" ht="15.75" customHeight="1">
      <c r="C540" s="12"/>
    </row>
    <row r="541" spans="3:3" ht="15.75" customHeight="1">
      <c r="C541" s="12"/>
    </row>
    <row r="542" spans="3:3" ht="15.75" customHeight="1">
      <c r="C542" s="12"/>
    </row>
    <row r="543" spans="3:3" ht="15.75" customHeight="1">
      <c r="C543" s="12"/>
    </row>
    <row r="544" spans="3:3" ht="15.75" customHeight="1">
      <c r="C544" s="12"/>
    </row>
    <row r="545" spans="3:3" ht="15.75" customHeight="1">
      <c r="C545" s="12"/>
    </row>
    <row r="546" spans="3:3" ht="15.75" customHeight="1">
      <c r="C546" s="12"/>
    </row>
    <row r="547" spans="3:3" ht="15.75" customHeight="1">
      <c r="C547" s="12"/>
    </row>
    <row r="548" spans="3:3" ht="15.75" customHeight="1">
      <c r="C548" s="12"/>
    </row>
    <row r="549" spans="3:3" ht="15.75" customHeight="1">
      <c r="C549" s="12"/>
    </row>
    <row r="550" spans="3:3" ht="15.75" customHeight="1">
      <c r="C550" s="12"/>
    </row>
    <row r="551" spans="3:3" ht="15.75" customHeight="1">
      <c r="C551" s="12"/>
    </row>
    <row r="552" spans="3:3" ht="15.75" customHeight="1">
      <c r="C552" s="12"/>
    </row>
    <row r="553" spans="3:3" ht="15.75" customHeight="1">
      <c r="C553" s="12"/>
    </row>
    <row r="554" spans="3:3" ht="15.75" customHeight="1">
      <c r="C554" s="12"/>
    </row>
    <row r="555" spans="3:3" ht="15.75" customHeight="1">
      <c r="C555" s="12"/>
    </row>
    <row r="556" spans="3:3" ht="15.75" customHeight="1">
      <c r="C556" s="12"/>
    </row>
    <row r="557" spans="3:3" ht="15.75" customHeight="1">
      <c r="C557" s="12"/>
    </row>
    <row r="558" spans="3:3" ht="15.75" customHeight="1">
      <c r="C558" s="12"/>
    </row>
    <row r="559" spans="3:3" ht="15.75" customHeight="1">
      <c r="C559" s="12"/>
    </row>
    <row r="560" spans="3:3" ht="15.75" customHeight="1">
      <c r="C560" s="12"/>
    </row>
    <row r="561" spans="3:3" ht="15.75" customHeight="1">
      <c r="C561" s="12"/>
    </row>
    <row r="562" spans="3:3" ht="15.75" customHeight="1">
      <c r="C562" s="12"/>
    </row>
    <row r="563" spans="3:3" ht="15.75" customHeight="1">
      <c r="C563" s="12"/>
    </row>
    <row r="564" spans="3:3" ht="15.75" customHeight="1">
      <c r="C564" s="12"/>
    </row>
    <row r="565" spans="3:3" ht="15.75" customHeight="1">
      <c r="C565" s="12"/>
    </row>
    <row r="566" spans="3:3" ht="15.75" customHeight="1">
      <c r="C566" s="12"/>
    </row>
    <row r="567" spans="3:3" ht="15.75" customHeight="1">
      <c r="C567" s="12"/>
    </row>
    <row r="568" spans="3:3" ht="15.75" customHeight="1">
      <c r="C568" s="12"/>
    </row>
    <row r="569" spans="3:3" ht="15.75" customHeight="1">
      <c r="C569" s="12"/>
    </row>
    <row r="570" spans="3:3" ht="15.75" customHeight="1">
      <c r="C570" s="12"/>
    </row>
    <row r="571" spans="3:3" ht="15.75" customHeight="1">
      <c r="C571" s="12"/>
    </row>
    <row r="572" spans="3:3" ht="15.75" customHeight="1">
      <c r="C572" s="12"/>
    </row>
    <row r="573" spans="3:3" ht="15.75" customHeight="1">
      <c r="C573" s="12"/>
    </row>
    <row r="574" spans="3:3" ht="15.75" customHeight="1">
      <c r="C574" s="12"/>
    </row>
    <row r="575" spans="3:3" ht="15.75" customHeight="1">
      <c r="C575" s="12"/>
    </row>
    <row r="576" spans="3:3" ht="15.75" customHeight="1">
      <c r="C576" s="12"/>
    </row>
    <row r="577" spans="3:3" ht="15.75" customHeight="1">
      <c r="C577" s="12"/>
    </row>
    <row r="578" spans="3:3" ht="15.75" customHeight="1">
      <c r="C578" s="12"/>
    </row>
    <row r="579" spans="3:3" ht="15.75" customHeight="1">
      <c r="C579" s="12"/>
    </row>
    <row r="580" spans="3:3" ht="15.75" customHeight="1">
      <c r="C580" s="12"/>
    </row>
    <row r="581" spans="3:3" ht="15.75" customHeight="1">
      <c r="C581" s="12"/>
    </row>
    <row r="582" spans="3:3" ht="15.75" customHeight="1">
      <c r="C582" s="12"/>
    </row>
    <row r="583" spans="3:3" ht="15.75" customHeight="1">
      <c r="C583" s="12"/>
    </row>
    <row r="584" spans="3:3" ht="15.75" customHeight="1">
      <c r="C584" s="12"/>
    </row>
    <row r="585" spans="3:3" ht="15.75" customHeight="1">
      <c r="C585" s="12"/>
    </row>
    <row r="586" spans="3:3" ht="15.75" customHeight="1">
      <c r="C586" s="12"/>
    </row>
    <row r="587" spans="3:3" ht="15.75" customHeight="1">
      <c r="C587" s="12"/>
    </row>
    <row r="588" spans="3:3" ht="15.75" customHeight="1">
      <c r="C588" s="12"/>
    </row>
    <row r="589" spans="3:3" ht="15.75" customHeight="1">
      <c r="C589" s="12"/>
    </row>
    <row r="590" spans="3:3" ht="15.75" customHeight="1">
      <c r="C590" s="12"/>
    </row>
    <row r="591" spans="3:3" ht="15.75" customHeight="1">
      <c r="C591" s="12"/>
    </row>
    <row r="592" spans="3:3" ht="15.75" customHeight="1">
      <c r="C592" s="12"/>
    </row>
    <row r="593" spans="3:3" ht="15.75" customHeight="1">
      <c r="C593" s="12"/>
    </row>
    <row r="594" spans="3:3" ht="15.75" customHeight="1">
      <c r="C594" s="12"/>
    </row>
    <row r="595" spans="3:3" ht="15.75" customHeight="1">
      <c r="C595" s="12"/>
    </row>
    <row r="596" spans="3:3" ht="15.75" customHeight="1">
      <c r="C596" s="12"/>
    </row>
    <row r="597" spans="3:3" ht="15.75" customHeight="1">
      <c r="C597" s="12"/>
    </row>
    <row r="598" spans="3:3" ht="15.75" customHeight="1">
      <c r="C598" s="12"/>
    </row>
    <row r="599" spans="3:3" ht="15.75" customHeight="1">
      <c r="C599" s="12"/>
    </row>
    <row r="600" spans="3:3" ht="15.75" customHeight="1">
      <c r="C600" s="12"/>
    </row>
    <row r="601" spans="3:3" ht="15.75" customHeight="1">
      <c r="C601" s="12"/>
    </row>
    <row r="602" spans="3:3" ht="15.75" customHeight="1">
      <c r="C602" s="12"/>
    </row>
    <row r="603" spans="3:3" ht="15.75" customHeight="1">
      <c r="C603" s="12"/>
    </row>
    <row r="604" spans="3:3" ht="15.75" customHeight="1">
      <c r="C604" s="12"/>
    </row>
    <row r="605" spans="3:3" ht="15.75" customHeight="1">
      <c r="C605" s="12"/>
    </row>
    <row r="606" spans="3:3" ht="15.75" customHeight="1">
      <c r="C606" s="12"/>
    </row>
    <row r="607" spans="3:3" ht="15.75" customHeight="1">
      <c r="C607" s="12"/>
    </row>
    <row r="608" spans="3:3" ht="15.75" customHeight="1">
      <c r="C608" s="12"/>
    </row>
    <row r="609" spans="3:3" ht="15.75" customHeight="1">
      <c r="C609" s="12"/>
    </row>
    <row r="610" spans="3:3" ht="15.75" customHeight="1">
      <c r="C610" s="12"/>
    </row>
    <row r="611" spans="3:3" ht="15.75" customHeight="1">
      <c r="C611" s="12"/>
    </row>
    <row r="612" spans="3:3" ht="15.75" customHeight="1">
      <c r="C612" s="12"/>
    </row>
    <row r="613" spans="3:3" ht="15.75" customHeight="1">
      <c r="C613" s="12"/>
    </row>
    <row r="614" spans="3:3" ht="15.75" customHeight="1">
      <c r="C614" s="12"/>
    </row>
    <row r="615" spans="3:3" ht="15.75" customHeight="1">
      <c r="C615" s="12"/>
    </row>
    <row r="616" spans="3:3" ht="15.75" customHeight="1">
      <c r="C616" s="12"/>
    </row>
    <row r="617" spans="3:3" ht="15.75" customHeight="1">
      <c r="C617" s="12"/>
    </row>
    <row r="618" spans="3:3" ht="15.75" customHeight="1">
      <c r="C618" s="12"/>
    </row>
    <row r="619" spans="3:3" ht="15.75" customHeight="1">
      <c r="C619" s="12"/>
    </row>
    <row r="620" spans="3:3" ht="15.75" customHeight="1">
      <c r="C620" s="12"/>
    </row>
    <row r="621" spans="3:3" ht="15.75" customHeight="1">
      <c r="C621" s="12"/>
    </row>
    <row r="622" spans="3:3" ht="15.75" customHeight="1">
      <c r="C622" s="12"/>
    </row>
    <row r="623" spans="3:3" ht="15.75" customHeight="1">
      <c r="C623" s="12"/>
    </row>
    <row r="624" spans="3:3" ht="15.75" customHeight="1">
      <c r="C624" s="12"/>
    </row>
    <row r="625" spans="3:3" ht="15.75" customHeight="1">
      <c r="C625" s="12"/>
    </row>
    <row r="626" spans="3:3" ht="15.75" customHeight="1">
      <c r="C626" s="12"/>
    </row>
    <row r="627" spans="3:3" ht="15.75" customHeight="1">
      <c r="C627" s="12"/>
    </row>
    <row r="628" spans="3:3" ht="15.75" customHeight="1">
      <c r="C628" s="12"/>
    </row>
    <row r="629" spans="3:3" ht="15.75" customHeight="1">
      <c r="C629" s="12"/>
    </row>
    <row r="630" spans="3:3" ht="15.75" customHeight="1">
      <c r="C630" s="12"/>
    </row>
    <row r="631" spans="3:3" ht="15.75" customHeight="1">
      <c r="C631" s="12"/>
    </row>
    <row r="632" spans="3:3" ht="15.75" customHeight="1">
      <c r="C632" s="12"/>
    </row>
    <row r="633" spans="3:3" ht="15.75" customHeight="1">
      <c r="C633" s="12"/>
    </row>
    <row r="634" spans="3:3" ht="15.75" customHeight="1">
      <c r="C634" s="12"/>
    </row>
    <row r="635" spans="3:3" ht="15.75" customHeight="1">
      <c r="C635" s="12"/>
    </row>
    <row r="636" spans="3:3" ht="15.75" customHeight="1">
      <c r="C636" s="12"/>
    </row>
    <row r="637" spans="3:3" ht="15.75" customHeight="1">
      <c r="C637" s="12"/>
    </row>
    <row r="638" spans="3:3" ht="15.75" customHeight="1">
      <c r="C638" s="12"/>
    </row>
    <row r="639" spans="3:3" ht="15.75" customHeight="1">
      <c r="C639" s="12"/>
    </row>
    <row r="640" spans="3:3" ht="15.75" customHeight="1">
      <c r="C640" s="12"/>
    </row>
    <row r="641" spans="3:3" ht="15.75" customHeight="1">
      <c r="C641" s="12"/>
    </row>
    <row r="642" spans="3:3" ht="15.75" customHeight="1">
      <c r="C642" s="12"/>
    </row>
    <row r="643" spans="3:3" ht="15.75" customHeight="1">
      <c r="C643" s="12"/>
    </row>
    <row r="644" spans="3:3" ht="15.75" customHeight="1">
      <c r="C644" s="12"/>
    </row>
    <row r="645" spans="3:3" ht="15.75" customHeight="1">
      <c r="C645" s="12"/>
    </row>
    <row r="646" spans="3:3" ht="15.75" customHeight="1">
      <c r="C646" s="12"/>
    </row>
    <row r="647" spans="3:3" ht="15.75" customHeight="1">
      <c r="C647" s="12"/>
    </row>
    <row r="648" spans="3:3" ht="15.75" customHeight="1">
      <c r="C648" s="12"/>
    </row>
    <row r="649" spans="3:3" ht="15.75" customHeight="1">
      <c r="C649" s="12"/>
    </row>
    <row r="650" spans="3:3" ht="15.75" customHeight="1">
      <c r="C650" s="12"/>
    </row>
    <row r="651" spans="3:3" ht="15.75" customHeight="1">
      <c r="C651" s="12"/>
    </row>
    <row r="652" spans="3:3" ht="15.75" customHeight="1">
      <c r="C652" s="12"/>
    </row>
    <row r="653" spans="3:3" ht="15.75" customHeight="1">
      <c r="C653" s="12"/>
    </row>
    <row r="654" spans="3:3" ht="15.75" customHeight="1">
      <c r="C654" s="12"/>
    </row>
    <row r="655" spans="3:3" ht="15.75" customHeight="1">
      <c r="C655" s="12"/>
    </row>
    <row r="656" spans="3:3" ht="15.75" customHeight="1">
      <c r="C656" s="12"/>
    </row>
    <row r="657" spans="3:3" ht="15.75" customHeight="1">
      <c r="C657" s="12"/>
    </row>
    <row r="658" spans="3:3" ht="15.75" customHeight="1">
      <c r="C658" s="12"/>
    </row>
    <row r="659" spans="3:3" ht="15.75" customHeight="1">
      <c r="C659" s="12"/>
    </row>
    <row r="660" spans="3:3" ht="15.75" customHeight="1">
      <c r="C660" s="12"/>
    </row>
    <row r="661" spans="3:3" ht="15.75" customHeight="1">
      <c r="C661" s="12"/>
    </row>
    <row r="662" spans="3:3" ht="15.75" customHeight="1">
      <c r="C662" s="12"/>
    </row>
    <row r="663" spans="3:3" ht="15.75" customHeight="1">
      <c r="C663" s="12"/>
    </row>
    <row r="664" spans="3:3" ht="15.75" customHeight="1">
      <c r="C664" s="12"/>
    </row>
    <row r="665" spans="3:3" ht="15.75" customHeight="1">
      <c r="C665" s="12"/>
    </row>
    <row r="666" spans="3:3" ht="15.75" customHeight="1">
      <c r="C666" s="12"/>
    </row>
    <row r="667" spans="3:3" ht="15.75" customHeight="1">
      <c r="C667" s="12"/>
    </row>
    <row r="668" spans="3:3" ht="15.75" customHeight="1">
      <c r="C668" s="12"/>
    </row>
    <row r="669" spans="3:3" ht="15.75" customHeight="1">
      <c r="C669" s="12"/>
    </row>
    <row r="670" spans="3:3" ht="15.75" customHeight="1">
      <c r="C670" s="12"/>
    </row>
    <row r="671" spans="3:3" ht="15.75" customHeight="1">
      <c r="C671" s="12"/>
    </row>
    <row r="672" spans="3:3" ht="15.75" customHeight="1">
      <c r="C672" s="12"/>
    </row>
    <row r="673" spans="3:3" ht="15.75" customHeight="1">
      <c r="C673" s="12"/>
    </row>
    <row r="674" spans="3:3" ht="15.75" customHeight="1">
      <c r="C674" s="12"/>
    </row>
    <row r="675" spans="3:3" ht="15.75" customHeight="1">
      <c r="C675" s="12"/>
    </row>
    <row r="676" spans="3:3" ht="15.75" customHeight="1">
      <c r="C676" s="12"/>
    </row>
    <row r="677" spans="3:3" ht="15.75" customHeight="1">
      <c r="C677" s="12"/>
    </row>
    <row r="678" spans="3:3" ht="15.75" customHeight="1">
      <c r="C678" s="12"/>
    </row>
    <row r="679" spans="3:3" ht="15.75" customHeight="1">
      <c r="C679" s="12"/>
    </row>
    <row r="680" spans="3:3" ht="15.75" customHeight="1">
      <c r="C680" s="12"/>
    </row>
    <row r="681" spans="3:3" ht="15.75" customHeight="1">
      <c r="C681" s="12"/>
    </row>
    <row r="682" spans="3:3" ht="15.75" customHeight="1">
      <c r="C682" s="12"/>
    </row>
    <row r="683" spans="3:3" ht="15.75" customHeight="1">
      <c r="C683" s="12"/>
    </row>
    <row r="684" spans="3:3" ht="15.75" customHeight="1">
      <c r="C684" s="12"/>
    </row>
    <row r="685" spans="3:3" ht="15.75" customHeight="1">
      <c r="C685" s="12"/>
    </row>
    <row r="686" spans="3:3" ht="15.75" customHeight="1">
      <c r="C686" s="12"/>
    </row>
    <row r="687" spans="3:3" ht="15.75" customHeight="1">
      <c r="C687" s="12"/>
    </row>
    <row r="688" spans="3:3" ht="15.75" customHeight="1">
      <c r="C688" s="12"/>
    </row>
    <row r="689" spans="3:3" ht="15.75" customHeight="1">
      <c r="C689" s="12"/>
    </row>
    <row r="690" spans="3:3" ht="15.75" customHeight="1">
      <c r="C690" s="12"/>
    </row>
    <row r="691" spans="3:3" ht="15.75" customHeight="1">
      <c r="C691" s="12"/>
    </row>
    <row r="692" spans="3:3" ht="15.75" customHeight="1">
      <c r="C692" s="12"/>
    </row>
    <row r="693" spans="3:3" ht="15.75" customHeight="1">
      <c r="C693" s="12"/>
    </row>
    <row r="694" spans="3:3" ht="15.75" customHeight="1">
      <c r="C694" s="12"/>
    </row>
    <row r="695" spans="3:3" ht="15.75" customHeight="1">
      <c r="C695" s="12"/>
    </row>
    <row r="696" spans="3:3" ht="15.75" customHeight="1">
      <c r="C696" s="12"/>
    </row>
    <row r="697" spans="3:3" ht="15.75" customHeight="1">
      <c r="C697" s="12"/>
    </row>
    <row r="698" spans="3:3" ht="15.75" customHeight="1">
      <c r="C698" s="12"/>
    </row>
    <row r="699" spans="3:3" ht="15.75" customHeight="1">
      <c r="C699" s="12"/>
    </row>
    <row r="700" spans="3:3" ht="15.75" customHeight="1">
      <c r="C700" s="12"/>
    </row>
    <row r="701" spans="3:3" ht="15.75" customHeight="1">
      <c r="C701" s="12"/>
    </row>
    <row r="702" spans="3:3" ht="15.75" customHeight="1">
      <c r="C702" s="12"/>
    </row>
    <row r="703" spans="3:3" ht="15.75" customHeight="1">
      <c r="C703" s="12"/>
    </row>
    <row r="704" spans="3:3" ht="15.75" customHeight="1">
      <c r="C704" s="12"/>
    </row>
    <row r="705" spans="3:3" ht="15.75" customHeight="1">
      <c r="C705" s="12"/>
    </row>
    <row r="706" spans="3:3" ht="15.75" customHeight="1">
      <c r="C706" s="12"/>
    </row>
    <row r="707" spans="3:3" ht="15.75" customHeight="1">
      <c r="C707" s="12"/>
    </row>
    <row r="708" spans="3:3" ht="15.75" customHeight="1">
      <c r="C708" s="12"/>
    </row>
    <row r="709" spans="3:3" ht="15.75" customHeight="1">
      <c r="C709" s="12"/>
    </row>
    <row r="710" spans="3:3" ht="15.75" customHeight="1">
      <c r="C710" s="12"/>
    </row>
    <row r="711" spans="3:3" ht="15.75" customHeight="1">
      <c r="C711" s="12"/>
    </row>
    <row r="712" spans="3:3" ht="15.75" customHeight="1">
      <c r="C712" s="12"/>
    </row>
    <row r="713" spans="3:3" ht="15.75" customHeight="1">
      <c r="C713" s="12"/>
    </row>
    <row r="714" spans="3:3" ht="15.75" customHeight="1">
      <c r="C714" s="12"/>
    </row>
    <row r="715" spans="3:3" ht="15.75" customHeight="1">
      <c r="C715" s="12"/>
    </row>
    <row r="716" spans="3:3" ht="15.75" customHeight="1">
      <c r="C716" s="12"/>
    </row>
    <row r="717" spans="3:3" ht="15.75" customHeight="1">
      <c r="C717" s="12"/>
    </row>
    <row r="718" spans="3:3" ht="15.75" customHeight="1">
      <c r="C718" s="12"/>
    </row>
    <row r="719" spans="3:3" ht="15.75" customHeight="1">
      <c r="C719" s="12"/>
    </row>
    <row r="720" spans="3:3" ht="15.75" customHeight="1">
      <c r="C720" s="12"/>
    </row>
    <row r="721" spans="3:3" ht="15.75" customHeight="1">
      <c r="C721" s="12"/>
    </row>
    <row r="722" spans="3:3" ht="15.75" customHeight="1">
      <c r="C722" s="12"/>
    </row>
    <row r="723" spans="3:3" ht="15.75" customHeight="1">
      <c r="C723" s="12"/>
    </row>
    <row r="724" spans="3:3" ht="15.75" customHeight="1">
      <c r="C724" s="12"/>
    </row>
    <row r="725" spans="3:3" ht="15.75" customHeight="1">
      <c r="C725" s="12"/>
    </row>
    <row r="726" spans="3:3" ht="15.75" customHeight="1">
      <c r="C726" s="12"/>
    </row>
    <row r="727" spans="3:3" ht="15.75" customHeight="1">
      <c r="C727" s="12"/>
    </row>
    <row r="728" spans="3:3" ht="15.75" customHeight="1">
      <c r="C728" s="12"/>
    </row>
    <row r="729" spans="3:3" ht="15.75" customHeight="1">
      <c r="C729" s="12"/>
    </row>
    <row r="730" spans="3:3" ht="15.75" customHeight="1">
      <c r="C730" s="12"/>
    </row>
    <row r="731" spans="3:3" ht="15.75" customHeight="1">
      <c r="C731" s="12"/>
    </row>
    <row r="732" spans="3:3" ht="15.75" customHeight="1">
      <c r="C732" s="12"/>
    </row>
    <row r="733" spans="3:3" ht="15.75" customHeight="1">
      <c r="C733" s="12"/>
    </row>
    <row r="734" spans="3:3" ht="15.75" customHeight="1">
      <c r="C734" s="12"/>
    </row>
    <row r="735" spans="3:3" ht="15.75" customHeight="1">
      <c r="C735" s="12"/>
    </row>
    <row r="736" spans="3:3" ht="15.75" customHeight="1">
      <c r="C736" s="12"/>
    </row>
    <row r="737" spans="3:3" ht="15.75" customHeight="1">
      <c r="C737" s="12"/>
    </row>
    <row r="738" spans="3:3" ht="15.75" customHeight="1">
      <c r="C738" s="12"/>
    </row>
    <row r="739" spans="3:3" ht="15.75" customHeight="1">
      <c r="C739" s="12"/>
    </row>
    <row r="740" spans="3:3" ht="15.75" customHeight="1">
      <c r="C740" s="12"/>
    </row>
    <row r="741" spans="3:3" ht="15.75" customHeight="1">
      <c r="C741" s="12"/>
    </row>
    <row r="742" spans="3:3" ht="15.75" customHeight="1">
      <c r="C742" s="12"/>
    </row>
    <row r="743" spans="3:3" ht="15.75" customHeight="1">
      <c r="C743" s="12"/>
    </row>
    <row r="744" spans="3:3" ht="15.75" customHeight="1">
      <c r="C744" s="12"/>
    </row>
    <row r="745" spans="3:3" ht="15.75" customHeight="1">
      <c r="C745" s="12"/>
    </row>
    <row r="746" spans="3:3" ht="15.75" customHeight="1">
      <c r="C746" s="12"/>
    </row>
    <row r="747" spans="3:3" ht="15.75" customHeight="1">
      <c r="C747" s="12"/>
    </row>
    <row r="748" spans="3:3" ht="15.75" customHeight="1">
      <c r="C748" s="12"/>
    </row>
    <row r="749" spans="3:3" ht="15.75" customHeight="1">
      <c r="C749" s="12"/>
    </row>
    <row r="750" spans="3:3" ht="15.75" customHeight="1">
      <c r="C750" s="12"/>
    </row>
    <row r="751" spans="3:3" ht="15.75" customHeight="1">
      <c r="C751" s="12"/>
    </row>
    <row r="752" spans="3:3" ht="15.75" customHeight="1">
      <c r="C752" s="12"/>
    </row>
    <row r="753" spans="3:3" ht="15.75" customHeight="1">
      <c r="C753" s="12"/>
    </row>
    <row r="754" spans="3:3" ht="15.75" customHeight="1">
      <c r="C754" s="12"/>
    </row>
    <row r="755" spans="3:3" ht="15.75" customHeight="1">
      <c r="C755" s="12"/>
    </row>
    <row r="756" spans="3:3" ht="15.75" customHeight="1">
      <c r="C756" s="12"/>
    </row>
    <row r="757" spans="3:3" ht="15.75" customHeight="1">
      <c r="C757" s="12"/>
    </row>
    <row r="758" spans="3:3" ht="15.75" customHeight="1">
      <c r="C758" s="12"/>
    </row>
    <row r="759" spans="3:3" ht="15.75" customHeight="1">
      <c r="C759" s="12"/>
    </row>
    <row r="760" spans="3:3" ht="15.75" customHeight="1">
      <c r="C760" s="12"/>
    </row>
    <row r="761" spans="3:3" ht="15.75" customHeight="1">
      <c r="C761" s="12"/>
    </row>
    <row r="762" spans="3:3" ht="15.75" customHeight="1">
      <c r="C762" s="12"/>
    </row>
    <row r="763" spans="3:3" ht="15.75" customHeight="1">
      <c r="C763" s="12"/>
    </row>
    <row r="764" spans="3:3" ht="15.75" customHeight="1">
      <c r="C764" s="12"/>
    </row>
    <row r="765" spans="3:3" ht="15.75" customHeight="1">
      <c r="C765" s="12"/>
    </row>
    <row r="766" spans="3:3" ht="15.75" customHeight="1">
      <c r="C766" s="12"/>
    </row>
    <row r="767" spans="3:3" ht="15.75" customHeight="1">
      <c r="C767" s="12"/>
    </row>
    <row r="768" spans="3:3" ht="15.75" customHeight="1">
      <c r="C768" s="12"/>
    </row>
    <row r="769" spans="3:3" ht="15.75" customHeight="1">
      <c r="C769" s="12"/>
    </row>
    <row r="770" spans="3:3" ht="15.75" customHeight="1">
      <c r="C770" s="12"/>
    </row>
    <row r="771" spans="3:3" ht="15.75" customHeight="1">
      <c r="C771" s="12"/>
    </row>
    <row r="772" spans="3:3" ht="15.75" customHeight="1">
      <c r="C772" s="12"/>
    </row>
    <row r="773" spans="3:3" ht="15.75" customHeight="1">
      <c r="C773" s="12"/>
    </row>
    <row r="774" spans="3:3" ht="15.75" customHeight="1">
      <c r="C774" s="12"/>
    </row>
    <row r="775" spans="3:3" ht="15.75" customHeight="1">
      <c r="C775" s="12"/>
    </row>
    <row r="776" spans="3:3" ht="15.75" customHeight="1">
      <c r="C776" s="12"/>
    </row>
    <row r="777" spans="3:3" ht="15.75" customHeight="1">
      <c r="C777" s="12"/>
    </row>
    <row r="778" spans="3:3" ht="15.75" customHeight="1">
      <c r="C778" s="12"/>
    </row>
    <row r="779" spans="3:3" ht="15.75" customHeight="1">
      <c r="C779" s="12"/>
    </row>
    <row r="780" spans="3:3" ht="15.75" customHeight="1">
      <c r="C780" s="12"/>
    </row>
    <row r="781" spans="3:3" ht="15.75" customHeight="1">
      <c r="C781" s="12"/>
    </row>
    <row r="782" spans="3:3" ht="15.75" customHeight="1">
      <c r="C782" s="12"/>
    </row>
    <row r="783" spans="3:3" ht="15.75" customHeight="1">
      <c r="C783" s="12"/>
    </row>
    <row r="784" spans="3:3" ht="15.75" customHeight="1">
      <c r="C784" s="12"/>
    </row>
    <row r="785" spans="3:3" ht="15.75" customHeight="1">
      <c r="C785" s="12"/>
    </row>
    <row r="786" spans="3:3" ht="15.75" customHeight="1">
      <c r="C786" s="12"/>
    </row>
    <row r="787" spans="3:3" ht="15.75" customHeight="1">
      <c r="C787" s="12"/>
    </row>
    <row r="788" spans="3:3" ht="15.75" customHeight="1">
      <c r="C788" s="12"/>
    </row>
    <row r="789" spans="3:3" ht="15.75" customHeight="1">
      <c r="C789" s="12"/>
    </row>
    <row r="790" spans="3:3" ht="15.75" customHeight="1">
      <c r="C790" s="12"/>
    </row>
    <row r="791" spans="3:3" ht="15.75" customHeight="1">
      <c r="C791" s="12"/>
    </row>
    <row r="792" spans="3:3" ht="15.75" customHeight="1">
      <c r="C792" s="12"/>
    </row>
    <row r="793" spans="3:3" ht="15.75" customHeight="1">
      <c r="C793" s="12"/>
    </row>
    <row r="794" spans="3:3" ht="15.75" customHeight="1">
      <c r="C794" s="12"/>
    </row>
    <row r="795" spans="3:3" ht="15.75" customHeight="1">
      <c r="C795" s="12"/>
    </row>
    <row r="796" spans="3:3" ht="15.75" customHeight="1">
      <c r="C796" s="12"/>
    </row>
    <row r="797" spans="3:3" ht="15.75" customHeight="1">
      <c r="C797" s="12"/>
    </row>
    <row r="798" spans="3:3" ht="15.75" customHeight="1">
      <c r="C798" s="12"/>
    </row>
    <row r="799" spans="3:3" ht="15.75" customHeight="1">
      <c r="C799" s="12"/>
    </row>
    <row r="800" spans="3:3" ht="15.75" customHeight="1">
      <c r="C800" s="12"/>
    </row>
    <row r="801" spans="3:3" ht="15.75" customHeight="1">
      <c r="C801" s="12"/>
    </row>
    <row r="802" spans="3:3" ht="15.75" customHeight="1">
      <c r="C802" s="12"/>
    </row>
    <row r="803" spans="3:3" ht="15.75" customHeight="1">
      <c r="C803" s="12"/>
    </row>
    <row r="804" spans="3:3" ht="15.75" customHeight="1">
      <c r="C804" s="12"/>
    </row>
    <row r="805" spans="3:3" ht="15.75" customHeight="1">
      <c r="C805" s="12"/>
    </row>
    <row r="806" spans="3:3" ht="15.75" customHeight="1">
      <c r="C806" s="12"/>
    </row>
    <row r="807" spans="3:3" ht="15.75" customHeight="1">
      <c r="C807" s="12"/>
    </row>
    <row r="808" spans="3:3" ht="15.75" customHeight="1">
      <c r="C808" s="12"/>
    </row>
    <row r="809" spans="3:3" ht="15.75" customHeight="1">
      <c r="C809" s="12"/>
    </row>
    <row r="810" spans="3:3" ht="15.75" customHeight="1">
      <c r="C810" s="12"/>
    </row>
    <row r="811" spans="3:3" ht="15.75" customHeight="1">
      <c r="C811" s="12"/>
    </row>
    <row r="812" spans="3:3" ht="15.75" customHeight="1">
      <c r="C812" s="12"/>
    </row>
    <row r="813" spans="3:3" ht="15.75" customHeight="1">
      <c r="C813" s="12"/>
    </row>
    <row r="814" spans="3:3" ht="15.75" customHeight="1">
      <c r="C814" s="12"/>
    </row>
    <row r="815" spans="3:3" ht="15.75" customHeight="1">
      <c r="C815" s="12"/>
    </row>
    <row r="816" spans="3:3" ht="15.75" customHeight="1">
      <c r="C816" s="12"/>
    </row>
    <row r="817" spans="3:3" ht="15.75" customHeight="1">
      <c r="C817" s="12"/>
    </row>
    <row r="818" spans="3:3" ht="15.75" customHeight="1">
      <c r="C818" s="12"/>
    </row>
    <row r="819" spans="3:3" ht="15.75" customHeight="1">
      <c r="C819" s="12"/>
    </row>
    <row r="820" spans="3:3" ht="15.75" customHeight="1">
      <c r="C820" s="12"/>
    </row>
    <row r="821" spans="3:3" ht="15.75" customHeight="1">
      <c r="C821" s="12"/>
    </row>
    <row r="822" spans="3:3" ht="15.75" customHeight="1">
      <c r="C822" s="12"/>
    </row>
    <row r="823" spans="3:3" ht="15.75" customHeight="1">
      <c r="C823" s="12"/>
    </row>
    <row r="824" spans="3:3" ht="15.75" customHeight="1">
      <c r="C824" s="12"/>
    </row>
    <row r="825" spans="3:3" ht="15.75" customHeight="1">
      <c r="C825" s="12"/>
    </row>
    <row r="826" spans="3:3" ht="15.75" customHeight="1">
      <c r="C826" s="12"/>
    </row>
    <row r="827" spans="3:3" ht="15.75" customHeight="1">
      <c r="C827" s="12"/>
    </row>
    <row r="828" spans="3:3" ht="15.75" customHeight="1">
      <c r="C828" s="12"/>
    </row>
    <row r="829" spans="3:3" ht="15.75" customHeight="1">
      <c r="C829" s="12"/>
    </row>
    <row r="830" spans="3:3" ht="15.75" customHeight="1">
      <c r="C830" s="12"/>
    </row>
    <row r="831" spans="3:3" ht="15.75" customHeight="1">
      <c r="C831" s="12"/>
    </row>
    <row r="832" spans="3:3" ht="15.75" customHeight="1">
      <c r="C832" s="12"/>
    </row>
    <row r="833" spans="3:3" ht="15.75" customHeight="1">
      <c r="C833" s="12"/>
    </row>
    <row r="834" spans="3:3" ht="15.75" customHeight="1">
      <c r="C834" s="12"/>
    </row>
    <row r="835" spans="3:3" ht="15.75" customHeight="1">
      <c r="C835" s="12"/>
    </row>
    <row r="836" spans="3:3" ht="15.75" customHeight="1">
      <c r="C836" s="12"/>
    </row>
    <row r="837" spans="3:3" ht="15.75" customHeight="1">
      <c r="C837" s="12"/>
    </row>
    <row r="838" spans="3:3" ht="15.75" customHeight="1">
      <c r="C838" s="12"/>
    </row>
    <row r="839" spans="3:3" ht="15.75" customHeight="1">
      <c r="C839" s="12"/>
    </row>
    <row r="840" spans="3:3" ht="15.75" customHeight="1">
      <c r="C840" s="12"/>
    </row>
    <row r="841" spans="3:3" ht="15.75" customHeight="1">
      <c r="C841" s="12"/>
    </row>
    <row r="842" spans="3:3" ht="15.75" customHeight="1">
      <c r="C842" s="12"/>
    </row>
    <row r="843" spans="3:3" ht="15.75" customHeight="1">
      <c r="C843" s="12"/>
    </row>
    <row r="844" spans="3:3" ht="15.75" customHeight="1">
      <c r="C844" s="12"/>
    </row>
    <row r="845" spans="3:3" ht="15.75" customHeight="1">
      <c r="C845" s="12"/>
    </row>
    <row r="846" spans="3:3" ht="15.75" customHeight="1">
      <c r="C846" s="12"/>
    </row>
    <row r="847" spans="3:3" ht="15.75" customHeight="1">
      <c r="C847" s="12"/>
    </row>
    <row r="848" spans="3:3" ht="15.75" customHeight="1">
      <c r="C848" s="12"/>
    </row>
    <row r="849" spans="3:3" ht="15.75" customHeight="1">
      <c r="C849" s="12"/>
    </row>
    <row r="850" spans="3:3" ht="15.75" customHeight="1">
      <c r="C850" s="12"/>
    </row>
    <row r="851" spans="3:3" ht="15.75" customHeight="1">
      <c r="C851" s="12"/>
    </row>
    <row r="852" spans="3:3" ht="15.75" customHeight="1">
      <c r="C852" s="12"/>
    </row>
    <row r="853" spans="3:3" ht="15.75" customHeight="1">
      <c r="C853" s="12"/>
    </row>
    <row r="854" spans="3:3" ht="15.75" customHeight="1">
      <c r="C854" s="12"/>
    </row>
    <row r="855" spans="3:3" ht="15.75" customHeight="1">
      <c r="C855" s="12"/>
    </row>
    <row r="856" spans="3:3" ht="15.75" customHeight="1">
      <c r="C856" s="12"/>
    </row>
    <row r="857" spans="3:3" ht="15.75" customHeight="1">
      <c r="C857" s="12"/>
    </row>
    <row r="858" spans="3:3" ht="15.75" customHeight="1">
      <c r="C858" s="12"/>
    </row>
    <row r="859" spans="3:3" ht="15.75" customHeight="1">
      <c r="C859" s="12"/>
    </row>
    <row r="860" spans="3:3" ht="15.75" customHeight="1">
      <c r="C860" s="12"/>
    </row>
    <row r="861" spans="3:3" ht="15.75" customHeight="1">
      <c r="C861" s="12"/>
    </row>
    <row r="862" spans="3:3" ht="15.75" customHeight="1">
      <c r="C862" s="12"/>
    </row>
    <row r="863" spans="3:3" ht="15.75" customHeight="1">
      <c r="C863" s="12"/>
    </row>
    <row r="864" spans="3:3" ht="15.75" customHeight="1">
      <c r="C864" s="12"/>
    </row>
    <row r="865" spans="3:3" ht="15.75" customHeight="1">
      <c r="C865" s="12"/>
    </row>
    <row r="866" spans="3:3" ht="15.75" customHeight="1">
      <c r="C866" s="12"/>
    </row>
    <row r="867" spans="3:3" ht="15.75" customHeight="1">
      <c r="C867" s="12"/>
    </row>
    <row r="868" spans="3:3" ht="15.75" customHeight="1">
      <c r="C868" s="12"/>
    </row>
    <row r="869" spans="3:3" ht="15.75" customHeight="1">
      <c r="C869" s="12"/>
    </row>
    <row r="870" spans="3:3" ht="15.75" customHeight="1">
      <c r="C870" s="12"/>
    </row>
    <row r="871" spans="3:3" ht="15.75" customHeight="1">
      <c r="C871" s="12"/>
    </row>
    <row r="872" spans="3:3" ht="15.75" customHeight="1">
      <c r="C872" s="12"/>
    </row>
    <row r="873" spans="3:3" ht="15.75" customHeight="1">
      <c r="C873" s="12"/>
    </row>
    <row r="874" spans="3:3" ht="15.75" customHeight="1">
      <c r="C874" s="12"/>
    </row>
    <row r="875" spans="3:3" ht="15.75" customHeight="1">
      <c r="C875" s="12"/>
    </row>
    <row r="876" spans="3:3" ht="15.75" customHeight="1">
      <c r="C876" s="12"/>
    </row>
    <row r="877" spans="3:3" ht="15.75" customHeight="1">
      <c r="C877" s="12"/>
    </row>
    <row r="878" spans="3:3" ht="15.75" customHeight="1">
      <c r="C878" s="12"/>
    </row>
    <row r="879" spans="3:3" ht="15.75" customHeight="1">
      <c r="C879" s="12"/>
    </row>
    <row r="880" spans="3:3" ht="15.75" customHeight="1">
      <c r="C880" s="12"/>
    </row>
    <row r="881" spans="3:3" ht="15.75" customHeight="1">
      <c r="C881" s="12"/>
    </row>
    <row r="882" spans="3:3" ht="15.75" customHeight="1">
      <c r="C882" s="12"/>
    </row>
    <row r="883" spans="3:3" ht="15.75" customHeight="1">
      <c r="C883" s="12"/>
    </row>
    <row r="884" spans="3:3" ht="15.75" customHeight="1">
      <c r="C884" s="12"/>
    </row>
    <row r="885" spans="3:3" ht="15.75" customHeight="1">
      <c r="C885" s="12"/>
    </row>
    <row r="886" spans="3:3" ht="15.75" customHeight="1">
      <c r="C886" s="12"/>
    </row>
    <row r="887" spans="3:3" ht="15.75" customHeight="1">
      <c r="C887" s="12"/>
    </row>
    <row r="888" spans="3:3" ht="15.75" customHeight="1">
      <c r="C888" s="12"/>
    </row>
    <row r="889" spans="3:3" ht="15.75" customHeight="1">
      <c r="C889" s="12"/>
    </row>
    <row r="890" spans="3:3" ht="15.75" customHeight="1">
      <c r="C890" s="12"/>
    </row>
    <row r="891" spans="3:3" ht="15.75" customHeight="1">
      <c r="C891" s="12"/>
    </row>
    <row r="892" spans="3:3" ht="15.75" customHeight="1">
      <c r="C892" s="12"/>
    </row>
    <row r="893" spans="3:3" ht="15.75" customHeight="1">
      <c r="C893" s="12"/>
    </row>
    <row r="894" spans="3:3" ht="15.75" customHeight="1">
      <c r="C894" s="12"/>
    </row>
    <row r="895" spans="3:3" ht="15.75" customHeight="1">
      <c r="C895" s="12"/>
    </row>
    <row r="896" spans="3:3" ht="15.75" customHeight="1">
      <c r="C896" s="12"/>
    </row>
    <row r="897" spans="3:3" ht="15.75" customHeight="1">
      <c r="C897" s="12"/>
    </row>
    <row r="898" spans="3:3" ht="15.75" customHeight="1">
      <c r="C898" s="12"/>
    </row>
    <row r="899" spans="3:3" ht="15.75" customHeight="1">
      <c r="C899" s="12"/>
    </row>
    <row r="900" spans="3:3" ht="15.75" customHeight="1">
      <c r="C900" s="12"/>
    </row>
    <row r="901" spans="3:3" ht="15.75" customHeight="1">
      <c r="C901" s="12"/>
    </row>
    <row r="902" spans="3:3" ht="15.75" customHeight="1">
      <c r="C902" s="12"/>
    </row>
    <row r="903" spans="3:3" ht="15.75" customHeight="1">
      <c r="C903" s="12"/>
    </row>
    <row r="904" spans="3:3" ht="15.75" customHeight="1">
      <c r="C904" s="12"/>
    </row>
    <row r="905" spans="3:3" ht="15.75" customHeight="1">
      <c r="C905" s="12"/>
    </row>
    <row r="906" spans="3:3" ht="15.75" customHeight="1">
      <c r="C906" s="12"/>
    </row>
    <row r="907" spans="3:3" ht="15.75" customHeight="1">
      <c r="C907" s="12"/>
    </row>
    <row r="908" spans="3:3" ht="15.75" customHeight="1">
      <c r="C908" s="12"/>
    </row>
    <row r="909" spans="3:3" ht="15.75" customHeight="1">
      <c r="C909" s="12"/>
    </row>
    <row r="910" spans="3:3" ht="15.75" customHeight="1">
      <c r="C910" s="12"/>
    </row>
    <row r="911" spans="3:3" ht="15.75" customHeight="1">
      <c r="C911" s="12"/>
    </row>
    <row r="912" spans="3:3" ht="15.75" customHeight="1">
      <c r="C912" s="12"/>
    </row>
    <row r="913" spans="3:3" ht="15.75" customHeight="1">
      <c r="C913" s="12"/>
    </row>
    <row r="914" spans="3:3" ht="15.75" customHeight="1">
      <c r="C914" s="12"/>
    </row>
    <row r="915" spans="3:3" ht="15.75" customHeight="1">
      <c r="C915" s="12"/>
    </row>
    <row r="916" spans="3:3" ht="15.75" customHeight="1">
      <c r="C916" s="12"/>
    </row>
    <row r="917" spans="3:3" ht="15.75" customHeight="1">
      <c r="C917" s="12"/>
    </row>
    <row r="918" spans="3:3" ht="15.75" customHeight="1">
      <c r="C918" s="12"/>
    </row>
    <row r="919" spans="3:3" ht="15.75" customHeight="1">
      <c r="C919" s="12"/>
    </row>
    <row r="920" spans="3:3" ht="15.75" customHeight="1">
      <c r="C920" s="12"/>
    </row>
    <row r="921" spans="3:3" ht="15.75" customHeight="1">
      <c r="C921" s="12"/>
    </row>
    <row r="922" spans="3:3" ht="15.75" customHeight="1">
      <c r="C922" s="12"/>
    </row>
    <row r="923" spans="3:3" ht="15.75" customHeight="1">
      <c r="C923" s="12"/>
    </row>
    <row r="924" spans="3:3" ht="15.75" customHeight="1">
      <c r="C924" s="12"/>
    </row>
    <row r="925" spans="3:3" ht="15.75" customHeight="1">
      <c r="C925" s="12"/>
    </row>
    <row r="926" spans="3:3" ht="15.75" customHeight="1">
      <c r="C926" s="12"/>
    </row>
    <row r="927" spans="3:3" ht="15.75" customHeight="1">
      <c r="C927" s="12"/>
    </row>
    <row r="928" spans="3:3" ht="15.75" customHeight="1">
      <c r="C928" s="12"/>
    </row>
    <row r="929" spans="3:3" ht="15.75" customHeight="1">
      <c r="C929" s="12"/>
    </row>
    <row r="930" spans="3:3" ht="15.75" customHeight="1">
      <c r="C930" s="12"/>
    </row>
    <row r="931" spans="3:3" ht="15.75" customHeight="1">
      <c r="C931" s="12"/>
    </row>
    <row r="932" spans="3:3" ht="15.75" customHeight="1">
      <c r="C932" s="12"/>
    </row>
    <row r="933" spans="3:3" ht="15.75" customHeight="1">
      <c r="C933" s="12"/>
    </row>
    <row r="934" spans="3:3" ht="15.75" customHeight="1">
      <c r="C934" s="12"/>
    </row>
    <row r="935" spans="3:3" ht="15.75" customHeight="1">
      <c r="C935" s="12"/>
    </row>
    <row r="936" spans="3:3" ht="15.75" customHeight="1">
      <c r="C936" s="12"/>
    </row>
    <row r="937" spans="3:3" ht="15.75" customHeight="1">
      <c r="C937" s="12"/>
    </row>
    <row r="938" spans="3:3" ht="15.75" customHeight="1">
      <c r="C938" s="12"/>
    </row>
    <row r="939" spans="3:3" ht="15.75" customHeight="1">
      <c r="C939" s="12"/>
    </row>
    <row r="940" spans="3:3" ht="15.75" customHeight="1">
      <c r="C940" s="12"/>
    </row>
    <row r="941" spans="3:3" ht="15.75" customHeight="1">
      <c r="C941" s="12"/>
    </row>
    <row r="942" spans="3:3" ht="15.75" customHeight="1">
      <c r="C942" s="12"/>
    </row>
    <row r="943" spans="3:3" ht="15.75" customHeight="1">
      <c r="C943" s="12"/>
    </row>
    <row r="944" spans="3:3" ht="15.75" customHeight="1">
      <c r="C944" s="12"/>
    </row>
    <row r="945" spans="3:3" ht="15.75" customHeight="1">
      <c r="C945" s="12"/>
    </row>
    <row r="946" spans="3:3" ht="15.75" customHeight="1">
      <c r="C946" s="12"/>
    </row>
    <row r="947" spans="3:3" ht="15.75" customHeight="1">
      <c r="C947" s="12"/>
    </row>
    <row r="948" spans="3:3" ht="15.75" customHeight="1">
      <c r="C948" s="12"/>
    </row>
    <row r="949" spans="3:3" ht="15.75" customHeight="1">
      <c r="C949" s="12"/>
    </row>
    <row r="950" spans="3:3" ht="15.75" customHeight="1">
      <c r="C950" s="12"/>
    </row>
    <row r="951" spans="3:3" ht="15.75" customHeight="1">
      <c r="C951" s="12"/>
    </row>
    <row r="952" spans="3:3" ht="15.75" customHeight="1">
      <c r="C952" s="12"/>
    </row>
    <row r="953" spans="3:3" ht="15.75" customHeight="1">
      <c r="C953" s="12"/>
    </row>
    <row r="954" spans="3:3" ht="15.75" customHeight="1">
      <c r="C954" s="12"/>
    </row>
    <row r="955" spans="3:3" ht="15.75" customHeight="1">
      <c r="C955" s="12"/>
    </row>
    <row r="956" spans="3:3" ht="15.75" customHeight="1">
      <c r="C956" s="12"/>
    </row>
    <row r="957" spans="3:3" ht="15.75" customHeight="1">
      <c r="C957" s="12"/>
    </row>
    <row r="958" spans="3:3" ht="15.75" customHeight="1">
      <c r="C958" s="12"/>
    </row>
    <row r="959" spans="3:3" ht="15.75" customHeight="1">
      <c r="C959" s="12"/>
    </row>
    <row r="960" spans="3:3" ht="15.75" customHeight="1">
      <c r="C960" s="12"/>
    </row>
    <row r="961" spans="3:3" ht="15.75" customHeight="1">
      <c r="C961" s="12"/>
    </row>
    <row r="962" spans="3:3" ht="15.75" customHeight="1">
      <c r="C962" s="12"/>
    </row>
    <row r="963" spans="3:3" ht="15.75" customHeight="1">
      <c r="C963" s="12"/>
    </row>
    <row r="964" spans="3:3" ht="15.75" customHeight="1">
      <c r="C964" s="12"/>
    </row>
    <row r="965" spans="3:3" ht="15.75" customHeight="1">
      <c r="C965" s="12"/>
    </row>
    <row r="966" spans="3:3" ht="15.75" customHeight="1">
      <c r="C966" s="12"/>
    </row>
    <row r="967" spans="3:3" ht="15.75" customHeight="1">
      <c r="C967" s="12"/>
    </row>
    <row r="968" spans="3:3" ht="15.75" customHeight="1">
      <c r="C968" s="12"/>
    </row>
    <row r="969" spans="3:3" ht="15.75" customHeight="1">
      <c r="C969" s="12"/>
    </row>
    <row r="970" spans="3:3" ht="15.75" customHeight="1">
      <c r="C970" s="12"/>
    </row>
    <row r="971" spans="3:3" ht="15.75" customHeight="1">
      <c r="C971" s="12"/>
    </row>
    <row r="972" spans="3:3" ht="15.75" customHeight="1">
      <c r="C972" s="12"/>
    </row>
    <row r="973" spans="3:3" ht="15.75" customHeight="1">
      <c r="C973" s="12"/>
    </row>
    <row r="974" spans="3:3" ht="15.75" customHeight="1">
      <c r="C974" s="12"/>
    </row>
    <row r="975" spans="3:3" ht="15.75" customHeight="1">
      <c r="C975" s="12"/>
    </row>
    <row r="976" spans="3:3" ht="15.75" customHeight="1">
      <c r="C976" s="12"/>
    </row>
    <row r="977" spans="3:3" ht="15.75" customHeight="1">
      <c r="C977" s="12"/>
    </row>
    <row r="978" spans="3:3" ht="15.75" customHeight="1">
      <c r="C978" s="12"/>
    </row>
    <row r="979" spans="3:3" ht="15.75" customHeight="1">
      <c r="C979" s="12"/>
    </row>
    <row r="980" spans="3:3" ht="15.75" customHeight="1">
      <c r="C980" s="12"/>
    </row>
    <row r="981" spans="3:3" ht="15.75" customHeight="1">
      <c r="C981" s="12"/>
    </row>
    <row r="982" spans="3:3" ht="15.75" customHeight="1">
      <c r="C982" s="12"/>
    </row>
    <row r="983" spans="3:3" ht="15.75" customHeight="1">
      <c r="C983" s="12"/>
    </row>
    <row r="984" spans="3:3" ht="15.75" customHeight="1">
      <c r="C984" s="12"/>
    </row>
    <row r="985" spans="3:3" ht="15.75" customHeight="1">
      <c r="C985" s="12"/>
    </row>
    <row r="986" spans="3:3" ht="15.75" customHeight="1">
      <c r="C986" s="12"/>
    </row>
    <row r="987" spans="3:3" ht="15.75" customHeight="1">
      <c r="C987" s="12"/>
    </row>
    <row r="988" spans="3:3" ht="15.75" customHeight="1">
      <c r="C988" s="12"/>
    </row>
    <row r="989" spans="3:3" ht="15.75" customHeight="1">
      <c r="C989" s="12"/>
    </row>
    <row r="990" spans="3:3" ht="15.75" customHeight="1">
      <c r="C990" s="12"/>
    </row>
    <row r="991" spans="3:3" ht="15.75" customHeight="1">
      <c r="C991" s="12"/>
    </row>
    <row r="992" spans="3:3" ht="15.75" customHeight="1">
      <c r="C992" s="12"/>
    </row>
    <row r="993" spans="3:3" ht="15.75" customHeight="1">
      <c r="C993" s="12"/>
    </row>
    <row r="994" spans="3:3" ht="15.75" customHeight="1">
      <c r="C994" s="12"/>
    </row>
    <row r="995" spans="3:3" ht="15.75" customHeight="1">
      <c r="C995" s="12"/>
    </row>
    <row r="996" spans="3:3" ht="15.75" customHeight="1">
      <c r="C996" s="12"/>
    </row>
    <row r="997" spans="3:3" ht="15.75" customHeight="1">
      <c r="C997" s="12"/>
    </row>
    <row r="998" spans="3:3" ht="15.75" customHeight="1">
      <c r="C998" s="12"/>
    </row>
    <row r="999" spans="3:3" ht="15.75" customHeight="1">
      <c r="C999" s="12"/>
    </row>
    <row r="1000" spans="3:3" ht="15.75" customHeight="1">
      <c r="C1000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Lookups!$A$1:$A$6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2023</vt:lpstr>
      <vt:lpstr>SA2022</vt:lpstr>
      <vt:lpstr>SA2024</vt:lpstr>
      <vt:lpstr>SA2025</vt:lpstr>
      <vt:lpstr>DAM2025</vt:lpstr>
      <vt:lpstr>CZ</vt:lpstr>
      <vt:lpstr>DigitalMethods</vt:lpstr>
      <vt:lpstr>DM2023</vt:lpstr>
      <vt:lpstr>GODH</vt:lpstr>
      <vt:lpstr>Mie_Places</vt:lpstr>
      <vt:lpstr>Sarahs_FavoritePlacesDM2021</vt:lpstr>
      <vt:lpstr>FavoritePlacesDM2021</vt:lpstr>
      <vt:lpstr>NicePlacesinDK</vt:lpstr>
      <vt:lpstr>FavoritePlacesDK2021SA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Josefine Dresler</cp:lastModifiedBy>
  <dcterms:modified xsi:type="dcterms:W3CDTF">2025-03-19T12:58:47Z</dcterms:modified>
</cp:coreProperties>
</file>