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drawings/drawing2.xml" ContentType="application/vnd.openxmlformats-officedocument.drawing+xml"/>
  <Override PartName="/xl/comments/comment3.xml" ContentType="application/vnd.openxmlformats-officedocument.spreadsheetml.comments+xml"/>
  <Override PartName="/xl/worksheets/sheet6.xml" ContentType="application/vnd.openxmlformats-officedocument.spreadsheetml.worksheet+xml"/>
  <Override PartName="/xl/comments/comment4.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8400" windowHeight="19380" tabRatio="600" firstSheet="0" activeTab="0" autoFilterDateGrouping="1"/>
  </bookViews>
  <sheets>
    <sheet name="TEST_pour application" sheetId="1" state="visible" r:id="rId1"/>
    <sheet name="Constat Final" sheetId="2" state="visible" r:id="rId2"/>
    <sheet name="Baromètre" sheetId="3" state="visible" r:id="rId3"/>
    <sheet name="BIBLE" sheetId="4" state="visible" r:id="rId4"/>
    <sheet name="Test_Bible" sheetId="5" state="visible" r:id="rId5"/>
    <sheet name="Q_qualitatives" sheetId="6" state="visible" r:id="rId6"/>
    <sheet name="Analyse spectre enfant" sheetId="7" state="visible" r:id="rId7"/>
    <sheet name="Indice D'exclusion" sheetId="8" state="visible" r:id="rId8"/>
    <sheet name="Contexte" sheetId="9" state="visible" r:id="rId9"/>
    <sheet name="Indice VC" sheetId="10" state="visible" r:id="rId10"/>
    <sheet name="Action-Réaction finale" sheetId="11" state="visible" r:id="rId11"/>
    <sheet name="Modèle Calcul A-R + miroir" sheetId="12" state="visible" r:id="rId12"/>
    <sheet name="Cpts miroirs des parents" sheetId="13" state="visible" r:id="rId13"/>
    <sheet name="Modèle Miroir_divergence" sheetId="14" state="visible" r:id="rId14"/>
    <sheet name="Diff" sheetId="15" state="visible" r:id="rId15"/>
    <sheet name="CPTS indépendants" sheetId="16" state="visible" r:id="rId16"/>
    <sheet name="Modèle Cpts Indépendants" sheetId="17" state="visible" r:id="rId17"/>
    <sheet name="TEMP_Différentiel" sheetId="18" state="visible" r:id="rId18"/>
  </sheets>
  <externalReferences>
    <externalReference r:id="rId19"/>
  </externalReferences>
  <definedNames>
    <definedName name="_xlchart.v2.0" hidden="1">'Modèle Miroir_divergence'!$AW$7:$AW$20</definedName>
    <definedName name="_xlchart.v2.1" hidden="1">'Modèle Miroir_divergence'!$AX$6</definedName>
    <definedName name="_xlchart.v2.2" hidden="1">'Modèle Miroir_divergence'!$AX$7:$AX$20</definedName>
    <definedName name="_xlchart.v2.3" hidden="1">'Modèle Miroir_divergence'!$AW$7:$AW$20</definedName>
    <definedName name="_xlchart.v2.4" hidden="1">'Modèle Miroir_divergence'!$AX$6</definedName>
    <definedName name="_xlchart.v2.5" hidden="1">'Modèle Miroir_divergence'!$AX$7:$AX$20</definedName>
    <definedName name="Echelle_croissante">BIBLE!$M$2:$P$7</definedName>
    <definedName name="Échelle_de_sévérité_des_actions_réactions">#REF!</definedName>
    <definedName name="Echelle_decroissante">BIBLE!$M$8:$P$11</definedName>
    <definedName name="Table_Échelles">BIBLE!$AW$2:$AX$11</definedName>
  </definedNames>
  <calcPr calcId="191028" fullCalcOnLoad="1"/>
</workbook>
</file>

<file path=xl/styles.xml><?xml version="1.0" encoding="utf-8"?>
<styleSheet xmlns="http://schemas.openxmlformats.org/spreadsheetml/2006/main">
  <numFmts count="4">
    <numFmt numFmtId="164" formatCode="0.0"/>
    <numFmt numFmtId="165" formatCode="_(* #,##0_);_(* \(#,##0\);_(* &quot;-&quot;??_);_(@_)"/>
    <numFmt numFmtId="166" formatCode="_(* #,##0.0_);_(* \(#,##0.0\);_(* &quot;-&quot;??_);_(@_)"/>
    <numFmt numFmtId="167" formatCode="0.0%"/>
  </numFmts>
  <fonts count="145">
    <font>
      <name val="Calibri"/>
      <family val="2"/>
      <color theme="1"/>
      <sz val="12"/>
      <scheme val="minor"/>
    </font>
    <font>
      <name val="Calibri"/>
      <family val="2"/>
      <color theme="1"/>
      <sz val="12"/>
      <scheme val="minor"/>
    </font>
    <font>
      <name val="Calibri"/>
      <family val="2"/>
      <b val="1"/>
      <color theme="1"/>
      <sz val="12"/>
      <scheme val="minor"/>
    </font>
    <font>
      <name val="Calibri"/>
      <family val="2"/>
      <color theme="0"/>
      <sz val="12"/>
      <scheme val="minor"/>
    </font>
    <font>
      <name val="Calibri"/>
      <family val="2"/>
      <b val="1"/>
      <color theme="1"/>
      <sz val="14"/>
      <scheme val="minor"/>
    </font>
    <font>
      <name val="Calibri"/>
      <family val="2"/>
      <b val="1"/>
      <color theme="1"/>
      <sz val="16"/>
      <scheme val="minor"/>
    </font>
    <font>
      <name val="Calibri"/>
      <family val="2"/>
      <color theme="1"/>
      <sz val="16"/>
      <scheme val="minor"/>
    </font>
    <font>
      <name val="Calibri"/>
      <family val="2"/>
      <color theme="1"/>
      <sz val="12"/>
      <u val="single"/>
      <scheme val="minor"/>
    </font>
    <font>
      <name val="Calibri"/>
      <family val="2"/>
      <b val="1"/>
      <color theme="1"/>
      <sz val="12"/>
      <u val="single"/>
      <scheme val="minor"/>
    </font>
    <font>
      <name val="Calibri"/>
      <family val="2"/>
      <color theme="1"/>
      <sz val="8"/>
      <scheme val="minor"/>
    </font>
    <font>
      <name val="Calibri"/>
      <family val="2"/>
      <color rgb="FFFF0000"/>
      <sz val="12"/>
      <scheme val="minor"/>
    </font>
    <font>
      <name val="Calibri"/>
      <family val="2"/>
      <sz val="8"/>
      <scheme val="minor"/>
    </font>
    <font>
      <name val="Calibri"/>
      <family val="2"/>
      <color theme="1"/>
      <sz val="12"/>
    </font>
    <font>
      <name val="Calibri"/>
      <family val="2"/>
      <i val="1"/>
      <color theme="1"/>
      <sz val="12"/>
      <scheme val="minor"/>
    </font>
    <font>
      <name val="Calibri"/>
      <family val="2"/>
      <color theme="1"/>
      <sz val="14"/>
      <scheme val="minor"/>
    </font>
    <font>
      <name val="Calibri"/>
      <family val="2"/>
      <color theme="1"/>
      <sz val="18"/>
      <scheme val="minor"/>
    </font>
    <font>
      <name val="Calibri"/>
      <family val="2"/>
      <b val="1"/>
      <color rgb="FFFF0000"/>
      <sz val="12"/>
      <scheme val="minor"/>
    </font>
    <font>
      <name val="Calibri"/>
      <family val="2"/>
      <b val="1"/>
      <color theme="0"/>
      <sz val="16"/>
      <scheme val="minor"/>
    </font>
    <font>
      <name val="Calibri"/>
      <family val="2"/>
      <b val="1"/>
      <color theme="1"/>
      <sz val="20"/>
      <scheme val="minor"/>
    </font>
    <font>
      <name val="Calibri"/>
      <family val="2"/>
      <color rgb="FF000000"/>
      <sz val="12"/>
      <scheme val="minor"/>
    </font>
    <font>
      <name val="Calibri"/>
      <family val="2"/>
      <color rgb="FF7030A0"/>
      <sz val="12"/>
      <scheme val="minor"/>
    </font>
    <font>
      <name val="Calibri"/>
      <family val="2"/>
      <color rgb="FF7030A0"/>
      <sz val="12"/>
    </font>
    <font>
      <name val="Calibri (Corps)"/>
      <sz val="12"/>
    </font>
    <font>
      <name val="Calibri (Corps)"/>
      <color theme="1"/>
      <sz val="12"/>
    </font>
    <font>
      <name val="Calibri"/>
      <family val="2"/>
      <color theme="1"/>
      <sz val="20"/>
      <scheme val="minor"/>
    </font>
    <font>
      <name val="Calibri"/>
      <family val="2"/>
      <i val="1"/>
      <color theme="1"/>
      <sz val="9"/>
      <scheme val="minor"/>
    </font>
    <font>
      <name val="Calibri"/>
      <family val="2"/>
      <color theme="1"/>
      <sz val="14"/>
      <u val="single"/>
      <scheme val="minor"/>
    </font>
    <font>
      <name val="Calibri"/>
      <family val="2"/>
      <color theme="1"/>
      <sz val="10"/>
      <scheme val="minor"/>
    </font>
    <font>
      <name val="Calibri"/>
      <family val="2"/>
      <color theme="1"/>
      <sz val="11"/>
      <scheme val="minor"/>
    </font>
    <font>
      <name val="Calibri (Corps)"/>
      <color theme="1"/>
      <sz val="10"/>
    </font>
    <font>
      <name val="Calibri"/>
      <family val="2"/>
      <color theme="1"/>
      <sz val="9"/>
      <scheme val="minor"/>
    </font>
    <font>
      <name val="Calibri"/>
      <family val="2"/>
      <b val="1"/>
      <color theme="0"/>
      <sz val="18"/>
    </font>
    <font>
      <name val="Calibri"/>
      <family val="2"/>
      <color rgb="FF000000"/>
      <sz val="12"/>
    </font>
    <font>
      <name val="Calibri"/>
      <family val="2"/>
      <color theme="1"/>
      <sz val="16"/>
      <u val="single"/>
      <scheme val="minor"/>
    </font>
    <font>
      <name val="Calibri"/>
      <family val="2"/>
      <b val="1"/>
      <color theme="4"/>
      <sz val="12"/>
      <scheme val="minor"/>
    </font>
    <font>
      <name val="Calibri"/>
      <family val="2"/>
      <i val="1"/>
      <color rgb="FFFF0000"/>
      <sz val="12"/>
      <scheme val="minor"/>
    </font>
    <font>
      <name val="Calibri"/>
      <family val="2"/>
      <color theme="0"/>
      <sz val="20"/>
      <scheme val="minor"/>
    </font>
    <font>
      <name val="Calibri (Corps)"/>
      <color theme="1"/>
      <sz val="11"/>
    </font>
    <font>
      <name val="Calibri"/>
      <family val="2"/>
      <b val="1"/>
      <color theme="1"/>
      <sz val="14"/>
      <u val="single"/>
      <scheme val="minor"/>
    </font>
    <font>
      <name val="Calibri"/>
      <family val="2"/>
      <b val="1"/>
      <color theme="1"/>
      <sz val="18"/>
      <scheme val="minor"/>
    </font>
    <font>
      <name val="Calibri"/>
      <family val="2"/>
      <sz val="14"/>
      <scheme val="minor"/>
    </font>
    <font>
      <name val="Calibri"/>
      <family val="2"/>
      <sz val="12"/>
      <scheme val="minor"/>
    </font>
    <font>
      <name val="Calibri"/>
      <family val="2"/>
      <color theme="1"/>
      <sz val="10"/>
      <u val="single"/>
      <scheme val="minor"/>
    </font>
    <font>
      <name val="Calibri"/>
      <family val="2"/>
      <color theme="1"/>
      <sz val="9"/>
      <u val="single"/>
      <scheme val="minor"/>
    </font>
    <font>
      <name val="Calibri"/>
      <family val="2"/>
      <color theme="1"/>
      <sz val="11"/>
    </font>
    <font>
      <name val="Calibri"/>
      <family val="2"/>
      <color rgb="FF353535"/>
      <sz val="12"/>
    </font>
    <font>
      <name val="Calibri"/>
      <family val="2"/>
      <color rgb="FF454545"/>
      <sz val="12"/>
    </font>
    <font>
      <name val="Calibri"/>
      <family val="2"/>
      <b val="1"/>
      <color rgb="FFFF0000"/>
      <sz val="12"/>
    </font>
    <font>
      <name val="Calibri"/>
      <family val="2"/>
      <color rgb="FFF20004"/>
      <sz val="12"/>
    </font>
    <font>
      <name val="Calibri"/>
      <family val="2"/>
      <color theme="1"/>
      <sz val="10"/>
    </font>
    <font>
      <name val="Calibri"/>
      <family val="2"/>
      <color rgb="FF000000"/>
      <sz val="10"/>
    </font>
    <font>
      <name val="Calibri"/>
      <family val="2"/>
      <b val="1"/>
      <color theme="1"/>
      <sz val="12"/>
    </font>
    <font>
      <name val="Calibri (Corps)"/>
      <b val="1"/>
      <color theme="1"/>
      <sz val="12"/>
    </font>
    <font>
      <name val="Calibri"/>
      <family val="2"/>
      <color rgb="FF000000"/>
      <sz val="9"/>
    </font>
    <font>
      <name val="Calibri"/>
      <family val="2"/>
      <color rgb="FF000000"/>
      <sz val="16"/>
    </font>
    <font>
      <name val="Calibri"/>
      <family val="2"/>
      <b val="1"/>
      <color rgb="FF000000"/>
      <sz val="12"/>
    </font>
    <font>
      <name val="Calibri"/>
      <family val="2"/>
      <color rgb="FF000000"/>
      <sz val="12"/>
    </font>
    <font>
      <name val="Calibri"/>
      <family val="2"/>
      <color rgb="FF000000"/>
      <sz val="9"/>
    </font>
    <font>
      <name val="Calibri"/>
      <family val="2"/>
      <color rgb="FF000000"/>
      <sz val="10"/>
    </font>
    <font>
      <name val="Calibri (Corps)"/>
      <color rgb="FF000000"/>
      <sz val="11"/>
    </font>
    <font>
      <name val="Calibri (Corps)"/>
      <sz val="10"/>
    </font>
    <font>
      <name val="Calibri (Corps)"/>
      <sz val="20"/>
    </font>
    <font>
      <name val="Calibri"/>
      <family val="2"/>
      <color theme="9" tint="0.7999816888943144"/>
      <sz val="12"/>
    </font>
    <font>
      <name val="Calibri"/>
      <family val="2"/>
      <color theme="9" tint="0.7999816888943144"/>
      <sz val="10"/>
      <scheme val="minor"/>
    </font>
    <font>
      <name val="Calibri"/>
      <family val="2"/>
      <color theme="9" tint="0.7999816888943144"/>
      <sz val="9"/>
    </font>
    <font>
      <name val="Calibri"/>
      <family val="2"/>
      <color theme="9" tint="0.7999816888943144"/>
      <sz val="10"/>
    </font>
    <font>
      <name val="Calibri"/>
      <family val="2"/>
      <color theme="9" tint="0.7999816888943144"/>
      <sz val="16"/>
    </font>
    <font>
      <name val="Calibri (Corps)"/>
      <color theme="1"/>
      <sz val="10"/>
      <u val="single"/>
    </font>
    <font>
      <name val="Calibri (Corps)"/>
      <i val="1"/>
      <color rgb="FFFF0000"/>
      <sz val="10"/>
    </font>
    <font>
      <name val="Calibri (Corps)"/>
      <color rgb="FF7030A0"/>
      <sz val="10"/>
    </font>
    <font>
      <name val="Calibri (Corps)"/>
      <b val="1"/>
      <color theme="1"/>
      <sz val="10"/>
    </font>
    <font>
      <name val="Calibri"/>
      <family val="2"/>
      <color rgb="FF000000"/>
      <sz val="18"/>
      <scheme val="minor"/>
    </font>
    <font>
      <name val="Calibri (Corps)"/>
      <color theme="1"/>
      <sz val="18"/>
    </font>
    <font>
      <name val="Calibri"/>
      <family val="2"/>
      <color rgb="FFFF0000"/>
      <sz val="10"/>
      <scheme val="minor"/>
    </font>
    <font>
      <name val="Calibri"/>
      <family val="2"/>
      <b val="1"/>
      <color theme="1"/>
      <sz val="22"/>
      <scheme val="minor"/>
    </font>
    <font>
      <name val="Calibri"/>
      <family val="2"/>
      <b val="1"/>
      <color rgb="FF7030A0"/>
      <sz val="12"/>
    </font>
    <font>
      <name val="Calibri"/>
      <family val="2"/>
      <i val="1"/>
      <color theme="1"/>
      <sz val="10"/>
      <scheme val="minor"/>
    </font>
    <font>
      <name val="Calibri (Corps)"/>
      <b val="1"/>
      <color theme="4"/>
      <sz val="10"/>
    </font>
    <font>
      <name val="Calibri"/>
      <family val="2"/>
      <color theme="3"/>
      <sz val="12"/>
      <scheme val="minor"/>
    </font>
    <font>
      <name val="Calibri"/>
      <family val="2"/>
      <color rgb="FF353535"/>
      <sz val="12"/>
      <scheme val="minor"/>
    </font>
    <font>
      <name val="Calibri"/>
      <family val="2"/>
      <color rgb="FF7030A0"/>
      <sz val="12"/>
      <u val="single"/>
    </font>
    <font>
      <name val="Calibri"/>
      <family val="2"/>
      <b val="1"/>
      <color rgb="FFFF0000"/>
      <sz val="14"/>
      <scheme val="minor"/>
    </font>
    <font>
      <name val="Calibri"/>
      <family val="2"/>
      <color theme="0"/>
      <sz val="16"/>
      <scheme val="minor"/>
    </font>
    <font>
      <name val="Calibri"/>
      <family val="2"/>
      <color theme="0"/>
      <sz val="14"/>
      <scheme val="minor"/>
    </font>
    <font>
      <name val="Calibri (Corps)"/>
      <color theme="0"/>
      <sz val="12"/>
    </font>
    <font>
      <name val="Calibri (Corps)"/>
      <color theme="1"/>
      <sz val="12"/>
      <u val="single"/>
    </font>
    <font>
      <name val="Calibri"/>
      <family val="2"/>
      <b val="1"/>
      <color theme="1"/>
      <sz val="18"/>
      <u val="single"/>
      <scheme val="minor"/>
    </font>
    <font>
      <name val="Calibri"/>
      <family val="2"/>
      <b val="1"/>
      <color theme="1"/>
      <sz val="24"/>
      <scheme val="minor"/>
    </font>
    <font>
      <name val="Calibri"/>
      <family val="2"/>
      <color rgb="FFFF0000"/>
      <sz val="20"/>
      <scheme val="minor"/>
    </font>
    <font>
      <name val="Calibri (Corps)"/>
      <b val="1"/>
      <color theme="1"/>
      <sz val="16"/>
    </font>
    <font>
      <name val="Calibri"/>
      <family val="2"/>
      <color theme="0"/>
      <sz val="10"/>
      <scheme val="minor"/>
    </font>
    <font>
      <name val="Calibri (Corps)"/>
      <color rgb="FF000000"/>
      <sz val="10"/>
    </font>
    <font>
      <name val="Calibri (Corps)"/>
      <color theme="9" tint="0.7999816888943144"/>
      <sz val="10"/>
    </font>
    <font>
      <name val="Calibri"/>
      <family val="2"/>
      <color theme="10"/>
      <sz val="12"/>
      <u val="single"/>
      <scheme val="minor"/>
    </font>
    <font>
      <name val="Calibri (Corps)"/>
      <strike val="1"/>
      <color theme="1"/>
      <sz val="12"/>
    </font>
    <font>
      <name val="Calibri (Corps)"/>
      <strike val="1"/>
      <color theme="1"/>
      <sz val="10"/>
    </font>
    <font>
      <name val="Calibri (Corps)"/>
      <strike val="1"/>
      <color rgb="FF000000"/>
      <sz val="10"/>
    </font>
    <font>
      <name val="Calibri"/>
      <family val="2"/>
      <color rgb="FF000000"/>
      <sz val="10"/>
      <scheme val="minor"/>
    </font>
    <font>
      <name val="Calibri"/>
      <family val="2"/>
      <color rgb="FF000000"/>
      <sz val="16"/>
      <u val="single"/>
      <scheme val="minor"/>
    </font>
    <font>
      <name val="Calibri"/>
      <family val="2"/>
      <color rgb="FF000000"/>
      <sz val="14"/>
      <scheme val="minor"/>
    </font>
    <font>
      <name val="Calibri"/>
      <family val="2"/>
      <b val="1"/>
      <color theme="4"/>
      <sz val="20"/>
      <scheme val="minor"/>
    </font>
    <font>
      <name val="Calibri"/>
      <family val="2"/>
      <color theme="1"/>
      <sz val="24"/>
      <u val="single"/>
      <scheme val="minor"/>
    </font>
    <font>
      <name val="Calibri"/>
      <family val="2"/>
      <color rgb="FFFF0000"/>
      <sz val="18"/>
      <u val="single"/>
      <scheme val="minor"/>
    </font>
    <font>
      <name val="Calibri"/>
      <family val="2"/>
      <b val="1"/>
      <i val="1"/>
      <color theme="1"/>
      <sz val="12"/>
      <scheme val="minor"/>
    </font>
    <font>
      <name val="Calibri"/>
      <family val="2"/>
      <b val="1"/>
      <color theme="1"/>
      <sz val="10"/>
      <scheme val="minor"/>
    </font>
    <font>
      <name val="Calibri"/>
      <family val="2"/>
      <color theme="1"/>
      <sz val="20"/>
      <u val="single"/>
      <scheme val="minor"/>
    </font>
    <font>
      <name val="Calibri (Corps)"/>
      <color rgb="FFFF0000"/>
      <sz val="12"/>
    </font>
    <font>
      <name val="Calibri (Corps)"/>
      <color rgb="FFFF0000"/>
      <sz val="11"/>
    </font>
    <font>
      <name val="Calibri (Corps)"/>
      <color theme="0"/>
      <sz val="12"/>
      <u val="single"/>
    </font>
    <font>
      <name val="Calibri"/>
      <family val="2"/>
      <b val="1"/>
      <color theme="4"/>
      <sz val="14"/>
      <scheme val="minor"/>
    </font>
    <font>
      <name val="Calibri"/>
      <family val="2"/>
      <sz val="22"/>
      <scheme val="minor"/>
    </font>
    <font>
      <name val="Calibri"/>
      <family val="2"/>
      <color theme="1"/>
      <sz val="36"/>
      <scheme val="minor"/>
    </font>
    <font>
      <name val="Calibri"/>
      <family val="2"/>
      <color theme="1"/>
      <sz val="22"/>
      <scheme val="minor"/>
    </font>
    <font>
      <name val="Calibri"/>
      <family val="2"/>
      <color theme="0"/>
      <sz val="12"/>
      <u val="single"/>
      <scheme val="minor"/>
    </font>
    <font>
      <name val="Calibri"/>
      <family val="2"/>
      <color theme="1"/>
      <sz val="8"/>
      <u val="single"/>
      <scheme val="minor"/>
    </font>
    <font>
      <name val="Calibri"/>
      <family val="2"/>
      <color theme="0" tint="-0.249977111117893"/>
      <sz val="8"/>
      <scheme val="minor"/>
    </font>
    <font>
      <name val="Calibri"/>
      <family val="2"/>
      <color theme="2" tint="-0.09997863704336681"/>
      <sz val="8"/>
      <scheme val="minor"/>
    </font>
    <font>
      <name val="Calibri"/>
      <family val="2"/>
      <color theme="0"/>
      <sz val="18"/>
      <scheme val="minor"/>
    </font>
    <font>
      <name val="Calibri"/>
      <family val="2"/>
      <color theme="1"/>
      <sz val="16"/>
    </font>
    <font>
      <name val="Calibri"/>
      <family val="2"/>
      <color theme="1"/>
      <sz val="9"/>
    </font>
    <font>
      <name val="Calibri"/>
      <family val="2"/>
      <color rgb="FFF20004"/>
      <sz val="12"/>
      <scheme val="minor"/>
    </font>
    <font>
      <name val="Calibri (Corps)"/>
      <b val="1"/>
      <color theme="1"/>
      <sz val="14"/>
    </font>
    <font>
      <name val="Calibri (Corps)"/>
      <color rgb="FF000000"/>
      <sz val="12"/>
    </font>
    <font>
      <name val="Calibri"/>
      <family val="2"/>
      <b val="1"/>
      <color theme="1"/>
      <sz val="8"/>
      <scheme val="minor"/>
    </font>
    <font>
      <name val="Calibri"/>
      <family val="2"/>
      <b val="1"/>
      <color theme="1"/>
      <sz val="16"/>
      <u val="single"/>
      <scheme val="minor"/>
    </font>
    <font>
      <name val="Calibri"/>
      <family val="2"/>
      <color rgb="FFFFFF00"/>
      <sz val="20"/>
      <scheme val="minor"/>
    </font>
    <font>
      <name val="Calibri"/>
      <family val="2"/>
      <color rgb="FFFFC000"/>
      <sz val="20"/>
      <scheme val="minor"/>
    </font>
    <font>
      <name val="Calibri"/>
      <family val="2"/>
      <b val="1"/>
      <color theme="4"/>
      <sz val="16"/>
      <scheme val="minor"/>
    </font>
    <font>
      <name val="Calibri"/>
      <family val="2"/>
      <b val="1"/>
      <color theme="4"/>
      <sz val="8"/>
      <scheme val="minor"/>
    </font>
    <font>
      <name val="Calibri"/>
      <family val="2"/>
      <b val="1"/>
      <color theme="9"/>
      <sz val="16"/>
      <scheme val="minor"/>
    </font>
    <font>
      <name val="Calibri"/>
      <family val="2"/>
      <b val="1"/>
      <color rgb="FFFF0000"/>
      <sz val="20"/>
      <scheme val="minor"/>
    </font>
    <font>
      <name val="Calibri"/>
      <family val="2"/>
      <b val="1"/>
      <color theme="0"/>
      <sz val="12"/>
    </font>
    <font>
      <name val="Calibri"/>
      <family val="2"/>
      <color theme="0"/>
      <sz val="12"/>
    </font>
    <font>
      <name val="Calibri"/>
      <family val="2"/>
      <color theme="0"/>
      <sz val="10"/>
    </font>
    <font>
      <name val="Calibri"/>
      <family val="2"/>
      <color theme="0"/>
      <sz val="9"/>
    </font>
    <font>
      <name val="Calibri (Corps)"/>
      <color theme="0"/>
      <sz val="20"/>
    </font>
    <font>
      <name val="Calibri"/>
      <family val="2"/>
      <color theme="0"/>
      <sz val="16"/>
    </font>
    <font>
      <name val="Calibri (Corps)"/>
      <color theme="0"/>
      <sz val="10"/>
    </font>
    <font>
      <name val="Calibri"/>
      <family val="2"/>
      <strike val="1"/>
      <color theme="1"/>
      <sz val="12"/>
      <scheme val="minor"/>
    </font>
    <font>
      <name val="Calibri"/>
      <family val="2"/>
      <strike val="1"/>
      <color theme="0"/>
      <sz val="12"/>
      <scheme val="minor"/>
    </font>
    <font>
      <name val="Calibri"/>
      <family val="2"/>
      <b val="1"/>
      <color rgb="FFFF0000"/>
      <sz val="16"/>
      <scheme val="minor"/>
    </font>
    <font>
      <name val="Calibri"/>
      <family val="2"/>
      <color rgb="FFFFFFFF"/>
      <sz val="12"/>
      <scheme val="minor"/>
    </font>
    <font>
      <name val="Calibri (Corps)"/>
      <b val="1"/>
      <color rgb="FF000000"/>
      <sz val="12"/>
    </font>
    <font>
      <name val="Calibri (Corps)"/>
      <color rgb="FFFF0000"/>
      <sz val="10"/>
    </font>
    <font>
      <name val="Calibri"/>
      <family val="2"/>
      <color rgb="FFFF2600"/>
      <sz val="12"/>
      <scheme val="minor"/>
    </font>
  </fonts>
  <fills count="78">
    <fill>
      <patternFill/>
    </fill>
    <fill>
      <patternFill patternType="gray125"/>
    </fill>
    <fill>
      <patternFill patternType="solid">
        <fgColor theme="1"/>
        <bgColor indexed="64"/>
      </patternFill>
    </fill>
    <fill>
      <patternFill patternType="solid">
        <fgColor theme="2" tint="-0.09997863704336681"/>
        <bgColor indexed="64"/>
      </patternFill>
    </fill>
    <fill>
      <patternFill patternType="solid">
        <fgColor rgb="FFFFFF00"/>
        <bgColor indexed="64"/>
      </patternFill>
    </fill>
    <fill>
      <patternFill patternType="solid">
        <fgColor theme="8" tint="0.5999938962981048"/>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rgb="FFFF7E79"/>
        <bgColor indexed="64"/>
      </patternFill>
    </fill>
    <fill>
      <patternFill patternType="solid">
        <fgColor theme="8"/>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4" tint="0.7999816888943144"/>
        <bgColor indexed="64"/>
      </patternFill>
    </fill>
    <fill>
      <patternFill patternType="solid">
        <fgColor rgb="FFFFC000"/>
        <bgColor indexed="64"/>
      </patternFill>
    </fill>
    <fill>
      <patternFill patternType="solid">
        <fgColor theme="7"/>
        <bgColor indexed="64"/>
      </patternFill>
    </fill>
    <fill>
      <patternFill patternType="solid">
        <fgColor rgb="FF7030A0"/>
        <bgColor indexed="64"/>
      </patternFill>
    </fill>
    <fill>
      <patternFill patternType="solid">
        <fgColor theme="0"/>
        <bgColor indexed="64"/>
      </patternFill>
    </fill>
    <fill>
      <patternFill patternType="solid">
        <fgColor rgb="FFFCE4D6"/>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
        <bgColor indexed="64"/>
      </patternFill>
    </fill>
    <fill>
      <patternFill patternType="solid">
        <fgColor theme="2"/>
        <bgColor indexed="64"/>
      </patternFill>
    </fill>
    <fill>
      <patternFill patternType="solid">
        <fgColor theme="4"/>
        <bgColor indexed="64"/>
      </patternFill>
    </fill>
    <fill>
      <patternFill patternType="solid">
        <fgColor theme="9"/>
        <bgColor indexed="64"/>
      </patternFill>
    </fill>
    <fill>
      <patternFill patternType="solid">
        <fgColor rgb="FFFF0000"/>
        <bgColor rgb="FF000000"/>
      </patternFill>
    </fill>
    <fill>
      <patternFill patternType="lightGray">
        <bgColor rgb="FFD9E1F2"/>
      </patternFill>
    </fill>
    <fill>
      <patternFill patternType="solid">
        <fgColor theme="7" tint="0.5999938962981048"/>
        <bgColor indexed="64"/>
      </patternFill>
    </fill>
    <fill>
      <patternFill patternType="solid">
        <fgColor theme="5"/>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5" tint="0.3999755851924192"/>
        <bgColor indexed="64"/>
      </patternFill>
    </fill>
    <fill>
      <patternFill patternType="solid">
        <fgColor theme="7" tint="0.3999755851924192"/>
        <bgColor indexed="64"/>
      </patternFill>
    </fill>
    <fill>
      <patternFill patternType="solid">
        <fgColor theme="4" tint="0.3999755851924192"/>
        <bgColor indexed="64"/>
      </patternFill>
    </fill>
    <fill>
      <patternFill patternType="solid">
        <fgColor rgb="FFF0EEFF"/>
        <bgColor indexed="64"/>
      </patternFill>
    </fill>
    <fill>
      <patternFill patternType="solid">
        <fgColor rgb="FFFFE699"/>
        <bgColor rgb="FF000000"/>
      </patternFill>
    </fill>
    <fill>
      <patternFill patternType="solid">
        <fgColor rgb="FFF4B084"/>
        <bgColor rgb="FF000000"/>
      </patternFill>
    </fill>
    <fill>
      <patternFill patternType="solid">
        <fgColor rgb="FFBDD7EE"/>
        <bgColor rgb="FF000000"/>
      </patternFill>
    </fill>
    <fill>
      <patternFill patternType="solid">
        <fgColor rgb="FFF0EEFF"/>
        <bgColor rgb="FF000000"/>
      </patternFill>
    </fill>
    <fill>
      <patternFill patternType="solid">
        <fgColor rgb="FFFFFF00"/>
        <bgColor rgb="FF000000"/>
      </patternFill>
    </fill>
    <fill>
      <patternFill patternType="solid">
        <fgColor rgb="FFE7E6E6"/>
        <bgColor rgb="FF000000"/>
      </patternFill>
    </fill>
    <fill>
      <patternFill patternType="solid">
        <fgColor rgb="FFFF7E79"/>
        <bgColor rgb="FF000000"/>
      </patternFill>
    </fill>
    <fill>
      <patternFill patternType="solid">
        <fgColor rgb="FFEDEDED"/>
        <bgColor rgb="FF000000"/>
      </patternFill>
    </fill>
    <fill>
      <patternFill patternType="solid">
        <fgColor rgb="FFFFFFFF"/>
        <bgColor indexed="64"/>
      </patternFill>
    </fill>
    <fill>
      <patternFill patternType="solid">
        <fgColor theme="5" tint="0.7999816888943144"/>
        <bgColor rgb="FF000000"/>
      </patternFill>
    </fill>
    <fill>
      <patternFill patternType="solid">
        <fgColor theme="9" tint="0.7999816888943144"/>
        <bgColor rgb="FF000000"/>
      </patternFill>
    </fill>
    <fill>
      <patternFill patternType="solid">
        <fgColor theme="7" tint="0.7999816888943144"/>
        <bgColor rgb="FF000000"/>
      </patternFill>
    </fill>
    <fill>
      <patternFill patternType="solid">
        <fgColor rgb="FFFFE699"/>
        <bgColor indexed="64"/>
      </patternFill>
    </fill>
    <fill>
      <patternFill patternType="solid">
        <fgColor theme="7" tint="0.5999938962981048"/>
        <bgColor rgb="FF000000"/>
      </patternFill>
    </fill>
    <fill>
      <patternFill patternType="solid">
        <fgColor theme="5" tint="0.3999755851924192"/>
        <bgColor rgb="FF000000"/>
      </patternFill>
    </fill>
    <fill>
      <patternFill patternType="solid">
        <fgColor rgb="FFED7D31"/>
        <bgColor indexed="64"/>
      </patternFill>
    </fill>
    <fill>
      <patternFill patternType="solid">
        <fgColor theme="9" tint="0.3999755851924192"/>
        <bgColor indexed="64"/>
      </patternFill>
    </fill>
    <fill>
      <patternFill patternType="solid">
        <fgColor rgb="FFE99E62"/>
        <bgColor indexed="64"/>
      </patternFill>
    </fill>
    <fill>
      <patternFill patternType="solid">
        <fgColor rgb="FFE4E868"/>
        <bgColor indexed="64"/>
      </patternFill>
    </fill>
    <fill>
      <patternFill patternType="solid">
        <fgColor rgb="FFD8EA97"/>
        <bgColor indexed="64"/>
      </patternFill>
    </fill>
    <fill>
      <patternFill patternType="solid">
        <fgColor theme="3"/>
        <bgColor indexed="64"/>
      </patternFill>
    </fill>
    <fill>
      <patternFill patternType="solid">
        <fgColor rgb="FFD490DC"/>
        <bgColor indexed="64"/>
      </patternFill>
    </fill>
    <fill>
      <patternFill patternType="solid">
        <fgColor rgb="FFFFFC00"/>
        <bgColor indexed="64"/>
      </patternFill>
    </fill>
    <fill>
      <patternFill patternType="solid">
        <fgColor theme="2" tint="-0.249977111117893"/>
        <bgColor indexed="64"/>
      </patternFill>
    </fill>
    <fill>
      <patternFill patternType="solid">
        <fgColor rgb="FFEA9182"/>
        <bgColor indexed="64"/>
      </patternFill>
    </fill>
    <fill>
      <patternFill patternType="solid">
        <fgColor rgb="FFF4E6FF"/>
        <bgColor indexed="64"/>
      </patternFill>
    </fill>
    <fill>
      <patternFill patternType="solid">
        <fgColor theme="0" tint="-0.1499984740745262"/>
        <bgColor indexed="64"/>
      </patternFill>
    </fill>
    <fill>
      <patternFill patternType="solid">
        <fgColor theme="5" tint="0.5999938962981048"/>
        <bgColor indexed="64"/>
      </patternFill>
    </fill>
    <fill>
      <patternFill patternType="solid">
        <fgColor rgb="FFECA0BF"/>
        <bgColor indexed="64"/>
      </patternFill>
    </fill>
    <fill>
      <patternFill patternType="solid">
        <fgColor rgb="FFEED0B0"/>
        <bgColor indexed="64"/>
      </patternFill>
    </fill>
    <fill>
      <patternFill patternType="solid">
        <fgColor rgb="FFF1EBC2"/>
        <bgColor indexed="64"/>
      </patternFill>
    </fill>
    <fill>
      <patternFill patternType="solid">
        <fgColor rgb="FFD9E1F2"/>
        <bgColor rgb="FF000000"/>
      </patternFill>
    </fill>
    <fill>
      <patternFill patternType="solid">
        <fgColor rgb="FFF2F2F2"/>
        <bgColor rgb="FF000000"/>
      </patternFill>
    </fill>
    <fill>
      <patternFill patternType="solid">
        <fgColor rgb="FFF5FAF0"/>
        <bgColor indexed="64"/>
      </patternFill>
    </fill>
    <fill>
      <patternFill patternType="solid">
        <fgColor theme="2" tint="-0.749992370372631"/>
        <bgColor indexed="64"/>
      </patternFill>
    </fill>
    <fill>
      <patternFill patternType="solid">
        <fgColor rgb="FF7030A0"/>
        <bgColor rgb="FF000000"/>
      </patternFill>
    </fill>
    <fill>
      <patternFill patternType="solid">
        <fgColor theme="0" tint="-0.249977111117893"/>
        <bgColor rgb="FF000000"/>
      </patternFill>
    </fill>
    <fill>
      <patternFill patternType="solid">
        <fgColor rgb="FFEED7FC"/>
        <bgColor indexed="64"/>
      </patternFill>
    </fill>
  </fills>
  <borders count="9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hair">
        <color theme="2"/>
      </bottom>
      <diagonal/>
    </border>
    <border>
      <left/>
      <right/>
      <top style="hair">
        <color theme="2"/>
      </top>
      <bottom style="hair">
        <color theme="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hair">
        <color theme="2"/>
      </top>
      <bottom/>
      <diagonal/>
    </border>
    <border>
      <left/>
      <right style="thin">
        <color indexed="64"/>
      </right>
      <top style="thin">
        <color indexed="64"/>
      </top>
      <bottom/>
      <diagonal/>
    </border>
    <border>
      <left/>
      <right style="thin">
        <color indexed="64"/>
      </right>
      <top/>
      <bottom style="thin">
        <color indexed="64"/>
      </bottom>
      <diagonal/>
    </border>
    <border>
      <left/>
      <right/>
      <top/>
      <bottom style="hair">
        <color auto="1"/>
      </bottom>
      <diagonal/>
    </border>
    <border>
      <left/>
      <right/>
      <top style="hair">
        <color auto="1"/>
      </top>
      <bottom style="hair">
        <color auto="1"/>
      </bottom>
      <diagonal/>
    </border>
    <border>
      <left/>
      <right/>
      <top/>
      <bottom style="thick">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diagonal/>
    </border>
    <border>
      <left style="hair">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style="thin">
        <color indexed="64"/>
      </top>
      <bottom style="thin">
        <color indexed="64"/>
      </bottom>
      <diagonal/>
    </border>
    <border>
      <left style="hair">
        <color indexed="64"/>
      </left>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hair">
        <color indexed="64"/>
      </top>
      <bottom/>
      <diagonal/>
    </border>
    <border>
      <left style="thin">
        <color indexed="64"/>
      </left>
      <right style="hair">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hair">
        <color indexed="64"/>
      </top>
      <bottom/>
      <diagonal/>
    </border>
    <border>
      <left/>
      <right style="hair">
        <color indexed="64"/>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bottom style="hair">
        <color indexed="64"/>
      </bottom>
      <diagonal/>
    </border>
    <border>
      <left style="medium">
        <color indexed="64"/>
      </left>
      <right/>
      <top style="medium">
        <color indexed="64"/>
      </top>
      <bottom style="hair">
        <color auto="1"/>
      </bottom>
      <diagonal/>
    </border>
    <border>
      <left style="thin">
        <color indexed="64"/>
      </left>
      <right style="thin">
        <color indexed="64"/>
      </right>
      <top style="medium">
        <color indexed="64"/>
      </top>
      <bottom style="hair">
        <color auto="1"/>
      </bottom>
      <diagonal/>
    </border>
    <border>
      <left/>
      <right/>
      <top style="medium">
        <color indexed="64"/>
      </top>
      <bottom style="hair">
        <color auto="1"/>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hair">
        <color indexed="64"/>
      </top>
      <bottom/>
      <diagonal/>
    </border>
  </borders>
  <cellStyleXfs count="4">
    <xf numFmtId="0" fontId="1" fillId="0" borderId="0"/>
    <xf numFmtId="43" fontId="1" fillId="0" borderId="0"/>
    <xf numFmtId="9" fontId="1" fillId="0" borderId="0"/>
    <xf numFmtId="0" fontId="93" fillId="0" borderId="0"/>
  </cellStyleXfs>
  <cellXfs count="2125">
    <xf numFmtId="0" fontId="0" fillId="0" borderId="0" pivotButton="0" quotePrefix="0" xfId="0"/>
    <xf numFmtId="0" fontId="7" fillId="0" borderId="0" applyAlignment="1" pivotButton="0" quotePrefix="0" xfId="0">
      <alignment horizontal="center"/>
    </xf>
    <xf numFmtId="0" fontId="0" fillId="0" borderId="0" applyAlignment="1" pivotButton="0" quotePrefix="0" xfId="0">
      <alignment horizontal="right"/>
    </xf>
    <xf numFmtId="0" fontId="7" fillId="0"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1"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10" fillId="0" borderId="0" pivotButton="0" quotePrefix="0" xfId="0"/>
    <xf numFmtId="0" fontId="0" fillId="6" borderId="0" pivotButton="0" quotePrefix="0" xfId="0"/>
    <xf numFmtId="0" fontId="0" fillId="0" borderId="0" applyAlignment="1" pivotButton="0" quotePrefix="0" xfId="0">
      <alignment horizontal="center" vertical="top"/>
    </xf>
    <xf numFmtId="0" fontId="0" fillId="8" borderId="0" pivotButton="0" quotePrefix="0" xfId="0"/>
    <xf numFmtId="0" fontId="0" fillId="0" borderId="0" applyAlignment="1" pivotButton="0" quotePrefix="0" xfId="0">
      <alignment wrapText="1"/>
    </xf>
    <xf numFmtId="0" fontId="0" fillId="6" borderId="0" applyAlignment="1" pivotButton="0" quotePrefix="0" xfId="0">
      <alignment horizontal="center" vertical="center"/>
    </xf>
    <xf numFmtId="0" fontId="7" fillId="0" borderId="0" applyAlignment="1" pivotButton="0" quotePrefix="0" xfId="0">
      <alignment horizontal="center"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center"/>
    </xf>
    <xf numFmtId="0" fontId="0" fillId="2" borderId="0" applyAlignment="1" pivotButton="0" quotePrefix="0" xfId="0">
      <alignment horizontal="center" vertical="center"/>
    </xf>
    <xf numFmtId="0" fontId="0" fillId="0" borderId="3" applyAlignment="1" pivotButton="0" quotePrefix="0" xfId="0">
      <alignment horizontal="center" vertical="center"/>
    </xf>
    <xf numFmtId="0" fontId="0" fillId="0" borderId="4" applyAlignment="1" pivotButton="0" quotePrefix="0" xfId="0">
      <alignment horizontal="center" vertical="center"/>
    </xf>
    <xf numFmtId="0" fontId="0" fillId="6" borderId="0" applyAlignment="1" pivotButton="0" quotePrefix="0" xfId="0">
      <alignment vertical="center"/>
    </xf>
    <xf numFmtId="0" fontId="0" fillId="7" borderId="0" applyAlignment="1" pivotButton="0" quotePrefix="0" xfId="0">
      <alignment vertical="center"/>
    </xf>
    <xf numFmtId="9" fontId="1" fillId="0" borderId="0" applyAlignment="1" pivotButton="0" quotePrefix="0" xfId="2">
      <alignment horizontal="center" vertical="center"/>
    </xf>
    <xf numFmtId="0" fontId="0" fillId="12" borderId="0" applyAlignment="1" pivotButton="0" quotePrefix="0" xfId="0">
      <alignment horizontal="center" vertical="center"/>
    </xf>
    <xf numFmtId="1" fontId="0" fillId="12" borderId="0" applyAlignment="1" pivotButton="0" quotePrefix="0" xfId="0">
      <alignment horizontal="center" vertical="center" wrapText="1"/>
    </xf>
    <xf numFmtId="1" fontId="0" fillId="12" borderId="0" applyAlignment="1" pivotButton="0" quotePrefix="0" xfId="0">
      <alignment horizontal="center" vertical="center"/>
    </xf>
    <xf numFmtId="0" fontId="0" fillId="0" borderId="0" applyAlignment="1" pivotButton="0" quotePrefix="0" xfId="0">
      <alignment vertical="center" wrapText="1"/>
    </xf>
    <xf numFmtId="9" fontId="0" fillId="0" borderId="0" applyAlignment="1" pivotButton="0" quotePrefix="0" xfId="0">
      <alignment horizontal="center" vertical="center"/>
    </xf>
    <xf numFmtId="0" fontId="0" fillId="16" borderId="0" pivotButton="0" quotePrefix="0" xfId="0"/>
    <xf numFmtId="0" fontId="0" fillId="16" borderId="0" applyAlignment="1" pivotButton="0" quotePrefix="0" xfId="0">
      <alignment horizontal="center" vertical="center"/>
    </xf>
    <xf numFmtId="9" fontId="0" fillId="16" borderId="0" applyAlignment="1" pivotButton="0" quotePrefix="0" xfId="0">
      <alignment horizontal="center" vertical="center"/>
    </xf>
    <xf numFmtId="0" fontId="7" fillId="16" borderId="0" applyAlignment="1" pivotButton="0" quotePrefix="0" xfId="0">
      <alignment horizontal="center" vertical="center"/>
    </xf>
    <xf numFmtId="0" fontId="7" fillId="16" borderId="0" applyAlignment="1" pivotButton="0" quotePrefix="0" xfId="0">
      <alignment horizontal="center" vertical="center" wrapText="1"/>
    </xf>
    <xf numFmtId="0" fontId="0" fillId="17" borderId="0" applyAlignment="1" pivotButton="0" quotePrefix="0" xfId="0">
      <alignment horizontal="center" vertical="center"/>
    </xf>
    <xf numFmtId="0" fontId="7" fillId="17" borderId="0" applyAlignment="1" pivotButton="0" quotePrefix="0" xfId="0">
      <alignment horizontal="center" vertical="center"/>
    </xf>
    <xf numFmtId="1" fontId="0" fillId="16" borderId="0" applyAlignment="1" pivotButton="0" quotePrefix="0" xfId="0">
      <alignment horizontal="center" vertical="center"/>
    </xf>
    <xf numFmtId="1" fontId="0" fillId="17" borderId="0" applyAlignment="1" pivotButton="0" quotePrefix="0" xfId="0">
      <alignment horizontal="center" vertical="center"/>
    </xf>
    <xf numFmtId="0" fontId="0" fillId="17" borderId="0" applyAlignment="1" pivotButton="0" quotePrefix="0" xfId="0">
      <alignment horizontal="center" vertical="center" wrapText="1"/>
    </xf>
    <xf numFmtId="0" fontId="0" fillId="16" borderId="0" applyAlignment="1" pivotButton="0" quotePrefix="0" xfId="0">
      <alignment horizontal="left" vertical="center"/>
    </xf>
    <xf numFmtId="0" fontId="0" fillId="16" borderId="0" applyAlignment="1" pivotButton="0" quotePrefix="0" xfId="0">
      <alignment horizontal="right" vertical="center"/>
    </xf>
    <xf numFmtId="9" fontId="0" fillId="17" borderId="0" applyAlignment="1" pivotButton="0" quotePrefix="0" xfId="2">
      <alignment horizontal="center" vertical="center"/>
    </xf>
    <xf numFmtId="0" fontId="0" fillId="17" borderId="0" applyAlignment="1" pivotButton="0" quotePrefix="0" xfId="0">
      <alignment horizontal="right" vertical="center"/>
    </xf>
    <xf numFmtId="9" fontId="0" fillId="17" borderId="0" applyAlignment="1" pivotButton="0" quotePrefix="0" xfId="0">
      <alignment horizontal="center" vertical="center"/>
    </xf>
    <xf numFmtId="0" fontId="7" fillId="16" borderId="0" applyAlignment="1" pivotButton="0" quotePrefix="0" xfId="0">
      <alignment horizontal="center" wrapText="1"/>
    </xf>
    <xf numFmtId="0" fontId="0" fillId="0" borderId="5" applyAlignment="1" pivotButton="0" quotePrefix="0" xfId="0">
      <alignment horizontal="center" vertical="center"/>
    </xf>
    <xf numFmtId="0" fontId="0" fillId="16" borderId="0" applyAlignment="1" applyProtection="1" pivotButton="0" quotePrefix="0" xfId="0">
      <alignment horizontal="center" vertical="center"/>
      <protection locked="0" hidden="0"/>
    </xf>
    <xf numFmtId="0" fontId="7" fillId="0" borderId="0" applyAlignment="1" pivotButton="0" quotePrefix="0" xfId="0">
      <alignment horizontal="center" vertical="center" wrapText="1"/>
    </xf>
    <xf numFmtId="1" fontId="3" fillId="2" borderId="0" applyAlignment="1" pivotButton="0" quotePrefix="0" xfId="0">
      <alignment horizontal="center" vertical="center"/>
    </xf>
    <xf numFmtId="0" fontId="5" fillId="0" borderId="0" pivotButton="0" quotePrefix="0" xfId="0"/>
    <xf numFmtId="164" fontId="0" fillId="0" borderId="0" pivotButton="0" quotePrefix="0" xfId="0"/>
    <xf numFmtId="0" fontId="15" fillId="0" borderId="0" pivotButton="0" quotePrefix="0" xfId="0"/>
    <xf numFmtId="0" fontId="0" fillId="0" borderId="2" applyAlignment="1" pivotButton="0" quotePrefix="0" xfId="0">
      <alignment horizontal="center" vertical="center"/>
    </xf>
    <xf numFmtId="0" fontId="0" fillId="8" borderId="0" applyAlignment="1" pivotButton="0" quotePrefix="0" xfId="0">
      <alignment vertical="center"/>
    </xf>
    <xf numFmtId="0" fontId="20" fillId="0" borderId="3" applyAlignment="1" pivotButton="0" quotePrefix="0" xfId="0">
      <alignment horizontal="center" vertical="center"/>
    </xf>
    <xf numFmtId="0" fontId="21"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22" fillId="0" borderId="0" applyAlignment="1" pivotButton="0" quotePrefix="0" xfId="0">
      <alignment vertical="center"/>
    </xf>
    <xf numFmtId="0" fontId="22" fillId="0" borderId="0" applyAlignment="1" pivotButton="0" quotePrefix="0" xfId="0">
      <alignment horizontal="center" vertical="center" wrapText="1"/>
    </xf>
    <xf numFmtId="0" fontId="22" fillId="0" borderId="0" applyAlignment="1" pivotButton="0" quotePrefix="0" xfId="0">
      <alignment horizontal="center" vertical="center"/>
    </xf>
    <xf numFmtId="0" fontId="0" fillId="7" borderId="0" pivotButton="0" quotePrefix="0" xfId="0"/>
    <xf numFmtId="165" fontId="0" fillId="0" borderId="4" applyAlignment="1" applyProtection="1" pivotButton="0" quotePrefix="0" xfId="1">
      <alignment horizontal="center" vertical="center"/>
      <protection locked="0" hidden="0"/>
    </xf>
    <xf numFmtId="165" fontId="0" fillId="0" borderId="0" applyAlignment="1" pivotButton="0" quotePrefix="0" xfId="1">
      <alignment horizontal="center" vertical="center"/>
    </xf>
    <xf numFmtId="0" fontId="0" fillId="8" borderId="0" applyAlignment="1" pivotButton="0" quotePrefix="0" xfId="0">
      <alignment vertical="center" wrapText="1"/>
    </xf>
    <xf numFmtId="0" fontId="6" fillId="0" borderId="0" pivotButton="0" quotePrefix="0" xfId="0"/>
    <xf numFmtId="0" fontId="3" fillId="2" borderId="0" applyAlignment="1" pivotButton="0" quotePrefix="0" xfId="0">
      <alignment horizontal="left" vertical="center"/>
    </xf>
    <xf numFmtId="0" fontId="0" fillId="2" borderId="0" applyAlignment="1" pivotButton="0" quotePrefix="0" xfId="0">
      <alignment horizontal="left" vertical="center"/>
    </xf>
    <xf numFmtId="0" fontId="7" fillId="2" borderId="0" applyAlignment="1" pivotButton="0" quotePrefix="0" xfId="0">
      <alignment horizontal="center" vertical="center"/>
    </xf>
    <xf numFmtId="0" fontId="6" fillId="0" borderId="0" applyAlignment="1" pivotButton="0" quotePrefix="0" xfId="0">
      <alignment vertical="top"/>
    </xf>
    <xf numFmtId="0" fontId="0" fillId="0" borderId="10" pivotButton="0" quotePrefix="0" xfId="0"/>
    <xf numFmtId="0" fontId="0" fillId="0" borderId="12" applyAlignment="1" pivotButton="0" quotePrefix="0" xfId="0">
      <alignment horizontal="center" vertical="center"/>
    </xf>
    <xf numFmtId="0" fontId="0" fillId="0" borderId="0" applyAlignment="1" pivotButton="0" quotePrefix="0" xfId="0">
      <alignment horizontal="right" vertical="center"/>
    </xf>
    <xf numFmtId="0" fontId="0" fillId="0" borderId="0" applyAlignment="1" pivotButton="0" quotePrefix="0" xfId="0">
      <alignment horizontal="right" vertical="center" wrapText="1"/>
    </xf>
    <xf numFmtId="1" fontId="0" fillId="0" borderId="0" pivotButton="0" quotePrefix="0" xfId="0"/>
    <xf numFmtId="0" fontId="0" fillId="28" borderId="0" pivotButton="0" quotePrefix="0" xfId="0"/>
    <xf numFmtId="0" fontId="2" fillId="0" borderId="0" pivotButton="0" quotePrefix="0" xfId="0"/>
    <xf numFmtId="0" fontId="27" fillId="0" borderId="0" pivotButton="0" quotePrefix="0" xfId="0"/>
    <xf numFmtId="1" fontId="3" fillId="11" borderId="17" applyAlignment="1" applyProtection="1" pivotButton="0" quotePrefix="0" xfId="0">
      <alignment horizontal="center" vertical="center"/>
      <protection locked="0" hidden="0"/>
    </xf>
    <xf numFmtId="0" fontId="9" fillId="12" borderId="17" applyAlignment="1" pivotButton="0" quotePrefix="0" xfId="0">
      <alignment horizontal="center" vertical="center" wrapText="1"/>
    </xf>
    <xf numFmtId="0" fontId="2" fillId="0" borderId="0" applyAlignment="1" pivotButton="0" quotePrefix="0" xfId="0">
      <alignment horizontal="left" vertical="center"/>
    </xf>
    <xf numFmtId="0" fontId="0" fillId="18" borderId="0" pivotButton="0" quotePrefix="0" xfId="0"/>
    <xf numFmtId="9" fontId="0" fillId="0" borderId="0" applyAlignment="1" pivotButton="0" quotePrefix="0" xfId="2">
      <alignment horizontal="center" vertical="center"/>
    </xf>
    <xf numFmtId="0" fontId="0" fillId="0" borderId="10" applyAlignment="1" pivotButton="0" quotePrefix="0" xfId="0">
      <alignment horizontal="center"/>
    </xf>
    <xf numFmtId="0" fontId="0" fillId="31" borderId="0" pivotButton="0" quotePrefix="0" xfId="0"/>
    <xf numFmtId="0" fontId="27" fillId="0" borderId="0" applyAlignment="1" pivotButton="0" quotePrefix="0" xfId="0">
      <alignment wrapText="1"/>
    </xf>
    <xf numFmtId="0" fontId="13" fillId="0" borderId="0" pivotButton="0" quotePrefix="0" xfId="0"/>
    <xf numFmtId="0" fontId="2" fillId="0" borderId="0" applyAlignment="1" pivotButton="0" quotePrefix="0" xfId="0">
      <alignment horizontal="center" vertical="center"/>
    </xf>
    <xf numFmtId="0" fontId="27" fillId="0" borderId="0" applyAlignment="1" pivotButton="0" quotePrefix="0" xfId="0">
      <alignment vertical="center"/>
    </xf>
    <xf numFmtId="0" fontId="27" fillId="0" borderId="0" applyAlignment="1" pivotButton="0" quotePrefix="1" xfId="0">
      <alignment vertical="center"/>
    </xf>
    <xf numFmtId="9" fontId="0" fillId="0" borderId="0" applyAlignment="1" pivotButton="0" quotePrefix="0" xfId="0">
      <alignment horizontal="center"/>
    </xf>
    <xf numFmtId="1" fontId="0" fillId="0" borderId="0" applyAlignment="1" pivotButton="0" quotePrefix="0" xfId="0">
      <alignment horizontal="center" vertical="center" wrapText="1"/>
    </xf>
    <xf numFmtId="1" fontId="0" fillId="0" borderId="0" applyAlignment="1" pivotButton="0" quotePrefix="0" xfId="0">
      <alignment horizontal="left" vertical="center" wrapText="1"/>
    </xf>
    <xf numFmtId="0" fontId="0" fillId="27" borderId="0" applyAlignment="1" pivotButton="0" quotePrefix="0" xfId="0">
      <alignment vertical="center"/>
    </xf>
    <xf numFmtId="0" fontId="0" fillId="12" borderId="0" applyAlignment="1" pivotButton="0" quotePrefix="0" xfId="0">
      <alignment vertical="center"/>
    </xf>
    <xf numFmtId="0" fontId="0" fillId="18" borderId="0" applyAlignment="1" pivotButton="0" quotePrefix="0" xfId="0">
      <alignment horizontal="center" vertical="center" wrapText="1"/>
    </xf>
    <xf numFmtId="0" fontId="7" fillId="18" borderId="0" applyAlignment="1" pivotButton="0" quotePrefix="0" xfId="0">
      <alignment horizontal="center" wrapText="1"/>
    </xf>
    <xf numFmtId="0" fontId="7" fillId="6" borderId="0" applyAlignment="1" pivotButton="0" quotePrefix="0" xfId="0">
      <alignment horizontal="center" wrapText="1"/>
    </xf>
    <xf numFmtId="0" fontId="18" fillId="0" borderId="0" applyAlignment="1" pivotButton="0" quotePrefix="0" xfId="0">
      <alignment horizontal="center" vertical="center"/>
    </xf>
    <xf numFmtId="0" fontId="5" fillId="0" borderId="0" applyAlignment="1" pivotButton="0" quotePrefix="0" xfId="0">
      <alignment horizontal="center"/>
    </xf>
    <xf numFmtId="1" fontId="25" fillId="0" borderId="0" applyAlignment="1" pivotButton="0" quotePrefix="0" xfId="0">
      <alignment horizontal="center" vertical="center"/>
    </xf>
    <xf numFmtId="0" fontId="34" fillId="0" borderId="0" applyAlignment="1" pivotButton="0" quotePrefix="0" xfId="0">
      <alignment horizontal="center" vertical="center" wrapText="1"/>
    </xf>
    <xf numFmtId="0" fontId="0" fillId="6" borderId="0" applyAlignment="1" pivotButton="0" quotePrefix="0" xfId="0">
      <alignment horizontal="left" vertical="center" wrapText="1"/>
    </xf>
    <xf numFmtId="0" fontId="0" fillId="8" borderId="0" applyAlignment="1" pivotButton="0" quotePrefix="0" xfId="0">
      <alignment horizontal="left" vertical="center" wrapText="1"/>
    </xf>
    <xf numFmtId="0" fontId="2" fillId="17" borderId="0" applyAlignment="1" pivotButton="0" quotePrefix="0" xfId="0">
      <alignment horizontal="left" vertical="center"/>
    </xf>
    <xf numFmtId="0" fontId="14" fillId="0" borderId="0" pivotButton="0" quotePrefix="0" xfId="0"/>
    <xf numFmtId="0" fontId="26" fillId="0" borderId="0" applyAlignment="1" pivotButton="0" quotePrefix="0" xfId="0">
      <alignment vertical="center"/>
    </xf>
    <xf numFmtId="0" fontId="0" fillId="0" borderId="0" applyAlignment="1" pivotButton="0" quotePrefix="0" xfId="0">
      <alignment vertical="top"/>
    </xf>
    <xf numFmtId="0" fontId="0" fillId="10" borderId="0" pivotButton="0" quotePrefix="0" xfId="0"/>
    <xf numFmtId="0" fontId="3" fillId="2" borderId="0" applyAlignment="1" pivotButton="0" quotePrefix="0" xfId="0">
      <alignment horizontal="center" vertical="center"/>
    </xf>
    <xf numFmtId="0" fontId="15" fillId="16" borderId="0" applyAlignment="1" pivotButton="0" quotePrefix="0" xfId="0">
      <alignment horizontal="center"/>
    </xf>
    <xf numFmtId="0" fontId="14" fillId="0" borderId="0" applyAlignment="1" pivotButton="0" quotePrefix="0" xfId="0">
      <alignment horizontal="left" vertical="center"/>
    </xf>
    <xf numFmtId="0" fontId="27" fillId="0" borderId="0" applyAlignment="1" pivotButton="0" quotePrefix="0" xfId="0">
      <alignment horizontal="right" vertical="center"/>
    </xf>
    <xf numFmtId="0" fontId="0" fillId="27" borderId="0" pivotButton="0" quotePrefix="0" xfId="0"/>
    <xf numFmtId="0" fontId="6" fillId="27" borderId="0" pivotButton="0" quotePrefix="0" xfId="0"/>
    <xf numFmtId="0" fontId="14" fillId="0" borderId="0" applyAlignment="1" pivotButton="0" quotePrefix="0" xfId="0">
      <alignment vertical="center" wrapText="1"/>
    </xf>
    <xf numFmtId="1" fontId="0" fillId="0" borderId="0" applyAlignment="1" pivotButton="0" quotePrefix="0" xfId="0">
      <alignment horizontal="center"/>
    </xf>
    <xf numFmtId="0" fontId="41" fillId="0" borderId="0" pivotButton="0" quotePrefix="0" xfId="0"/>
    <xf numFmtId="0" fontId="0" fillId="19" borderId="0" pivotButton="0" quotePrefix="0" xfId="0"/>
    <xf numFmtId="0" fontId="38" fillId="0" borderId="0" applyAlignment="1" pivotButton="0" quotePrefix="0" xfId="0">
      <alignment horizontal="center"/>
    </xf>
    <xf numFmtId="0" fontId="31" fillId="0" borderId="0" applyAlignment="1" pivotButton="0" quotePrefix="0" xfId="0">
      <alignment horizontal="center" vertical="center" wrapText="1"/>
    </xf>
    <xf numFmtId="0" fontId="33" fillId="0" borderId="0" applyAlignment="1" pivotButton="0" quotePrefix="0" xfId="0">
      <alignment horizontal="left" vertical="center" wrapText="1"/>
    </xf>
    <xf numFmtId="0" fontId="10" fillId="7" borderId="22" applyAlignment="1" pivotButton="0" quotePrefix="0" xfId="0">
      <alignment horizontal="left" vertical="center" wrapText="1"/>
    </xf>
    <xf numFmtId="0" fontId="0" fillId="7" borderId="22" applyAlignment="1" pivotButton="0" quotePrefix="0" xfId="0">
      <alignment horizontal="left" vertical="center" wrapText="1"/>
    </xf>
    <xf numFmtId="0" fontId="0" fillId="7" borderId="23" applyAlignment="1" pivotButton="0" quotePrefix="0" xfId="0">
      <alignment horizontal="center" vertical="center" wrapText="1"/>
    </xf>
    <xf numFmtId="0" fontId="0" fillId="7" borderId="16" applyAlignment="1" pivotButton="0" quotePrefix="0" xfId="0">
      <alignment horizontal="center" vertical="center" wrapText="1"/>
    </xf>
    <xf numFmtId="0" fontId="27" fillId="12" borderId="0" applyAlignment="1" pivotButton="0" quotePrefix="0" xfId="0">
      <alignment horizontal="center" vertical="center"/>
    </xf>
    <xf numFmtId="0" fontId="39" fillId="16" borderId="0" applyAlignment="1" pivotButton="0" quotePrefix="0" xfId="0">
      <alignment horizontal="left"/>
    </xf>
    <xf numFmtId="0" fontId="0" fillId="7" borderId="0" applyAlignment="1" pivotButton="0" quotePrefix="0" xfId="0">
      <alignment horizontal="right" vertical="center"/>
    </xf>
    <xf numFmtId="0" fontId="0" fillId="7" borderId="15" applyAlignment="1" pivotButton="0" quotePrefix="0" xfId="0">
      <alignment horizontal="left" vertical="center" wrapText="1"/>
    </xf>
    <xf numFmtId="0" fontId="0" fillId="17" borderId="22" applyAlignment="1" pivotButton="0" quotePrefix="0" xfId="0">
      <alignment horizontal="left" vertical="center" wrapText="1"/>
    </xf>
    <xf numFmtId="0" fontId="9" fillId="0" borderId="0" applyAlignment="1" pivotButton="0" quotePrefix="0" xfId="0">
      <alignment horizontal="left" vertical="center"/>
    </xf>
    <xf numFmtId="0" fontId="0" fillId="28" borderId="0" applyAlignment="1" pivotButton="0" quotePrefix="0" xfId="0">
      <alignment vertical="top"/>
    </xf>
    <xf numFmtId="0" fontId="0" fillId="28" borderId="0" applyAlignment="1" pivotButton="0" quotePrefix="0" xfId="0">
      <alignment vertical="center"/>
    </xf>
    <xf numFmtId="0" fontId="0" fillId="4" borderId="16" applyAlignment="1" pivotButton="0" quotePrefix="0" xfId="0">
      <alignment horizontal="center" vertical="center" wrapText="1"/>
    </xf>
    <xf numFmtId="0" fontId="27" fillId="0" borderId="0" applyAlignment="1" pivotButton="0" quotePrefix="0" xfId="0">
      <alignment horizontal="center" vertical="center"/>
    </xf>
    <xf numFmtId="0" fontId="30" fillId="0" borderId="26" applyAlignment="1" pivotButton="0" quotePrefix="0" xfId="0">
      <alignment horizontal="center"/>
    </xf>
    <xf numFmtId="0" fontId="27" fillId="0" borderId="30" applyAlignment="1" pivotButton="0" quotePrefix="0" xfId="0">
      <alignment horizontal="center" vertical="center" wrapText="1"/>
    </xf>
    <xf numFmtId="0" fontId="27" fillId="4" borderId="30" applyAlignment="1" pivotButton="0" quotePrefix="0" xfId="0">
      <alignment horizontal="center" vertical="center" wrapText="1"/>
    </xf>
    <xf numFmtId="0" fontId="7" fillId="12" borderId="33" applyAlignment="1" pivotButton="0" quotePrefix="0" xfId="0">
      <alignment horizontal="center" vertical="center" wrapText="1"/>
    </xf>
    <xf numFmtId="9" fontId="30" fillId="0" borderId="35" applyAlignment="1" pivotButton="0" quotePrefix="0" xfId="2">
      <alignment horizontal="center" vertical="center"/>
    </xf>
    <xf numFmtId="9" fontId="27" fillId="0" borderId="35" applyAlignment="1" pivotButton="0" quotePrefix="0" xfId="2">
      <alignment horizontal="center" vertical="center"/>
    </xf>
    <xf numFmtId="9" fontId="30" fillId="0" borderId="22" applyAlignment="1" pivotButton="0" quotePrefix="0" xfId="2">
      <alignment horizontal="center" vertical="center"/>
    </xf>
    <xf numFmtId="0" fontId="0" fillId="36" borderId="9" applyAlignment="1" pivotButton="0" quotePrefix="0" xfId="0">
      <alignment horizontal="center" vertical="center" wrapText="1"/>
    </xf>
    <xf numFmtId="0" fontId="0" fillId="7" borderId="9" applyAlignment="1" pivotButton="0" quotePrefix="0" xfId="0">
      <alignment horizontal="center" vertical="center" wrapText="1"/>
    </xf>
    <xf numFmtId="0" fontId="0" fillId="17" borderId="9" applyAlignment="1" pivotButton="0" quotePrefix="0" xfId="0">
      <alignment horizontal="center" vertical="center" wrapText="1"/>
    </xf>
    <xf numFmtId="0" fontId="0" fillId="7" borderId="7" applyAlignment="1" pivotButton="0" quotePrefix="0" xfId="0">
      <alignment horizontal="center" vertical="center" wrapText="1"/>
    </xf>
    <xf numFmtId="0" fontId="0" fillId="3" borderId="9" applyAlignment="1" pivotButton="0" quotePrefix="0" xfId="0">
      <alignment horizontal="center" vertical="center" wrapText="1"/>
    </xf>
    <xf numFmtId="0" fontId="0" fillId="0" borderId="36" pivotButton="0" quotePrefix="0" xfId="0"/>
    <xf numFmtId="0" fontId="32" fillId="24" borderId="15" applyAlignment="1" pivotButton="0" quotePrefix="0" xfId="0">
      <alignment horizontal="center" vertical="center"/>
    </xf>
    <xf numFmtId="0" fontId="32" fillId="25" borderId="15" applyAlignment="1" pivotButton="0" quotePrefix="0" xfId="0">
      <alignment horizontal="center" vertical="center"/>
    </xf>
    <xf numFmtId="0" fontId="32" fillId="24" borderId="15" applyAlignment="1" pivotButton="0" quotePrefix="0" xfId="0">
      <alignment horizontal="center" vertical="center" wrapText="1"/>
    </xf>
    <xf numFmtId="0" fontId="32" fillId="44" borderId="15" applyAlignment="1" pivotButton="0" quotePrefix="0" xfId="0">
      <alignment horizontal="center" vertical="center" wrapText="1"/>
    </xf>
    <xf numFmtId="0" fontId="32" fillId="25" borderId="15" applyAlignment="1" pivotButton="0" quotePrefix="0" xfId="0">
      <alignment horizontal="center" vertical="center" wrapText="1"/>
    </xf>
    <xf numFmtId="0" fontId="42" fillId="0" borderId="0" applyAlignment="1" pivotButton="0" quotePrefix="0" xfId="0">
      <alignment vertical="center"/>
    </xf>
    <xf numFmtId="1" fontId="0" fillId="48" borderId="0" applyAlignment="1" pivotButton="0" quotePrefix="0" xfId="0">
      <alignment horizontal="center" vertical="center" wrapText="1"/>
    </xf>
    <xf numFmtId="1" fontId="0" fillId="48" borderId="0" applyAlignment="1" pivotButton="0" quotePrefix="0" xfId="0">
      <alignment horizontal="center" vertical="center"/>
    </xf>
    <xf numFmtId="0" fontId="0" fillId="0" borderId="15" applyAlignment="1" pivotButton="0" quotePrefix="0" xfId="0">
      <alignment horizontal="left" vertical="center" wrapText="1"/>
    </xf>
    <xf numFmtId="0" fontId="9" fillId="0" borderId="0" applyAlignment="1" pivotButton="0" quotePrefix="0" xfId="0">
      <alignment horizontal="center" vertical="center" wrapText="1"/>
    </xf>
    <xf numFmtId="0" fontId="0" fillId="0" borderId="3" applyAlignment="1" pivotButton="0" quotePrefix="0" xfId="0">
      <alignment vertical="center" wrapText="1"/>
    </xf>
    <xf numFmtId="0" fontId="0" fillId="7" borderId="3" applyAlignment="1" pivotButton="0" quotePrefix="0" xfId="0">
      <alignment vertical="center" wrapText="1"/>
    </xf>
    <xf numFmtId="165" fontId="0" fillId="0" borderId="0" applyAlignment="1" applyProtection="1" pivotButton="0" quotePrefix="0" xfId="1">
      <alignment horizontal="center" vertical="center"/>
      <protection locked="0" hidden="0"/>
    </xf>
    <xf numFmtId="165" fontId="0" fillId="0" borderId="0" applyAlignment="1" pivotButton="0" quotePrefix="0" xfId="1">
      <alignment vertical="center"/>
    </xf>
    <xf numFmtId="0" fontId="0" fillId="7" borderId="3" applyAlignment="1" pivotButton="0" quotePrefix="0" xfId="0">
      <alignment horizontal="right" vertical="center" wrapText="1"/>
    </xf>
    <xf numFmtId="0" fontId="22" fillId="0" borderId="0" pivotButton="0" quotePrefix="0" xfId="0"/>
    <xf numFmtId="0" fontId="60" fillId="0" borderId="0" applyAlignment="1" pivotButton="0" quotePrefix="0" xfId="0">
      <alignment horizontal="center" vertical="center"/>
    </xf>
    <xf numFmtId="0" fontId="61" fillId="0" borderId="0" applyAlignment="1" pivotButton="0" quotePrefix="0" xfId="0">
      <alignment vertical="center" textRotation="90"/>
    </xf>
    <xf numFmtId="0" fontId="0" fillId="29" borderId="0" applyAlignment="1" pivotButton="0" quotePrefix="0" xfId="0">
      <alignment vertical="center"/>
    </xf>
    <xf numFmtId="9" fontId="0" fillId="0" borderId="0" pivotButton="0" quotePrefix="0" xfId="0"/>
    <xf numFmtId="0" fontId="56" fillId="25" borderId="15" applyAlignment="1" pivotButton="0" quotePrefix="0" xfId="0">
      <alignment horizontal="center" vertical="center" wrapText="1"/>
    </xf>
    <xf numFmtId="0" fontId="0" fillId="4" borderId="16" applyAlignment="1" pivotButton="0" quotePrefix="1" xfId="0">
      <alignment horizontal="center" vertical="center" wrapText="1"/>
    </xf>
    <xf numFmtId="0" fontId="32" fillId="50" borderId="0" applyAlignment="1" pivotButton="0" quotePrefix="0" xfId="0">
      <alignment horizontal="center" vertical="center" wrapText="1"/>
    </xf>
    <xf numFmtId="0" fontId="32" fillId="44" borderId="0" applyAlignment="1" pivotButton="0" quotePrefix="0" xfId="0">
      <alignment horizontal="center" vertical="center" wrapText="1"/>
    </xf>
    <xf numFmtId="0" fontId="32" fillId="44" borderId="15" applyAlignment="1" pivotButton="0" quotePrefix="0" xfId="0">
      <alignment horizontal="center" vertical="center"/>
    </xf>
    <xf numFmtId="9" fontId="0" fillId="0" borderId="0" applyAlignment="1" pivotButton="0" quotePrefix="0" xfId="2">
      <alignment horizontal="center" vertical="center" wrapText="1"/>
    </xf>
    <xf numFmtId="0" fontId="32" fillId="51" borderId="15" applyAlignment="1" pivotButton="0" quotePrefix="0" xfId="0">
      <alignment horizontal="center" vertical="center" wrapText="1"/>
    </xf>
    <xf numFmtId="0" fontId="55" fillId="40" borderId="19" applyAlignment="1" pivotButton="0" quotePrefix="0" xfId="0">
      <alignment horizontal="center" vertical="center" wrapText="1"/>
    </xf>
    <xf numFmtId="0" fontId="55" fillId="24" borderId="7" applyAlignment="1" pivotButton="0" quotePrefix="0" xfId="0">
      <alignment horizontal="center" vertical="center" wrapText="1"/>
    </xf>
    <xf numFmtId="0" fontId="2" fillId="17" borderId="0" applyAlignment="1" pivotButton="0" quotePrefix="0" xfId="0">
      <alignment horizontal="center" vertical="center" wrapText="1"/>
    </xf>
    <xf numFmtId="0" fontId="32" fillId="32" borderId="19" applyAlignment="1" pivotButton="0" quotePrefix="0" xfId="0">
      <alignment horizontal="center" vertical="center" wrapText="1"/>
    </xf>
    <xf numFmtId="0" fontId="0" fillId="36" borderId="16" applyAlignment="1" pivotButton="0" quotePrefix="0" xfId="0">
      <alignment horizontal="center" vertical="center" wrapText="1"/>
    </xf>
    <xf numFmtId="0" fontId="27" fillId="0" borderId="0" applyAlignment="1" pivotButton="0" quotePrefix="0" xfId="0">
      <alignment horizontal="left"/>
    </xf>
    <xf numFmtId="0" fontId="27" fillId="38" borderId="24" applyAlignment="1" pivotButton="0" quotePrefix="0" xfId="0">
      <alignment horizontal="left" vertical="center"/>
    </xf>
    <xf numFmtId="0" fontId="27" fillId="39" borderId="24" applyAlignment="1" pivotButton="0" quotePrefix="0" xfId="0">
      <alignment horizontal="left" vertical="center"/>
    </xf>
    <xf numFmtId="0" fontId="27" fillId="27" borderId="24" applyAlignment="1" pivotButton="0" quotePrefix="0" xfId="0">
      <alignment horizontal="left" vertical="center"/>
    </xf>
    <xf numFmtId="0" fontId="27" fillId="5" borderId="24" applyAlignment="1" pivotButton="0" quotePrefix="0" xfId="0">
      <alignment horizontal="left" vertical="center"/>
    </xf>
    <xf numFmtId="0" fontId="27" fillId="9" borderId="24" applyAlignment="1" pivotButton="0" quotePrefix="0" xfId="0">
      <alignment horizontal="left" vertical="center"/>
    </xf>
    <xf numFmtId="0" fontId="27" fillId="8" borderId="24" applyAlignment="1" pivotButton="0" quotePrefix="0" xfId="0">
      <alignment horizontal="left" vertical="center"/>
    </xf>
    <xf numFmtId="0" fontId="50" fillId="41" borderId="24" applyAlignment="1" pivotButton="0" quotePrefix="0" xfId="0">
      <alignment horizontal="left" vertical="center" wrapText="1"/>
    </xf>
    <xf numFmtId="0" fontId="50" fillId="42" borderId="41" applyAlignment="1" pivotButton="0" quotePrefix="0" xfId="0">
      <alignment horizontal="left" vertical="center"/>
    </xf>
    <xf numFmtId="0" fontId="27" fillId="6" borderId="24" applyAlignment="1" pivotButton="0" quotePrefix="0" xfId="0">
      <alignment horizontal="left" vertical="center"/>
    </xf>
    <xf numFmtId="0" fontId="0" fillId="52" borderId="26" applyAlignment="1" pivotButton="0" quotePrefix="0" xfId="0">
      <alignment horizontal="center" vertical="center" wrapText="1"/>
    </xf>
    <xf numFmtId="0" fontId="30" fillId="0" borderId="26" applyAlignment="1" pivotButton="0" quotePrefix="0" xfId="0">
      <alignment horizontal="center" vertical="center"/>
    </xf>
    <xf numFmtId="0" fontId="30" fillId="38" borderId="35" applyAlignment="1" pivotButton="0" quotePrefix="0" xfId="0">
      <alignment horizontal="center" vertical="center"/>
    </xf>
    <xf numFmtId="0" fontId="32" fillId="24" borderId="44" applyAlignment="1" pivotButton="0" quotePrefix="0" xfId="0">
      <alignment horizontal="center" vertical="center" wrapText="1"/>
    </xf>
    <xf numFmtId="0" fontId="32" fillId="24" borderId="14" applyAlignment="1" pivotButton="0" quotePrefix="0" xfId="0">
      <alignment horizontal="center" vertical="center" wrapText="1"/>
    </xf>
    <xf numFmtId="0" fontId="32" fillId="25" borderId="14" applyAlignment="1" pivotButton="0" quotePrefix="0" xfId="0">
      <alignment horizontal="center" vertical="center" wrapText="1"/>
    </xf>
    <xf numFmtId="0" fontId="32" fillId="51" borderId="14" applyAlignment="1" pivotButton="0" quotePrefix="0" xfId="0">
      <alignment horizontal="center" vertical="center" wrapText="1"/>
    </xf>
    <xf numFmtId="0" fontId="32" fillId="24" borderId="8" applyAlignment="1" pivotButton="0" quotePrefix="0" xfId="0">
      <alignment horizontal="center" vertical="center" wrapText="1"/>
    </xf>
    <xf numFmtId="0" fontId="32" fillId="50" borderId="2" applyAlignment="1" pivotButton="0" quotePrefix="0" xfId="0">
      <alignment horizontal="center" vertical="center" wrapText="1"/>
    </xf>
    <xf numFmtId="0" fontId="32" fillId="51" borderId="2" applyAlignment="1" pivotButton="0" quotePrefix="0" xfId="0">
      <alignment horizontal="center" vertical="center" wrapText="1"/>
    </xf>
    <xf numFmtId="0" fontId="32" fillId="50" borderId="14" applyAlignment="1" pivotButton="0" quotePrefix="0" xfId="0">
      <alignment horizontal="center" vertical="center" wrapText="1"/>
    </xf>
    <xf numFmtId="0" fontId="32" fillId="40" borderId="8" applyAlignment="1" pivotButton="0" quotePrefix="0" xfId="0">
      <alignment horizontal="center" vertical="center" wrapText="1"/>
    </xf>
    <xf numFmtId="0" fontId="0" fillId="6" borderId="16" applyAlignment="1" pivotButton="0" quotePrefix="0" xfId="0">
      <alignment horizontal="center" vertical="center" wrapText="1"/>
    </xf>
    <xf numFmtId="0" fontId="0" fillId="35" borderId="9" applyAlignment="1" pivotButton="0" quotePrefix="0" xfId="0">
      <alignment horizontal="center" vertical="center" wrapText="1"/>
    </xf>
    <xf numFmtId="0" fontId="0" fillId="35" borderId="22" applyAlignment="1" pivotButton="0" quotePrefix="0" xfId="0">
      <alignment horizontal="left" vertical="center" wrapText="1"/>
    </xf>
    <xf numFmtId="0" fontId="0" fillId="35" borderId="16" applyAlignment="1" pivotButton="0" quotePrefix="0" xfId="0">
      <alignment horizontal="center" vertical="center" wrapText="1"/>
    </xf>
    <xf numFmtId="0" fontId="0" fillId="35" borderId="31" applyAlignment="1" pivotButton="0" quotePrefix="0" xfId="0">
      <alignment horizontal="left" vertical="center" wrapText="1"/>
    </xf>
    <xf numFmtId="0" fontId="0" fillId="35" borderId="23" applyAlignment="1" pivotButton="0" quotePrefix="0" xfId="0">
      <alignment horizontal="center" vertical="center" wrapText="1"/>
    </xf>
    <xf numFmtId="0" fontId="0" fillId="35" borderId="16" applyAlignment="1" pivotButton="0" quotePrefix="1" xfId="0">
      <alignment horizontal="center" vertical="center" wrapText="1"/>
    </xf>
    <xf numFmtId="0" fontId="0" fillId="36" borderId="7" applyAlignment="1" pivotButton="0" quotePrefix="0" xfId="0">
      <alignment horizontal="center" vertical="center" wrapText="1"/>
    </xf>
    <xf numFmtId="0" fontId="32" fillId="54" borderId="7" applyAlignment="1" pivotButton="0" quotePrefix="0" xfId="0">
      <alignment horizontal="center" vertical="center" wrapText="1"/>
    </xf>
    <xf numFmtId="0" fontId="0" fillId="35" borderId="16" applyAlignment="1" pivotButton="0" quotePrefix="0" xfId="0">
      <alignment horizontal="left" vertical="center" wrapText="1"/>
    </xf>
    <xf numFmtId="0" fontId="0" fillId="35" borderId="15" applyAlignment="1" pivotButton="0" quotePrefix="0" xfId="0">
      <alignment horizontal="left" vertical="center" wrapText="1"/>
    </xf>
    <xf numFmtId="0" fontId="32" fillId="24" borderId="0" applyAlignment="1" pivotButton="0" quotePrefix="0" xfId="0">
      <alignment vertical="center" wrapText="1"/>
    </xf>
    <xf numFmtId="0" fontId="32" fillId="32" borderId="16" applyAlignment="1" pivotButton="0" quotePrefix="0" xfId="0">
      <alignment horizontal="center" vertical="center" wrapText="1"/>
    </xf>
    <xf numFmtId="0" fontId="32" fillId="32" borderId="15" applyAlignment="1" pivotButton="0" quotePrefix="0" xfId="0">
      <alignment horizontal="center" vertical="center" wrapText="1"/>
    </xf>
    <xf numFmtId="0" fontId="23" fillId="52" borderId="16" applyAlignment="1" pivotButton="0" quotePrefix="0" xfId="0">
      <alignment horizontal="center" vertical="center" wrapText="1"/>
    </xf>
    <xf numFmtId="0" fontId="23" fillId="7" borderId="16" applyAlignment="1" pivotButton="0" quotePrefix="0" xfId="0">
      <alignment horizontal="center" vertical="center" wrapText="1"/>
    </xf>
    <xf numFmtId="0" fontId="23" fillId="36" borderId="16" applyAlignment="1" pivotButton="0" quotePrefix="0" xfId="0">
      <alignment horizontal="center" vertical="center" wrapText="1"/>
    </xf>
    <xf numFmtId="0" fontId="23" fillId="36" borderId="16" applyAlignment="1" applyProtection="1" pivotButton="0" quotePrefix="0" xfId="0">
      <alignment horizontal="center" vertical="center" wrapText="1"/>
      <protection locked="0" hidden="0"/>
    </xf>
    <xf numFmtId="0" fontId="23" fillId="4" borderId="16" applyAlignment="1" pivotButton="0" quotePrefix="0" xfId="0">
      <alignment horizontal="center" vertical="center" wrapText="1"/>
    </xf>
    <xf numFmtId="0" fontId="23" fillId="3" borderId="16" applyAlignment="1" pivotButton="0" quotePrefix="0" xfId="0">
      <alignment horizontal="center" vertical="center" wrapText="1"/>
    </xf>
    <xf numFmtId="0" fontId="32" fillId="24" borderId="28" applyAlignment="1" pivotButton="0" quotePrefix="0" xfId="0">
      <alignment vertical="center" wrapText="1"/>
    </xf>
    <xf numFmtId="0" fontId="27" fillId="35" borderId="38" applyAlignment="1" pivotButton="0" quotePrefix="0" xfId="0">
      <alignment horizontal="center" vertical="center" wrapText="1"/>
    </xf>
    <xf numFmtId="0" fontId="27" fillId="9" borderId="38" applyAlignment="1" pivotButton="0" quotePrefix="0" xfId="0">
      <alignment horizontal="center" vertical="center" wrapText="1"/>
    </xf>
    <xf numFmtId="0" fontId="0" fillId="35" borderId="2" applyAlignment="1" pivotButton="0" quotePrefix="0" xfId="0">
      <alignment horizontal="center" vertical="center" wrapText="1"/>
    </xf>
    <xf numFmtId="0" fontId="0" fillId="35" borderId="2" applyAlignment="1" pivotButton="0" quotePrefix="0" xfId="0">
      <alignment horizontal="center" vertical="center"/>
    </xf>
    <xf numFmtId="0" fontId="0" fillId="7" borderId="2" applyAlignment="1" pivotButton="0" quotePrefix="0" xfId="0">
      <alignment horizontal="center" vertical="center" wrapText="1"/>
    </xf>
    <xf numFmtId="0" fontId="0" fillId="4" borderId="2" applyAlignment="1" pivotButton="0" quotePrefix="0" xfId="0">
      <alignment horizontal="center" vertical="center" wrapText="1"/>
    </xf>
    <xf numFmtId="0" fontId="32" fillId="32" borderId="2" applyAlignment="1" pivotButton="0" quotePrefix="0" xfId="0">
      <alignment horizontal="center" vertical="center" wrapText="1"/>
    </xf>
    <xf numFmtId="0" fontId="23" fillId="52" borderId="2" applyAlignment="1" pivotButton="0" quotePrefix="0" xfId="0">
      <alignment horizontal="center" vertical="center" wrapText="1"/>
    </xf>
    <xf numFmtId="0" fontId="12" fillId="32" borderId="2" applyAlignment="1" pivotButton="0" quotePrefix="0" xfId="0">
      <alignment horizontal="center" vertical="center" wrapText="1"/>
    </xf>
    <xf numFmtId="0" fontId="32" fillId="7" borderId="2" applyAlignment="1" pivotButton="0" quotePrefix="0" xfId="0">
      <alignment horizontal="center" vertical="center" wrapText="1"/>
    </xf>
    <xf numFmtId="0" fontId="0" fillId="52" borderId="2" applyAlignment="1" pivotButton="0" quotePrefix="0" xfId="0">
      <alignment horizontal="center" vertical="center"/>
    </xf>
    <xf numFmtId="0" fontId="56" fillId="25" borderId="2" applyAlignment="1" pivotButton="0" quotePrefix="0" xfId="0">
      <alignment horizontal="center" vertical="center" wrapText="1"/>
    </xf>
    <xf numFmtId="0" fontId="32" fillId="25" borderId="2" applyAlignment="1" pivotButton="0" quotePrefix="0" xfId="0">
      <alignment horizontal="center" vertical="center" wrapText="1"/>
    </xf>
    <xf numFmtId="0" fontId="23" fillId="7" borderId="2" applyAlignment="1" pivotButton="0" quotePrefix="0" xfId="0">
      <alignment horizontal="center" vertical="center" wrapText="1"/>
    </xf>
    <xf numFmtId="0" fontId="23" fillId="36" borderId="2" applyAlignment="1" pivotButton="0" quotePrefix="0" xfId="0">
      <alignment horizontal="center" vertical="center" wrapText="1"/>
    </xf>
    <xf numFmtId="0" fontId="23" fillId="36" borderId="2" applyAlignment="1" applyProtection="1" pivotButton="0" quotePrefix="0" xfId="0">
      <alignment horizontal="center" vertical="center" wrapText="1"/>
      <protection locked="0" hidden="0"/>
    </xf>
    <xf numFmtId="0" fontId="0" fillId="36" borderId="2" applyAlignment="1" pivotButton="0" quotePrefix="0" xfId="0">
      <alignment horizontal="center" vertical="center" wrapText="1"/>
    </xf>
    <xf numFmtId="0" fontId="0" fillId="36" borderId="2" applyAlignment="1" pivotButton="0" quotePrefix="1" xfId="0">
      <alignment horizontal="center" vertical="center" wrapText="1"/>
    </xf>
    <xf numFmtId="0" fontId="32" fillId="24" borderId="2" applyAlignment="1" pivotButton="0" quotePrefix="0" xfId="0">
      <alignment horizontal="center" vertical="center"/>
    </xf>
    <xf numFmtId="0" fontId="32" fillId="25" borderId="2" applyAlignment="1" pivotButton="0" quotePrefix="0" xfId="0">
      <alignment horizontal="center" vertical="center"/>
    </xf>
    <xf numFmtId="0" fontId="32" fillId="44" borderId="2" applyAlignment="1" pivotButton="0" quotePrefix="0" xfId="0">
      <alignment horizontal="center" vertical="center"/>
    </xf>
    <xf numFmtId="0" fontId="32" fillId="24" borderId="2" applyAlignment="1" pivotButton="0" quotePrefix="0" xfId="0">
      <alignment horizontal="center" vertical="center" wrapText="1"/>
    </xf>
    <xf numFmtId="0" fontId="32" fillId="24" borderId="2" applyAlignment="1" pivotButton="0" quotePrefix="0" xfId="0">
      <alignment vertical="center" wrapText="1"/>
    </xf>
    <xf numFmtId="0" fontId="0" fillId="6" borderId="2" applyAlignment="1" pivotButton="0" quotePrefix="0" xfId="0">
      <alignment horizontal="center" vertical="center" wrapText="1"/>
    </xf>
    <xf numFmtId="0" fontId="23" fillId="3" borderId="2" applyAlignment="1" pivotButton="0" quotePrefix="0" xfId="0">
      <alignment horizontal="center" vertical="center" wrapText="1"/>
    </xf>
    <xf numFmtId="0" fontId="27" fillId="35" borderId="22" applyAlignment="1" pivotButton="0" quotePrefix="0" xfId="0">
      <alignment horizontal="left" vertical="center" wrapText="1"/>
    </xf>
    <xf numFmtId="0" fontId="12" fillId="32" borderId="16" applyAlignment="1" pivotButton="0" quotePrefix="0" xfId="0">
      <alignment horizontal="center" vertical="center" wrapText="1"/>
    </xf>
    <xf numFmtId="0" fontId="32" fillId="7" borderId="16" applyAlignment="1" pivotButton="0" quotePrefix="0" xfId="0">
      <alignment horizontal="center" vertical="center" wrapText="1"/>
    </xf>
    <xf numFmtId="0" fontId="56" fillId="25" borderId="16" applyAlignment="1" pivotButton="0" quotePrefix="0" xfId="0">
      <alignment horizontal="center" vertical="center" wrapText="1"/>
    </xf>
    <xf numFmtId="0" fontId="32" fillId="25" borderId="16" applyAlignment="1" pivotButton="0" quotePrefix="0" xfId="0">
      <alignment horizontal="center" vertical="center" wrapText="1"/>
    </xf>
    <xf numFmtId="0" fontId="12" fillId="32" borderId="31" applyAlignment="1" pivotButton="0" quotePrefix="0" xfId="0">
      <alignment horizontal="left" vertical="center" wrapText="1"/>
    </xf>
    <xf numFmtId="0" fontId="32" fillId="52" borderId="22" applyAlignment="1" pivotButton="0" quotePrefix="0" xfId="0">
      <alignment horizontal="left" vertical="center" wrapText="1"/>
    </xf>
    <xf numFmtId="0" fontId="12" fillId="52" borderId="22" applyAlignment="1" pivotButton="0" quotePrefix="0" xfId="0">
      <alignment horizontal="left" vertical="center" wrapText="1"/>
    </xf>
    <xf numFmtId="0" fontId="12" fillId="32" borderId="22" applyAlignment="1" pivotButton="0" quotePrefix="0" xfId="0">
      <alignment horizontal="left" vertical="center" wrapText="1"/>
    </xf>
    <xf numFmtId="0" fontId="12" fillId="7" borderId="22" applyAlignment="1" pivotButton="0" quotePrefix="0" xfId="0">
      <alignment horizontal="left" vertical="center" wrapText="1"/>
    </xf>
    <xf numFmtId="0" fontId="56" fillId="40" borderId="22" applyAlignment="1" pivotButton="0" quotePrefix="0" xfId="0">
      <alignment vertical="center" wrapText="1"/>
    </xf>
    <xf numFmtId="0" fontId="32" fillId="25" borderId="22" applyAlignment="1" pivotButton="0" quotePrefix="0" xfId="0">
      <alignment vertical="center" wrapText="1"/>
    </xf>
    <xf numFmtId="0" fontId="32" fillId="25" borderId="22" applyAlignment="1" pivotButton="0" quotePrefix="0" xfId="0">
      <alignment horizontal="left" vertical="center" wrapText="1"/>
    </xf>
    <xf numFmtId="0" fontId="32" fillId="25" borderId="45" applyAlignment="1" pivotButton="0" quotePrefix="0" xfId="0">
      <alignment vertical="center" wrapText="1"/>
    </xf>
    <xf numFmtId="0" fontId="12" fillId="36" borderId="22" applyAlignment="1" pivotButton="0" quotePrefix="0" xfId="0">
      <alignment horizontal="left" vertical="center" wrapText="1"/>
    </xf>
    <xf numFmtId="0" fontId="47" fillId="7" borderId="22" applyAlignment="1" pivotButton="0" quotePrefix="0" xfId="0">
      <alignment horizontal="left" vertical="center" wrapText="1"/>
    </xf>
    <xf numFmtId="0" fontId="32" fillId="36" borderId="22" applyAlignment="1" pivotButton="0" quotePrefix="0" xfId="0">
      <alignment horizontal="left" vertical="center" wrapText="1"/>
    </xf>
    <xf numFmtId="0" fontId="45" fillId="7" borderId="22" applyAlignment="1" pivotButton="0" quotePrefix="0" xfId="0">
      <alignment horizontal="left" vertical="center" wrapText="1"/>
    </xf>
    <xf numFmtId="0" fontId="32" fillId="7" borderId="22" applyAlignment="1" pivotButton="0" quotePrefix="0" xfId="0">
      <alignment horizontal="left" vertical="center" wrapText="1"/>
    </xf>
    <xf numFmtId="0" fontId="46" fillId="7" borderId="22" applyAlignment="1" pivotButton="0" quotePrefix="0" xfId="0">
      <alignment horizontal="left" vertical="center" wrapText="1"/>
    </xf>
    <xf numFmtId="0" fontId="56" fillId="54" borderId="22" applyAlignment="1" pivotButton="0" quotePrefix="0" xfId="0">
      <alignment vertical="center" wrapText="1"/>
    </xf>
    <xf numFmtId="0" fontId="32" fillId="25" borderId="31" applyAlignment="1" pivotButton="0" quotePrefix="0" xfId="0">
      <alignment vertical="center" wrapText="1"/>
    </xf>
    <xf numFmtId="0" fontId="48" fillId="7" borderId="22" applyAlignment="1" pivotButton="0" quotePrefix="0" xfId="0">
      <alignment horizontal="left" vertical="center" wrapText="1"/>
    </xf>
    <xf numFmtId="0" fontId="56" fillId="24" borderId="22" applyAlignment="1" pivotButton="0" quotePrefix="0" xfId="0">
      <alignment vertical="center"/>
    </xf>
    <xf numFmtId="0" fontId="12" fillId="6" borderId="22" applyAlignment="1" pivotButton="0" quotePrefix="0" xfId="0">
      <alignment horizontal="left" vertical="center" wrapText="1"/>
    </xf>
    <xf numFmtId="0" fontId="56" fillId="24" borderId="31" applyAlignment="1" pivotButton="0" quotePrefix="0" xfId="0">
      <alignment vertical="center" wrapText="1"/>
    </xf>
    <xf numFmtId="0" fontId="56" fillId="25" borderId="31" applyAlignment="1" pivotButton="0" quotePrefix="0" xfId="0">
      <alignment vertical="center" wrapText="1"/>
    </xf>
    <xf numFmtId="0" fontId="32" fillId="24" borderId="31" applyAlignment="1" pivotButton="0" quotePrefix="0" xfId="0">
      <alignment vertical="center" wrapText="1"/>
    </xf>
    <xf numFmtId="0" fontId="32" fillId="24" borderId="9" applyAlignment="1" pivotButton="0" quotePrefix="0" xfId="0">
      <alignment vertical="center" wrapText="1"/>
    </xf>
    <xf numFmtId="0" fontId="32" fillId="51" borderId="31" applyAlignment="1" pivotButton="0" quotePrefix="0" xfId="0">
      <alignment vertical="center" wrapText="1"/>
    </xf>
    <xf numFmtId="0" fontId="32" fillId="50" borderId="31" applyAlignment="1" pivotButton="0" quotePrefix="0" xfId="0">
      <alignment vertical="center" wrapText="1"/>
    </xf>
    <xf numFmtId="0" fontId="32" fillId="51" borderId="9" applyAlignment="1" pivotButton="0" quotePrefix="0" xfId="0">
      <alignment vertical="center" wrapText="1"/>
    </xf>
    <xf numFmtId="0" fontId="32" fillId="50" borderId="9" applyAlignment="1" pivotButton="0" quotePrefix="0" xfId="0">
      <alignment horizontal="left" vertical="center" wrapText="1"/>
    </xf>
    <xf numFmtId="0" fontId="0" fillId="3" borderId="22" applyAlignment="1" pivotButton="0" quotePrefix="0" xfId="0">
      <alignment horizontal="left" vertical="center" wrapText="1"/>
    </xf>
    <xf numFmtId="0" fontId="19" fillId="3" borderId="22" applyAlignment="1" pivotButton="0" quotePrefix="0" xfId="0">
      <alignment horizontal="left" vertical="center" wrapText="1"/>
    </xf>
    <xf numFmtId="0" fontId="43" fillId="0" borderId="0" applyAlignment="1" pivotButton="0" quotePrefix="0" xfId="0">
      <alignment horizontal="center"/>
    </xf>
    <xf numFmtId="0" fontId="9" fillId="12" borderId="7" applyAlignment="1" pivotButton="0" quotePrefix="0" xfId="0">
      <alignment horizontal="center" wrapText="1"/>
    </xf>
    <xf numFmtId="0" fontId="27" fillId="12" borderId="9" applyAlignment="1" pivotButton="0" quotePrefix="0" xfId="0">
      <alignment horizontal="center" vertical="center"/>
    </xf>
    <xf numFmtId="0" fontId="0" fillId="0" borderId="21" applyAlignment="1" pivotButton="0" quotePrefix="0" xfId="0">
      <alignment horizontal="center" vertical="center"/>
    </xf>
    <xf numFmtId="0" fontId="9" fillId="0" borderId="0" applyAlignment="1" pivotButton="0" quotePrefix="0" xfId="0">
      <alignment horizontal="center" vertical="center"/>
    </xf>
    <xf numFmtId="0" fontId="0" fillId="0" borderId="15" applyAlignment="1" pivotButton="0" quotePrefix="0" xfId="0">
      <alignment vertical="center" wrapText="1"/>
    </xf>
    <xf numFmtId="0" fontId="0" fillId="0" borderId="16" applyAlignment="1" pivotButton="0" quotePrefix="0" xfId="0">
      <alignment vertical="center" wrapText="1"/>
    </xf>
    <xf numFmtId="0" fontId="12" fillId="7" borderId="29" applyAlignment="1" pivotButton="0" quotePrefix="1" xfId="0">
      <alignment horizontal="left" vertical="center" wrapText="1"/>
    </xf>
    <xf numFmtId="0" fontId="29" fillId="0" borderId="0" applyAlignment="1" pivotButton="0" quotePrefix="0" xfId="0">
      <alignment horizontal="center" vertical="center" wrapText="1"/>
    </xf>
    <xf numFmtId="0" fontId="67" fillId="0" borderId="0" applyAlignment="1" pivotButton="0" quotePrefix="0" xfId="0">
      <alignment horizontal="center" vertical="center"/>
    </xf>
    <xf numFmtId="0" fontId="29" fillId="12" borderId="0" applyAlignment="1" pivotButton="0" quotePrefix="0" xfId="0">
      <alignment horizontal="center" vertical="center" wrapText="1"/>
    </xf>
    <xf numFmtId="0" fontId="29" fillId="12" borderId="0" applyAlignment="1" pivotButton="0" quotePrefix="0" xfId="0">
      <alignment horizontal="center" vertical="center"/>
    </xf>
    <xf numFmtId="0" fontId="29" fillId="0" borderId="0" applyAlignment="1" pivotButton="0" quotePrefix="0" xfId="0">
      <alignment horizontal="center" vertical="center"/>
    </xf>
    <xf numFmtId="0" fontId="0" fillId="12" borderId="9" applyAlignment="1" pivotButton="0" quotePrefix="0" xfId="0">
      <alignment horizontal="center" vertical="center"/>
    </xf>
    <xf numFmtId="0" fontId="68" fillId="0" borderId="0" applyAlignment="1" pivotButton="0" quotePrefix="0" xfId="0">
      <alignment horizontal="center" vertical="center"/>
    </xf>
    <xf numFmtId="0" fontId="69" fillId="0" borderId="0" applyAlignment="1" pivotButton="0" quotePrefix="0" xfId="0">
      <alignment horizontal="center" vertical="center" wrapText="1"/>
    </xf>
    <xf numFmtId="0" fontId="29" fillId="7" borderId="0" applyAlignment="1" pivotButton="0" quotePrefix="0" xfId="0">
      <alignment horizontal="center" vertical="center"/>
    </xf>
    <xf numFmtId="0" fontId="0" fillId="0" borderId="0" applyAlignment="1" pivotButton="0" quotePrefix="0" xfId="0">
      <alignment horizontal="left" vertical="center" wrapText="1"/>
    </xf>
    <xf numFmtId="0" fontId="21" fillId="0" borderId="0" applyAlignment="1" pivotButton="0" quotePrefix="0" xfId="0">
      <alignment horizontal="center" vertical="center" wrapText="1"/>
    </xf>
    <xf numFmtId="0" fontId="0" fillId="7" borderId="0" applyAlignment="1" pivotButton="0" quotePrefix="0" xfId="0">
      <alignment horizontal="left" vertical="center" wrapText="1"/>
    </xf>
    <xf numFmtId="1" fontId="3" fillId="11" borderId="17" applyAlignment="1" pivotButton="0" quotePrefix="0" xfId="0">
      <alignment horizontal="center" vertical="center"/>
    </xf>
    <xf numFmtId="0" fontId="39" fillId="16" borderId="0" applyAlignment="1" pivotButton="0" quotePrefix="0" xfId="0">
      <alignment horizontal="left" vertical="center"/>
    </xf>
    <xf numFmtId="0" fontId="35" fillId="0" borderId="0" applyAlignment="1" pivotButton="0" quotePrefix="0" xfId="0">
      <alignment vertical="center"/>
    </xf>
    <xf numFmtId="0" fontId="39" fillId="37" borderId="0" applyAlignment="1" pivotButton="0" quotePrefix="0" xfId="0">
      <alignment horizontal="left" vertical="center"/>
    </xf>
    <xf numFmtId="0" fontId="0" fillId="0" borderId="4" applyAlignment="1" pivotButton="0" quotePrefix="0" xfId="0">
      <alignment horizontal="left" vertical="center"/>
    </xf>
    <xf numFmtId="0" fontId="12" fillId="7" borderId="9" applyAlignment="1" pivotButton="0" quotePrefix="1" xfId="0">
      <alignment vertical="center" wrapText="1"/>
    </xf>
    <xf numFmtId="0" fontId="12" fillId="7" borderId="22" applyAlignment="1" pivotButton="0" quotePrefix="1" xfId="0">
      <alignment horizontal="left" vertical="center" wrapText="1"/>
    </xf>
    <xf numFmtId="0" fontId="0" fillId="7" borderId="15" applyAlignment="1" pivotButton="0" quotePrefix="0" xfId="0">
      <alignment horizontal="right" vertical="center" wrapText="1"/>
    </xf>
    <xf numFmtId="0" fontId="12" fillId="7" borderId="29" applyAlignment="1" pivotButton="0" quotePrefix="1" xfId="0">
      <alignment horizontal="right" vertical="center" wrapText="1"/>
    </xf>
    <xf numFmtId="0" fontId="0" fillId="7" borderId="3" applyAlignment="1" pivotButton="0" quotePrefix="0" xfId="0">
      <alignment horizontal="left" vertical="center" wrapText="1"/>
    </xf>
    <xf numFmtId="0" fontId="10" fillId="0" borderId="0" applyAlignment="1" pivotButton="0" quotePrefix="0" xfId="0">
      <alignment vertical="center" wrapText="1"/>
    </xf>
    <xf numFmtId="0" fontId="32" fillId="6" borderId="14" applyAlignment="1" pivotButton="0" quotePrefix="0" xfId="0">
      <alignment horizontal="center" vertical="center" wrapText="1"/>
    </xf>
    <xf numFmtId="0" fontId="0" fillId="33" borderId="0" applyAlignment="1" pivotButton="0" quotePrefix="0" xfId="0">
      <alignment vertical="center"/>
    </xf>
    <xf numFmtId="0" fontId="0" fillId="15" borderId="0" applyAlignment="1" pivotButton="0" quotePrefix="0" xfId="0">
      <alignment vertical="center"/>
    </xf>
    <xf numFmtId="0" fontId="3" fillId="0" borderId="0" applyAlignment="1" pivotButton="0" quotePrefix="0" xfId="0">
      <alignment wrapText="1"/>
    </xf>
    <xf numFmtId="0" fontId="39" fillId="0" borderId="0" pivotButton="0" quotePrefix="0" xfId="0"/>
    <xf numFmtId="0" fontId="0" fillId="9" borderId="0" applyAlignment="1" pivotButton="0" quotePrefix="0" xfId="0">
      <alignment vertical="center" wrapText="1"/>
    </xf>
    <xf numFmtId="0" fontId="0" fillId="17" borderId="0" applyAlignment="1" pivotButton="0" quotePrefix="0" xfId="2">
      <alignment horizontal="center" vertical="center"/>
    </xf>
    <xf numFmtId="0" fontId="30" fillId="0" borderId="0" applyAlignment="1" pivotButton="0" quotePrefix="0" xfId="0">
      <alignment horizontal="center"/>
    </xf>
    <xf numFmtId="0" fontId="0" fillId="0" borderId="0" applyAlignment="1" pivotButton="0" quotePrefix="0" xfId="0">
      <alignment horizontal="left"/>
    </xf>
    <xf numFmtId="0" fontId="27" fillId="0" borderId="0" applyAlignment="1" pivotButton="0" quotePrefix="0" xfId="0">
      <alignment horizontal="center" wrapText="1"/>
    </xf>
    <xf numFmtId="0" fontId="0" fillId="17" borderId="0" applyAlignment="1" pivotButton="0" quotePrefix="0" xfId="2">
      <alignment horizontal="left" vertical="center"/>
    </xf>
    <xf numFmtId="0" fontId="7" fillId="17" borderId="0" applyAlignment="1" pivotButton="0" quotePrefix="0" xfId="0">
      <alignment horizontal="left" vertical="center"/>
    </xf>
    <xf numFmtId="0" fontId="7" fillId="16" borderId="0" applyAlignment="1" pivotButton="0" quotePrefix="0" xfId="0">
      <alignment horizontal="left" vertical="center" wrapText="1"/>
    </xf>
    <xf numFmtId="0" fontId="3" fillId="0" borderId="0" applyAlignment="1" pivotButton="0" quotePrefix="0" xfId="0">
      <alignment horizontal="left" vertical="center"/>
    </xf>
    <xf numFmtId="0" fontId="0" fillId="0" borderId="36" applyAlignment="1" pivotButton="0" quotePrefix="0" xfId="0">
      <alignment vertical="center"/>
    </xf>
    <xf numFmtId="0" fontId="0" fillId="0" borderId="56" applyAlignment="1" pivotButton="0" quotePrefix="0" xfId="0">
      <alignment vertical="center"/>
    </xf>
    <xf numFmtId="0" fontId="0" fillId="0" borderId="56" pivotButton="0" quotePrefix="0" xfId="0"/>
    <xf numFmtId="9" fontId="0" fillId="17" borderId="0" applyAlignment="1" pivotButton="0" quotePrefix="0" xfId="2">
      <alignment horizontal="center" vertical="center"/>
    </xf>
    <xf numFmtId="0" fontId="0" fillId="0" borderId="62" pivotButton="0" quotePrefix="0" xfId="0"/>
    <xf numFmtId="0" fontId="0" fillId="0" borderId="1" pivotButton="0" quotePrefix="0" xfId="0"/>
    <xf numFmtId="0" fontId="0" fillId="0" borderId="63" pivotButton="0" quotePrefix="0" xfId="0"/>
    <xf numFmtId="0" fontId="0" fillId="0" borderId="3" applyAlignment="1" pivotButton="0" quotePrefix="0" xfId="0">
      <alignment horizontal="right" vertical="center" wrapText="1"/>
    </xf>
    <xf numFmtId="9" fontId="30" fillId="0" borderId="16" applyAlignment="1" pivotButton="0" quotePrefix="0" xfId="2">
      <alignment horizontal="center" vertical="center"/>
    </xf>
    <xf numFmtId="0" fontId="27" fillId="0" borderId="40" applyAlignment="1" pivotButton="0" quotePrefix="0" xfId="0">
      <alignment horizontal="center" vertical="center" wrapText="1"/>
    </xf>
    <xf numFmtId="0" fontId="27" fillId="0" borderId="35" applyAlignment="1" pivotButton="0" quotePrefix="0" xfId="0">
      <alignment horizontal="center" vertical="center" wrapText="1"/>
    </xf>
    <xf numFmtId="0" fontId="50" fillId="0" borderId="15" applyAlignment="1" pivotButton="0" quotePrefix="0" xfId="0">
      <alignment horizontal="center" vertical="center" wrapText="1"/>
    </xf>
    <xf numFmtId="0" fontId="58" fillId="0" borderId="15" applyAlignment="1" pivotButton="0" quotePrefix="0" xfId="0">
      <alignment horizontal="center" vertical="center"/>
    </xf>
    <xf numFmtId="0" fontId="27" fillId="0" borderId="35" applyAlignment="1" pivotButton="0" quotePrefix="0" xfId="0">
      <alignment horizontal="center" vertical="center"/>
    </xf>
    <xf numFmtId="0" fontId="49" fillId="0" borderId="15" applyAlignment="1" pivotButton="0" quotePrefix="0" xfId="0">
      <alignment horizontal="center" vertical="center"/>
    </xf>
    <xf numFmtId="0" fontId="50" fillId="44" borderId="15" applyAlignment="1" pivotButton="0" quotePrefix="0" xfId="0">
      <alignment horizontal="center" vertical="center" wrapText="1"/>
    </xf>
    <xf numFmtId="0" fontId="50" fillId="47" borderId="15" applyAlignment="1" pivotButton="0" quotePrefix="0" xfId="0">
      <alignment horizontal="center" vertical="center" wrapText="1"/>
    </xf>
    <xf numFmtId="1" fontId="27" fillId="0" borderId="35" applyAlignment="1" pivotButton="0" quotePrefix="0" xfId="0">
      <alignment horizontal="center" vertical="center" wrapText="1"/>
    </xf>
    <xf numFmtId="1" fontId="27" fillId="4" borderId="35" applyAlignment="1" pivotButton="0" quotePrefix="0" xfId="0">
      <alignment horizontal="center" vertical="center" wrapText="1"/>
    </xf>
    <xf numFmtId="1" fontId="44" fillId="0" borderId="35" applyAlignment="1" pivotButton="0" quotePrefix="0" xfId="0">
      <alignment horizontal="center" vertical="center" wrapText="1"/>
    </xf>
    <xf numFmtId="1" fontId="29" fillId="0" borderId="35" applyAlignment="1" pivotButton="0" quotePrefix="0" xfId="0">
      <alignment horizontal="center" vertical="center"/>
    </xf>
    <xf numFmtId="1" fontId="27" fillId="4" borderId="16" applyAlignment="1" pivotButton="0" quotePrefix="0" xfId="0">
      <alignment horizontal="center" vertical="center" wrapText="1"/>
    </xf>
    <xf numFmtId="1" fontId="50" fillId="0" borderId="15" applyAlignment="1" pivotButton="0" quotePrefix="0" xfId="0">
      <alignment horizontal="center" vertical="center" wrapText="1"/>
    </xf>
    <xf numFmtId="1" fontId="50" fillId="0" borderId="35" applyAlignment="1" pivotButton="0" quotePrefix="0" xfId="0">
      <alignment horizontal="center" vertical="center" wrapText="1"/>
    </xf>
    <xf numFmtId="0" fontId="50" fillId="0" borderId="40" applyAlignment="1" pivotButton="0" quotePrefix="0" xfId="0">
      <alignment horizontal="center" vertical="center" wrapText="1"/>
    </xf>
    <xf numFmtId="0" fontId="58" fillId="0" borderId="40" applyAlignment="1" pivotButton="0" quotePrefix="0" xfId="0">
      <alignment horizontal="center" vertical="center"/>
    </xf>
    <xf numFmtId="9" fontId="53" fillId="0" borderId="46" applyAlignment="1" pivotButton="0" quotePrefix="0" xfId="2">
      <alignment horizontal="center" vertical="center"/>
    </xf>
    <xf numFmtId="9" fontId="53" fillId="0" borderId="37" applyAlignment="1" pivotButton="0" quotePrefix="0" xfId="2">
      <alignment horizontal="center" vertical="center" wrapText="1"/>
    </xf>
    <xf numFmtId="9" fontId="30" fillId="0" borderId="37" applyAlignment="1" pivotButton="0" quotePrefix="0" xfId="2">
      <alignment horizontal="center" vertical="center"/>
    </xf>
    <xf numFmtId="9" fontId="30" fillId="0" borderId="26" applyAlignment="1" pivotButton="0" quotePrefix="0" xfId="2">
      <alignment horizontal="center" vertical="center"/>
    </xf>
    <xf numFmtId="9" fontId="30" fillId="0" borderId="49" applyAlignment="1" pivotButton="0" quotePrefix="0" xfId="2">
      <alignment horizontal="center" vertical="center"/>
    </xf>
    <xf numFmtId="9" fontId="53" fillId="0" borderId="37" applyAlignment="1" pivotButton="0" quotePrefix="0" xfId="2">
      <alignment horizontal="center" vertical="center"/>
    </xf>
    <xf numFmtId="0" fontId="27" fillId="0" borderId="65" applyAlignment="1" pivotButton="0" quotePrefix="0" xfId="0">
      <alignment horizontal="center" vertical="center" wrapText="1"/>
    </xf>
    <xf numFmtId="0" fontId="32" fillId="32" borderId="8" applyAlignment="1" pivotButton="0" quotePrefix="0" xfId="0">
      <alignment horizontal="center" vertical="center" wrapText="1"/>
    </xf>
    <xf numFmtId="1" fontId="50" fillId="0" borderId="40" applyAlignment="1" pivotButton="0" quotePrefix="0" xfId="0">
      <alignment horizontal="center" vertical="center" wrapText="1"/>
    </xf>
    <xf numFmtId="0" fontId="50" fillId="41" borderId="41" applyAlignment="1" pivotButton="0" quotePrefix="0" xfId="0">
      <alignment horizontal="left" vertical="center" wrapText="1"/>
    </xf>
    <xf numFmtId="0" fontId="0" fillId="28" borderId="0" applyAlignment="1" pivotButton="0" quotePrefix="0" xfId="0">
      <alignment horizontal="center" vertical="center" wrapText="1"/>
    </xf>
    <xf numFmtId="0" fontId="0" fillId="28" borderId="0" applyAlignment="1" pivotButton="0" quotePrefix="0" xfId="0">
      <alignment horizontal="left" vertical="center" wrapText="1"/>
    </xf>
    <xf numFmtId="0" fontId="27" fillId="28" borderId="0" applyAlignment="1" pivotButton="0" quotePrefix="0" xfId="0">
      <alignment horizontal="center" vertical="center" wrapText="1"/>
    </xf>
    <xf numFmtId="0" fontId="30" fillId="28" borderId="0" applyAlignment="1" pivotButton="0" quotePrefix="0" xfId="0">
      <alignment horizontal="center" vertical="center"/>
    </xf>
    <xf numFmtId="0" fontId="30" fillId="28" borderId="0" applyAlignment="1" pivotButton="0" quotePrefix="0" xfId="0">
      <alignment horizontal="center" vertical="top"/>
    </xf>
    <xf numFmtId="0" fontId="27" fillId="28" borderId="0" applyAlignment="1" pivotButton="0" quotePrefix="0" xfId="0">
      <alignment horizontal="left" vertical="center"/>
    </xf>
    <xf numFmtId="0" fontId="0" fillId="32" borderId="0" applyAlignment="1" pivotButton="0" quotePrefix="0" xfId="0">
      <alignment horizontal="center" vertical="center" wrapText="1"/>
    </xf>
    <xf numFmtId="0" fontId="0" fillId="32" borderId="0" applyAlignment="1" pivotButton="0" quotePrefix="0" xfId="0">
      <alignment horizontal="left" vertical="center" wrapText="1"/>
    </xf>
    <xf numFmtId="0" fontId="30" fillId="32" borderId="0" applyAlignment="1" pivotButton="0" quotePrefix="0" xfId="0">
      <alignment horizontal="center" vertical="center"/>
    </xf>
    <xf numFmtId="0" fontId="30" fillId="32" borderId="0" applyAlignment="1" pivotButton="0" quotePrefix="0" xfId="0">
      <alignment horizontal="center" vertical="top"/>
    </xf>
    <xf numFmtId="0" fontId="27" fillId="32" borderId="0" applyAlignment="1" pivotButton="0" quotePrefix="0" xfId="0">
      <alignment horizontal="left" vertical="center"/>
    </xf>
    <xf numFmtId="9" fontId="27" fillId="0" borderId="22" applyAlignment="1" pivotButton="0" quotePrefix="0" xfId="2">
      <alignment horizontal="center" vertical="center"/>
    </xf>
    <xf numFmtId="9" fontId="64" fillId="0" borderId="46" applyAlignment="1" pivotButton="0" quotePrefix="0" xfId="2">
      <alignment horizontal="center" vertical="center"/>
    </xf>
    <xf numFmtId="9" fontId="57" fillId="0" borderId="37" applyAlignment="1" pivotButton="0" quotePrefix="0" xfId="2">
      <alignment horizontal="center" vertical="center" wrapText="1"/>
    </xf>
    <xf numFmtId="9" fontId="53" fillId="0" borderId="50" applyAlignment="1" pivotButton="0" quotePrefix="0" xfId="2">
      <alignment horizontal="center" vertical="center" wrapText="1"/>
    </xf>
    <xf numFmtId="9" fontId="64" fillId="0" borderId="47" applyAlignment="1" pivotButton="0" quotePrefix="0" xfId="2">
      <alignment horizontal="center" vertical="center"/>
    </xf>
    <xf numFmtId="9" fontId="64" fillId="0" borderId="48" applyAlignment="1" pivotButton="0" quotePrefix="0" xfId="2">
      <alignment horizontal="center" vertical="center" textRotation="90"/>
    </xf>
    <xf numFmtId="9" fontId="53" fillId="0" borderId="26" applyAlignment="1" pivotButton="0" quotePrefix="0" xfId="2">
      <alignment horizontal="center" vertical="center"/>
    </xf>
    <xf numFmtId="9" fontId="53" fillId="0" borderId="49" applyAlignment="1" pivotButton="0" quotePrefix="0" xfId="2">
      <alignment horizontal="center" vertical="center"/>
    </xf>
    <xf numFmtId="9" fontId="53" fillId="0" borderId="26" applyAlignment="1" pivotButton="0" quotePrefix="0" xfId="2">
      <alignment horizontal="center" vertical="center" wrapText="1"/>
    </xf>
    <xf numFmtId="9" fontId="53" fillId="0" borderId="49" applyAlignment="1" pivotButton="0" quotePrefix="0" xfId="2">
      <alignment horizontal="center" vertical="center" wrapText="1"/>
    </xf>
    <xf numFmtId="9" fontId="57" fillId="0" borderId="26" applyAlignment="1" pivotButton="0" quotePrefix="0" xfId="2">
      <alignment horizontal="center" vertical="center" wrapText="1"/>
    </xf>
    <xf numFmtId="9" fontId="30" fillId="0" borderId="37" applyAlignment="1" pivotButton="0" quotePrefix="0" xfId="2">
      <alignment horizontal="center" vertical="center"/>
    </xf>
    <xf numFmtId="9" fontId="30" fillId="0" borderId="26" applyAlignment="1" pivotButton="0" quotePrefix="0" xfId="2">
      <alignment horizontal="center" vertical="center"/>
    </xf>
    <xf numFmtId="9" fontId="30" fillId="0" borderId="49" applyAlignment="1" pivotButton="0" quotePrefix="0" xfId="2">
      <alignment horizontal="center" vertical="center"/>
    </xf>
    <xf numFmtId="9" fontId="53" fillId="0" borderId="47" applyAlignment="1" pivotButton="0" quotePrefix="0" xfId="2">
      <alignment horizontal="center"/>
    </xf>
    <xf numFmtId="0" fontId="30" fillId="38" borderId="22" applyAlignment="1" pivotButton="0" quotePrefix="0" xfId="0">
      <alignment horizontal="center" vertical="center"/>
    </xf>
    <xf numFmtId="0" fontId="30" fillId="38" borderId="27" applyAlignment="1" pivotButton="0" quotePrefix="0" xfId="0">
      <alignment horizontal="center" vertical="center"/>
    </xf>
    <xf numFmtId="0" fontId="12" fillId="7" borderId="25" applyAlignment="1" pivotButton="0" quotePrefix="0" xfId="0">
      <alignment horizontal="left" vertical="center" wrapText="1"/>
    </xf>
    <xf numFmtId="0" fontId="23" fillId="7" borderId="28" applyAlignment="1" pivotButton="0" quotePrefix="0" xfId="0">
      <alignment horizontal="center" vertical="center" wrapText="1"/>
    </xf>
    <xf numFmtId="0" fontId="23" fillId="7" borderId="7" applyAlignment="1" pivotButton="0" quotePrefix="0" xfId="0">
      <alignment horizontal="center" vertical="center" wrapText="1"/>
    </xf>
    <xf numFmtId="1" fontId="50" fillId="0" borderId="65" applyAlignment="1" pivotButton="0" quotePrefix="0" xfId="0">
      <alignment horizontal="center" vertical="center" wrapText="1"/>
    </xf>
    <xf numFmtId="9" fontId="30" fillId="0" borderId="69" applyAlignment="1" pivotButton="0" quotePrefix="0" xfId="2">
      <alignment horizontal="center" vertical="center"/>
    </xf>
    <xf numFmtId="9" fontId="30" fillId="0" borderId="70" applyAlignment="1" pivotButton="0" quotePrefix="0" xfId="2">
      <alignment horizontal="center" vertical="center"/>
    </xf>
    <xf numFmtId="9" fontId="30" fillId="0" borderId="71" applyAlignment="1" pivotButton="0" quotePrefix="0" xfId="2">
      <alignment horizontal="center" vertical="center"/>
    </xf>
    <xf numFmtId="0" fontId="52" fillId="36" borderId="9" applyAlignment="1" pivotButton="0" quotePrefix="0" xfId="0">
      <alignment horizontal="center" vertical="center" wrapText="1"/>
    </xf>
    <xf numFmtId="0" fontId="12" fillId="36" borderId="31" applyAlignment="1" pivotButton="0" quotePrefix="0" xfId="0">
      <alignment horizontal="left" vertical="center" wrapText="1"/>
    </xf>
    <xf numFmtId="0" fontId="0" fillId="4" borderId="15" applyAlignment="1" pivotButton="0" quotePrefix="0" xfId="0">
      <alignment horizontal="center" vertical="center" wrapText="1"/>
    </xf>
    <xf numFmtId="0" fontId="0" fillId="4" borderId="8" applyAlignment="1" pivotButton="0" quotePrefix="0" xfId="0">
      <alignment horizontal="center" vertical="center" wrapText="1"/>
    </xf>
    <xf numFmtId="1" fontId="27" fillId="4" borderId="40" applyAlignment="1" pivotButton="0" quotePrefix="0" xfId="0">
      <alignment horizontal="center" vertical="center" wrapText="1"/>
    </xf>
    <xf numFmtId="0" fontId="27" fillId="27" borderId="41" applyAlignment="1" pivotButton="0" quotePrefix="0" xfId="0">
      <alignment horizontal="left" vertical="center"/>
    </xf>
    <xf numFmtId="9" fontId="30" fillId="28" borderId="0" applyAlignment="1" pivotButton="0" quotePrefix="0" xfId="2">
      <alignment horizontal="center" vertical="center"/>
    </xf>
    <xf numFmtId="9" fontId="30" fillId="28" borderId="0" applyAlignment="1" pivotButton="0" quotePrefix="0" xfId="2">
      <alignment horizontal="center"/>
    </xf>
    <xf numFmtId="0" fontId="30" fillId="28" borderId="0" applyAlignment="1" pivotButton="0" quotePrefix="0" xfId="0">
      <alignment horizontal="center"/>
    </xf>
    <xf numFmtId="9" fontId="30" fillId="0" borderId="28" applyAlignment="1" pivotButton="0" quotePrefix="0" xfId="2">
      <alignment horizontal="center" vertical="center"/>
    </xf>
    <xf numFmtId="0" fontId="27" fillId="39" borderId="68" applyAlignment="1" pivotButton="0" quotePrefix="0" xfId="0">
      <alignment horizontal="left" vertical="center"/>
    </xf>
    <xf numFmtId="0" fontId="0" fillId="17" borderId="31" applyAlignment="1" pivotButton="0" quotePrefix="0" xfId="0">
      <alignment horizontal="left" vertical="center" wrapText="1"/>
    </xf>
    <xf numFmtId="0" fontId="0" fillId="17" borderId="15" applyAlignment="1" pivotButton="0" quotePrefix="0" xfId="0">
      <alignment horizontal="center" vertical="center" wrapText="1"/>
    </xf>
    <xf numFmtId="0" fontId="0" fillId="17" borderId="8" applyAlignment="1" pivotButton="0" quotePrefix="0" xfId="0">
      <alignment horizontal="center" vertical="center" wrapText="1"/>
    </xf>
    <xf numFmtId="0" fontId="27" fillId="17" borderId="40" applyAlignment="1" pivotButton="0" quotePrefix="0" xfId="0">
      <alignment horizontal="center" vertical="center" wrapText="1"/>
    </xf>
    <xf numFmtId="0" fontId="27" fillId="17" borderId="41" applyAlignment="1" pivotButton="0" quotePrefix="0" xfId="0">
      <alignment horizontal="left" vertical="center"/>
    </xf>
    <xf numFmtId="9" fontId="27" fillId="0" borderId="16" applyAlignment="1" pivotButton="0" quotePrefix="0" xfId="2">
      <alignment horizontal="center" vertical="center"/>
    </xf>
    <xf numFmtId="0" fontId="19" fillId="3" borderId="25" applyAlignment="1" pivotButton="0" quotePrefix="0" xfId="0">
      <alignment horizontal="left" vertical="center" wrapText="1"/>
    </xf>
    <xf numFmtId="1" fontId="29" fillId="0" borderId="65" applyAlignment="1" pivotButton="0" quotePrefix="0" xfId="0">
      <alignment horizontal="center" vertical="center"/>
    </xf>
    <xf numFmtId="9" fontId="27" fillId="0" borderId="65" applyAlignment="1" pivotButton="0" quotePrefix="0" xfId="2">
      <alignment horizontal="center" vertical="center"/>
    </xf>
    <xf numFmtId="9" fontId="27" fillId="0" borderId="25" applyAlignment="1" pivotButton="0" quotePrefix="0" xfId="2">
      <alignment horizontal="center" vertical="center"/>
    </xf>
    <xf numFmtId="0" fontId="27" fillId="14" borderId="68" applyAlignment="1" pivotButton="0" quotePrefix="0" xfId="0">
      <alignment horizontal="left" vertical="center"/>
    </xf>
    <xf numFmtId="0" fontId="0" fillId="36" borderId="0" applyAlignment="1" pivotButton="0" quotePrefix="0" xfId="0">
      <alignment vertical="center"/>
    </xf>
    <xf numFmtId="0" fontId="12" fillId="36" borderId="25" applyAlignment="1" pivotButton="0" quotePrefix="1" xfId="0">
      <alignment horizontal="left" vertical="center" wrapText="1"/>
    </xf>
    <xf numFmtId="0" fontId="62" fillId="24" borderId="14" applyAlignment="1" pivotButton="0" quotePrefix="0" xfId="0">
      <alignment horizontal="center" vertical="center" wrapText="1"/>
    </xf>
    <xf numFmtId="0" fontId="62" fillId="24" borderId="9" applyAlignment="1" pivotButton="0" quotePrefix="0" xfId="0">
      <alignment vertical="center"/>
    </xf>
    <xf numFmtId="0" fontId="62" fillId="24" borderId="10" applyAlignment="1" pivotButton="0" quotePrefix="0" xfId="0">
      <alignment vertical="center" wrapText="1"/>
    </xf>
    <xf numFmtId="0" fontId="62" fillId="24" borderId="8" applyAlignment="1" pivotButton="0" quotePrefix="0" xfId="0">
      <alignment vertical="center" wrapText="1"/>
    </xf>
    <xf numFmtId="0" fontId="63" fillId="0" borderId="15" applyAlignment="1" pivotButton="0" quotePrefix="0" xfId="0">
      <alignment horizontal="center" vertical="center" wrapText="1"/>
    </xf>
    <xf numFmtId="0" fontId="0" fillId="36" borderId="0" applyAlignment="1" pivotButton="0" quotePrefix="0" xfId="0">
      <alignment horizontal="center" vertical="center" wrapText="1"/>
    </xf>
    <xf numFmtId="0" fontId="30" fillId="28" borderId="36" applyAlignment="1" pivotButton="0" quotePrefix="0" xfId="0">
      <alignment horizontal="center" vertical="center"/>
    </xf>
    <xf numFmtId="0" fontId="30" fillId="17" borderId="46" applyAlignment="1" pivotButton="0" quotePrefix="0" xfId="0">
      <alignment horizontal="center" vertical="center"/>
    </xf>
    <xf numFmtId="0" fontId="30" fillId="17" borderId="47" applyAlignment="1" pivotButton="0" quotePrefix="0" xfId="0">
      <alignment horizontal="center"/>
    </xf>
    <xf numFmtId="0" fontId="32" fillId="40" borderId="20" applyAlignment="1" pivotButton="0" quotePrefix="0" xfId="0">
      <alignment horizontal="center" vertical="center" wrapText="1"/>
    </xf>
    <xf numFmtId="0" fontId="19" fillId="28" borderId="0" applyAlignment="1" pivotButton="0" quotePrefix="0" xfId="0">
      <alignment horizontal="left" vertical="center" wrapText="1"/>
    </xf>
    <xf numFmtId="0" fontId="23" fillId="28" borderId="0" applyAlignment="1" pivotButton="0" quotePrefix="0" xfId="0">
      <alignment horizontal="center" vertical="center" wrapText="1"/>
    </xf>
    <xf numFmtId="0" fontId="29" fillId="28" borderId="0" applyAlignment="1" pivotButton="0" quotePrefix="0" xfId="0">
      <alignment horizontal="center" vertical="center"/>
    </xf>
    <xf numFmtId="9" fontId="27" fillId="28" borderId="0" applyAlignment="1" pivotButton="0" quotePrefix="0" xfId="2">
      <alignment horizontal="center" vertical="center"/>
    </xf>
    <xf numFmtId="9" fontId="27" fillId="28" borderId="0" applyAlignment="1" pivotButton="0" quotePrefix="0" xfId="2">
      <alignment horizontal="center" vertical="center" textRotation="90"/>
    </xf>
    <xf numFmtId="0" fontId="0" fillId="52" borderId="70" applyAlignment="1" pivotButton="0" quotePrefix="0" xfId="0">
      <alignment horizontal="center" vertical="center" wrapText="1"/>
    </xf>
    <xf numFmtId="0" fontId="32" fillId="32" borderId="7" applyAlignment="1" pivotButton="0" quotePrefix="0" xfId="0">
      <alignment horizontal="center" vertical="center" wrapText="1"/>
    </xf>
    <xf numFmtId="0" fontId="50" fillId="44" borderId="0" applyAlignment="1" pivotButton="0" quotePrefix="0" xfId="0">
      <alignment horizontal="center" vertical="center" wrapText="1"/>
    </xf>
    <xf numFmtId="0" fontId="50" fillId="42" borderId="6" applyAlignment="1" pivotButton="0" quotePrefix="0" xfId="0">
      <alignment horizontal="left" vertical="center"/>
    </xf>
    <xf numFmtId="0" fontId="0" fillId="3" borderId="31" applyAlignment="1" pivotButton="0" quotePrefix="0" xfId="0">
      <alignment horizontal="left" vertical="center" wrapText="1"/>
    </xf>
    <xf numFmtId="0" fontId="23" fillId="3" borderId="15" applyAlignment="1" pivotButton="0" quotePrefix="0" xfId="0">
      <alignment horizontal="center" vertical="center" wrapText="1"/>
    </xf>
    <xf numFmtId="0" fontId="23" fillId="3" borderId="8" applyAlignment="1" pivotButton="0" quotePrefix="0" xfId="0">
      <alignment horizontal="center" vertical="center" wrapText="1"/>
    </xf>
    <xf numFmtId="1" fontId="29" fillId="0" borderId="40" applyAlignment="1" pivotButton="0" quotePrefix="0" xfId="0">
      <alignment horizontal="center" vertical="center"/>
    </xf>
    <xf numFmtId="9" fontId="53" fillId="0" borderId="47" applyAlignment="1" pivotButton="0" quotePrefix="0" xfId="2">
      <alignment horizontal="center" wrapText="1"/>
    </xf>
    <xf numFmtId="9" fontId="53" fillId="0" borderId="51" applyAlignment="1" pivotButton="0" quotePrefix="0" xfId="2">
      <alignment horizontal="center" vertical="center"/>
    </xf>
    <xf numFmtId="9" fontId="30" fillId="0" borderId="75" applyAlignment="1" pivotButton="0" quotePrefix="0" xfId="2">
      <alignment horizontal="center" vertical="center"/>
    </xf>
    <xf numFmtId="9" fontId="27" fillId="0" borderId="76" applyAlignment="1" pivotButton="0" quotePrefix="0" xfId="2">
      <alignment horizontal="center" vertical="center"/>
    </xf>
    <xf numFmtId="9" fontId="27" fillId="0" borderId="77" applyAlignment="1" pivotButton="0" quotePrefix="0" xfId="2">
      <alignment horizontal="center" vertical="center"/>
    </xf>
    <xf numFmtId="9" fontId="7" fillId="15" borderId="0" applyAlignment="1" pivotButton="0" quotePrefix="0" xfId="0">
      <alignment horizontal="center"/>
    </xf>
    <xf numFmtId="9" fontId="7" fillId="14" borderId="0" applyAlignment="1" pivotButton="0" quotePrefix="0" xfId="0">
      <alignment horizontal="center"/>
    </xf>
    <xf numFmtId="9" fontId="7" fillId="4" borderId="0" applyAlignment="1" pivotButton="0" quotePrefix="0" xfId="0">
      <alignment horizontal="center"/>
    </xf>
    <xf numFmtId="0" fontId="26" fillId="0" borderId="0" applyAlignment="1" pivotButton="0" quotePrefix="0" xfId="0">
      <alignment horizontal="center"/>
    </xf>
    <xf numFmtId="0" fontId="4" fillId="0" borderId="0" pivotButton="0" quotePrefix="0" xfId="0"/>
    <xf numFmtId="9" fontId="0" fillId="0" borderId="0" applyAlignment="1" pivotButton="0" quotePrefix="0" xfId="2">
      <alignment horizontal="center"/>
    </xf>
    <xf numFmtId="0" fontId="22" fillId="0" borderId="0" applyAlignment="1" pivotButton="0" quotePrefix="0" xfId="0">
      <alignment horizontal="center"/>
    </xf>
    <xf numFmtId="0" fontId="40" fillId="0" borderId="0" applyAlignment="1" pivotButton="0" quotePrefix="0" xfId="0">
      <alignment horizontal="center" vertical="center"/>
    </xf>
    <xf numFmtId="1" fontId="40" fillId="0" borderId="0" applyAlignment="1" pivotButton="0" quotePrefix="0" xfId="0">
      <alignment horizontal="center" vertical="center"/>
    </xf>
    <xf numFmtId="0" fontId="72" fillId="36" borderId="0" applyAlignment="1" pivotButton="0" quotePrefix="0" xfId="0">
      <alignment horizontal="center" vertical="center" wrapText="1"/>
    </xf>
    <xf numFmtId="0" fontId="15" fillId="0" borderId="0" applyAlignment="1" pivotButton="0" quotePrefix="0" xfId="0">
      <alignment vertical="top"/>
    </xf>
    <xf numFmtId="0" fontId="6" fillId="0" borderId="0" applyAlignment="1" pivotButton="0" quotePrefix="0" xfId="0">
      <alignment horizontal="center" wrapText="1"/>
    </xf>
    <xf numFmtId="0" fontId="37" fillId="0" borderId="0" pivotButton="0" quotePrefix="0" xfId="0"/>
    <xf numFmtId="0" fontId="37" fillId="0" borderId="0" applyAlignment="1" pivotButton="0" quotePrefix="0" xfId="0">
      <alignment horizontal="center" vertical="center"/>
    </xf>
    <xf numFmtId="0" fontId="37" fillId="0" borderId="0" applyAlignment="1" pivotButton="0" quotePrefix="1" xfId="0">
      <alignment horizontal="center" vertical="center"/>
    </xf>
    <xf numFmtId="0" fontId="37" fillId="0" borderId="0" applyAlignment="1" pivotButton="0" quotePrefix="0" xfId="0">
      <alignment horizontal="center"/>
    </xf>
    <xf numFmtId="0" fontId="37" fillId="0" borderId="0" applyAlignment="1" pivotButton="0" quotePrefix="0" xfId="0">
      <alignment horizontal="center" vertical="top"/>
    </xf>
    <xf numFmtId="0" fontId="61" fillId="0" borderId="0" applyAlignment="1" pivotButton="0" quotePrefix="0" xfId="0">
      <alignment horizontal="center" vertical="center" textRotation="90"/>
    </xf>
    <xf numFmtId="0" fontId="37" fillId="0" borderId="0" applyAlignment="1" pivotButton="0" quotePrefix="0" xfId="0">
      <alignment horizontal="center" vertical="center" textRotation="90"/>
    </xf>
    <xf numFmtId="0" fontId="59" fillId="0" borderId="0" applyAlignment="1" pivotButton="0" quotePrefix="0" xfId="0">
      <alignment horizontal="center" textRotation="90"/>
    </xf>
    <xf numFmtId="0" fontId="19" fillId="0" borderId="0" applyAlignment="1" pivotButton="0" quotePrefix="0" xfId="0">
      <alignment horizontal="center" vertical="center"/>
    </xf>
    <xf numFmtId="165" fontId="22" fillId="0" borderId="0" applyAlignment="1" pivotButton="0" quotePrefix="0" xfId="1">
      <alignment horizontal="center" vertical="center"/>
    </xf>
    <xf numFmtId="165" fontId="22" fillId="0" borderId="0" applyAlignment="1" pivotButton="0" quotePrefix="0" xfId="1">
      <alignment horizontal="center"/>
    </xf>
    <xf numFmtId="165" fontId="61" fillId="0" borderId="0" applyAlignment="1" pivotButton="0" quotePrefix="0" xfId="1">
      <alignment horizontal="center" vertical="center" textRotation="90"/>
    </xf>
    <xf numFmtId="0" fontId="59" fillId="0" borderId="0" applyAlignment="1" pivotButton="0" quotePrefix="0" xfId="0">
      <alignment horizontal="left" vertical="center"/>
    </xf>
    <xf numFmtId="0" fontId="38" fillId="0" borderId="0" applyAlignment="1" pivotButton="0" quotePrefix="0" xfId="0">
      <alignment horizontal="left"/>
    </xf>
    <xf numFmtId="0" fontId="74" fillId="0" borderId="0" pivotButton="0" quotePrefix="0" xfId="0"/>
    <xf numFmtId="0" fontId="4" fillId="34" borderId="10" applyAlignment="1" pivotButton="0" quotePrefix="0" xfId="0">
      <alignment horizontal="left" vertical="center" wrapText="1"/>
    </xf>
    <xf numFmtId="166" fontId="22" fillId="0" borderId="0" applyAlignment="1" pivotButton="0" quotePrefix="0" xfId="1">
      <alignment horizontal="center"/>
    </xf>
    <xf numFmtId="166" fontId="22" fillId="0" borderId="0" applyAlignment="1" pivotButton="0" quotePrefix="0" xfId="1">
      <alignment horizontal="center" vertical="center"/>
    </xf>
    <xf numFmtId="166" fontId="22" fillId="0" borderId="0" applyAlignment="1" pivotButton="0" quotePrefix="0" xfId="1">
      <alignment horizontal="center" vertical="center"/>
    </xf>
    <xf numFmtId="166" fontId="22" fillId="0" borderId="0" applyAlignment="1" pivotButton="0" quotePrefix="0" xfId="1">
      <alignment vertical="center"/>
    </xf>
    <xf numFmtId="1" fontId="3" fillId="0" borderId="0" applyAlignment="1" pivotButton="0" quotePrefix="0" xfId="0">
      <alignment horizontal="center" vertical="center"/>
    </xf>
    <xf numFmtId="1" fontId="0" fillId="36" borderId="0" applyAlignment="1" pivotButton="0" quotePrefix="0" xfId="0">
      <alignment horizontal="center" vertical="center" wrapText="1"/>
    </xf>
    <xf numFmtId="0" fontId="0" fillId="36" borderId="0" applyAlignment="1" pivotButton="0" quotePrefix="0" xfId="0">
      <alignment horizontal="center" vertical="center"/>
    </xf>
    <xf numFmtId="0" fontId="36" fillId="2" borderId="0" applyAlignment="1" pivotButton="0" quotePrefix="0" xfId="0">
      <alignment horizontal="left" vertical="center"/>
    </xf>
    <xf numFmtId="1" fontId="0" fillId="0" borderId="0" applyAlignment="1" pivotButton="0" quotePrefix="0" xfId="0">
      <alignment horizontal="left" vertical="center"/>
    </xf>
    <xf numFmtId="0" fontId="14" fillId="0" borderId="0" applyAlignment="1" pivotButton="0" quotePrefix="0" xfId="0">
      <alignment horizontal="left" vertical="center" wrapText="1"/>
    </xf>
    <xf numFmtId="0" fontId="14" fillId="0" borderId="0" applyAlignment="1" pivotButton="0" quotePrefix="0" xfId="0">
      <alignment horizontal="right" vertical="center"/>
    </xf>
    <xf numFmtId="0" fontId="4" fillId="14" borderId="0" applyAlignment="1" pivotButton="0" quotePrefix="0" xfId="0">
      <alignment horizontal="left" vertical="center"/>
    </xf>
    <xf numFmtId="0" fontId="14" fillId="0" borderId="0" applyAlignment="1" pivotButton="0" quotePrefix="0" xfId="0">
      <alignment horizontal="right" vertical="center" wrapText="1"/>
    </xf>
    <xf numFmtId="0" fontId="27" fillId="0" borderId="0" applyAlignment="1" pivotButton="0" quotePrefix="0" xfId="0">
      <alignment horizontal="right" vertical="center" wrapText="1"/>
    </xf>
    <xf numFmtId="1" fontId="7" fillId="0" borderId="0" applyAlignment="1" pivotButton="0" quotePrefix="0" xfId="0">
      <alignment horizontal="center" vertical="center"/>
    </xf>
    <xf numFmtId="1" fontId="0" fillId="14" borderId="0" applyAlignment="1" pivotButton="0" quotePrefix="0" xfId="0">
      <alignment horizontal="center" vertical="center"/>
    </xf>
    <xf numFmtId="1" fontId="2" fillId="17" borderId="0" applyAlignment="1" pivotButton="0" quotePrefix="0" xfId="0">
      <alignment horizontal="center" vertical="center"/>
    </xf>
    <xf numFmtId="1" fontId="51" fillId="17" borderId="0" applyAlignment="1" pivotButton="0" quotePrefix="0" xfId="0">
      <alignment horizontal="center" vertical="center" wrapText="1"/>
    </xf>
    <xf numFmtId="1" fontId="0" fillId="33" borderId="0" applyAlignment="1" pivotButton="0" quotePrefix="0" xfId="0">
      <alignment horizontal="center" vertical="center"/>
    </xf>
    <xf numFmtId="1" fontId="75" fillId="26" borderId="0" applyAlignment="1" pivotButton="0" quotePrefix="0" xfId="0">
      <alignment horizontal="center" vertical="center" wrapText="1"/>
    </xf>
    <xf numFmtId="1" fontId="0" fillId="20" borderId="0" applyAlignment="1" pivotButton="0" quotePrefix="0" xfId="0">
      <alignment horizontal="center" vertical="center"/>
    </xf>
    <xf numFmtId="0" fontId="20" fillId="0" borderId="0" applyAlignment="1" pivotButton="0" quotePrefix="0" xfId="0">
      <alignment horizontal="center" vertical="center" wrapText="1"/>
    </xf>
    <xf numFmtId="0" fontId="20" fillId="0" borderId="0" applyAlignment="1" applyProtection="1" pivotButton="0" quotePrefix="0" xfId="0">
      <alignment vertical="center" wrapText="1"/>
      <protection locked="0" hidden="0"/>
    </xf>
    <xf numFmtId="0" fontId="31" fillId="0" borderId="0" applyAlignment="1" pivotButton="0" quotePrefix="0" xfId="0">
      <alignment horizontal="left" vertical="center" wrapText="1"/>
    </xf>
    <xf numFmtId="0" fontId="7" fillId="0" borderId="0" applyAlignment="1" pivotButton="0" quotePrefix="0" xfId="0">
      <alignment vertical="center"/>
    </xf>
    <xf numFmtId="0" fontId="0" fillId="57" borderId="0" pivotButton="0" quotePrefix="0" xfId="0"/>
    <xf numFmtId="0" fontId="0" fillId="58" borderId="0" pivotButton="0" quotePrefix="0" xfId="0"/>
    <xf numFmtId="0" fontId="0" fillId="59" borderId="0" pivotButton="0" quotePrefix="0" xfId="0"/>
    <xf numFmtId="0" fontId="76" fillId="0" borderId="0" pivotButton="0" quotePrefix="0" xfId="0"/>
    <xf numFmtId="0" fontId="27" fillId="12" borderId="0" applyAlignment="1" pivotButton="0" quotePrefix="0" xfId="0">
      <alignment horizontal="center" vertical="center" wrapText="1"/>
    </xf>
    <xf numFmtId="0" fontId="0" fillId="12" borderId="0" applyAlignment="1" pivotButton="0" quotePrefix="0" xfId="0">
      <alignment horizontal="left" vertical="center"/>
    </xf>
    <xf numFmtId="0" fontId="77" fillId="0" borderId="0" applyAlignment="1" pivotButton="0" quotePrefix="0" xfId="0">
      <alignment horizontal="left" vertical="top"/>
    </xf>
    <xf numFmtId="0" fontId="27" fillId="0" borderId="0" applyAlignment="1" pivotButton="0" quotePrefix="0" xfId="0">
      <alignment horizontal="center" vertical="center" wrapText="1"/>
    </xf>
    <xf numFmtId="0" fontId="0" fillId="22" borderId="3" applyAlignment="1" pivotButton="0" quotePrefix="0" xfId="0">
      <alignment vertical="center" wrapText="1"/>
    </xf>
    <xf numFmtId="0" fontId="0" fillId="0" borderId="3" applyAlignment="1" pivotButton="0" quotePrefix="0" xfId="0">
      <alignment horizontal="left" vertical="center" wrapText="1"/>
    </xf>
    <xf numFmtId="0" fontId="0" fillId="9" borderId="0" applyAlignment="1" pivotButton="0" quotePrefix="0" xfId="0">
      <alignment horizontal="center"/>
    </xf>
    <xf numFmtId="0" fontId="78" fillId="0" borderId="0" applyAlignment="1" pivotButton="0" quotePrefix="0" xfId="0">
      <alignment horizontal="center"/>
    </xf>
    <xf numFmtId="1" fontId="3" fillId="60" borderId="17" applyAlignment="1" applyProtection="1" pivotButton="0" quotePrefix="0" xfId="0">
      <alignment horizontal="center" vertical="center"/>
      <protection locked="0" hidden="0"/>
    </xf>
    <xf numFmtId="1" fontId="3" fillId="60" borderId="17" applyAlignment="1" pivotButton="0" quotePrefix="0" xfId="0">
      <alignment horizontal="center" vertical="center"/>
    </xf>
    <xf numFmtId="9" fontId="13" fillId="0" borderId="0" pivotButton="0" quotePrefix="0" xfId="2"/>
    <xf numFmtId="0" fontId="14" fillId="0" borderId="0" applyAlignment="1" pivotButton="0" quotePrefix="0" xfId="0">
      <alignment horizontal="center"/>
    </xf>
    <xf numFmtId="167" fontId="14" fillId="0" borderId="0" applyAlignment="1" pivotButton="0" quotePrefix="0" xfId="2">
      <alignment horizontal="center"/>
    </xf>
    <xf numFmtId="0" fontId="0" fillId="3" borderId="0" applyAlignment="1" pivotButton="0" quotePrefix="0" xfId="0">
      <alignment horizontal="center" vertical="center"/>
    </xf>
    <xf numFmtId="0" fontId="0" fillId="3" borderId="0" applyAlignment="1" pivotButton="0" quotePrefix="0" xfId="0">
      <alignment vertical="center"/>
    </xf>
    <xf numFmtId="0" fontId="0" fillId="3" borderId="0" applyAlignment="1" pivotButton="0" quotePrefix="0" xfId="0">
      <alignment horizontal="left" vertical="center"/>
    </xf>
    <xf numFmtId="0" fontId="0" fillId="61" borderId="0" pivotButton="0" quotePrefix="0" xfId="0"/>
    <xf numFmtId="0" fontId="12" fillId="32" borderId="7" applyAlignment="1" pivotButton="0" quotePrefix="1" xfId="0">
      <alignment horizontal="left" vertical="center" wrapText="1"/>
    </xf>
    <xf numFmtId="0" fontId="0" fillId="32" borderId="0" applyAlignment="1" pivotButton="0" quotePrefix="1" xfId="0">
      <alignment vertical="top" wrapText="1"/>
    </xf>
    <xf numFmtId="0" fontId="0" fillId="35" borderId="60" applyAlignment="1" pivotButton="0" quotePrefix="1" xfId="0">
      <alignment horizontal="left" vertical="center" wrapText="1"/>
    </xf>
    <xf numFmtId="0" fontId="0" fillId="35" borderId="22" applyAlignment="1" pivotButton="0" quotePrefix="1" xfId="0">
      <alignment horizontal="left" vertical="center" wrapText="1"/>
    </xf>
    <xf numFmtId="0" fontId="0" fillId="7" borderId="61" applyAlignment="1" pivotButton="0" quotePrefix="1" xfId="0">
      <alignment horizontal="left" vertical="center" wrapText="1"/>
    </xf>
    <xf numFmtId="0" fontId="0" fillId="35" borderId="31" applyAlignment="1" pivotButton="0" quotePrefix="1" xfId="0">
      <alignment horizontal="left" vertical="center" wrapText="1"/>
    </xf>
    <xf numFmtId="0" fontId="0" fillId="7" borderId="0" applyAlignment="1" pivotButton="0" quotePrefix="0" xfId="0">
      <alignment vertical="top" wrapText="1"/>
    </xf>
    <xf numFmtId="0" fontId="0" fillId="32" borderId="0" applyAlignment="1" pivotButton="0" quotePrefix="0" xfId="0">
      <alignment vertical="top" wrapText="1"/>
    </xf>
    <xf numFmtId="0" fontId="12" fillId="7" borderId="31" applyAlignment="1" pivotButton="0" quotePrefix="1" xfId="0">
      <alignment vertical="center" wrapText="1"/>
    </xf>
    <xf numFmtId="0" fontId="42" fillId="0" borderId="0" applyAlignment="1" pivotButton="0" quotePrefix="0" xfId="0">
      <alignment horizontal="center" vertical="center" wrapText="1"/>
    </xf>
    <xf numFmtId="0" fontId="30" fillId="0" borderId="26" applyAlignment="1" pivotButton="0" quotePrefix="0" xfId="0">
      <alignment horizontal="center" vertical="center" textRotation="45"/>
    </xf>
    <xf numFmtId="0" fontId="27" fillId="0" borderId="0" applyAlignment="1" pivotButton="0" quotePrefix="0" xfId="0">
      <alignment vertical="center" textRotation="45" wrapText="1"/>
    </xf>
    <xf numFmtId="0" fontId="26" fillId="0" borderId="33" applyAlignment="1" pivotButton="0" quotePrefix="0" xfId="0">
      <alignment horizontal="left" vertical="center" wrapText="1"/>
    </xf>
    <xf numFmtId="0" fontId="0" fillId="0" borderId="34" applyAlignment="1" pivotButton="0" quotePrefix="0" xfId="0">
      <alignment horizontal="center" vertical="center" wrapText="1"/>
    </xf>
    <xf numFmtId="0" fontId="27" fillId="0" borderId="64" applyAlignment="1" pivotButton="0" quotePrefix="0" xfId="0">
      <alignment horizontal="center" vertical="center" wrapText="1"/>
    </xf>
    <xf numFmtId="0" fontId="27" fillId="0" borderId="53" applyAlignment="1" pivotButton="0" quotePrefix="0" xfId="0">
      <alignment horizontal="center" vertical="center" wrapText="1"/>
    </xf>
    <xf numFmtId="0" fontId="43" fillId="0" borderId="75" applyAlignment="1" pivotButton="0" quotePrefix="0" xfId="0">
      <alignment horizontal="center" vertical="center"/>
    </xf>
    <xf numFmtId="0" fontId="43" fillId="0" borderId="76" applyAlignment="1" pivotButton="0" quotePrefix="0" xfId="0">
      <alignment horizontal="center" vertical="center"/>
    </xf>
    <xf numFmtId="0" fontId="43" fillId="0" borderId="52" applyAlignment="1" pivotButton="0" quotePrefix="0" xfId="0">
      <alignment horizontal="center" vertical="center"/>
    </xf>
    <xf numFmtId="0" fontId="27" fillId="0" borderId="13" applyAlignment="1" pivotButton="0" quotePrefix="0" xfId="0">
      <alignment horizontal="left" vertical="center" textRotation="90"/>
    </xf>
    <xf numFmtId="0" fontId="12" fillId="0" borderId="0" applyAlignment="1" pivotButton="0" quotePrefix="0" xfId="0">
      <alignment horizontal="center" vertical="center" wrapText="1"/>
    </xf>
    <xf numFmtId="0" fontId="30" fillId="0" borderId="70" applyAlignment="1" pivotButton="0" quotePrefix="0" xfId="0">
      <alignment horizontal="center" vertical="center" textRotation="45"/>
    </xf>
    <xf numFmtId="0" fontId="80" fillId="0" borderId="0" applyAlignment="1" pivotButton="0" quotePrefix="0" xfId="0">
      <alignment horizontal="left" vertical="center" wrapText="1"/>
    </xf>
    <xf numFmtId="0" fontId="27" fillId="12" borderId="0" applyAlignment="1" pivotButton="0" quotePrefix="0" xfId="0">
      <alignment horizontal="right" vertical="center"/>
    </xf>
    <xf numFmtId="0" fontId="30" fillId="0" borderId="70" applyAlignment="1" pivotButton="0" quotePrefix="0" xfId="0">
      <alignment horizontal="center" vertical="center"/>
    </xf>
    <xf numFmtId="0" fontId="81" fillId="0" borderId="0" pivotButton="0" quotePrefix="0" xfId="0"/>
    <xf numFmtId="9" fontId="0" fillId="0" borderId="0" applyAlignment="1" pivotButton="0" quotePrefix="0" xfId="2">
      <alignment vertical="center"/>
    </xf>
    <xf numFmtId="0" fontId="6" fillId="0" borderId="0" applyAlignment="1" pivotButton="0" quotePrefix="0" xfId="0">
      <alignment horizontal="center" vertical="center"/>
    </xf>
    <xf numFmtId="0" fontId="0" fillId="35" borderId="0" applyAlignment="1" pivotButton="0" quotePrefix="0" xfId="0">
      <alignment horizontal="center" vertical="center" wrapText="1"/>
    </xf>
    <xf numFmtId="0" fontId="0" fillId="52" borderId="0" applyAlignment="1" pivotButton="0" quotePrefix="0" xfId="0">
      <alignment horizontal="center" vertical="center" wrapText="1"/>
    </xf>
    <xf numFmtId="0" fontId="0" fillId="7" borderId="0" applyAlignment="1" pivotButton="0" quotePrefix="0" xfId="0">
      <alignment horizontal="center" vertical="center" wrapText="1"/>
    </xf>
    <xf numFmtId="0" fontId="32" fillId="40" borderId="0" applyAlignment="1" pivotButton="0" quotePrefix="0" xfId="0">
      <alignment horizontal="center" vertical="center" wrapText="1"/>
    </xf>
    <xf numFmtId="0" fontId="32" fillId="51" borderId="0" applyAlignment="1" pivotButton="0" quotePrefix="0" xfId="0">
      <alignment horizontal="center" vertical="center" wrapText="1"/>
    </xf>
    <xf numFmtId="0" fontId="32" fillId="25" borderId="0" applyAlignment="1" pivotButton="0" quotePrefix="0" xfId="0">
      <alignment horizontal="center" vertical="center" wrapText="1"/>
    </xf>
    <xf numFmtId="0" fontId="32" fillId="54" borderId="0" applyAlignment="1" pivotButton="0" quotePrefix="0" xfId="0">
      <alignment horizontal="center" vertical="center" wrapText="1"/>
    </xf>
    <xf numFmtId="0" fontId="62" fillId="24" borderId="10" applyAlignment="1" pivotButton="0" quotePrefix="0" xfId="0">
      <alignment horizontal="center" vertical="center" wrapText="1"/>
    </xf>
    <xf numFmtId="0" fontId="32" fillId="24" borderId="0" applyAlignment="1" pivotButton="0" quotePrefix="0" xfId="0">
      <alignment horizontal="center" vertical="center" wrapText="1"/>
    </xf>
    <xf numFmtId="0" fontId="0" fillId="6" borderId="0" applyAlignment="1" pivotButton="0" quotePrefix="0" xfId="0">
      <alignment horizontal="center" vertical="center" wrapText="1"/>
    </xf>
    <xf numFmtId="0" fontId="0" fillId="3" borderId="0" applyAlignment="1" pivotButton="0" quotePrefix="0" xfId="0">
      <alignment horizontal="center" vertical="center" wrapText="1"/>
    </xf>
    <xf numFmtId="0" fontId="32" fillId="51" borderId="8" applyAlignment="1" pivotButton="0" quotePrefix="1" xfId="0">
      <alignment vertical="center" wrapText="1"/>
    </xf>
    <xf numFmtId="0" fontId="0" fillId="62" borderId="16" applyAlignment="1" pivotButton="0" quotePrefix="0" xfId="0">
      <alignment horizontal="center" vertical="center" wrapText="1"/>
    </xf>
    <xf numFmtId="0" fontId="0" fillId="7" borderId="22" applyAlignment="1" pivotButton="0" quotePrefix="0" xfId="0">
      <alignment horizontal="left" vertical="top" wrapText="1"/>
    </xf>
    <xf numFmtId="0" fontId="0" fillId="7" borderId="25" applyAlignment="1" pivotButton="0" quotePrefix="1" xfId="0">
      <alignment horizontal="left" vertical="center" wrapText="1"/>
    </xf>
    <xf numFmtId="0" fontId="39" fillId="36" borderId="0" applyAlignment="1" pivotButton="0" quotePrefix="0" xfId="0">
      <alignment horizontal="left" vertical="center"/>
    </xf>
    <xf numFmtId="0" fontId="15" fillId="34" borderId="0" applyAlignment="1" pivotButton="0" quotePrefix="0" xfId="0">
      <alignment horizontal="left" vertical="center"/>
    </xf>
    <xf numFmtId="0" fontId="39" fillId="63" borderId="0" applyAlignment="1" pivotButton="0" quotePrefix="0" xfId="0">
      <alignment horizontal="left" vertical="center"/>
    </xf>
    <xf numFmtId="1" fontId="3" fillId="60" borderId="0" applyAlignment="1" pivotButton="0" quotePrefix="0" xfId="0">
      <alignment horizontal="center" vertical="center"/>
    </xf>
    <xf numFmtId="1" fontId="3" fillId="11" borderId="0" applyAlignment="1" pivotButton="0" quotePrefix="0" xfId="0">
      <alignment horizontal="center" vertical="center"/>
    </xf>
    <xf numFmtId="0" fontId="0" fillId="0" borderId="16" applyAlignment="1" pivotButton="0" quotePrefix="0" xfId="0">
      <alignment horizontal="center" vertical="center"/>
    </xf>
    <xf numFmtId="0" fontId="0" fillId="0" borderId="15" applyAlignment="1" pivotButton="0" quotePrefix="0" xfId="0">
      <alignment horizontal="center" vertical="center"/>
    </xf>
    <xf numFmtId="1" fontId="0" fillId="0" borderId="0" applyAlignment="1" pivotButton="0" quotePrefix="0" xfId="0">
      <alignment vertical="center"/>
    </xf>
    <xf numFmtId="0" fontId="86" fillId="0" borderId="0" pivotButton="0" quotePrefix="0" xfId="0"/>
    <xf numFmtId="0" fontId="15" fillId="0" borderId="0" pivotButton="0" quotePrefix="1" xfId="0"/>
    <xf numFmtId="1" fontId="0" fillId="7" borderId="0" applyAlignment="1" pivotButton="0" quotePrefix="0" xfId="0">
      <alignment horizontal="left" vertical="center" wrapText="1"/>
    </xf>
    <xf numFmtId="0" fontId="27" fillId="0" borderId="0" applyAlignment="1" pivotButton="0" quotePrefix="0" xfId="0">
      <alignment horizontal="left" vertical="center"/>
    </xf>
    <xf numFmtId="0" fontId="19" fillId="0" borderId="0" applyAlignment="1" pivotButton="0" quotePrefix="0" xfId="0">
      <alignment horizontal="left" vertical="center" wrapText="1"/>
    </xf>
    <xf numFmtId="0" fontId="23" fillId="0" borderId="0" applyAlignment="1" pivotButton="0" quotePrefix="0" xfId="0">
      <alignment horizontal="center" vertical="center" wrapText="1"/>
    </xf>
    <xf numFmtId="0" fontId="27" fillId="0" borderId="0" applyAlignment="1" pivotButton="0" quotePrefix="0" xfId="0">
      <alignment horizontal="center" vertical="center" textRotation="90"/>
    </xf>
    <xf numFmtId="0" fontId="19" fillId="32" borderId="0" applyAlignment="1" pivotButton="0" quotePrefix="0" xfId="0">
      <alignment horizontal="left" vertical="center" wrapText="1"/>
    </xf>
    <xf numFmtId="0" fontId="23" fillId="32" borderId="0" applyAlignment="1" pivotButton="0" quotePrefix="0" xfId="0">
      <alignment horizontal="left" vertical="center" wrapText="1"/>
    </xf>
    <xf numFmtId="0" fontId="0" fillId="17" borderId="0" applyAlignment="1" pivotButton="0" quotePrefix="0" xfId="0">
      <alignment horizontal="left" vertical="center" wrapText="1"/>
    </xf>
    <xf numFmtId="0" fontId="10" fillId="7" borderId="0" applyAlignment="1" pivotButton="0" quotePrefix="0" xfId="0">
      <alignment horizontal="left" vertical="center" wrapText="1"/>
    </xf>
    <xf numFmtId="0" fontId="0" fillId="36" borderId="0" applyAlignment="1" pivotButton="0" quotePrefix="0" xfId="0">
      <alignment horizontal="left" vertical="center" wrapText="1"/>
    </xf>
    <xf numFmtId="0" fontId="79" fillId="7" borderId="0" applyAlignment="1" pivotButton="0" quotePrefix="0" xfId="0">
      <alignment horizontal="left" vertical="center" wrapText="1"/>
    </xf>
    <xf numFmtId="0" fontId="62" fillId="24" borderId="10" applyAlignment="1" pivotButton="0" quotePrefix="0" xfId="0">
      <alignment horizontal="left" vertical="center"/>
    </xf>
    <xf numFmtId="0" fontId="32" fillId="32" borderId="0" applyAlignment="1" pivotButton="0" quotePrefix="0" xfId="0">
      <alignment horizontal="left" vertical="center" wrapText="1"/>
    </xf>
    <xf numFmtId="0" fontId="0" fillId="13" borderId="0" applyAlignment="1" pivotButton="0" quotePrefix="0" xfId="0">
      <alignment horizontal="left" vertical="center" wrapText="1"/>
    </xf>
    <xf numFmtId="0" fontId="27" fillId="35" borderId="39" applyAlignment="1" pivotButton="0" quotePrefix="0" xfId="0">
      <alignment horizontal="center" vertical="center" wrapText="1"/>
    </xf>
    <xf numFmtId="0" fontId="27" fillId="10" borderId="0" applyAlignment="1" pivotButton="0" quotePrefix="0" xfId="0">
      <alignment horizontal="center" vertical="center" wrapText="1"/>
    </xf>
    <xf numFmtId="0" fontId="42" fillId="0" borderId="0" applyAlignment="1" pivotButton="0" quotePrefix="0" xfId="0">
      <alignment horizontal="center" vertical="center"/>
    </xf>
    <xf numFmtId="0" fontId="27" fillId="19" borderId="38" applyAlignment="1" pivotButton="0" quotePrefix="0" xfId="0">
      <alignment horizontal="center" vertical="center" wrapText="1"/>
    </xf>
    <xf numFmtId="0" fontId="42" fillId="0" borderId="0" applyAlignment="1" pivotButton="0" quotePrefix="0" xfId="0">
      <alignment horizontal="left" vertical="top" wrapText="1"/>
    </xf>
    <xf numFmtId="0" fontId="0" fillId="0" borderId="0" applyAlignment="1" pivotButton="0" quotePrefix="0" xfId="0">
      <alignment horizontal="left" vertical="top" wrapText="1"/>
    </xf>
    <xf numFmtId="0" fontId="27" fillId="0" borderId="35" applyAlignment="1" pivotButton="0" quotePrefix="0" xfId="0">
      <alignment horizontal="left" vertical="top" wrapText="1"/>
    </xf>
    <xf numFmtId="0" fontId="27" fillId="28" borderId="0" applyAlignment="1" pivotButton="0" quotePrefix="0" xfId="0">
      <alignment horizontal="left" vertical="top" wrapText="1"/>
    </xf>
    <xf numFmtId="0" fontId="27" fillId="17" borderId="40" applyAlignment="1" pivotButton="0" quotePrefix="0" xfId="0">
      <alignment horizontal="left" vertical="top" wrapText="1"/>
    </xf>
    <xf numFmtId="0" fontId="27" fillId="32" borderId="0" applyAlignment="1" pivotButton="0" quotePrefix="0" xfId="0">
      <alignment horizontal="left" vertical="top" wrapText="1"/>
    </xf>
    <xf numFmtId="0" fontId="27" fillId="0" borderId="0" applyAlignment="1" pivotButton="0" quotePrefix="0" xfId="0">
      <alignment horizontal="left" vertical="top" wrapText="1"/>
    </xf>
    <xf numFmtId="0" fontId="63" fillId="0" borderId="15" applyAlignment="1" pivotButton="0" quotePrefix="0" xfId="0">
      <alignment horizontal="left" vertical="top" wrapText="1"/>
    </xf>
    <xf numFmtId="0" fontId="29" fillId="28" borderId="0" applyAlignment="1" pivotButton="0" quotePrefix="0" xfId="0">
      <alignment horizontal="left" vertical="top" wrapText="1"/>
    </xf>
    <xf numFmtId="0" fontId="50" fillId="0" borderId="15" applyAlignment="1" pivotButton="0" quotePrefix="0" xfId="0">
      <alignment horizontal="left" vertical="top" wrapText="1"/>
    </xf>
    <xf numFmtId="0" fontId="29" fillId="0" borderId="0" applyAlignment="1" pivotButton="0" quotePrefix="0" xfId="0">
      <alignment horizontal="left" vertical="top" wrapText="1"/>
    </xf>
    <xf numFmtId="0" fontId="27" fillId="9" borderId="0" applyAlignment="1" pivotButton="0" quotePrefix="0" xfId="0">
      <alignment horizontal="center" vertical="center" wrapText="1"/>
    </xf>
    <xf numFmtId="0" fontId="27" fillId="19" borderId="0" applyAlignment="1" pivotButton="0" quotePrefix="0" xfId="0">
      <alignment horizontal="center" vertical="center" wrapText="1"/>
    </xf>
    <xf numFmtId="0" fontId="29" fillId="10" borderId="0" applyAlignment="1" pivotButton="0" quotePrefix="0" xfId="0">
      <alignment horizontal="center" vertical="center" wrapText="1"/>
    </xf>
    <xf numFmtId="0" fontId="27" fillId="7" borderId="38" applyAlignment="1" pivotButton="0" quotePrefix="0" xfId="0">
      <alignment horizontal="center" vertical="center" wrapText="1"/>
    </xf>
    <xf numFmtId="0" fontId="27" fillId="7" borderId="67" applyAlignment="1" pivotButton="0" quotePrefix="0" xfId="0">
      <alignment horizontal="center" vertical="center" wrapText="1"/>
    </xf>
    <xf numFmtId="0" fontId="27" fillId="17" borderId="38" applyAlignment="1" pivotButton="0" quotePrefix="0" xfId="0">
      <alignment horizontal="center" vertical="center" wrapText="1"/>
    </xf>
    <xf numFmtId="0" fontId="62" fillId="6" borderId="14" applyAlignment="1" pivotButton="0" quotePrefix="0" xfId="0">
      <alignment horizontal="center" vertical="center" wrapText="1"/>
    </xf>
    <xf numFmtId="0" fontId="27" fillId="6" borderId="0" applyAlignment="1" pivotButton="0" quotePrefix="0" xfId="0">
      <alignment horizontal="center" vertical="center" wrapText="1"/>
    </xf>
    <xf numFmtId="0" fontId="27" fillId="22" borderId="30" applyAlignment="1" pivotButton="0" quotePrefix="0" xfId="0">
      <alignment horizontal="center" vertical="center"/>
    </xf>
    <xf numFmtId="0" fontId="32" fillId="51" borderId="8" applyAlignment="1" pivotButton="0" quotePrefix="0" xfId="0">
      <alignment horizontal="center" vertical="center" wrapText="1"/>
    </xf>
    <xf numFmtId="0" fontId="0" fillId="27" borderId="0" applyAlignment="1" pivotButton="0" quotePrefix="0" xfId="0">
      <alignment horizontal="center" vertical="center"/>
    </xf>
    <xf numFmtId="0" fontId="0" fillId="0" borderId="9" applyAlignment="1" pivotButton="0" quotePrefix="0" xfId="0">
      <alignment horizontal="center" vertical="center" wrapText="1"/>
    </xf>
    <xf numFmtId="0" fontId="27" fillId="35" borderId="16" applyAlignment="1" pivotButton="0" quotePrefix="0" xfId="0">
      <alignment horizontal="center" vertical="center" wrapText="1"/>
    </xf>
    <xf numFmtId="0" fontId="27" fillId="35" borderId="15" applyAlignment="1" pivotButton="0" quotePrefix="0" xfId="0">
      <alignment horizontal="center" vertical="center" wrapText="1"/>
    </xf>
    <xf numFmtId="0" fontId="27" fillId="7" borderId="16" applyAlignment="1" pivotButton="0" quotePrefix="0" xfId="0">
      <alignment horizontal="center" vertical="center" wrapText="1"/>
    </xf>
    <xf numFmtId="0" fontId="27" fillId="7" borderId="28" applyAlignment="1" pivotButton="0" quotePrefix="0" xfId="0">
      <alignment horizontal="center" vertical="center" wrapText="1"/>
    </xf>
    <xf numFmtId="0" fontId="27" fillId="17" borderId="16" applyAlignment="1" pivotButton="0" quotePrefix="0" xfId="0">
      <alignment horizontal="center" vertical="center" wrapText="1"/>
    </xf>
    <xf numFmtId="0" fontId="29" fillId="19" borderId="0" applyAlignment="1" pivotButton="0" quotePrefix="0" xfId="0">
      <alignment horizontal="center" vertical="center" wrapText="1"/>
    </xf>
    <xf numFmtId="0" fontId="29" fillId="10" borderId="0" applyAlignment="1" applyProtection="1" pivotButton="0" quotePrefix="0" xfId="0">
      <alignment horizontal="center" vertical="center" wrapText="1"/>
      <protection locked="0" hidden="0"/>
    </xf>
    <xf numFmtId="0" fontId="29" fillId="19" borderId="0" applyAlignment="1" applyProtection="1" pivotButton="0" quotePrefix="0" xfId="0">
      <alignment horizontal="center" vertical="center" wrapText="1"/>
      <protection locked="0" hidden="0"/>
    </xf>
    <xf numFmtId="0" fontId="29" fillId="9" borderId="0" applyAlignment="1" pivotButton="0" quotePrefix="0" xfId="0">
      <alignment horizontal="center" vertical="center" wrapText="1"/>
    </xf>
    <xf numFmtId="0" fontId="29" fillId="36" borderId="0" applyAlignment="1" pivotButton="0" quotePrefix="0" xfId="0">
      <alignment horizontal="center" vertical="center" wrapText="1"/>
    </xf>
    <xf numFmtId="0" fontId="56" fillId="25" borderId="0" applyAlignment="1" pivotButton="0" quotePrefix="0" xfId="0">
      <alignment horizontal="center" vertical="center" wrapText="1"/>
    </xf>
    <xf numFmtId="0" fontId="62" fillId="6" borderId="0" applyAlignment="1" pivotButton="0" quotePrefix="0" xfId="0">
      <alignment horizontal="center" vertical="center" wrapText="1"/>
    </xf>
    <xf numFmtId="0" fontId="32" fillId="32" borderId="0" applyAlignment="1" pivotButton="0" quotePrefix="0" xfId="0">
      <alignment horizontal="center" vertical="center" wrapText="1"/>
    </xf>
    <xf numFmtId="0" fontId="27" fillId="20" borderId="0" applyAlignment="1" pivotButton="0" quotePrefix="0" xfId="0">
      <alignment horizontal="center" vertical="center" wrapText="1"/>
    </xf>
    <xf numFmtId="0" fontId="29" fillId="36" borderId="74" applyAlignment="1" pivotButton="0" quotePrefix="0" xfId="0">
      <alignment horizontal="center" vertical="center" wrapText="1"/>
    </xf>
    <xf numFmtId="0" fontId="27" fillId="36" borderId="23" applyAlignment="1" pivotButton="0" quotePrefix="0" xfId="0">
      <alignment horizontal="center" vertical="center" wrapText="1"/>
    </xf>
    <xf numFmtId="0" fontId="29" fillId="19" borderId="23" applyAlignment="1" pivotButton="0" quotePrefix="0" xfId="0">
      <alignment horizontal="center" vertical="center" wrapText="1"/>
    </xf>
    <xf numFmtId="0" fontId="29" fillId="10" borderId="23" applyAlignment="1" pivotButton="0" quotePrefix="0" xfId="0">
      <alignment horizontal="center" vertical="center" wrapText="1"/>
    </xf>
    <xf numFmtId="0" fontId="29" fillId="10" borderId="23" applyAlignment="1" applyProtection="1" pivotButton="0" quotePrefix="0" xfId="0">
      <alignment horizontal="center" vertical="center" wrapText="1"/>
      <protection locked="0" hidden="0"/>
    </xf>
    <xf numFmtId="0" fontId="29" fillId="19" borderId="23" applyAlignment="1" applyProtection="1" pivotButton="0" quotePrefix="0" xfId="0">
      <alignment horizontal="center" vertical="center" wrapText="1"/>
      <protection locked="0" hidden="0"/>
    </xf>
    <xf numFmtId="0" fontId="29" fillId="9" borderId="23" applyAlignment="1" pivotButton="0" quotePrefix="0" xfId="0">
      <alignment horizontal="center" vertical="center" wrapText="1"/>
    </xf>
    <xf numFmtId="0" fontId="27" fillId="10" borderId="23" applyAlignment="1" pivotButton="0" quotePrefix="0" xfId="0">
      <alignment horizontal="center" vertical="center" wrapText="1"/>
    </xf>
    <xf numFmtId="0" fontId="27" fillId="19" borderId="23" applyAlignment="1" pivotButton="0" quotePrefix="0" xfId="0">
      <alignment horizontal="center" vertical="center" wrapText="1"/>
    </xf>
    <xf numFmtId="0" fontId="29" fillId="36" borderId="23" applyAlignment="1" pivotButton="0" quotePrefix="0" xfId="0">
      <alignment horizontal="center" vertical="center" wrapText="1"/>
    </xf>
    <xf numFmtId="0" fontId="27" fillId="9" borderId="23" applyAlignment="1" pivotButton="0" quotePrefix="0" xfId="0">
      <alignment horizontal="center" vertical="center" wrapText="1"/>
    </xf>
    <xf numFmtId="0" fontId="27" fillId="0" borderId="0" applyAlignment="1" pivotButton="0" quotePrefix="0" xfId="0">
      <alignment horizontal="left" vertical="top"/>
    </xf>
    <xf numFmtId="0" fontId="27" fillId="35" borderId="0" applyAlignment="1" pivotButton="0" quotePrefix="0" xfId="0">
      <alignment horizontal="center" vertical="center" wrapText="1"/>
    </xf>
    <xf numFmtId="0" fontId="0" fillId="35" borderId="0" applyAlignment="1" pivotButton="0" quotePrefix="0" xfId="0">
      <alignment horizontal="left" vertical="center" wrapText="1"/>
    </xf>
    <xf numFmtId="0" fontId="0" fillId="35" borderId="0" applyAlignment="1" pivotButton="0" quotePrefix="1" xfId="0">
      <alignment horizontal="left" vertical="center" wrapText="1"/>
    </xf>
    <xf numFmtId="0" fontId="0" fillId="0" borderId="0" applyAlignment="1" pivotButton="0" quotePrefix="1" xfId="0">
      <alignment horizontal="left" vertical="center" wrapText="1"/>
    </xf>
    <xf numFmtId="0" fontId="27" fillId="0" borderId="28" applyAlignment="1" pivotButton="0" quotePrefix="0" xfId="0">
      <alignment horizontal="center" vertical="center" wrapText="1"/>
    </xf>
    <xf numFmtId="0" fontId="27" fillId="0" borderId="28" applyAlignment="1" pivotButton="0" quotePrefix="0" xfId="0">
      <alignment horizontal="left" vertical="top" wrapText="1"/>
    </xf>
    <xf numFmtId="1" fontId="29" fillId="0" borderId="0" applyAlignment="1" pivotButton="0" quotePrefix="0" xfId="0">
      <alignment horizontal="center" vertical="center"/>
    </xf>
    <xf numFmtId="9" fontId="27" fillId="0" borderId="36" applyAlignment="1" pivotButton="0" quotePrefix="0" xfId="2">
      <alignment horizontal="center" vertical="center"/>
    </xf>
    <xf numFmtId="1" fontId="70" fillId="0" borderId="0" applyAlignment="1" pivotButton="0" quotePrefix="0" xfId="0">
      <alignment horizontal="center" vertical="center"/>
    </xf>
    <xf numFmtId="9" fontId="27" fillId="0" borderId="62" applyAlignment="1" pivotButton="0" quotePrefix="0" xfId="2">
      <alignment horizontal="center" vertical="center"/>
    </xf>
    <xf numFmtId="0" fontId="27" fillId="0" borderId="1" applyAlignment="1" pivotButton="0" quotePrefix="0" xfId="0">
      <alignment horizontal="center" vertical="center" textRotation="90"/>
    </xf>
    <xf numFmtId="1" fontId="0" fillId="0" borderId="0" applyAlignment="1" pivotButton="0" quotePrefix="0" xfId="0">
      <alignment vertical="center" wrapText="1"/>
    </xf>
    <xf numFmtId="0" fontId="8" fillId="0" borderId="0" applyAlignment="1" pivotButton="0" quotePrefix="0" xfId="0">
      <alignment horizontal="right"/>
    </xf>
    <xf numFmtId="0" fontId="0" fillId="27" borderId="0" applyAlignment="1" pivotButton="0" quotePrefix="0" xfId="0">
      <alignment horizontal="center"/>
    </xf>
    <xf numFmtId="165" fontId="0" fillId="35" borderId="0" applyAlignment="1" pivotButton="0" quotePrefix="0" xfId="1">
      <alignment horizontal="center" vertical="center"/>
    </xf>
    <xf numFmtId="165" fontId="0" fillId="0" borderId="0" applyAlignment="1" pivotButton="0" quotePrefix="0" xfId="1">
      <alignment horizontal="center" vertical="center"/>
    </xf>
    <xf numFmtId="165" fontId="0" fillId="35" borderId="0" applyAlignment="1" pivotButton="0" quotePrefix="0" xfId="1">
      <alignment horizontal="center" vertical="center" wrapText="1"/>
    </xf>
    <xf numFmtId="165" fontId="0" fillId="0" borderId="0" applyAlignment="1" pivotButton="0" quotePrefix="0" xfId="1">
      <alignment horizontal="center" vertical="center" wrapText="1"/>
    </xf>
    <xf numFmtId="165" fontId="0" fillId="0" borderId="0" applyAlignment="1" pivotButton="0" quotePrefix="0" xfId="1">
      <alignment horizontal="left" vertical="center"/>
    </xf>
    <xf numFmtId="0" fontId="2" fillId="27" borderId="0" applyAlignment="1" pivotButton="0" quotePrefix="0" xfId="0">
      <alignment horizontal="center" vertical="center"/>
    </xf>
    <xf numFmtId="0" fontId="2" fillId="27" borderId="0" applyAlignment="1" pivotButton="0" quotePrefix="0" xfId="0">
      <alignment horizontal="center"/>
    </xf>
    <xf numFmtId="0" fontId="0" fillId="35" borderId="0" applyAlignment="1" pivotButton="0" quotePrefix="0" xfId="0">
      <alignment vertical="center"/>
    </xf>
    <xf numFmtId="165" fontId="0" fillId="35" borderId="0" applyAlignment="1" pivotButton="0" quotePrefix="0" xfId="1">
      <alignment horizontal="center"/>
    </xf>
    <xf numFmtId="165" fontId="0" fillId="0" borderId="0" applyAlignment="1" pivotButton="0" quotePrefix="0" xfId="1">
      <alignment horizontal="center"/>
    </xf>
    <xf numFmtId="0" fontId="0" fillId="0" borderId="0" applyAlignment="1" pivotButton="0" quotePrefix="0" xfId="0">
      <alignment vertical="center" textRotation="45"/>
    </xf>
    <xf numFmtId="0" fontId="16" fillId="0" borderId="0" pivotButton="0" quotePrefix="0" xfId="0"/>
    <xf numFmtId="0" fontId="86" fillId="0" borderId="0" applyAlignment="1" pivotButton="0" quotePrefix="0" xfId="0">
      <alignment horizontal="right"/>
    </xf>
    <xf numFmtId="0" fontId="89" fillId="0" borderId="0" applyAlignment="1" pivotButton="0" quotePrefix="0" xfId="0">
      <alignment horizontal="center" vertical="center" wrapText="1"/>
    </xf>
    <xf numFmtId="0" fontId="27" fillId="22" borderId="0" applyAlignment="1" pivotButton="0" quotePrefix="0" xfId="0">
      <alignment horizontal="center" vertical="center" wrapText="1"/>
    </xf>
    <xf numFmtId="0" fontId="90" fillId="28" borderId="0" applyAlignment="1" pivotButton="0" quotePrefix="0" xfId="0">
      <alignment horizontal="center" vertical="center" wrapText="1"/>
    </xf>
    <xf numFmtId="9" fontId="53" fillId="0" borderId="37" applyAlignment="1" pivotButton="0" quotePrefix="0" xfId="2">
      <alignment horizontal="center" vertical="center" wrapText="1"/>
    </xf>
    <xf numFmtId="9" fontId="53" fillId="0" borderId="26" applyAlignment="1" pivotButton="0" quotePrefix="0" xfId="2">
      <alignment horizontal="center" vertical="center"/>
    </xf>
    <xf numFmtId="9" fontId="53" fillId="0" borderId="49" applyAlignment="1" pivotButton="0" quotePrefix="0" xfId="2">
      <alignment horizontal="center" vertical="center"/>
    </xf>
    <xf numFmtId="0" fontId="0" fillId="52" borderId="25" applyAlignment="1" pivotButton="0" quotePrefix="0" xfId="0">
      <alignment horizontal="left" vertical="center" wrapText="1"/>
    </xf>
    <xf numFmtId="0" fontId="0" fillId="52" borderId="28" applyAlignment="1" pivotButton="0" quotePrefix="0" xfId="0">
      <alignment horizontal="center" vertical="center"/>
    </xf>
    <xf numFmtId="0" fontId="12" fillId="52" borderId="31" applyAlignment="1" pivotButton="0" quotePrefix="0" xfId="0">
      <alignment horizontal="left" vertical="center" wrapText="1"/>
    </xf>
    <xf numFmtId="0" fontId="0" fillId="52" borderId="15" applyAlignment="1" pivotButton="0" quotePrefix="0" xfId="0">
      <alignment horizontal="center" vertical="center"/>
    </xf>
    <xf numFmtId="0" fontId="0" fillId="17" borderId="0" applyAlignment="1" pivotButton="0" quotePrefix="0" xfId="2">
      <alignment horizontal="center" vertical="center"/>
    </xf>
    <xf numFmtId="0" fontId="27" fillId="0" borderId="0" applyAlignment="1" pivotButton="0" quotePrefix="0" xfId="0">
      <alignment horizontal="left" vertical="center" wrapText="1"/>
    </xf>
    <xf numFmtId="0" fontId="50" fillId="0" borderId="0" applyAlignment="1" pivotButton="0" quotePrefix="0" xfId="0">
      <alignment horizontal="left" vertical="center" wrapText="1"/>
    </xf>
    <xf numFmtId="0" fontId="50" fillId="45" borderId="0" applyAlignment="1" pivotButton="0" quotePrefix="0" xfId="0">
      <alignment horizontal="left" vertical="center" wrapText="1"/>
    </xf>
    <xf numFmtId="0" fontId="24" fillId="0" borderId="0" pivotButton="0" quotePrefix="0" xfId="0"/>
    <xf numFmtId="0" fontId="89" fillId="0" borderId="0" applyAlignment="1" pivotButton="0" quotePrefix="0" xfId="0">
      <alignment horizontal="center" vertical="center"/>
    </xf>
    <xf numFmtId="0" fontId="27" fillId="39" borderId="0" applyAlignment="1" pivotButton="0" quotePrefix="0" xfId="0">
      <alignment horizontal="left" vertical="center" wrapText="1"/>
    </xf>
    <xf numFmtId="0" fontId="27" fillId="8" borderId="0" applyAlignment="1" pivotButton="0" quotePrefix="0" xfId="0">
      <alignment horizontal="left" vertical="center" wrapText="1"/>
    </xf>
    <xf numFmtId="0" fontId="7" fillId="0" borderId="0" applyAlignment="1" pivotButton="0" quotePrefix="0" xfId="0">
      <alignment vertical="center" wrapText="1"/>
    </xf>
    <xf numFmtId="0" fontId="32" fillId="0" borderId="0" applyAlignment="1" pivotButton="0" quotePrefix="0" xfId="0">
      <alignment horizontal="center" vertical="center" wrapText="1"/>
    </xf>
    <xf numFmtId="0" fontId="0" fillId="0" borderId="54" applyAlignment="1" pivotButton="0" quotePrefix="0" xfId="0">
      <alignment horizontal="center" vertical="center" wrapText="1"/>
    </xf>
    <xf numFmtId="0" fontId="0" fillId="36" borderId="78" applyAlignment="1" pivotButton="0" quotePrefix="0" xfId="0">
      <alignment horizontal="center" vertical="center" wrapText="1"/>
    </xf>
    <xf numFmtId="0" fontId="0" fillId="36" borderId="54" applyAlignment="1" pivotButton="0" quotePrefix="0" xfId="0">
      <alignment horizontal="center" vertical="center" wrapText="1"/>
    </xf>
    <xf numFmtId="0" fontId="27" fillId="0" borderId="1" applyAlignment="1" pivotButton="0" quotePrefix="0" xfId="0">
      <alignment horizontal="left" vertical="center" wrapText="1"/>
    </xf>
    <xf numFmtId="0" fontId="0" fillId="0" borderId="1" applyAlignment="1" pivotButton="0" quotePrefix="0" xfId="0">
      <alignment horizontal="center" vertical="center" wrapText="1"/>
    </xf>
    <xf numFmtId="0" fontId="32" fillId="0" borderId="1" applyAlignment="1" pivotButton="0" quotePrefix="0" xfId="0">
      <alignment horizontal="center" vertical="center" wrapText="1"/>
    </xf>
    <xf numFmtId="0" fontId="0" fillId="36" borderId="78" applyAlignment="1" pivotButton="0" quotePrefix="0" xfId="0">
      <alignment horizontal="left" vertical="center" wrapText="1"/>
    </xf>
    <xf numFmtId="0" fontId="27" fillId="0" borderId="78" applyAlignment="1" pivotButton="0" quotePrefix="0" xfId="0">
      <alignment horizontal="left" vertical="center" wrapText="1"/>
    </xf>
    <xf numFmtId="0" fontId="0" fillId="0" borderId="78" pivotButton="0" quotePrefix="0" xfId="0"/>
    <xf numFmtId="0" fontId="0" fillId="0" borderId="78" applyAlignment="1" pivotButton="0" quotePrefix="0" xfId="0">
      <alignment horizontal="center" vertical="center" wrapText="1"/>
    </xf>
    <xf numFmtId="0" fontId="50" fillId="0" borderId="78" applyAlignment="1" pivotButton="0" quotePrefix="0" xfId="0">
      <alignment horizontal="left" vertical="center" wrapText="1"/>
    </xf>
    <xf numFmtId="0" fontId="94" fillId="0" borderId="0" applyAlignment="1" pivotButton="0" quotePrefix="0" xfId="0">
      <alignment horizontal="center" vertical="center" wrapText="1"/>
    </xf>
    <xf numFmtId="0" fontId="94" fillId="0" borderId="0" applyAlignment="1" pivotButton="0" quotePrefix="0" xfId="0">
      <alignment horizontal="left" vertical="center" wrapText="1"/>
    </xf>
    <xf numFmtId="0" fontId="95" fillId="0" borderId="0" applyAlignment="1" pivotButton="0" quotePrefix="0" xfId="0">
      <alignment horizontal="left" vertical="center" wrapText="1"/>
    </xf>
    <xf numFmtId="0" fontId="0" fillId="0" borderId="53" applyAlignment="1" pivotButton="0" quotePrefix="0" xfId="0">
      <alignment vertical="center" wrapText="1"/>
    </xf>
    <xf numFmtId="0" fontId="0" fillId="36" borderId="54" applyAlignment="1" pivotButton="0" quotePrefix="0" xfId="0">
      <alignment horizontal="left" vertical="center" wrapText="1"/>
    </xf>
    <xf numFmtId="0" fontId="27" fillId="27" borderId="54" applyAlignment="1" pivotButton="0" quotePrefix="0" xfId="0">
      <alignment horizontal="left" vertical="center" wrapText="1"/>
    </xf>
    <xf numFmtId="0" fontId="0" fillId="0" borderId="54" pivotButton="0" quotePrefix="0" xfId="0"/>
    <xf numFmtId="0" fontId="0" fillId="0" borderId="62" applyAlignment="1" pivotButton="0" quotePrefix="0" xfId="0">
      <alignment vertical="center" wrapText="1"/>
    </xf>
    <xf numFmtId="0" fontId="0" fillId="7" borderId="1" applyAlignment="1" pivotButton="0" quotePrefix="0" xfId="0">
      <alignment horizontal="left" vertical="center" wrapText="1"/>
    </xf>
    <xf numFmtId="0" fontId="0" fillId="0" borderId="64" applyAlignment="1" pivotButton="0" quotePrefix="0" xfId="0">
      <alignment vertical="center" wrapText="1"/>
    </xf>
    <xf numFmtId="0" fontId="27" fillId="6" borderId="78" applyAlignment="1" pivotButton="0" quotePrefix="0" xfId="0">
      <alignment horizontal="left" vertical="center" wrapText="1"/>
    </xf>
    <xf numFmtId="0" fontId="0" fillId="7" borderId="78" applyAlignment="1" pivotButton="0" quotePrefix="0" xfId="0">
      <alignment horizontal="center" vertical="center" wrapText="1"/>
    </xf>
    <xf numFmtId="0" fontId="32" fillId="40" borderId="78" applyAlignment="1" pivotButton="0" quotePrefix="0" xfId="0">
      <alignment horizontal="center" vertical="center" wrapText="1"/>
    </xf>
    <xf numFmtId="0" fontId="0" fillId="32" borderId="78" applyAlignment="1" pivotButton="0" quotePrefix="0" xfId="0">
      <alignment horizontal="left" vertical="center" wrapText="1"/>
    </xf>
    <xf numFmtId="0" fontId="27" fillId="5" borderId="54" applyAlignment="1" pivotButton="0" quotePrefix="0" xfId="0">
      <alignment horizontal="left" vertical="center" wrapText="1"/>
    </xf>
    <xf numFmtId="0" fontId="0" fillId="32" borderId="54" applyAlignment="1" pivotButton="0" quotePrefix="0" xfId="0">
      <alignment horizontal="left" vertical="center" wrapText="1"/>
    </xf>
    <xf numFmtId="0" fontId="50" fillId="42" borderId="55" applyAlignment="1" pivotButton="0" quotePrefix="0" xfId="0">
      <alignment horizontal="left" vertical="center" wrapText="1"/>
    </xf>
    <xf numFmtId="0" fontId="12" fillId="0" borderId="1" applyAlignment="1" pivotButton="0" quotePrefix="0" xfId="0">
      <alignment horizontal="center" vertical="center" wrapText="1"/>
    </xf>
    <xf numFmtId="0" fontId="50" fillId="0" borderId="63" applyAlignment="1" pivotButton="0" quotePrefix="0" xfId="0">
      <alignment horizontal="left" vertical="center" wrapText="1"/>
    </xf>
    <xf numFmtId="0" fontId="27" fillId="5" borderId="78" applyAlignment="1" pivotButton="0" quotePrefix="0" xfId="0">
      <alignment horizontal="left" vertical="center" wrapText="1"/>
    </xf>
    <xf numFmtId="0" fontId="50" fillId="23" borderId="59" applyAlignment="1" pivotButton="0" quotePrefix="0" xfId="0">
      <alignment horizontal="left" vertical="center" wrapText="1"/>
    </xf>
    <xf numFmtId="0" fontId="27" fillId="39" borderId="54" applyAlignment="1" pivotButton="0" quotePrefix="0" xfId="0">
      <alignment horizontal="left" vertical="center" wrapText="1"/>
    </xf>
    <xf numFmtId="0" fontId="50" fillId="43" borderId="55" applyAlignment="1" pivotButton="0" quotePrefix="0" xfId="0">
      <alignment horizontal="left" vertical="center" wrapText="1"/>
    </xf>
    <xf numFmtId="0" fontId="27" fillId="8" borderId="78" applyAlignment="1" pivotButton="0" quotePrefix="0" xfId="0">
      <alignment horizontal="left" vertical="center" wrapText="1"/>
    </xf>
    <xf numFmtId="0" fontId="27" fillId="32" borderId="78" applyAlignment="1" pivotButton="0" quotePrefix="0" xfId="0">
      <alignment horizontal="left" vertical="center" wrapText="1"/>
    </xf>
    <xf numFmtId="0" fontId="27" fillId="14" borderId="78" applyAlignment="1" pivotButton="0" quotePrefix="0" xfId="0">
      <alignment horizontal="left" vertical="center" wrapText="1"/>
    </xf>
    <xf numFmtId="0" fontId="27" fillId="32" borderId="59" applyAlignment="1" pivotButton="0" quotePrefix="0" xfId="0">
      <alignment horizontal="left" vertical="center" wrapText="1"/>
    </xf>
    <xf numFmtId="0" fontId="0" fillId="7" borderId="1" applyAlignment="1" pivotButton="0" quotePrefix="0" xfId="0">
      <alignment horizontal="center" vertical="center" wrapText="1"/>
    </xf>
    <xf numFmtId="0" fontId="27" fillId="6" borderId="1" applyAlignment="1" pivotButton="0" quotePrefix="0" xfId="0">
      <alignment horizontal="left" vertical="center" wrapText="1"/>
    </xf>
    <xf numFmtId="0" fontId="27" fillId="0" borderId="54" applyAlignment="1" pivotButton="0" quotePrefix="0" xfId="0">
      <alignment horizontal="left" vertical="center" wrapText="1"/>
    </xf>
    <xf numFmtId="0" fontId="27" fillId="32" borderId="1" applyAlignment="1" pivotButton="0" quotePrefix="0" xfId="0">
      <alignment horizontal="left" vertical="center" wrapText="1"/>
    </xf>
    <xf numFmtId="0" fontId="0" fillId="0" borderId="78" applyAlignment="1" pivotButton="0" quotePrefix="0" xfId="0">
      <alignment vertical="center" wrapText="1"/>
    </xf>
    <xf numFmtId="0" fontId="27" fillId="39" borderId="1" applyAlignment="1" pivotButton="0" quotePrefix="0" xfId="0">
      <alignment horizontal="left" vertical="center" wrapText="1"/>
    </xf>
    <xf numFmtId="0" fontId="0" fillId="7" borderId="54" applyAlignment="1" pivotButton="0" quotePrefix="0" xfId="0">
      <alignment horizontal="center" vertical="center" wrapText="1"/>
    </xf>
    <xf numFmtId="0" fontId="27" fillId="39" borderId="78" applyAlignment="1" pivotButton="0" quotePrefix="0" xfId="0">
      <alignment horizontal="left" vertical="center" wrapText="1"/>
    </xf>
    <xf numFmtId="165" fontId="0" fillId="6" borderId="0" applyAlignment="1" pivotButton="0" quotePrefix="0" xfId="1">
      <alignment horizontal="center" vertical="center"/>
    </xf>
    <xf numFmtId="0" fontId="27" fillId="6" borderId="54" applyAlignment="1" pivotButton="0" quotePrefix="0" xfId="0">
      <alignment horizontal="left" vertical="center" wrapText="1"/>
    </xf>
    <xf numFmtId="0" fontId="50" fillId="41" borderId="16" applyAlignment="1" pivotButton="0" quotePrefix="0" xfId="0">
      <alignment horizontal="left" vertical="center" wrapText="1"/>
    </xf>
    <xf numFmtId="0" fontId="50" fillId="42" borderId="15" applyAlignment="1" pivotButton="0" quotePrefix="0" xfId="0">
      <alignment horizontal="left" vertical="center"/>
    </xf>
    <xf numFmtId="0" fontId="50" fillId="43" borderId="15" applyAlignment="1" pivotButton="0" quotePrefix="0" xfId="0">
      <alignment horizontal="left" vertical="center"/>
    </xf>
    <xf numFmtId="0" fontId="50" fillId="23" borderId="15" applyAlignment="1" pivotButton="0" quotePrefix="0" xfId="0">
      <alignment horizontal="left" vertical="center"/>
    </xf>
    <xf numFmtId="0" fontId="50" fillId="23" borderId="16" applyAlignment="1" pivotButton="0" quotePrefix="0" xfId="0">
      <alignment horizontal="left" vertical="center"/>
    </xf>
    <xf numFmtId="0" fontId="50" fillId="40" borderId="15" applyAlignment="1" pivotButton="0" quotePrefix="0" xfId="0">
      <alignment horizontal="left" vertical="center"/>
    </xf>
    <xf numFmtId="0" fontId="27" fillId="32" borderId="28" applyAlignment="1" pivotButton="0" quotePrefix="0" xfId="0">
      <alignment horizontal="left" vertical="center"/>
    </xf>
    <xf numFmtId="0" fontId="65" fillId="45" borderId="15" applyAlignment="1" pivotButton="0" quotePrefix="0" xfId="0">
      <alignment horizontal="left" vertical="center"/>
    </xf>
    <xf numFmtId="0" fontId="50" fillId="45" borderId="16" applyAlignment="1" pivotButton="0" quotePrefix="0" xfId="0">
      <alignment horizontal="left" vertical="center"/>
    </xf>
    <xf numFmtId="0" fontId="27" fillId="27" borderId="16" applyAlignment="1" pivotButton="0" quotePrefix="0" xfId="0">
      <alignment horizontal="left" vertical="center"/>
    </xf>
    <xf numFmtId="0" fontId="50" fillId="45" borderId="15" applyAlignment="1" pivotButton="0" quotePrefix="0" xfId="0">
      <alignment horizontal="left" vertical="center"/>
    </xf>
    <xf numFmtId="0" fontId="50" fillId="24" borderId="15" applyAlignment="1" pivotButton="0" quotePrefix="0" xfId="0">
      <alignment horizontal="left" vertical="center"/>
    </xf>
    <xf numFmtId="0" fontId="27" fillId="32" borderId="16" applyAlignment="1" pivotButton="0" quotePrefix="0" xfId="0">
      <alignment horizontal="left" vertical="center"/>
    </xf>
    <xf numFmtId="0" fontId="50" fillId="46" borderId="15" applyAlignment="1" pivotButton="0" quotePrefix="0" xfId="0">
      <alignment horizontal="left" vertical="center"/>
    </xf>
    <xf numFmtId="0" fontId="50" fillId="41" borderId="55" applyAlignment="1" pivotButton="0" quotePrefix="0" xfId="0">
      <alignment horizontal="left" vertical="center" wrapText="1"/>
    </xf>
    <xf numFmtId="0" fontId="50" fillId="23" borderId="55" applyAlignment="1" pivotButton="0" quotePrefix="0" xfId="0">
      <alignment horizontal="left" vertical="center" wrapText="1"/>
    </xf>
    <xf numFmtId="0" fontId="50" fillId="43" borderId="59" applyAlignment="1" pivotButton="0" quotePrefix="0" xfId="0">
      <alignment horizontal="left" vertical="center" wrapText="1"/>
    </xf>
    <xf numFmtId="0" fontId="27" fillId="32" borderId="54" applyAlignment="1" pivotButton="0" quotePrefix="0" xfId="0">
      <alignment horizontal="left" vertical="center" wrapText="1"/>
    </xf>
    <xf numFmtId="0" fontId="50" fillId="40" borderId="55" applyAlignment="1" pivotButton="0" quotePrefix="0" xfId="0">
      <alignment horizontal="left" vertical="center" wrapText="1"/>
    </xf>
    <xf numFmtId="0" fontId="27" fillId="14" borderId="54" applyAlignment="1" pivotButton="0" quotePrefix="0" xfId="0">
      <alignment horizontal="left" vertical="center" wrapText="1"/>
    </xf>
    <xf numFmtId="0" fontId="27" fillId="32" borderId="55" applyAlignment="1" pivotButton="0" quotePrefix="0" xfId="0">
      <alignment horizontal="left" vertical="center" wrapText="1"/>
    </xf>
    <xf numFmtId="0" fontId="12" fillId="54" borderId="1" applyAlignment="1" pivotButton="0" quotePrefix="0" xfId="0">
      <alignment horizontal="center" vertical="center" wrapText="1"/>
    </xf>
    <xf numFmtId="0" fontId="3" fillId="0" borderId="1" applyAlignment="1" pivotButton="0" quotePrefix="0" xfId="0">
      <alignment horizontal="center" vertical="center" wrapText="1"/>
    </xf>
    <xf numFmtId="0" fontId="0" fillId="52" borderId="54" applyAlignment="1" pivotButton="0" quotePrefix="0" xfId="0">
      <alignment horizontal="center" vertical="center" wrapText="1"/>
    </xf>
    <xf numFmtId="0" fontId="27" fillId="32" borderId="63" applyAlignment="1" pivotButton="0" quotePrefix="0" xfId="0">
      <alignment horizontal="left" vertical="center" wrapText="1"/>
    </xf>
    <xf numFmtId="0" fontId="0" fillId="0" borderId="36" applyAlignment="1" pivotButton="0" quotePrefix="0" xfId="0">
      <alignment vertical="center" wrapText="1"/>
    </xf>
    <xf numFmtId="0" fontId="94" fillId="0" borderId="0" pivotButton="0" quotePrefix="0" xfId="0"/>
    <xf numFmtId="0" fontId="50" fillId="41" borderId="78" applyAlignment="1" pivotButton="0" quotePrefix="0" xfId="0">
      <alignment horizontal="left" vertical="center" wrapText="1"/>
    </xf>
    <xf numFmtId="0" fontId="0" fillId="52" borderId="78" applyAlignment="1" pivotButton="0" quotePrefix="0" xfId="0">
      <alignment horizontal="center" vertical="center" wrapText="1"/>
    </xf>
    <xf numFmtId="0" fontId="50" fillId="41" borderId="59" applyAlignment="1" pivotButton="0" quotePrefix="0" xfId="0">
      <alignment horizontal="left" vertical="center" wrapText="1"/>
    </xf>
    <xf numFmtId="0" fontId="50" fillId="40" borderId="59" applyAlignment="1" pivotButton="0" quotePrefix="0" xfId="0">
      <alignment horizontal="left" vertical="center" wrapText="1"/>
    </xf>
    <xf numFmtId="0" fontId="0" fillId="52" borderId="78" applyAlignment="1" pivotButton="0" quotePrefix="0" xfId="0">
      <alignment horizontal="center" vertical="center"/>
    </xf>
    <xf numFmtId="0" fontId="27" fillId="8" borderId="54" applyAlignment="1" pivotButton="0" quotePrefix="0" xfId="0">
      <alignment horizontal="left" vertical="center" wrapText="1"/>
    </xf>
    <xf numFmtId="0" fontId="27" fillId="8" borderId="1" applyAlignment="1" pivotButton="0" quotePrefix="0" xfId="0">
      <alignment horizontal="left" vertical="center" wrapText="1"/>
    </xf>
    <xf numFmtId="0" fontId="32" fillId="54" borderId="1" applyAlignment="1" pivotButton="0" quotePrefix="0" xfId="0">
      <alignment horizontal="center" vertical="center" wrapText="1"/>
    </xf>
    <xf numFmtId="0" fontId="0" fillId="18" borderId="0" applyAlignment="1" pivotButton="0" quotePrefix="0" xfId="0">
      <alignment vertical="center"/>
    </xf>
    <xf numFmtId="0" fontId="0" fillId="36" borderId="1" applyAlignment="1" pivotButton="0" quotePrefix="0" xfId="0">
      <alignment horizontal="center" vertical="center" wrapText="1"/>
    </xf>
    <xf numFmtId="0" fontId="27" fillId="14" borderId="1" applyAlignment="1" pivotButton="0" quotePrefix="0" xfId="0">
      <alignment horizontal="left" vertical="center" wrapText="1"/>
    </xf>
    <xf numFmtId="0" fontId="0" fillId="0" borderId="54" applyAlignment="1" pivotButton="0" quotePrefix="0" xfId="0">
      <alignment vertical="center" wrapText="1"/>
    </xf>
    <xf numFmtId="0" fontId="49" fillId="49" borderId="63" applyAlignment="1" pivotButton="0" quotePrefix="0" xfId="0">
      <alignment horizontal="left" vertical="center" wrapText="1"/>
    </xf>
    <xf numFmtId="0" fontId="0" fillId="0" borderId="62" applyAlignment="1" pivotButton="0" quotePrefix="0" xfId="0">
      <alignment horizontal="left" vertical="center" wrapText="1"/>
    </xf>
    <xf numFmtId="0" fontId="27" fillId="0" borderId="63" applyAlignment="1" pivotButton="0" quotePrefix="0" xfId="0">
      <alignment horizontal="left" vertical="center" wrapText="1"/>
    </xf>
    <xf numFmtId="0" fontId="33" fillId="0" borderId="0" applyAlignment="1" pivotButton="0" quotePrefix="0" xfId="0">
      <alignment horizontal="center" vertical="center" wrapText="1"/>
    </xf>
    <xf numFmtId="0" fontId="33" fillId="0" borderId="0" applyAlignment="1" pivotButton="0" quotePrefix="0" xfId="0">
      <alignment horizontal="center"/>
    </xf>
    <xf numFmtId="0" fontId="98" fillId="0" borderId="0" applyAlignment="1" pivotButton="0" quotePrefix="0" xfId="0">
      <alignment horizontal="center" vertical="center" wrapText="1"/>
    </xf>
    <xf numFmtId="0" fontId="41" fillId="7" borderId="0" applyAlignment="1" pivotButton="0" quotePrefix="0" xfId="0">
      <alignment horizontal="left" vertical="center" wrapText="1"/>
    </xf>
    <xf numFmtId="0" fontId="27" fillId="27" borderId="15" applyAlignment="1" pivotButton="0" quotePrefix="0" xfId="0">
      <alignment horizontal="left" vertical="center"/>
    </xf>
    <xf numFmtId="0" fontId="27" fillId="6" borderId="16" applyAlignment="1" pivotButton="0" quotePrefix="0" xfId="0">
      <alignment horizontal="left" vertical="center"/>
    </xf>
    <xf numFmtId="0" fontId="27" fillId="9" borderId="16" applyAlignment="1" pivotButton="0" quotePrefix="0" xfId="0">
      <alignment horizontal="left" vertical="center"/>
    </xf>
    <xf numFmtId="0" fontId="27" fillId="5" borderId="16" applyAlignment="1" pivotButton="0" quotePrefix="0" xfId="0">
      <alignment horizontal="left" vertical="center"/>
    </xf>
    <xf numFmtId="0" fontId="27" fillId="39" borderId="16" applyAlignment="1" pivotButton="0" quotePrefix="0" xfId="0">
      <alignment horizontal="left" vertical="center"/>
    </xf>
    <xf numFmtId="0" fontId="27" fillId="8" borderId="16" applyAlignment="1" pivotButton="0" quotePrefix="0" xfId="0">
      <alignment horizontal="left" vertical="center"/>
    </xf>
    <xf numFmtId="0" fontId="27" fillId="14" borderId="16" applyAlignment="1" pivotButton="0" quotePrefix="0" xfId="0">
      <alignment horizontal="left" vertical="center"/>
    </xf>
    <xf numFmtId="0" fontId="27" fillId="38" borderId="28" applyAlignment="1" pivotButton="0" quotePrefix="0" xfId="0">
      <alignment horizontal="left" vertical="center"/>
    </xf>
    <xf numFmtId="0" fontId="41" fillId="0" borderId="0" applyAlignment="1" pivotButton="0" quotePrefix="0" xfId="0">
      <alignment horizontal="left" vertical="center" wrapText="1"/>
    </xf>
    <xf numFmtId="0" fontId="0" fillId="16" borderId="0" applyAlignment="1" pivotButton="0" quotePrefix="0" xfId="0">
      <alignment vertical="center"/>
    </xf>
    <xf numFmtId="0" fontId="0" fillId="16" borderId="0" applyAlignment="1" pivotButton="0" quotePrefix="0" xfId="0">
      <alignment vertical="center" wrapText="1"/>
    </xf>
    <xf numFmtId="0" fontId="32" fillId="24" borderId="0" applyAlignment="1" pivotButton="0" quotePrefix="0" xfId="0">
      <alignment horizontal="left" vertical="center" wrapText="1"/>
    </xf>
    <xf numFmtId="0" fontId="32" fillId="51" borderId="0" applyAlignment="1" pivotButton="0" quotePrefix="0" xfId="0">
      <alignment vertical="center" wrapText="1"/>
    </xf>
    <xf numFmtId="0" fontId="0" fillId="7" borderId="0" applyAlignment="1" pivotButton="0" quotePrefix="0" xfId="0">
      <alignment vertical="center" wrapText="1"/>
    </xf>
    <xf numFmtId="0" fontId="32" fillId="50" borderId="0" applyAlignment="1" pivotButton="0" quotePrefix="0" xfId="0">
      <alignment vertical="center" wrapText="1"/>
    </xf>
    <xf numFmtId="0" fontId="0" fillId="6" borderId="0" applyAlignment="1" pivotButton="0" quotePrefix="0" xfId="0">
      <alignment vertical="center" wrapText="1"/>
    </xf>
    <xf numFmtId="0" fontId="32" fillId="6" borderId="0" applyAlignment="1" pivotButton="0" quotePrefix="0" xfId="0">
      <alignment horizontal="left" vertical="center" wrapText="1"/>
    </xf>
    <xf numFmtId="0" fontId="32" fillId="25" borderId="0" applyAlignment="1" pivotButton="0" quotePrefix="0" xfId="0">
      <alignment horizontal="left" vertical="center" wrapText="1"/>
    </xf>
    <xf numFmtId="165" fontId="0" fillId="7" borderId="0" applyAlignment="1" pivotButton="0" quotePrefix="0" xfId="1">
      <alignment horizontal="center" vertical="center"/>
    </xf>
    <xf numFmtId="165" fontId="0" fillId="9" borderId="0" applyAlignment="1" pivotButton="0" quotePrefix="0" xfId="1">
      <alignment horizontal="center" vertical="center"/>
    </xf>
    <xf numFmtId="165" fontId="0" fillId="19" borderId="0" applyAlignment="1" pivotButton="0" quotePrefix="0" xfId="1">
      <alignment horizontal="center" vertical="center"/>
    </xf>
    <xf numFmtId="165" fontId="0" fillId="29" borderId="0" applyAlignment="1" pivotButton="0" quotePrefix="0" xfId="1">
      <alignment horizontal="center" vertical="center"/>
    </xf>
    <xf numFmtId="165" fontId="0" fillId="56" borderId="0" applyAlignment="1" pivotButton="0" quotePrefix="0" xfId="1">
      <alignment horizontal="center" vertical="center"/>
    </xf>
    <xf numFmtId="165" fontId="3" fillId="2" borderId="0" applyAlignment="1" pivotButton="0" quotePrefix="0" xfId="1">
      <alignment horizontal="center" vertical="center"/>
    </xf>
    <xf numFmtId="165" fontId="3" fillId="2" borderId="0" applyAlignment="1" pivotButton="0" quotePrefix="0" xfId="1">
      <alignment horizontal="center" vertical="center" wrapText="1"/>
    </xf>
    <xf numFmtId="165" fontId="0" fillId="9" borderId="0" applyAlignment="1" pivotButton="0" quotePrefix="0" xfId="1">
      <alignment horizontal="center" vertical="center" wrapText="1"/>
    </xf>
    <xf numFmtId="165" fontId="0" fillId="19" borderId="0" applyAlignment="1" pivotButton="0" quotePrefix="0" xfId="1">
      <alignment horizontal="center" vertical="center" wrapText="1"/>
    </xf>
    <xf numFmtId="165" fontId="0" fillId="7" borderId="0" applyAlignment="1" pivotButton="0" quotePrefix="0" xfId="1">
      <alignment horizontal="center" vertical="center" wrapText="1"/>
    </xf>
    <xf numFmtId="0" fontId="0" fillId="36" borderId="0" applyAlignment="1" pivotButton="0" quotePrefix="0" xfId="0">
      <alignment vertical="center" wrapText="1"/>
    </xf>
    <xf numFmtId="0" fontId="0" fillId="7" borderId="0" applyAlignment="1" pivotButton="0" quotePrefix="0" xfId="0">
      <alignment horizontal="right"/>
    </xf>
    <xf numFmtId="0" fontId="18" fillId="16" borderId="0" applyAlignment="1" pivotButton="0" quotePrefix="0" xfId="0">
      <alignment horizontal="center" vertical="center"/>
    </xf>
    <xf numFmtId="0" fontId="0" fillId="27" borderId="0" applyAlignment="1" pivotButton="0" quotePrefix="0" xfId="0">
      <alignment horizontal="center" vertical="center" wrapText="1"/>
    </xf>
    <xf numFmtId="0" fontId="0" fillId="8" borderId="0" applyAlignment="1" pivotButton="0" quotePrefix="0" xfId="0">
      <alignment horizontal="center" vertical="center" wrapText="1"/>
    </xf>
    <xf numFmtId="0" fontId="0" fillId="0" borderId="0" applyAlignment="1" pivotButton="0" quotePrefix="0" xfId="0">
      <alignment horizontal="center" wrapText="1"/>
    </xf>
    <xf numFmtId="0" fontId="96" fillId="0" borderId="63" applyAlignment="1" pivotButton="0" quotePrefix="0" xfId="0">
      <alignment horizontal="left" vertical="center" wrapText="1"/>
    </xf>
    <xf numFmtId="0" fontId="0" fillId="27" borderId="0" applyAlignment="1" pivotButton="0" quotePrefix="0" xfId="0">
      <alignment horizontal="right"/>
    </xf>
    <xf numFmtId="0" fontId="0" fillId="16" borderId="0" applyAlignment="1" pivotButton="0" quotePrefix="0" xfId="0">
      <alignment horizontal="center" vertical="center" wrapText="1"/>
    </xf>
    <xf numFmtId="1" fontId="0" fillId="16" borderId="0" applyAlignment="1" pivotButton="0" quotePrefix="0" xfId="0">
      <alignment horizontal="center" vertical="center" wrapText="1"/>
    </xf>
    <xf numFmtId="0" fontId="0" fillId="36" borderId="0" applyAlignment="1" pivotButton="0" quotePrefix="0" xfId="2">
      <alignment horizontal="center" vertical="center" wrapText="1"/>
    </xf>
    <xf numFmtId="0" fontId="0" fillId="36" borderId="79" applyAlignment="1" pivotButton="0" quotePrefix="0" xfId="0">
      <alignment vertical="center"/>
    </xf>
    <xf numFmtId="0" fontId="0" fillId="0" borderId="21" applyAlignment="1" pivotButton="0" quotePrefix="0" xfId="0">
      <alignment vertical="center" wrapText="1"/>
    </xf>
    <xf numFmtId="0" fontId="0" fillId="8" borderId="21" applyAlignment="1" pivotButton="0" quotePrefix="0" xfId="0">
      <alignment vertical="center" wrapText="1"/>
    </xf>
    <xf numFmtId="1" fontId="0" fillId="16" borderId="21" applyAlignment="1" pivotButton="0" quotePrefix="0" xfId="0">
      <alignment horizontal="center" vertical="center"/>
    </xf>
    <xf numFmtId="0" fontId="0" fillId="16" borderId="21" applyAlignment="1" pivotButton="0" quotePrefix="0" xfId="0">
      <alignment horizontal="center" vertical="center"/>
    </xf>
    <xf numFmtId="0" fontId="0" fillId="16" borderId="44" applyAlignment="1" applyProtection="1" pivotButton="0" quotePrefix="0" xfId="0">
      <alignment horizontal="center" vertical="center"/>
      <protection locked="0" hidden="0"/>
    </xf>
    <xf numFmtId="0" fontId="0" fillId="8" borderId="18" applyAlignment="1" pivotButton="0" quotePrefix="0" xfId="0">
      <alignment vertical="center"/>
    </xf>
    <xf numFmtId="0" fontId="0" fillId="0" borderId="11" applyAlignment="1" pivotButton="0" quotePrefix="0" xfId="0">
      <alignment vertical="center" wrapText="1"/>
    </xf>
    <xf numFmtId="0" fontId="0" fillId="8" borderId="11" applyAlignment="1" pivotButton="0" quotePrefix="0" xfId="0">
      <alignment vertical="center" wrapText="1"/>
    </xf>
    <xf numFmtId="1" fontId="0" fillId="16" borderId="11" applyAlignment="1" pivotButton="0" quotePrefix="0" xfId="0">
      <alignment horizontal="center" vertical="center"/>
    </xf>
    <xf numFmtId="0" fontId="0" fillId="16" borderId="11" applyAlignment="1" pivotButton="0" quotePrefix="0" xfId="0">
      <alignment horizontal="center" vertical="center"/>
    </xf>
    <xf numFmtId="0" fontId="0" fillId="16" borderId="13" applyAlignment="1" applyProtection="1" pivotButton="0" quotePrefix="0" xfId="0">
      <alignment horizontal="center" vertical="center"/>
      <protection locked="0" hidden="0"/>
    </xf>
    <xf numFmtId="0" fontId="0" fillId="67" borderId="64" applyAlignment="1" pivotButton="0" quotePrefix="0" xfId="0">
      <alignment vertical="center" wrapText="1"/>
    </xf>
    <xf numFmtId="0" fontId="0" fillId="67" borderId="78" applyAlignment="1" pivotButton="0" quotePrefix="0" xfId="0">
      <alignment vertical="center" wrapText="1"/>
    </xf>
    <xf numFmtId="1" fontId="0" fillId="67" borderId="78" applyAlignment="1" pivotButton="0" quotePrefix="0" xfId="0">
      <alignment horizontal="center" vertical="center"/>
    </xf>
    <xf numFmtId="0" fontId="0" fillId="67" borderId="78" applyAlignment="1" pivotButton="0" quotePrefix="0" xfId="0">
      <alignment horizontal="center" vertical="center"/>
    </xf>
    <xf numFmtId="0" fontId="0" fillId="67" borderId="59" applyAlignment="1" applyProtection="1" pivotButton="0" quotePrefix="0" xfId="0">
      <alignment horizontal="center" vertical="center"/>
      <protection locked="0" hidden="0"/>
    </xf>
    <xf numFmtId="0" fontId="0" fillId="15" borderId="64" applyAlignment="1" pivotButton="0" quotePrefix="0" xfId="0">
      <alignment vertical="center"/>
    </xf>
    <xf numFmtId="0" fontId="0" fillId="15" borderId="78" applyAlignment="1" pivotButton="0" quotePrefix="0" xfId="0">
      <alignment vertical="center" wrapText="1"/>
    </xf>
    <xf numFmtId="1" fontId="0" fillId="15" borderId="78" applyAlignment="1" pivotButton="0" quotePrefix="0" xfId="0">
      <alignment horizontal="center" vertical="center"/>
    </xf>
    <xf numFmtId="0" fontId="0" fillId="15" borderId="78" applyAlignment="1" pivotButton="0" quotePrefix="0" xfId="0">
      <alignment horizontal="center" vertical="center"/>
    </xf>
    <xf numFmtId="0" fontId="0" fillId="15" borderId="59" applyAlignment="1" applyProtection="1" pivotButton="0" quotePrefix="0" xfId="0">
      <alignment horizontal="center" vertical="center"/>
      <protection locked="0" hidden="0"/>
    </xf>
    <xf numFmtId="0" fontId="15" fillId="0" borderId="0" applyAlignment="1" pivotButton="0" quotePrefix="0" xfId="0">
      <alignment horizontal="center"/>
    </xf>
    <xf numFmtId="0" fontId="18" fillId="0" borderId="0" applyAlignment="1" pivotButton="0" quotePrefix="0" xfId="0">
      <alignment horizontal="center" vertical="center" wrapText="1"/>
    </xf>
    <xf numFmtId="0" fontId="4" fillId="0" borderId="0" applyAlignment="1" pivotButton="0" quotePrefix="0" xfId="0">
      <alignment vertical="center" wrapText="1"/>
    </xf>
    <xf numFmtId="0" fontId="4" fillId="32" borderId="0" applyAlignment="1" pivotButton="0" quotePrefix="0" xfId="0">
      <alignment vertical="center" wrapText="1"/>
    </xf>
    <xf numFmtId="0" fontId="7" fillId="0" borderId="0" applyAlignment="1" pivotButton="0" quotePrefix="0" xfId="0">
      <alignment horizontal="center" wrapText="1"/>
    </xf>
    <xf numFmtId="0" fontId="24" fillId="27" borderId="0" pivotButton="0" quotePrefix="0" xfId="0"/>
    <xf numFmtId="0" fontId="18" fillId="0" borderId="0" applyAlignment="1" pivotButton="0" quotePrefix="0" xfId="0">
      <alignment horizontal="left"/>
    </xf>
    <xf numFmtId="0" fontId="24" fillId="0" borderId="0" applyAlignment="1" pivotButton="0" quotePrefix="0" xfId="0">
      <alignment horizontal="left" vertical="center" wrapText="1"/>
    </xf>
    <xf numFmtId="0" fontId="18" fillId="0" borderId="0" applyAlignment="1" pivotButton="0" quotePrefix="0" xfId="0">
      <alignment horizontal="left" vertical="center"/>
    </xf>
    <xf numFmtId="0" fontId="24" fillId="0" borderId="0" applyAlignment="1" pivotButton="0" quotePrefix="0" xfId="0">
      <alignment vertical="center" wrapText="1"/>
    </xf>
    <xf numFmtId="0" fontId="24" fillId="0" borderId="0" applyAlignment="1" pivotButton="0" quotePrefix="0" xfId="0">
      <alignment horizontal="center" vertical="center" wrapText="1"/>
    </xf>
    <xf numFmtId="0" fontId="36" fillId="0" borderId="0" applyAlignment="1" pivotButton="0" quotePrefix="0" xfId="0">
      <alignment vertical="center"/>
    </xf>
    <xf numFmtId="0" fontId="4" fillId="0" borderId="15" applyAlignment="1" pivotButton="0" quotePrefix="0" xfId="0">
      <alignment vertical="center" wrapText="1"/>
    </xf>
    <xf numFmtId="0" fontId="27" fillId="0" borderId="15" applyAlignment="1" pivotButton="0" quotePrefix="0" xfId="0">
      <alignment horizontal="right" vertical="center"/>
    </xf>
    <xf numFmtId="1" fontId="0" fillId="12" borderId="15" applyAlignment="1" pivotButton="0" quotePrefix="0" xfId="0">
      <alignment horizontal="left" vertical="center"/>
    </xf>
    <xf numFmtId="0" fontId="14" fillId="0" borderId="15" applyAlignment="1" pivotButton="0" quotePrefix="0" xfId="0">
      <alignment vertical="center" wrapText="1"/>
    </xf>
    <xf numFmtId="0" fontId="14" fillId="0" borderId="15" applyAlignment="1" pivotButton="0" quotePrefix="0" xfId="0">
      <alignment horizontal="right" vertical="center" wrapText="1"/>
    </xf>
    <xf numFmtId="0" fontId="27" fillId="0" borderId="15" applyAlignment="1" pivotButton="0" quotePrefix="0" xfId="0">
      <alignment horizontal="right" vertical="center" wrapText="1"/>
    </xf>
    <xf numFmtId="0" fontId="4" fillId="0" borderId="16" applyAlignment="1" pivotButton="0" quotePrefix="0" xfId="0">
      <alignment vertical="center" wrapText="1"/>
    </xf>
    <xf numFmtId="0" fontId="27" fillId="0" borderId="16" applyAlignment="1" pivotButton="0" quotePrefix="0" xfId="0">
      <alignment horizontal="right" vertical="center"/>
    </xf>
    <xf numFmtId="1" fontId="0" fillId="12" borderId="16" applyAlignment="1" pivotButton="0" quotePrefix="0" xfId="0">
      <alignment horizontal="left" vertical="center"/>
    </xf>
    <xf numFmtId="0" fontId="14" fillId="0" borderId="16" applyAlignment="1" pivotButton="0" quotePrefix="0" xfId="0">
      <alignment vertical="center" wrapText="1"/>
    </xf>
    <xf numFmtId="0" fontId="14" fillId="0" borderId="16" applyAlignment="1" pivotButton="0" quotePrefix="0" xfId="0">
      <alignment horizontal="right" vertical="center" wrapText="1"/>
    </xf>
    <xf numFmtId="0" fontId="27" fillId="0" borderId="16" applyAlignment="1" pivotButton="0" quotePrefix="0" xfId="0">
      <alignment horizontal="right" vertical="center" wrapText="1"/>
    </xf>
    <xf numFmtId="0" fontId="15" fillId="36" borderId="0" pivotButton="0" quotePrefix="0" xfId="0"/>
    <xf numFmtId="0" fontId="15" fillId="37" borderId="0" pivotButton="0" quotePrefix="1" xfId="0"/>
    <xf numFmtId="0" fontId="15" fillId="37" borderId="0" pivotButton="0" quotePrefix="0" xfId="0"/>
    <xf numFmtId="0" fontId="15" fillId="37" borderId="0" applyAlignment="1" pivotButton="0" quotePrefix="0" xfId="0">
      <alignment horizontal="center" vertical="center"/>
    </xf>
    <xf numFmtId="0" fontId="15" fillId="36" borderId="0" applyAlignment="1" pivotButton="0" quotePrefix="0" xfId="0">
      <alignment horizontal="center" vertical="center"/>
    </xf>
    <xf numFmtId="165" fontId="14" fillId="0" borderId="26" applyAlignment="1" pivotButton="0" quotePrefix="0" xfId="0">
      <alignment horizontal="center" vertical="center" wrapText="1"/>
    </xf>
    <xf numFmtId="165" fontId="99" fillId="0" borderId="26" applyAlignment="1" pivotButton="0" quotePrefix="0" xfId="0">
      <alignment horizontal="center" vertical="center" wrapText="1"/>
    </xf>
    <xf numFmtId="0" fontId="6" fillId="0" borderId="0" applyAlignment="1" pivotButton="0" quotePrefix="0" xfId="0">
      <alignment horizontal="center"/>
    </xf>
    <xf numFmtId="0" fontId="15" fillId="0" borderId="0" applyAlignment="1" pivotButton="0" quotePrefix="0" xfId="0">
      <alignment vertical="center"/>
    </xf>
    <xf numFmtId="0" fontId="39" fillId="0" borderId="0" applyAlignment="1" pivotButton="0" quotePrefix="0" xfId="0">
      <alignment horizontal="left" vertical="center"/>
    </xf>
    <xf numFmtId="0" fontId="4" fillId="0" borderId="0" applyAlignment="1" pivotButton="0" quotePrefix="0" xfId="0">
      <alignment horizontal="left" vertical="center"/>
    </xf>
    <xf numFmtId="0" fontId="4" fillId="0" borderId="0" applyAlignment="1" pivotButton="0" quotePrefix="0" xfId="0">
      <alignment horizontal="left" vertical="center" wrapText="1"/>
    </xf>
    <xf numFmtId="165" fontId="14" fillId="0" borderId="29" applyAlignment="1" pivotButton="0" quotePrefix="0" xfId="0">
      <alignment horizontal="center" vertical="center" wrapText="1"/>
    </xf>
    <xf numFmtId="0" fontId="6" fillId="0" borderId="0" applyAlignment="1" pivotButton="0" quotePrefix="0" xfId="0">
      <alignment vertical="center" wrapText="1"/>
    </xf>
    <xf numFmtId="0" fontId="5" fillId="17" borderId="0" applyAlignment="1" pivotButton="0" quotePrefix="0" xfId="0">
      <alignment horizontal="left" vertical="center"/>
    </xf>
    <xf numFmtId="0" fontId="6" fillId="17" borderId="0" applyAlignment="1" pivotButton="0" quotePrefix="0" xfId="0">
      <alignment horizontal="center" vertical="center"/>
    </xf>
    <xf numFmtId="0" fontId="33" fillId="0" borderId="0" applyAlignment="1" pivotButton="0" quotePrefix="0" xfId="0">
      <alignment horizontal="center" vertical="center"/>
    </xf>
    <xf numFmtId="0" fontId="33" fillId="16" borderId="0" applyAlignment="1" pivotButton="0" quotePrefix="0" xfId="0">
      <alignment horizontal="center" vertical="center" wrapText="1"/>
    </xf>
    <xf numFmtId="1" fontId="6" fillId="16" borderId="0" applyAlignment="1" pivotButton="0" quotePrefix="0" xfId="0">
      <alignment horizontal="center" vertical="center"/>
    </xf>
    <xf numFmtId="1" fontId="6" fillId="17" borderId="0" applyAlignment="1" pivotButton="0" quotePrefix="0" xfId="0">
      <alignment horizontal="center" vertical="center"/>
    </xf>
    <xf numFmtId="0" fontId="6" fillId="0" borderId="0" applyAlignment="1" pivotButton="0" quotePrefix="0" xfId="2">
      <alignment horizontal="left" vertical="center" wrapText="1"/>
    </xf>
    <xf numFmtId="0" fontId="5" fillId="16" borderId="0" applyAlignment="1" pivotButton="0" quotePrefix="0" xfId="0">
      <alignment horizontal="left" vertical="center"/>
    </xf>
    <xf numFmtId="1" fontId="6" fillId="0" borderId="0" applyAlignment="1" pivotButton="0" quotePrefix="0" xfId="0">
      <alignment horizontal="center" vertical="center"/>
    </xf>
    <xf numFmtId="165" fontId="15" fillId="0" borderId="0" applyAlignment="1" pivotButton="0" quotePrefix="0" xfId="0">
      <alignment horizontal="center" vertical="center"/>
    </xf>
    <xf numFmtId="0" fontId="50" fillId="42" borderId="59" applyAlignment="1" pivotButton="0" quotePrefix="0" xfId="0">
      <alignment horizontal="left" vertical="center" wrapText="1"/>
    </xf>
    <xf numFmtId="0" fontId="0" fillId="0" borderId="64" applyAlignment="1" pivotButton="0" quotePrefix="0" xfId="0">
      <alignment horizontal="left" vertical="center" wrapText="1"/>
    </xf>
    <xf numFmtId="0" fontId="7" fillId="66" borderId="0" applyAlignment="1" pivotButton="0" quotePrefix="0" xfId="0">
      <alignment horizontal="center" vertical="center"/>
    </xf>
    <xf numFmtId="0" fontId="0" fillId="66" borderId="0" applyAlignment="1" pivotButton="0" quotePrefix="0" xfId="0">
      <alignment horizontal="center" vertical="center"/>
    </xf>
    <xf numFmtId="0" fontId="0" fillId="65" borderId="0" pivotButton="0" quotePrefix="0" xfId="0"/>
    <xf numFmtId="0" fontId="3" fillId="65" borderId="0" applyAlignment="1" pivotButton="0" quotePrefix="0" xfId="0">
      <alignment vertical="center" wrapText="1"/>
    </xf>
    <xf numFmtId="0" fontId="3" fillId="0" borderId="0" applyAlignment="1" pivotButton="0" quotePrefix="0" xfId="0">
      <alignment vertical="center" wrapText="1"/>
    </xf>
    <xf numFmtId="0" fontId="0" fillId="65" borderId="0" applyAlignment="1" pivotButton="0" quotePrefix="0" xfId="0">
      <alignment horizontal="center" vertical="center" wrapText="1"/>
    </xf>
    <xf numFmtId="0" fontId="0" fillId="65" borderId="0" applyAlignment="1" pivotButton="0" quotePrefix="0" xfId="0">
      <alignment wrapText="1"/>
    </xf>
    <xf numFmtId="0" fontId="12" fillId="53" borderId="78" applyAlignment="1" pivotButton="0" quotePrefix="0" xfId="0">
      <alignment horizontal="center" vertical="center" wrapText="1"/>
    </xf>
    <xf numFmtId="0" fontId="12" fillId="53" borderId="54" applyAlignment="1" pivotButton="0" quotePrefix="0" xfId="0">
      <alignment horizontal="center" vertical="center" wrapText="1"/>
    </xf>
    <xf numFmtId="0" fontId="8" fillId="0" borderId="0" applyAlignment="1" pivotButton="0" quotePrefix="0" xfId="0">
      <alignment horizont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0" fontId="100" fillId="0" borderId="0" pivotButton="0" quotePrefix="0" xfId="0"/>
    <xf numFmtId="0" fontId="14" fillId="0" borderId="0" applyAlignment="1" pivotButton="0" quotePrefix="0" xfId="0">
      <alignment vertical="center"/>
    </xf>
    <xf numFmtId="0" fontId="4" fillId="0" borderId="0" applyAlignment="1" pivotButton="0" quotePrefix="0" xfId="0">
      <alignment horizontal="center" vertical="center"/>
    </xf>
    <xf numFmtId="0" fontId="28" fillId="0" borderId="0" pivotButton="0" quotePrefix="0" xfId="0"/>
    <xf numFmtId="0" fontId="0" fillId="0" borderId="16" pivotButton="0" quotePrefix="0" xfId="0"/>
    <xf numFmtId="0" fontId="74" fillId="0" borderId="16" pivotButton="0" quotePrefix="0" xfId="0"/>
    <xf numFmtId="0" fontId="14" fillId="0" borderId="16" pivotButton="0" quotePrefix="0" xfId="0"/>
    <xf numFmtId="0" fontId="30" fillId="0" borderId="16" applyAlignment="1" pivotButton="0" quotePrefix="0" xfId="0">
      <alignment horizontal="right"/>
    </xf>
    <xf numFmtId="0" fontId="28" fillId="0" borderId="16" applyAlignment="1" pivotButton="0" quotePrefix="0" xfId="0">
      <alignment horizontal="left"/>
    </xf>
    <xf numFmtId="0" fontId="28" fillId="0" borderId="16" pivotButton="0" quotePrefix="0" xfId="0"/>
    <xf numFmtId="0" fontId="28" fillId="0" borderId="16" applyAlignment="1" pivotButton="0" quotePrefix="0" xfId="0">
      <alignment horizontal="right"/>
    </xf>
    <xf numFmtId="0" fontId="100" fillId="0" borderId="0" applyAlignment="1" pivotButton="0" quotePrefix="0" xfId="0">
      <alignment horizontal="left"/>
    </xf>
    <xf numFmtId="0" fontId="100" fillId="0" borderId="0" applyAlignment="1" pivotButton="0" quotePrefix="0" xfId="0">
      <alignment vertical="top"/>
    </xf>
    <xf numFmtId="0" fontId="101" fillId="16" borderId="0" applyAlignment="1" pivotButton="0" quotePrefix="0" xfId="0">
      <alignment horizontal="center" vertical="center" wrapText="1"/>
    </xf>
    <xf numFmtId="0" fontId="102" fillId="16" borderId="0" applyAlignment="1" pivotButton="0" quotePrefix="0" xfId="0">
      <alignment horizontal="center" vertical="center" wrapText="1"/>
    </xf>
    <xf numFmtId="0" fontId="103" fillId="0" borderId="0" pivotButton="0" quotePrefix="0" xfId="0"/>
    <xf numFmtId="1" fontId="15" fillId="0" borderId="0" applyAlignment="1" pivotButton="0" quotePrefix="0" xfId="0">
      <alignment horizontal="center"/>
    </xf>
    <xf numFmtId="165" fontId="15" fillId="0" borderId="0" pivotButton="0" quotePrefix="0" xfId="1"/>
    <xf numFmtId="1" fontId="0" fillId="6" borderId="0" applyAlignment="1" pivotButton="0" quotePrefix="0" xfId="0">
      <alignment horizontal="center" vertical="center" wrapText="1"/>
    </xf>
    <xf numFmtId="1" fontId="0" fillId="7" borderId="0" applyAlignment="1" pivotButton="0" quotePrefix="0" xfId="0">
      <alignment horizontal="center" vertical="center" wrapText="1"/>
    </xf>
    <xf numFmtId="1" fontId="0" fillId="17" borderId="0" applyAlignment="1" pivotButton="0" quotePrefix="0" xfId="0">
      <alignment horizontal="center" vertical="center" wrapText="1"/>
    </xf>
    <xf numFmtId="1" fontId="0" fillId="16" borderId="0" applyAlignment="1" pivotButton="0" quotePrefix="0" xfId="0">
      <alignment vertical="center" wrapText="1"/>
    </xf>
    <xf numFmtId="1" fontId="0" fillId="36" borderId="0" applyAlignment="1" pivotButton="0" quotePrefix="0" xfId="0">
      <alignment horizontal="left" vertical="center" wrapText="1"/>
    </xf>
    <xf numFmtId="1" fontId="0" fillId="7" borderId="0" applyAlignment="1" pivotButton="0" quotePrefix="0" xfId="0">
      <alignment horizontal="right"/>
    </xf>
    <xf numFmtId="1" fontId="0" fillId="7" borderId="0" applyAlignment="1" pivotButton="0" quotePrefix="0" xfId="0">
      <alignment horizontal="center"/>
    </xf>
    <xf numFmtId="0" fontId="27" fillId="0" borderId="0" applyAlignment="1" pivotButton="0" quotePrefix="0" xfId="0">
      <alignment horizontal="center" vertical="center" textRotation="45" wrapText="1"/>
    </xf>
    <xf numFmtId="0" fontId="0" fillId="27" borderId="0" applyAlignment="1" pivotButton="0" quotePrefix="0" xfId="0">
      <alignment vertical="center" wrapText="1"/>
    </xf>
    <xf numFmtId="0" fontId="0" fillId="7" borderId="0" applyAlignment="1" pivotButton="0" quotePrefix="0" xfId="0">
      <alignment horizontal="center" vertical="top" wrapText="1"/>
    </xf>
    <xf numFmtId="0" fontId="0" fillId="66" borderId="0" applyAlignment="1" pivotButton="0" quotePrefix="0" xfId="0">
      <alignment horizontal="center" vertical="top" wrapText="1"/>
    </xf>
    <xf numFmtId="0" fontId="0" fillId="6" borderId="0" applyAlignment="1" pivotButton="0" quotePrefix="0" xfId="0">
      <alignment horizontal="center" vertical="top" wrapText="1"/>
    </xf>
    <xf numFmtId="0" fontId="0" fillId="18" borderId="0" applyAlignment="1" pivotButton="0" quotePrefix="0" xfId="0">
      <alignment vertical="center" wrapText="1"/>
    </xf>
    <xf numFmtId="0" fontId="7" fillId="12" borderId="80" applyAlignment="1" pivotButton="0" quotePrefix="0" xfId="0">
      <alignment horizontal="center" vertical="center" wrapText="1"/>
    </xf>
    <xf numFmtId="0" fontId="32" fillId="40" borderId="43" applyAlignment="1" pivotButton="0" quotePrefix="0" xfId="0">
      <alignment horizontal="center" vertical="center" wrapText="1"/>
    </xf>
    <xf numFmtId="0" fontId="0" fillId="52" borderId="27" applyAlignment="1" pivotButton="0" quotePrefix="0" xfId="0">
      <alignment horizontal="center" vertical="center" wrapText="1"/>
    </xf>
    <xf numFmtId="0" fontId="12" fillId="53" borderId="27" applyAlignment="1" pivotButton="0" quotePrefix="0" xfId="0">
      <alignment horizontal="center" vertical="center" wrapText="1"/>
    </xf>
    <xf numFmtId="0" fontId="32" fillId="51" borderId="27" applyAlignment="1" pivotButton="0" quotePrefix="0" xfId="0">
      <alignment horizontal="center" vertical="center" wrapText="1"/>
    </xf>
    <xf numFmtId="0" fontId="32" fillId="40" borderId="27" applyAlignment="1" pivotButton="0" quotePrefix="0" xfId="0">
      <alignment horizontal="center" vertical="center" wrapText="1"/>
    </xf>
    <xf numFmtId="0" fontId="0" fillId="52" borderId="27" applyAlignment="1" pivotButton="0" quotePrefix="0" xfId="0">
      <alignment horizontal="center" vertical="center"/>
    </xf>
    <xf numFmtId="0" fontId="32" fillId="25" borderId="27" applyAlignment="1" pivotButton="0" quotePrefix="0" xfId="0">
      <alignment horizontal="center" vertical="center" wrapText="1"/>
    </xf>
    <xf numFmtId="0" fontId="0" fillId="7" borderId="66" applyAlignment="1" pivotButton="0" quotePrefix="0" xfId="0">
      <alignment horizontal="center" vertical="center" wrapText="1"/>
    </xf>
    <xf numFmtId="0" fontId="0" fillId="32" borderId="66" applyAlignment="1" pivotButton="0" quotePrefix="0" xfId="0">
      <alignment horizontal="center" vertical="center" wrapText="1"/>
    </xf>
    <xf numFmtId="0" fontId="2" fillId="3" borderId="7" applyAlignment="1" pivotButton="0" quotePrefix="0" xfId="0">
      <alignment horizontal="center" vertical="center" wrapText="1"/>
    </xf>
    <xf numFmtId="0" fontId="15" fillId="0" borderId="0" applyAlignment="1" pivotButton="0" quotePrefix="0" xfId="0">
      <alignment horizontal="center" vertical="center"/>
    </xf>
    <xf numFmtId="0" fontId="27" fillId="4" borderId="16" applyAlignment="1" pivotButton="0" quotePrefix="0" xfId="0">
      <alignment horizontal="left" vertical="center" wrapText="1"/>
    </xf>
    <xf numFmtId="0" fontId="27" fillId="17" borderId="36" applyAlignment="1" pivotButton="0" quotePrefix="0" xfId="0">
      <alignment horizontal="center" vertical="center" wrapText="1"/>
    </xf>
    <xf numFmtId="0" fontId="27" fillId="4" borderId="81" applyAlignment="1" pivotButton="0" quotePrefix="0" xfId="0">
      <alignment horizontal="center" vertical="center" wrapText="1"/>
    </xf>
    <xf numFmtId="0" fontId="27" fillId="0" borderId="15" applyAlignment="1" pivotButton="0" quotePrefix="0" xfId="0">
      <alignment horizontal="left" vertical="top" wrapText="1"/>
    </xf>
    <xf numFmtId="0" fontId="27" fillId="0" borderId="16" applyAlignment="1" pivotButton="0" quotePrefix="0" xfId="0">
      <alignment horizontal="left" vertical="top" wrapText="1"/>
    </xf>
    <xf numFmtId="0" fontId="27" fillId="0" borderId="32" applyAlignment="1" pivotButton="0" quotePrefix="0" xfId="0">
      <alignment horizontal="center" vertical="center" wrapText="1"/>
    </xf>
    <xf numFmtId="0" fontId="27" fillId="0" borderId="83" applyAlignment="1" pivotButton="0" quotePrefix="0" xfId="0">
      <alignment horizontal="center" vertical="center" wrapText="1"/>
    </xf>
    <xf numFmtId="0" fontId="27" fillId="0" borderId="82" applyAlignment="1" pivotButton="0" quotePrefix="0" xfId="0">
      <alignment horizontal="center" vertical="center" wrapText="1"/>
    </xf>
    <xf numFmtId="0" fontId="27" fillId="0" borderId="84" applyAlignment="1" pivotButton="0" quotePrefix="0" xfId="0">
      <alignment horizontal="center" vertical="center" wrapText="1"/>
    </xf>
    <xf numFmtId="0" fontId="27" fillId="0" borderId="85" applyAlignment="1" pivotButton="0" quotePrefix="0" xfId="0">
      <alignment horizontal="center" vertical="center" wrapText="1"/>
    </xf>
    <xf numFmtId="0" fontId="29" fillId="36" borderId="15" applyAlignment="1" pivotButton="0" quotePrefix="0" xfId="0">
      <alignment horizontal="center" vertical="center" wrapText="1"/>
    </xf>
    <xf numFmtId="0" fontId="27" fillId="36" borderId="16" applyAlignment="1" pivotButton="0" quotePrefix="0" xfId="0">
      <alignment horizontal="center" vertical="center" wrapText="1"/>
    </xf>
    <xf numFmtId="0" fontId="29" fillId="9" borderId="16" applyAlignment="1" pivotButton="0" quotePrefix="0" xfId="0">
      <alignment horizontal="center" vertical="center" wrapText="1"/>
    </xf>
    <xf numFmtId="0" fontId="27" fillId="22" borderId="16" applyAlignment="1" pivotButton="0" quotePrefix="0" xfId="0">
      <alignment horizontal="left" vertical="top" wrapText="1"/>
    </xf>
    <xf numFmtId="0" fontId="28" fillId="0" borderId="85" applyAlignment="1" pivotButton="0" quotePrefix="0" xfId="0">
      <alignment horizontal="center" vertical="center" wrapText="1"/>
    </xf>
    <xf numFmtId="0" fontId="0" fillId="0" borderId="85" applyAlignment="1" pivotButton="0" quotePrefix="0" xfId="0">
      <alignment horizontal="center" vertical="center" wrapText="1"/>
    </xf>
    <xf numFmtId="0" fontId="27" fillId="0" borderId="86" applyAlignment="1" pivotButton="0" quotePrefix="0" xfId="0">
      <alignment horizontal="center" vertical="center" wrapText="1"/>
    </xf>
    <xf numFmtId="0" fontId="63" fillId="0" borderId="81" applyAlignment="1" pivotButton="0" quotePrefix="0" xfId="0">
      <alignment horizontal="center" vertical="center" wrapText="1"/>
    </xf>
    <xf numFmtId="0" fontId="50" fillId="0" borderId="81" applyAlignment="1" pivotButton="0" quotePrefix="0" xfId="0">
      <alignment horizontal="center" vertical="center" wrapText="1"/>
    </xf>
    <xf numFmtId="0" fontId="50" fillId="0" borderId="32" applyAlignment="1" pivotButton="0" quotePrefix="0" xfId="0">
      <alignment horizontal="center" vertical="center" wrapText="1"/>
    </xf>
    <xf numFmtId="0" fontId="50" fillId="0" borderId="86" applyAlignment="1" pivotButton="0" quotePrefix="0" xfId="0">
      <alignment horizontal="center" vertical="center" wrapText="1"/>
    </xf>
    <xf numFmtId="0" fontId="4" fillId="0" borderId="53" applyAlignment="1" pivotButton="0" quotePrefix="0" xfId="0">
      <alignment horizontal="left" vertical="top" wrapText="1"/>
    </xf>
    <xf numFmtId="0" fontId="2" fillId="0" borderId="78" applyAlignment="1" pivotButton="0" quotePrefix="0" xfId="0">
      <alignment horizontal="center" vertical="center" wrapText="1"/>
    </xf>
    <xf numFmtId="0" fontId="4" fillId="0" borderId="59" applyAlignment="1" pivotButton="0" quotePrefix="0" xfId="0">
      <alignment horizontal="center" vertical="center" wrapText="1"/>
    </xf>
    <xf numFmtId="0" fontId="4" fillId="0" borderId="2" applyAlignment="1" pivotButton="0" quotePrefix="0" xfId="0">
      <alignment horizontal="center" vertical="center" wrapText="1"/>
    </xf>
    <xf numFmtId="0" fontId="104" fillId="0" borderId="0" applyAlignment="1" pivotButton="0" quotePrefix="0" xfId="0">
      <alignment vertical="center" textRotation="45"/>
    </xf>
    <xf numFmtId="0" fontId="0" fillId="0" borderId="0" applyAlignment="1" applyProtection="1" pivotButton="0" quotePrefix="0" xfId="0">
      <alignment horizontal="center" vertical="center"/>
      <protection locked="0" hidden="0"/>
    </xf>
    <xf numFmtId="9" fontId="0" fillId="0" borderId="0" applyAlignment="1" pivotButton="0" quotePrefix="0" xfId="2">
      <alignment horizontal="center" vertical="center"/>
    </xf>
    <xf numFmtId="9" fontId="0" fillId="0" borderId="0" applyAlignment="1" pivotButton="0" quotePrefix="0" xfId="2">
      <alignment horizontal="center" vertical="center" wrapText="1"/>
    </xf>
    <xf numFmtId="0" fontId="0" fillId="9" borderId="0" pivotButton="0" quotePrefix="0" xfId="0"/>
    <xf numFmtId="0" fontId="0" fillId="21" borderId="0" applyAlignment="1" pivotButton="0" quotePrefix="0" xfId="0">
      <alignment horizontal="left" vertical="center"/>
    </xf>
    <xf numFmtId="0" fontId="0" fillId="21" borderId="0" applyAlignment="1" pivotButton="0" quotePrefix="0" xfId="0">
      <alignment vertical="center"/>
    </xf>
    <xf numFmtId="0" fontId="0" fillId="4" borderId="0" applyAlignment="1" pivotButton="0" quotePrefix="0" xfId="0">
      <alignment horizontal="left" vertical="center"/>
    </xf>
    <xf numFmtId="0" fontId="0" fillId="4" borderId="0" applyAlignment="1" pivotButton="0" quotePrefix="0" xfId="0">
      <alignment horizontal="left" vertical="top" wrapText="1"/>
    </xf>
    <xf numFmtId="165" fontId="15" fillId="27" borderId="0" applyAlignment="1" pivotButton="0" quotePrefix="0" xfId="0">
      <alignment horizontal="center" vertical="center"/>
    </xf>
    <xf numFmtId="165" fontId="15" fillId="6" borderId="0" applyAlignment="1" pivotButton="0" quotePrefix="0" xfId="0">
      <alignment horizontal="center" vertical="center"/>
    </xf>
    <xf numFmtId="0" fontId="24" fillId="0" borderId="0" applyAlignment="1" pivotButton="0" quotePrefix="0" xfId="0">
      <alignment vertical="center"/>
    </xf>
    <xf numFmtId="0" fontId="24" fillId="0" borderId="0" applyAlignment="1" pivotButton="0" quotePrefix="0" xfId="0">
      <alignment horizontal="center" vertical="center"/>
    </xf>
    <xf numFmtId="0" fontId="7" fillId="6" borderId="0" applyAlignment="1" pivotButton="0" quotePrefix="0" xfId="0">
      <alignment horizontal="center" vertical="center"/>
    </xf>
    <xf numFmtId="0" fontId="10" fillId="0" borderId="0" applyAlignment="1" pivotButton="0" quotePrefix="0" xfId="0">
      <alignment horizontal="center" vertical="center"/>
    </xf>
    <xf numFmtId="0" fontId="3" fillId="21" borderId="0" applyAlignment="1" pivotButton="0" quotePrefix="0" xfId="0">
      <alignment vertical="center" wrapText="1"/>
    </xf>
    <xf numFmtId="0" fontId="28" fillId="0" borderId="0" applyAlignment="1" pivotButton="0" quotePrefix="0" xfId="0">
      <alignment horizontal="center" vertical="center" wrapText="1"/>
    </xf>
    <xf numFmtId="0" fontId="3" fillId="21" borderId="0" applyAlignment="1" pivotButton="0" quotePrefix="0" xfId="0">
      <alignment horizontal="center" vertical="center" wrapText="1"/>
    </xf>
    <xf numFmtId="1" fontId="6" fillId="7" borderId="0" applyAlignment="1" pivotButton="0" quotePrefix="0" xfId="0">
      <alignment horizontal="center" vertical="center"/>
    </xf>
    <xf numFmtId="0" fontId="6" fillId="7" borderId="0" applyAlignment="1" pivotButton="0" quotePrefix="0" xfId="0">
      <alignment horizontal="center" vertical="center"/>
    </xf>
    <xf numFmtId="0" fontId="6" fillId="7" borderId="0" applyAlignment="1" pivotButton="0" quotePrefix="0" xfId="0">
      <alignment vertical="center" wrapText="1"/>
    </xf>
    <xf numFmtId="0" fontId="6" fillId="7" borderId="0" applyAlignment="1" pivotButton="0" quotePrefix="0" xfId="2">
      <alignment horizontal="left" vertical="center" wrapText="1"/>
    </xf>
    <xf numFmtId="0" fontId="15" fillId="7" borderId="0" applyAlignment="1" pivotButton="0" quotePrefix="0" xfId="0">
      <alignment vertical="center"/>
    </xf>
    <xf numFmtId="0" fontId="10" fillId="0" borderId="0" applyAlignment="1" pivotButton="0" quotePrefix="0" xfId="0">
      <alignment horizontal="center" vertical="center" wrapText="1"/>
    </xf>
    <xf numFmtId="0" fontId="28" fillId="0" borderId="0" applyAlignment="1" pivotButton="0" quotePrefix="0" xfId="0">
      <alignment horizontal="center" vertical="center"/>
    </xf>
    <xf numFmtId="0" fontId="105" fillId="0" borderId="0" applyAlignment="1" pivotButton="0" quotePrefix="0" xfId="0">
      <alignment horizontal="center" wrapText="1"/>
    </xf>
    <xf numFmtId="0" fontId="15" fillId="0" borderId="0" applyAlignment="1" pivotButton="0" quotePrefix="0" xfId="0">
      <alignment horizontal="center" vertical="center" wrapText="1"/>
    </xf>
    <xf numFmtId="0" fontId="15" fillId="36" borderId="0" applyAlignment="1" pivotButton="0" quotePrefix="0" xfId="0">
      <alignment vertical="center"/>
    </xf>
    <xf numFmtId="165" fontId="15" fillId="0" borderId="0" applyAlignment="1" pivotButton="0" quotePrefix="0" xfId="0">
      <alignment vertical="center"/>
    </xf>
    <xf numFmtId="165" fontId="6" fillId="0" borderId="0" applyAlignment="1" pivotButton="0" quotePrefix="0" xfId="0">
      <alignment vertical="center"/>
    </xf>
    <xf numFmtId="165" fontId="0" fillId="0" borderId="0" applyAlignment="1" pivotButton="0" quotePrefix="0" xfId="0">
      <alignment vertical="center"/>
    </xf>
    <xf numFmtId="0" fontId="42" fillId="0" borderId="0" applyAlignment="1" pivotButton="0" quotePrefix="0" xfId="0">
      <alignment horizontal="center" textRotation="90"/>
    </xf>
    <xf numFmtId="0" fontId="0" fillId="4" borderId="0" pivotButton="0" quotePrefix="0" xfId="0"/>
    <xf numFmtId="0" fontId="0" fillId="4" borderId="0" applyAlignment="1" pivotButton="0" quotePrefix="0" xfId="0">
      <alignment horizontal="center"/>
    </xf>
    <xf numFmtId="0" fontId="0" fillId="4" borderId="18" applyAlignment="1" pivotButton="0" quotePrefix="0" xfId="0">
      <alignment horizontal="center" vertical="center"/>
    </xf>
    <xf numFmtId="0" fontId="0" fillId="4" borderId="13" applyAlignment="1" pivotButton="0" quotePrefix="0" xfId="0">
      <alignment horizontal="center" vertical="center"/>
    </xf>
    <xf numFmtId="0" fontId="0" fillId="4" borderId="19" applyAlignment="1" pivotButton="0" quotePrefix="0" xfId="0">
      <alignment horizontal="center" vertical="center"/>
    </xf>
    <xf numFmtId="0" fontId="0" fillId="4" borderId="6" applyAlignment="1" pivotButton="0" quotePrefix="0" xfId="0">
      <alignment horizontal="center" vertical="center"/>
    </xf>
    <xf numFmtId="0" fontId="0" fillId="67" borderId="19" applyAlignment="1" pivotButton="0" quotePrefix="0" xfId="0">
      <alignment horizontal="center" vertical="center"/>
    </xf>
    <xf numFmtId="0" fontId="0" fillId="67" borderId="6" applyAlignment="1" pivotButton="0" quotePrefix="0" xfId="0">
      <alignment horizontal="center" vertical="center"/>
    </xf>
    <xf numFmtId="0" fontId="0" fillId="10" borderId="0" applyAlignment="1" pivotButton="0" quotePrefix="0" xfId="0">
      <alignment vertical="center"/>
    </xf>
    <xf numFmtId="0" fontId="0" fillId="10" borderId="0" applyAlignment="1" pivotButton="0" quotePrefix="0" xfId="0">
      <alignment horizontal="left" vertical="center" wrapText="1"/>
    </xf>
    <xf numFmtId="0" fontId="0" fillId="10" borderId="0" applyAlignment="1" pivotButton="0" quotePrefix="0" xfId="0">
      <alignment horizontal="center" vertical="center" wrapText="1"/>
    </xf>
    <xf numFmtId="1" fontId="0" fillId="10" borderId="0" applyAlignment="1" pivotButton="0" quotePrefix="0" xfId="0">
      <alignment horizontal="center" vertical="center" wrapText="1"/>
    </xf>
    <xf numFmtId="0" fontId="0" fillId="10" borderId="0" applyAlignment="1" pivotButton="0" quotePrefix="0" xfId="0">
      <alignment horizontal="center" vertical="center"/>
    </xf>
    <xf numFmtId="0" fontId="0" fillId="10" borderId="0" applyAlignment="1" applyProtection="1" pivotButton="0" quotePrefix="0" xfId="0">
      <alignment horizontal="center" vertical="center"/>
      <protection locked="0" hidden="0"/>
    </xf>
    <xf numFmtId="0" fontId="0" fillId="16" borderId="79" applyAlignment="1" pivotButton="0" quotePrefix="0" xfId="0">
      <alignment horizontal="center" wrapText="1"/>
    </xf>
    <xf numFmtId="0" fontId="0" fillId="16" borderId="44" applyAlignment="1" pivotButton="0" quotePrefix="0" xfId="0">
      <alignment horizontal="center" wrapText="1"/>
    </xf>
    <xf numFmtId="0" fontId="14" fillId="10" borderId="0" applyAlignment="1" pivotButton="0" quotePrefix="0" xfId="0">
      <alignment horizontal="left" vertical="center" wrapText="1"/>
    </xf>
    <xf numFmtId="1" fontId="0" fillId="10" borderId="0" applyAlignment="1" pivotButton="0" quotePrefix="0" xfId="0">
      <alignment horizontal="center" vertical="center"/>
    </xf>
    <xf numFmtId="0" fontId="24" fillId="6" borderId="0" pivotButton="0" quotePrefix="0" xfId="0"/>
    <xf numFmtId="0" fontId="24" fillId="6" borderId="0" applyAlignment="1" pivotButton="0" quotePrefix="0" xfId="0">
      <alignment horizontal="center" wrapText="1"/>
    </xf>
    <xf numFmtId="0" fontId="0" fillId="6" borderId="0" applyAlignment="1" pivotButton="0" quotePrefix="0" xfId="0">
      <alignment horizontal="center"/>
    </xf>
    <xf numFmtId="0" fontId="7" fillId="6" borderId="0" pivotButton="0" quotePrefix="0" xfId="0"/>
    <xf numFmtId="0" fontId="0" fillId="6" borderId="0" applyAlignment="1" pivotButton="0" quotePrefix="0" xfId="0">
      <alignment horizontal="right"/>
    </xf>
    <xf numFmtId="0" fontId="0" fillId="0" borderId="53" applyAlignment="1" pivotButton="0" quotePrefix="0" xfId="0">
      <alignment wrapText="1"/>
    </xf>
    <xf numFmtId="0" fontId="0" fillId="0" borderId="54" applyAlignment="1" pivotButton="0" quotePrefix="0" xfId="0">
      <alignment wrapText="1"/>
    </xf>
    <xf numFmtId="0" fontId="0" fillId="0" borderId="55" applyAlignment="1" pivotButton="0" quotePrefix="0" xfId="0">
      <alignment horizontal="center" wrapText="1"/>
    </xf>
    <xf numFmtId="1" fontId="0" fillId="0" borderId="62" applyAlignment="1" pivotButton="0" quotePrefix="0" xfId="0">
      <alignment horizontal="center"/>
    </xf>
    <xf numFmtId="1" fontId="0" fillId="0" borderId="1" applyAlignment="1" pivotButton="0" quotePrefix="0" xfId="0">
      <alignment horizontal="center"/>
    </xf>
    <xf numFmtId="1" fontId="5" fillId="9" borderId="63" applyAlignment="1" pivotButton="0" quotePrefix="0" xfId="0">
      <alignment horizontal="center"/>
    </xf>
    <xf numFmtId="0" fontId="10" fillId="0" borderId="0" applyAlignment="1" pivotButton="0" quotePrefix="0" xfId="0">
      <alignment wrapText="1"/>
    </xf>
    <xf numFmtId="0" fontId="109" fillId="0" borderId="0" applyAlignment="1" pivotButton="0" quotePrefix="0" xfId="0">
      <alignment vertical="center"/>
    </xf>
    <xf numFmtId="0" fontId="0" fillId="0" borderId="0" applyAlignment="1" pivotButton="0" quotePrefix="0" xfId="0">
      <alignment vertical="top" wrapText="1"/>
    </xf>
    <xf numFmtId="0" fontId="24" fillId="0" borderId="0" pivotButton="0" quotePrefix="1" xfId="0"/>
    <xf numFmtId="0" fontId="110" fillId="0" borderId="0" pivotButton="0" quotePrefix="0" xfId="0"/>
    <xf numFmtId="0" fontId="2" fillId="8" borderId="0" applyAlignment="1" pivotButton="0" quotePrefix="0" xfId="0">
      <alignment horizontal="left" vertical="center" wrapText="1"/>
    </xf>
    <xf numFmtId="0" fontId="0" fillId="10" borderId="0" applyAlignment="1" pivotButton="0" quotePrefix="0" xfId="0">
      <alignment vertical="center" wrapText="1"/>
    </xf>
    <xf numFmtId="0" fontId="27" fillId="32" borderId="0" applyAlignment="1" pivotButton="0" quotePrefix="0" xfId="0">
      <alignment horizontal="center" vertical="center" wrapText="1"/>
    </xf>
    <xf numFmtId="0" fontId="30" fillId="0" borderId="0" applyAlignment="1" pivotButton="0" quotePrefix="0" xfId="0">
      <alignment horizontal="center" vertical="center"/>
    </xf>
    <xf numFmtId="0" fontId="111" fillId="0" borderId="0" applyAlignment="1" pivotButton="0" quotePrefix="0" xfId="0">
      <alignment horizontal="center" vertical="center"/>
    </xf>
    <xf numFmtId="0" fontId="112" fillId="0" borderId="0" applyAlignment="1" pivotButton="0" quotePrefix="0" xfId="0">
      <alignment horizontal="center" vertical="center"/>
    </xf>
    <xf numFmtId="0" fontId="112" fillId="0" borderId="0" applyAlignment="1" pivotButton="0" quotePrefix="0" xfId="0">
      <alignment horizontal="center"/>
    </xf>
    <xf numFmtId="0" fontId="0" fillId="0" borderId="0" applyAlignment="1" pivotButton="0" quotePrefix="0" xfId="0">
      <alignment horizontal="center" vertical="top" wrapText="1"/>
    </xf>
    <xf numFmtId="0" fontId="3" fillId="35" borderId="0" applyAlignment="1" pivotButton="0" quotePrefix="0" xfId="0">
      <alignment horizontal="center" vertical="center" wrapText="1"/>
    </xf>
    <xf numFmtId="0" fontId="0" fillId="17" borderId="0" applyAlignment="1" pivotButton="0" quotePrefix="0" xfId="0">
      <alignment vertical="center" wrapText="1"/>
    </xf>
    <xf numFmtId="0" fontId="29" fillId="0" borderId="0" applyAlignment="1" pivotButton="0" quotePrefix="0" xfId="0">
      <alignment horizontal="center" vertical="center" textRotation="90"/>
    </xf>
    <xf numFmtId="0" fontId="27" fillId="0" borderId="0" applyAlignment="1" pivotButton="0" quotePrefix="0" xfId="0">
      <alignment vertical="center" wrapText="1"/>
    </xf>
    <xf numFmtId="0" fontId="6" fillId="0" borderId="0" applyAlignment="1" pivotButton="0" quotePrefix="0" xfId="0">
      <alignment vertical="center" textRotation="90"/>
    </xf>
    <xf numFmtId="0" fontId="90" fillId="21" borderId="0" applyAlignment="1" pivotButton="0" quotePrefix="0" xfId="0">
      <alignment horizontal="center" vertical="center" wrapText="1"/>
    </xf>
    <xf numFmtId="0" fontId="3" fillId="21" borderId="0" pivotButton="0" quotePrefix="0" xfId="0"/>
    <xf numFmtId="0" fontId="106" fillId="7" borderId="0" applyAlignment="1" pivotButton="0" quotePrefix="0" xfId="0">
      <alignment horizontal="left" vertical="center" wrapText="1"/>
    </xf>
    <xf numFmtId="0" fontId="106" fillId="51" borderId="0" applyAlignment="1" pivotButton="0" quotePrefix="0" xfId="0">
      <alignment horizontal="center" vertical="center" wrapText="1"/>
    </xf>
    <xf numFmtId="0" fontId="12" fillId="32" borderId="74" applyAlignment="1" pivotButton="0" quotePrefix="0" xfId="0">
      <alignment horizontal="left" vertical="center" wrapText="1"/>
    </xf>
    <xf numFmtId="0" fontId="12" fillId="32" borderId="41" applyAlignment="1" pivotButton="0" quotePrefix="0" xfId="0">
      <alignment horizontal="left" vertical="center" wrapText="1"/>
    </xf>
    <xf numFmtId="0" fontId="27" fillId="12" borderId="0" applyAlignment="1" pivotButton="0" quotePrefix="0" xfId="0">
      <alignment horizontal="left" vertical="center" wrapText="1"/>
    </xf>
    <xf numFmtId="0" fontId="0" fillId="0" borderId="4" applyAlignment="1" pivotButton="0" quotePrefix="0" xfId="0">
      <alignment vertical="center"/>
    </xf>
    <xf numFmtId="0" fontId="0" fillId="32" borderId="0" applyAlignment="1" pivotButton="0" quotePrefix="0" xfId="0">
      <alignment horizontal="left" vertical="top" wrapText="1"/>
    </xf>
    <xf numFmtId="0" fontId="12" fillId="53" borderId="0" applyAlignment="1" pivotButton="0" quotePrefix="0" xfId="0">
      <alignment horizontal="left" vertical="center" wrapText="1"/>
    </xf>
    <xf numFmtId="0" fontId="32" fillId="51" borderId="0" applyAlignment="1" pivotButton="0" quotePrefix="0" xfId="0">
      <alignment horizontal="left" vertical="center" wrapText="1"/>
    </xf>
    <xf numFmtId="0" fontId="32" fillId="40" borderId="0" applyAlignment="1" pivotButton="0" quotePrefix="0" xfId="0">
      <alignment horizontal="left" vertical="center" wrapText="1"/>
    </xf>
    <xf numFmtId="0" fontId="0" fillId="52" borderId="0" applyAlignment="1" pivotButton="0" quotePrefix="0" xfId="0">
      <alignment horizontal="left" vertical="center" wrapText="1"/>
    </xf>
    <xf numFmtId="0" fontId="29" fillId="0" borderId="85" applyAlignment="1" pivotButton="0" quotePrefix="0" xfId="0">
      <alignment horizontal="center" vertical="center"/>
    </xf>
    <xf numFmtId="165" fontId="22" fillId="0" borderId="0" applyAlignment="1" pivotButton="0" quotePrefix="0" xfId="1">
      <alignment horizontal="center" vertical="center"/>
    </xf>
    <xf numFmtId="0" fontId="29" fillId="0" borderId="86" applyAlignment="1" pivotButton="0" quotePrefix="0" xfId="0">
      <alignment horizontal="center" vertical="center"/>
    </xf>
    <xf numFmtId="165" fontId="22" fillId="0" borderId="0" applyAlignment="1" pivotButton="0" quotePrefix="0" xfId="1">
      <alignment horizontal="center"/>
    </xf>
    <xf numFmtId="0" fontId="10" fillId="7" borderId="0" applyAlignment="1" pivotButton="0" quotePrefix="0" xfId="0">
      <alignment vertical="center" wrapText="1"/>
    </xf>
    <xf numFmtId="0" fontId="90" fillId="9" borderId="0" applyAlignment="1" pivotButton="0" quotePrefix="0" xfId="0">
      <alignment horizontal="center" vertical="center" wrapText="1"/>
    </xf>
    <xf numFmtId="0" fontId="0" fillId="51" borderId="31" applyAlignment="1" pivotButton="0" quotePrefix="0" xfId="0">
      <alignment vertical="center" wrapText="1"/>
    </xf>
    <xf numFmtId="0" fontId="12" fillId="51" borderId="13" applyAlignment="1" pivotButton="0" quotePrefix="0" xfId="0">
      <alignment horizontal="center" vertical="center" wrapText="1"/>
    </xf>
    <xf numFmtId="0" fontId="23" fillId="7" borderId="0" applyAlignment="1" pivotButton="0" quotePrefix="0" xfId="0">
      <alignment horizontal="left" vertical="center" wrapText="1"/>
    </xf>
    <xf numFmtId="0" fontId="23" fillId="7" borderId="0" applyAlignment="1" pivotButton="0" quotePrefix="0" xfId="0">
      <alignment vertical="center" wrapText="1"/>
    </xf>
    <xf numFmtId="0" fontId="12" fillId="51" borderId="0" applyAlignment="1" pivotButton="0" quotePrefix="0" xfId="0">
      <alignment vertical="center" wrapText="1"/>
    </xf>
    <xf numFmtId="0" fontId="32" fillId="54" borderId="0" applyAlignment="1" pivotButton="0" quotePrefix="0" xfId="0">
      <alignment vertical="center" wrapText="1"/>
    </xf>
    <xf numFmtId="0" fontId="19" fillId="36" borderId="0" applyAlignment="1" pivotButton="0" quotePrefix="0" xfId="0">
      <alignment vertical="center" wrapText="1"/>
    </xf>
    <xf numFmtId="165" fontId="22" fillId="0" borderId="0" applyAlignment="1" pivotButton="0" quotePrefix="0" xfId="1">
      <alignment horizontal="center"/>
    </xf>
    <xf numFmtId="0" fontId="0" fillId="36" borderId="21" applyAlignment="1" pivotButton="0" quotePrefix="0" xfId="0">
      <alignment horizontal="center" vertical="center" wrapText="1"/>
    </xf>
    <xf numFmtId="0" fontId="19" fillId="36" borderId="21" applyAlignment="1" pivotButton="0" quotePrefix="0" xfId="0">
      <alignment vertical="center" wrapText="1"/>
    </xf>
    <xf numFmtId="0" fontId="0" fillId="36" borderId="21" applyAlignment="1" pivotButton="0" quotePrefix="0" xfId="0">
      <alignment vertical="center" wrapText="1"/>
    </xf>
    <xf numFmtId="0" fontId="71" fillId="36" borderId="21" applyAlignment="1" pivotButton="0" quotePrefix="0" xfId="0">
      <alignment horizontal="left" vertical="center" wrapText="1"/>
    </xf>
    <xf numFmtId="0" fontId="72" fillId="36" borderId="21" applyAlignment="1" pivotButton="0" quotePrefix="0" xfId="0">
      <alignment horizontal="center" vertical="center" wrapText="1"/>
    </xf>
    <xf numFmtId="0" fontId="72" fillId="36" borderId="21" applyAlignment="1" pivotButton="0" quotePrefix="0" xfId="0">
      <alignment horizontal="center" vertical="center"/>
    </xf>
    <xf numFmtId="0" fontId="72" fillId="36" borderId="21" applyAlignment="1" pivotButton="0" quotePrefix="0" xfId="0">
      <alignment horizontal="left" vertical="top" wrapText="1"/>
    </xf>
    <xf numFmtId="1" fontId="72" fillId="36" borderId="21" applyAlignment="1" pivotButton="0" quotePrefix="0" xfId="0">
      <alignment horizontal="center" vertical="center"/>
    </xf>
    <xf numFmtId="9" fontId="15" fillId="36" borderId="87" applyAlignment="1" pivotButton="0" quotePrefix="0" xfId="2">
      <alignment horizontal="center" vertical="center" wrapText="1"/>
    </xf>
    <xf numFmtId="0" fontId="15" fillId="36" borderId="21" applyAlignment="1" pivotButton="0" quotePrefix="0" xfId="0">
      <alignment horizontal="center" vertical="center" wrapText="1"/>
    </xf>
    <xf numFmtId="0" fontId="27" fillId="36" borderId="21" applyAlignment="1" pivotButton="0" quotePrefix="0" xfId="0">
      <alignment horizontal="left" vertical="center"/>
    </xf>
    <xf numFmtId="0" fontId="0" fillId="28" borderId="19" applyAlignment="1" pivotButton="0" quotePrefix="0" xfId="0">
      <alignment horizontal="center" vertical="center" wrapText="1"/>
    </xf>
    <xf numFmtId="0" fontId="32" fillId="28" borderId="31" applyAlignment="1" pivotButton="0" quotePrefix="0" xfId="0">
      <alignment horizontal="left" vertical="center" wrapText="1"/>
    </xf>
    <xf numFmtId="0" fontId="23" fillId="28" borderId="15" applyAlignment="1" pivotButton="0" quotePrefix="0" xfId="0">
      <alignment horizontal="center" vertical="center" wrapText="1"/>
    </xf>
    <xf numFmtId="0" fontId="23" fillId="28" borderId="8" applyAlignment="1" pivotButton="0" quotePrefix="0" xfId="0">
      <alignment horizontal="center" vertical="center" wrapText="1"/>
    </xf>
    <xf numFmtId="0" fontId="29" fillId="28" borderId="74" applyAlignment="1" pivotButton="0" quotePrefix="0" xfId="0">
      <alignment horizontal="center" vertical="center" wrapText="1"/>
    </xf>
    <xf numFmtId="0" fontId="29" fillId="28" borderId="0" applyAlignment="1" pivotButton="0" quotePrefix="0" xfId="0">
      <alignment horizontal="center" vertical="center" wrapText="1"/>
    </xf>
    <xf numFmtId="0" fontId="0" fillId="28" borderId="0" applyAlignment="1" pivotButton="0" quotePrefix="0" xfId="0">
      <alignment horizontal="left" vertical="top" wrapText="1"/>
    </xf>
    <xf numFmtId="1" fontId="44" fillId="28" borderId="40" applyAlignment="1" pivotButton="0" quotePrefix="0" xfId="0">
      <alignment horizontal="center" vertical="center" wrapText="1"/>
    </xf>
    <xf numFmtId="9" fontId="30" fillId="28" borderId="72" applyAlignment="1" pivotButton="0" quotePrefix="0" xfId="2">
      <alignment horizontal="center" vertical="center"/>
    </xf>
    <xf numFmtId="9" fontId="30" fillId="28" borderId="42" applyAlignment="1" pivotButton="0" quotePrefix="0" xfId="2">
      <alignment horizontal="center" vertical="center"/>
    </xf>
    <xf numFmtId="9" fontId="30" fillId="28" borderId="73" applyAlignment="1" pivotButton="0" quotePrefix="0" xfId="2">
      <alignment horizontal="center" vertical="center"/>
    </xf>
    <xf numFmtId="0" fontId="23" fillId="24" borderId="0" applyAlignment="1" pivotButton="0" quotePrefix="0" xfId="0">
      <alignment horizontal="left" vertical="center" wrapText="1"/>
    </xf>
    <xf numFmtId="0" fontId="23" fillId="6" borderId="0" applyAlignment="1" pivotButton="0" quotePrefix="0" xfId="0">
      <alignment horizontal="left" vertical="center" wrapText="1"/>
    </xf>
    <xf numFmtId="0" fontId="23" fillId="25" borderId="0" applyAlignment="1" pivotButton="0" quotePrefix="0" xfId="0">
      <alignment horizontal="left" vertical="center" wrapText="1"/>
    </xf>
    <xf numFmtId="0" fontId="0" fillId="35" borderId="15" applyAlignment="1" pivotButton="0" quotePrefix="1" xfId="0">
      <alignment horizontal="left" vertical="center" wrapText="1"/>
    </xf>
    <xf numFmtId="0" fontId="0" fillId="35" borderId="16" applyAlignment="1" pivotButton="0" quotePrefix="1" xfId="0">
      <alignment horizontal="left" vertical="center" wrapText="1"/>
    </xf>
    <xf numFmtId="0" fontId="27" fillId="35" borderId="16" applyAlignment="1" pivotButton="0" quotePrefix="0" xfId="0">
      <alignment horizontal="left" vertical="center" wrapText="1"/>
    </xf>
    <xf numFmtId="0" fontId="0" fillId="7" borderId="16" applyAlignment="1" pivotButton="0" quotePrefix="0" xfId="0">
      <alignment horizontal="left" vertical="center" wrapText="1"/>
    </xf>
    <xf numFmtId="0" fontId="0" fillId="7" borderId="16" applyAlignment="1" pivotButton="0" quotePrefix="1" xfId="0">
      <alignment horizontal="left" vertical="top" wrapText="1"/>
    </xf>
    <xf numFmtId="0" fontId="0" fillId="7" borderId="16" applyAlignment="1" pivotButton="0" quotePrefix="0" xfId="0">
      <alignment horizontal="left" vertical="top" wrapText="1"/>
    </xf>
    <xf numFmtId="0" fontId="0" fillId="7" borderId="28" applyAlignment="1" pivotButton="0" quotePrefix="1" xfId="0">
      <alignment horizontal="left" vertical="center" wrapText="1"/>
    </xf>
    <xf numFmtId="0" fontId="0" fillId="17" borderId="15" applyAlignment="1" pivotButton="0" quotePrefix="0" xfId="0">
      <alignment horizontal="left" vertical="center" wrapText="1"/>
    </xf>
    <xf numFmtId="0" fontId="0" fillId="17" borderId="16" applyAlignment="1" pivotButton="0" quotePrefix="0" xfId="0">
      <alignment horizontal="left" vertical="center" wrapText="1"/>
    </xf>
    <xf numFmtId="0" fontId="10" fillId="7" borderId="16" applyAlignment="1" pivotButton="0" quotePrefix="0" xfId="0">
      <alignment horizontal="left" vertical="center" wrapText="1"/>
    </xf>
    <xf numFmtId="0" fontId="12" fillId="32" borderId="15" applyAlignment="1" pivotButton="0" quotePrefix="0" xfId="0">
      <alignment horizontal="left" vertical="center" wrapText="1"/>
    </xf>
    <xf numFmtId="0" fontId="32" fillId="52" borderId="16" applyAlignment="1" pivotButton="0" quotePrefix="0" xfId="0">
      <alignment horizontal="left" vertical="center" wrapText="1"/>
    </xf>
    <xf numFmtId="0" fontId="12" fillId="32" borderId="16" applyAlignment="1" pivotButton="0" quotePrefix="0" xfId="0">
      <alignment horizontal="left" vertical="center" wrapText="1"/>
    </xf>
    <xf numFmtId="0" fontId="12" fillId="7" borderId="16" applyAlignment="1" pivotButton="0" quotePrefix="1" xfId="0">
      <alignment horizontal="left" vertical="center" wrapText="1"/>
    </xf>
    <xf numFmtId="0" fontId="0" fillId="52" borderId="28" applyAlignment="1" pivotButton="0" quotePrefix="0" xfId="0">
      <alignment horizontal="left" vertical="center" wrapText="1"/>
    </xf>
    <xf numFmtId="0" fontId="12" fillId="52" borderId="15" applyAlignment="1" pivotButton="0" quotePrefix="0" xfId="0">
      <alignment horizontal="left" vertical="center" wrapText="1"/>
    </xf>
    <xf numFmtId="0" fontId="56" fillId="40" borderId="16" applyAlignment="1" pivotButton="0" quotePrefix="0" xfId="0">
      <alignment vertical="center" wrapText="1"/>
    </xf>
    <xf numFmtId="0" fontId="32" fillId="25" borderId="16" applyAlignment="1" pivotButton="0" quotePrefix="0" xfId="0">
      <alignment vertical="center" wrapText="1"/>
    </xf>
    <xf numFmtId="0" fontId="32" fillId="25" borderId="16" applyAlignment="1" pivotButton="0" quotePrefix="0" xfId="0">
      <alignment horizontal="left" vertical="center" wrapText="1"/>
    </xf>
    <xf numFmtId="0" fontId="12" fillId="52" borderId="16" applyAlignment="1" pivotButton="0" quotePrefix="0" xfId="0">
      <alignment horizontal="left" vertical="center" wrapText="1"/>
    </xf>
    <xf numFmtId="0" fontId="12" fillId="7" borderId="28" applyAlignment="1" pivotButton="0" quotePrefix="0" xfId="0">
      <alignment horizontal="left" vertical="center" wrapText="1"/>
    </xf>
    <xf numFmtId="0" fontId="12" fillId="36" borderId="15" applyAlignment="1" pivotButton="0" quotePrefix="0" xfId="0">
      <alignment horizontal="left" vertical="center" wrapText="1"/>
    </xf>
    <xf numFmtId="0" fontId="12" fillId="36" borderId="16" applyAlignment="1" pivotButton="0" quotePrefix="0" xfId="0">
      <alignment horizontal="left" vertical="center" wrapText="1"/>
    </xf>
    <xf numFmtId="0" fontId="12" fillId="7" borderId="16" applyAlignment="1" pivotButton="0" quotePrefix="0" xfId="0">
      <alignment horizontal="left" vertical="center" wrapText="1"/>
    </xf>
    <xf numFmtId="0" fontId="47" fillId="7" borderId="16" applyAlignment="1" pivotButton="0" quotePrefix="0" xfId="0">
      <alignment horizontal="left" vertical="center" wrapText="1"/>
    </xf>
    <xf numFmtId="0" fontId="32" fillId="36" borderId="16" applyAlignment="1" pivotButton="0" quotePrefix="0" xfId="0">
      <alignment horizontal="left" vertical="center" wrapText="1"/>
    </xf>
    <xf numFmtId="0" fontId="45" fillId="7" borderId="16" applyAlignment="1" pivotButton="0" quotePrefix="0" xfId="0">
      <alignment horizontal="left" vertical="center" wrapText="1"/>
    </xf>
    <xf numFmtId="0" fontId="32" fillId="7" borderId="16" applyAlignment="1" pivotButton="0" quotePrefix="0" xfId="0">
      <alignment horizontal="left" vertical="center" wrapText="1"/>
    </xf>
    <xf numFmtId="0" fontId="46" fillId="7" borderId="16" applyAlignment="1" pivotButton="0" quotePrefix="0" xfId="0">
      <alignment horizontal="left" vertical="center" wrapText="1"/>
    </xf>
    <xf numFmtId="0" fontId="12" fillId="7" borderId="0" applyAlignment="1" pivotButton="0" quotePrefix="1" xfId="0">
      <alignment vertical="center" wrapText="1"/>
    </xf>
    <xf numFmtId="0" fontId="56" fillId="54" borderId="16" applyAlignment="1" pivotButton="0" quotePrefix="0" xfId="0">
      <alignment vertical="center" wrapText="1"/>
    </xf>
    <xf numFmtId="0" fontId="0" fillId="51" borderId="15" applyAlignment="1" pivotButton="0" quotePrefix="0" xfId="0">
      <alignment vertical="center" wrapText="1"/>
    </xf>
    <xf numFmtId="0" fontId="48" fillId="7" borderId="16" applyAlignment="1" pivotButton="0" quotePrefix="0" xfId="0">
      <alignment horizontal="left" vertical="center" wrapText="1"/>
    </xf>
    <xf numFmtId="0" fontId="12" fillId="36" borderId="0" applyAlignment="1" pivotButton="0" quotePrefix="0" xfId="0">
      <alignment horizontal="left" vertical="center" wrapText="1"/>
    </xf>
    <xf numFmtId="0" fontId="12" fillId="36" borderId="0" applyAlignment="1" pivotButton="0" quotePrefix="1" xfId="0">
      <alignment horizontal="left" vertical="center" wrapText="1"/>
    </xf>
    <xf numFmtId="0" fontId="32" fillId="28" borderId="15" applyAlignment="1" pivotButton="0" quotePrefix="0" xfId="0">
      <alignment horizontal="left" vertical="center" wrapText="1"/>
    </xf>
    <xf numFmtId="0" fontId="62" fillId="24" borderId="0" applyAlignment="1" pivotButton="0" quotePrefix="0" xfId="0">
      <alignment vertical="center"/>
    </xf>
    <xf numFmtId="0" fontId="56" fillId="24" borderId="16" applyAlignment="1" pivotButton="0" quotePrefix="0" xfId="0">
      <alignment vertical="center"/>
    </xf>
    <xf numFmtId="0" fontId="12" fillId="6" borderId="16" applyAlignment="1" pivotButton="0" quotePrefix="0" xfId="0">
      <alignment horizontal="left" vertical="center" wrapText="1"/>
    </xf>
    <xf numFmtId="0" fontId="32" fillId="25" borderId="15" applyAlignment="1" pivotButton="0" quotePrefix="0" xfId="0">
      <alignment vertical="center" wrapText="1"/>
    </xf>
    <xf numFmtId="0" fontId="56" fillId="24" borderId="15" applyAlignment="1" pivotButton="0" quotePrefix="0" xfId="0">
      <alignment vertical="center" wrapText="1"/>
    </xf>
    <xf numFmtId="0" fontId="56" fillId="25" borderId="15" applyAlignment="1" pivotButton="0" quotePrefix="0" xfId="0">
      <alignment vertical="center" wrapText="1"/>
    </xf>
    <xf numFmtId="0" fontId="32" fillId="24" borderId="15" applyAlignment="1" pivotButton="0" quotePrefix="0" xfId="0">
      <alignment vertical="center" wrapText="1"/>
    </xf>
    <xf numFmtId="0" fontId="32" fillId="51" borderId="15" applyAlignment="1" pivotButton="0" quotePrefix="0" xfId="0">
      <alignment vertical="center" wrapText="1"/>
    </xf>
    <xf numFmtId="0" fontId="32" fillId="50" borderId="15" applyAlignment="1" pivotButton="0" quotePrefix="0" xfId="0">
      <alignment vertical="center" wrapText="1"/>
    </xf>
    <xf numFmtId="0" fontId="32" fillId="50" borderId="0" applyAlignment="1" pivotButton="0" quotePrefix="0" xfId="0">
      <alignment horizontal="left" vertical="center" wrapText="1"/>
    </xf>
    <xf numFmtId="0" fontId="32" fillId="51" borderId="0" applyAlignment="1" pivotButton="0" quotePrefix="1" xfId="0">
      <alignment vertical="center" wrapText="1"/>
    </xf>
    <xf numFmtId="0" fontId="12" fillId="32" borderId="19" applyAlignment="1" pivotButton="0" quotePrefix="1" xfId="0">
      <alignment horizontal="left" vertical="center" wrapText="1"/>
    </xf>
    <xf numFmtId="0" fontId="0" fillId="3" borderId="15" applyAlignment="1" pivotButton="0" quotePrefix="0" xfId="0">
      <alignment horizontal="left" vertical="center" wrapText="1"/>
    </xf>
    <xf numFmtId="0" fontId="0" fillId="3" borderId="16" applyAlignment="1" pivotButton="0" quotePrefix="0" xfId="0">
      <alignment horizontal="left" vertical="center" wrapText="1"/>
    </xf>
    <xf numFmtId="0" fontId="19" fillId="3" borderId="16" applyAlignment="1" pivotButton="0" quotePrefix="0" xfId="0">
      <alignment horizontal="left" vertical="center" wrapText="1"/>
    </xf>
    <xf numFmtId="0" fontId="19" fillId="3" borderId="28" applyAlignment="1" pivotButton="0" quotePrefix="0" xfId="0">
      <alignment horizontal="left" vertical="center" wrapText="1"/>
    </xf>
    <xf numFmtId="0" fontId="0" fillId="35" borderId="74" applyAlignment="1" pivotButton="0" quotePrefix="1" xfId="0">
      <alignment horizontal="left" vertical="center" wrapText="1"/>
    </xf>
    <xf numFmtId="0" fontId="0" fillId="35" borderId="23" applyAlignment="1" pivotButton="0" quotePrefix="1" xfId="0">
      <alignment horizontal="left" vertical="center" wrapText="1"/>
    </xf>
    <xf numFmtId="0" fontId="0" fillId="7" borderId="57" applyAlignment="1" pivotButton="0" quotePrefix="1" xfId="0">
      <alignment horizontal="left" vertical="center" wrapText="1"/>
    </xf>
    <xf numFmtId="0" fontId="12" fillId="7" borderId="31" applyAlignment="1" pivotButton="0" quotePrefix="1" xfId="0">
      <alignment horizontal="left" vertical="center" wrapText="1"/>
    </xf>
    <xf numFmtId="0" fontId="32" fillId="25" borderId="0" applyAlignment="1" pivotButton="0" quotePrefix="0" xfId="0">
      <alignment vertical="center" wrapText="1"/>
    </xf>
    <xf numFmtId="0" fontId="0" fillId="13" borderId="0" applyAlignment="1" pivotButton="0" quotePrefix="0" xfId="0">
      <alignment vertical="center" wrapText="1"/>
    </xf>
    <xf numFmtId="0" fontId="0" fillId="3" borderId="0" applyAlignment="1" pivotButton="0" quotePrefix="0" xfId="0">
      <alignment vertical="center" wrapText="1"/>
    </xf>
    <xf numFmtId="0" fontId="0" fillId="18" borderId="0" applyAlignment="1" pivotButton="0" quotePrefix="0" xfId="0">
      <alignment horizontal="left" vertical="center" wrapText="1"/>
    </xf>
    <xf numFmtId="0" fontId="0" fillId="18" borderId="22" applyAlignment="1" pivotButton="0" quotePrefix="1" xfId="0">
      <alignment horizontal="left" vertical="center" wrapText="1"/>
    </xf>
    <xf numFmtId="0" fontId="0" fillId="18" borderId="16" applyAlignment="1" pivotButton="0" quotePrefix="1" xfId="0">
      <alignment horizontal="left" vertical="center" wrapText="1"/>
    </xf>
    <xf numFmtId="0" fontId="0" fillId="18" borderId="16" applyAlignment="1" pivotButton="0" quotePrefix="0" xfId="0">
      <alignment horizontal="left" vertical="center" wrapText="1"/>
    </xf>
    <xf numFmtId="0" fontId="0" fillId="18" borderId="2" applyAlignment="1" pivotButton="0" quotePrefix="0" xfId="0">
      <alignment horizontal="center" vertical="center" wrapText="1"/>
    </xf>
    <xf numFmtId="0" fontId="22" fillId="0" borderId="0" applyAlignment="1" pivotButton="0" quotePrefix="0" xfId="0">
      <alignment horizontal="center" vertical="top"/>
    </xf>
    <xf numFmtId="0" fontId="22" fillId="0" borderId="0" applyAlignment="1" pivotButton="0" quotePrefix="0" xfId="0">
      <alignment vertical="top"/>
    </xf>
    <xf numFmtId="0" fontId="55" fillId="32" borderId="7" applyAlignment="1" pivotButton="0" quotePrefix="0" xfId="0">
      <alignment horizontal="center" vertical="center" wrapText="1"/>
    </xf>
    <xf numFmtId="0" fontId="23" fillId="35" borderId="31" applyAlignment="1" pivotButton="0" quotePrefix="0" xfId="0">
      <alignment horizontal="left" vertical="center" wrapText="1"/>
    </xf>
    <xf numFmtId="0" fontId="23" fillId="35" borderId="15" applyAlignment="1" pivotButton="0" quotePrefix="0" xfId="0">
      <alignment horizontal="left" vertical="center" wrapText="1"/>
    </xf>
    <xf numFmtId="0" fontId="15" fillId="0" borderId="0" applyAlignment="1" pivotButton="0" quotePrefix="0" xfId="0">
      <alignment horizontal="left" vertical="center"/>
    </xf>
    <xf numFmtId="0" fontId="0" fillId="32" borderId="2" applyAlignment="1" pivotButton="0" quotePrefix="0" xfId="0">
      <alignment horizontal="center" vertical="center" wrapText="1"/>
    </xf>
    <xf numFmtId="0" fontId="0" fillId="32" borderId="21" applyAlignment="1" pivotButton="0" quotePrefix="0" xfId="0">
      <alignment horizontal="center" vertical="center" wrapText="1"/>
    </xf>
    <xf numFmtId="0" fontId="19" fillId="32" borderId="21" applyAlignment="1" pivotButton="0" quotePrefix="0" xfId="0">
      <alignment vertical="center" wrapText="1"/>
    </xf>
    <xf numFmtId="0" fontId="0" fillId="32" borderId="21" applyAlignment="1" pivotButton="0" quotePrefix="0" xfId="0">
      <alignment vertical="center" wrapText="1"/>
    </xf>
    <xf numFmtId="0" fontId="71" fillId="32" borderId="21" applyAlignment="1" pivotButton="0" quotePrefix="0" xfId="0">
      <alignment horizontal="left" vertical="center" wrapText="1"/>
    </xf>
    <xf numFmtId="0" fontId="72" fillId="32" borderId="21" applyAlignment="1" pivotButton="0" quotePrefix="0" xfId="0">
      <alignment horizontal="center" vertical="center" wrapText="1"/>
    </xf>
    <xf numFmtId="0" fontId="72" fillId="32" borderId="21" applyAlignment="1" pivotButton="0" quotePrefix="0" xfId="0">
      <alignment horizontal="center" vertical="center"/>
    </xf>
    <xf numFmtId="0" fontId="72" fillId="32" borderId="21" applyAlignment="1" pivotButton="0" quotePrefix="0" xfId="0">
      <alignment horizontal="left" vertical="top" wrapText="1"/>
    </xf>
    <xf numFmtId="1" fontId="72" fillId="32" borderId="21" applyAlignment="1" pivotButton="0" quotePrefix="0" xfId="0">
      <alignment horizontal="center" vertical="center"/>
    </xf>
    <xf numFmtId="9" fontId="15" fillId="32" borderId="87" applyAlignment="1" pivotButton="0" quotePrefix="0" xfId="2">
      <alignment horizontal="center" vertical="center" wrapText="1"/>
    </xf>
    <xf numFmtId="0" fontId="15" fillId="32" borderId="21" applyAlignment="1" pivotButton="0" quotePrefix="0" xfId="0">
      <alignment horizontal="center" vertical="center" wrapText="1"/>
    </xf>
    <xf numFmtId="0" fontId="27" fillId="32" borderId="21" applyAlignment="1" pivotButton="0" quotePrefix="0" xfId="0">
      <alignment horizontal="left" vertical="center"/>
    </xf>
    <xf numFmtId="0" fontId="19" fillId="32" borderId="0" applyAlignment="1" pivotButton="0" quotePrefix="0" xfId="0">
      <alignment vertical="center" wrapText="1"/>
    </xf>
    <xf numFmtId="0" fontId="0" fillId="32" borderId="0" applyAlignment="1" pivotButton="0" quotePrefix="0" xfId="0">
      <alignment vertical="center" wrapText="1"/>
    </xf>
    <xf numFmtId="0" fontId="71" fillId="32" borderId="0" applyAlignment="1" pivotButton="0" quotePrefix="0" xfId="0">
      <alignment horizontal="left" vertical="center" wrapText="1"/>
    </xf>
    <xf numFmtId="0" fontId="72" fillId="32" borderId="0" applyAlignment="1" pivotButton="0" quotePrefix="0" xfId="0">
      <alignment horizontal="center" vertical="center" wrapText="1"/>
    </xf>
    <xf numFmtId="0" fontId="72" fillId="32" borderId="0" applyAlignment="1" pivotButton="0" quotePrefix="0" xfId="0">
      <alignment horizontal="center" vertical="center"/>
    </xf>
    <xf numFmtId="0" fontId="72" fillId="32" borderId="0" applyAlignment="1" pivotButton="0" quotePrefix="0" xfId="0">
      <alignment horizontal="left" vertical="top" wrapText="1"/>
    </xf>
    <xf numFmtId="1" fontId="72" fillId="32" borderId="0" applyAlignment="1" pivotButton="0" quotePrefix="0" xfId="0">
      <alignment horizontal="center" vertical="center"/>
    </xf>
    <xf numFmtId="9" fontId="15" fillId="32" borderId="0" applyAlignment="1" pivotButton="0" quotePrefix="0" xfId="2">
      <alignment horizontal="center" vertical="center" wrapText="1"/>
    </xf>
    <xf numFmtId="0" fontId="15" fillId="32" borderId="0" applyAlignment="1" pivotButton="0" quotePrefix="0" xfId="0">
      <alignment horizontal="center" vertical="center" wrapText="1"/>
    </xf>
    <xf numFmtId="0" fontId="27" fillId="35" borderId="28" applyAlignment="1" pivotButton="0" quotePrefix="0" xfId="0">
      <alignment horizontal="left" vertical="top" wrapText="1"/>
    </xf>
    <xf numFmtId="0" fontId="30" fillId="38" borderId="28" applyAlignment="1" pivotButton="0" quotePrefix="0" xfId="0">
      <alignment horizontal="center" vertical="center"/>
    </xf>
    <xf numFmtId="0" fontId="30" fillId="38" borderId="28" applyAlignment="1" pivotButton="0" quotePrefix="0" xfId="0">
      <alignment horizontal="center"/>
    </xf>
    <xf numFmtId="1" fontId="5" fillId="0" borderId="0" applyAlignment="1" pivotButton="0" quotePrefix="0" xfId="0">
      <alignment horizontal="center"/>
    </xf>
    <xf numFmtId="0" fontId="14" fillId="7" borderId="0" applyAlignment="1" pivotButton="0" quotePrefix="0" xfId="0">
      <alignment vertical="top"/>
    </xf>
    <xf numFmtId="0" fontId="14" fillId="7" borderId="0" pivotButton="0" quotePrefix="0" xfId="0"/>
    <xf numFmtId="0" fontId="2" fillId="0" borderId="7" applyAlignment="1" pivotButton="0" quotePrefix="0" xfId="0">
      <alignment horizontal="center" vertical="center" wrapText="1"/>
    </xf>
    <xf numFmtId="0" fontId="0" fillId="0" borderId="22" applyAlignment="1" pivotButton="0" quotePrefix="0" xfId="0">
      <alignment horizontal="left" vertical="center" wrapText="1"/>
    </xf>
    <xf numFmtId="0" fontId="0" fillId="0" borderId="60" applyAlignment="1" pivotButton="0" quotePrefix="0" xfId="0">
      <alignment horizontal="left" vertical="center" wrapText="1"/>
    </xf>
    <xf numFmtId="0" fontId="0" fillId="0" borderId="16" applyAlignment="1" pivotButton="0" quotePrefix="0" xfId="0">
      <alignment horizontal="left" vertical="center" wrapText="1"/>
    </xf>
    <xf numFmtId="0" fontId="0" fillId="0" borderId="2" applyAlignment="1" pivotButton="0" quotePrefix="0" xfId="0">
      <alignment horizontal="center" vertical="center" wrapText="1"/>
    </xf>
    <xf numFmtId="0" fontId="27" fillId="0" borderId="38" applyAlignment="1" pivotButton="0" quotePrefix="0" xfId="0">
      <alignment horizontal="center" vertical="center" wrapText="1"/>
    </xf>
    <xf numFmtId="0" fontId="27" fillId="0" borderId="16" applyAlignment="1" pivotButton="0" quotePrefix="0" xfId="0">
      <alignment horizontal="center" vertical="center" wrapText="1"/>
    </xf>
    <xf numFmtId="0" fontId="27" fillId="0" borderId="81" applyAlignment="1" pivotButton="0" quotePrefix="0" xfId="0">
      <alignment horizontal="center" vertical="center" wrapText="1"/>
    </xf>
    <xf numFmtId="0" fontId="30" fillId="0" borderId="35" applyAlignment="1" pivotButton="0" quotePrefix="0" xfId="0">
      <alignment horizontal="center" vertical="center"/>
    </xf>
    <xf numFmtId="0" fontId="30" fillId="0" borderId="22" applyAlignment="1" pivotButton="0" quotePrefix="0" xfId="0">
      <alignment horizontal="center" vertical="center"/>
    </xf>
    <xf numFmtId="0" fontId="30" fillId="0" borderId="27" applyAlignment="1" pivotButton="0" quotePrefix="0" xfId="0">
      <alignment horizontal="center" vertical="center"/>
    </xf>
    <xf numFmtId="0" fontId="27" fillId="0" borderId="24" applyAlignment="1" pivotButton="0" quotePrefix="0" xfId="0">
      <alignment horizontal="left" vertical="center"/>
    </xf>
    <xf numFmtId="0" fontId="29" fillId="0" borderId="0" applyAlignment="1" pivotButton="0" quotePrefix="0" xfId="0">
      <alignment horizontal="center" vertical="top"/>
    </xf>
    <xf numFmtId="0" fontId="6" fillId="0" borderId="0" applyAlignment="1" pivotButton="0" quotePrefix="0" xfId="0">
      <alignment horizontal="center" vertical="center" textRotation="45" wrapText="1"/>
    </xf>
    <xf numFmtId="0" fontId="29" fillId="0" borderId="0" applyAlignment="1" pivotButton="0" quotePrefix="0" xfId="0">
      <alignment horizontal="center" vertical="top" textRotation="45" wrapText="1"/>
    </xf>
    <xf numFmtId="0" fontId="29" fillId="0" borderId="0" applyAlignment="1" pivotButton="0" quotePrefix="0" xfId="0">
      <alignment horizontal="center" vertical="center" textRotation="45" wrapText="1"/>
    </xf>
    <xf numFmtId="0" fontId="6" fillId="0" borderId="0" applyAlignment="1" pivotButton="0" quotePrefix="0" xfId="0">
      <alignment horizontal="center" vertical="center" textRotation="90"/>
    </xf>
    <xf numFmtId="0" fontId="29" fillId="0" borderId="0" applyAlignment="1" pivotButton="0" quotePrefix="0" xfId="0">
      <alignment horizontal="center" vertical="top" textRotation="90"/>
    </xf>
    <xf numFmtId="0" fontId="6" fillId="0" borderId="0" applyAlignment="1" pivotButton="0" quotePrefix="0" xfId="0">
      <alignment horizontal="center" vertical="center" textRotation="90" wrapText="1"/>
    </xf>
    <xf numFmtId="0" fontId="29" fillId="0" borderId="0" applyAlignment="1" pivotButton="0" quotePrefix="0" xfId="0">
      <alignment horizontal="center" vertical="top" wrapText="1"/>
    </xf>
    <xf numFmtId="0" fontId="93" fillId="0" borderId="0" applyAlignment="1" pivotButton="0" quotePrefix="0" xfId="3">
      <alignment horizontal="center" vertical="center" wrapText="1"/>
    </xf>
    <xf numFmtId="0" fontId="6" fillId="28" borderId="0" applyAlignment="1" pivotButton="0" quotePrefix="0" xfId="0">
      <alignment horizontal="center" vertical="center"/>
    </xf>
    <xf numFmtId="0" fontId="29" fillId="28" borderId="0" applyAlignment="1" pivotButton="0" quotePrefix="0" xfId="0">
      <alignment horizontal="center" vertical="top"/>
    </xf>
    <xf numFmtId="0" fontId="29" fillId="17" borderId="0" applyAlignment="1" pivotButton="0" quotePrefix="0" xfId="0">
      <alignment horizontal="center" vertical="top"/>
    </xf>
    <xf numFmtId="0" fontId="6" fillId="0" borderId="0" applyAlignment="1" pivotButton="0" quotePrefix="0" xfId="0">
      <alignment horizontal="center" vertical="top"/>
    </xf>
    <xf numFmtId="0" fontId="54" fillId="0" borderId="0" applyAlignment="1" pivotButton="0" quotePrefix="0" xfId="0">
      <alignment horizontal="center" vertical="center"/>
    </xf>
    <xf numFmtId="0" fontId="91" fillId="0" borderId="0" applyAlignment="1" pivotButton="0" quotePrefix="0" xfId="0">
      <alignment horizontal="center" vertical="top"/>
    </xf>
    <xf numFmtId="0" fontId="91" fillId="0" borderId="0" applyAlignment="1" pivotButton="0" quotePrefix="0" xfId="0">
      <alignment horizontal="center" vertical="center"/>
    </xf>
    <xf numFmtId="0" fontId="54" fillId="0" borderId="0" pivotButton="0" quotePrefix="0" xfId="0"/>
    <xf numFmtId="0" fontId="54" fillId="0" borderId="0" applyAlignment="1" pivotButton="0" quotePrefix="0" xfId="0">
      <alignment horizontal="center" vertical="center" textRotation="90"/>
    </xf>
    <xf numFmtId="0" fontId="91" fillId="0" borderId="0" applyAlignment="1" pivotButton="0" quotePrefix="0" xfId="0">
      <alignment horizontal="center" vertical="top" textRotation="90"/>
    </xf>
    <xf numFmtId="0" fontId="91" fillId="0" borderId="0" applyAlignment="1" pivotButton="0" quotePrefix="0" xfId="0">
      <alignment horizontal="center" vertical="center" textRotation="90"/>
    </xf>
    <xf numFmtId="0" fontId="54" fillId="0" borderId="0" applyAlignment="1" pivotButton="0" quotePrefix="0" xfId="0">
      <alignment textRotation="90"/>
    </xf>
    <xf numFmtId="0" fontId="91" fillId="0" borderId="0" applyAlignment="1" pivotButton="0" quotePrefix="0" xfId="0">
      <alignment horizontal="center" wrapText="1"/>
    </xf>
    <xf numFmtId="0" fontId="91" fillId="0" borderId="0" applyAlignment="1" pivotButton="0" quotePrefix="0" xfId="0">
      <alignment horizontal="center" vertical="top" wrapText="1"/>
    </xf>
    <xf numFmtId="0" fontId="50" fillId="0" borderId="0" applyAlignment="1" pivotButton="0" quotePrefix="0" xfId="0">
      <alignment wrapText="1"/>
    </xf>
    <xf numFmtId="0" fontId="50" fillId="0" borderId="0" applyAlignment="1" pivotButton="0" quotePrefix="0" xfId="0">
      <alignment horizontal="center" vertical="top" wrapText="1"/>
    </xf>
    <xf numFmtId="0" fontId="97" fillId="0" borderId="0" applyAlignment="1" pivotButton="0" quotePrefix="0" xfId="0">
      <alignment horizontal="center" vertical="top" wrapText="1"/>
    </xf>
    <xf numFmtId="0" fontId="27" fillId="32" borderId="0" applyAlignment="1" pivotButton="0" quotePrefix="0" xfId="0">
      <alignment horizontal="center" vertical="center" textRotation="90"/>
    </xf>
    <xf numFmtId="0" fontId="29" fillId="32" borderId="0" applyAlignment="1" pivotButton="0" quotePrefix="0" xfId="0">
      <alignment horizontal="center" vertical="top" textRotation="90"/>
    </xf>
    <xf numFmtId="0" fontId="29" fillId="36" borderId="0" applyAlignment="1" pivotButton="0" quotePrefix="0" xfId="0">
      <alignment horizontal="center" vertical="top" textRotation="90"/>
    </xf>
    <xf numFmtId="0" fontId="6" fillId="36" borderId="0" applyAlignment="1" pivotButton="0" quotePrefix="0" xfId="0">
      <alignment horizontal="center" vertical="center" textRotation="90"/>
    </xf>
    <xf numFmtId="0" fontId="29" fillId="36" borderId="0" applyAlignment="1" pivotButton="0" quotePrefix="0" xfId="0">
      <alignment horizontal="center" vertical="center" textRotation="90"/>
    </xf>
    <xf numFmtId="0" fontId="6" fillId="36" borderId="0" applyAlignment="1" pivotButton="0" quotePrefix="0" xfId="0">
      <alignment vertical="center" textRotation="90"/>
    </xf>
    <xf numFmtId="0" fontId="27" fillId="0" borderId="0" applyAlignment="1" pivotButton="0" quotePrefix="0" xfId="0">
      <alignment horizontal="center" vertical="top" wrapText="1"/>
    </xf>
    <xf numFmtId="0" fontId="27" fillId="0" borderId="0" applyAlignment="1" pivotButton="0" quotePrefix="0" xfId="0">
      <alignment vertical="top" wrapText="1"/>
    </xf>
    <xf numFmtId="0" fontId="93" fillId="0" borderId="0" applyAlignment="1" pivotButton="0" quotePrefix="0" xfId="3">
      <alignment horizontal="center" vertical="top" wrapText="1"/>
    </xf>
    <xf numFmtId="0" fontId="6" fillId="0" borderId="0" applyAlignment="1" pivotButton="0" quotePrefix="0" xfId="0">
      <alignment vertical="center" textRotation="90" wrapText="1"/>
    </xf>
    <xf numFmtId="0" fontId="29" fillId="0" borderId="0" applyAlignment="1" pivotButton="0" quotePrefix="0" xfId="0">
      <alignment vertical="top" wrapText="1"/>
    </xf>
    <xf numFmtId="0" fontId="27" fillId="36" borderId="0" applyAlignment="1" pivotButton="0" quotePrefix="0" xfId="0">
      <alignment horizontal="center" vertical="center" textRotation="90"/>
    </xf>
    <xf numFmtId="0" fontId="27" fillId="28" borderId="0" applyAlignment="1" pivotButton="0" quotePrefix="0" xfId="0">
      <alignment horizontal="center" vertical="center" textRotation="90"/>
    </xf>
    <xf numFmtId="0" fontId="29" fillId="28" borderId="0" applyAlignment="1" pivotButton="0" quotePrefix="0" xfId="0">
      <alignment horizontal="center" vertical="top" textRotation="90"/>
    </xf>
    <xf numFmtId="0" fontId="66" fillId="0" borderId="0" applyAlignment="1" pivotButton="0" quotePrefix="0" xfId="0">
      <alignment horizontal="center" vertical="center" textRotation="90"/>
    </xf>
    <xf numFmtId="0" fontId="92" fillId="0" borderId="0" applyAlignment="1" pivotButton="0" quotePrefix="0" xfId="0">
      <alignment horizontal="center" vertical="top" textRotation="90"/>
    </xf>
    <xf numFmtId="0" fontId="92" fillId="0" borderId="0" applyAlignment="1" pivotButton="0" quotePrefix="0" xfId="0">
      <alignment horizontal="center" vertical="center" textRotation="90"/>
    </xf>
    <xf numFmtId="0" fontId="66" fillId="0" borderId="0" applyAlignment="1" pivotButton="0" quotePrefix="0" xfId="0">
      <alignment textRotation="90"/>
    </xf>
    <xf numFmtId="0" fontId="91" fillId="0" borderId="0" applyAlignment="1" pivotButton="0" quotePrefix="0" xfId="0">
      <alignment horizontal="center" vertical="center" wrapText="1"/>
    </xf>
    <xf numFmtId="0" fontId="50" fillId="0" borderId="0" applyAlignment="1" pivotButton="0" quotePrefix="0" xfId="0">
      <alignment vertical="center" wrapText="1"/>
    </xf>
    <xf numFmtId="0" fontId="50" fillId="0" borderId="0" applyAlignment="1" pivotButton="0" quotePrefix="0" xfId="0">
      <alignment vertical="top" wrapText="1"/>
    </xf>
    <xf numFmtId="0" fontId="50" fillId="0" borderId="0" applyAlignment="1" pivotButton="0" quotePrefix="0" xfId="0">
      <alignment horizontal="center" vertical="center"/>
    </xf>
    <xf numFmtId="0" fontId="50" fillId="0" borderId="0" applyAlignment="1" pivotButton="0" quotePrefix="0" xfId="0">
      <alignment textRotation="90"/>
    </xf>
    <xf numFmtId="0" fontId="50" fillId="0" borderId="0" applyAlignment="1" pivotButton="0" quotePrefix="0" xfId="0">
      <alignment horizontal="center" vertical="center" textRotation="90"/>
    </xf>
    <xf numFmtId="0" fontId="6" fillId="28" borderId="0" applyAlignment="1" pivotButton="0" quotePrefix="0" xfId="0">
      <alignment horizontal="center" vertical="center" textRotation="90"/>
    </xf>
    <xf numFmtId="0" fontId="29" fillId="28" borderId="0" applyAlignment="1" pivotButton="0" quotePrefix="0" xfId="0">
      <alignment horizontal="center" vertical="center" textRotation="90"/>
    </xf>
    <xf numFmtId="0" fontId="6" fillId="28" borderId="0" applyAlignment="1" pivotButton="0" quotePrefix="0" xfId="0">
      <alignment vertical="center" textRotation="90"/>
    </xf>
    <xf numFmtId="0" fontId="27" fillId="4" borderId="0" applyAlignment="1" pivotButton="0" quotePrefix="0" xfId="0">
      <alignment vertical="center" wrapText="1"/>
    </xf>
    <xf numFmtId="0" fontId="27" fillId="27" borderId="24" applyAlignment="1" pivotButton="0" quotePrefix="0" xfId="0">
      <alignment horizontal="left" vertical="center" textRotation="45"/>
    </xf>
    <xf numFmtId="0" fontId="27" fillId="6" borderId="16" applyAlignment="1" pivotButton="0" quotePrefix="0" xfId="0">
      <alignment horizontal="left" vertical="center" textRotation="45"/>
    </xf>
    <xf numFmtId="0" fontId="50" fillId="41" borderId="24" applyAlignment="1" pivotButton="0" quotePrefix="0" xfId="0">
      <alignment horizontal="left" vertical="center" textRotation="45" wrapText="1"/>
    </xf>
    <xf numFmtId="0" fontId="50" fillId="42" borderId="15" applyAlignment="1" pivotButton="0" quotePrefix="0" xfId="0">
      <alignment horizontal="left" vertical="center" textRotation="45"/>
    </xf>
    <xf numFmtId="0" fontId="50" fillId="43" borderId="15" applyAlignment="1" pivotButton="0" quotePrefix="0" xfId="0">
      <alignment horizontal="left" vertical="center" textRotation="45"/>
    </xf>
    <xf numFmtId="0" fontId="50" fillId="23" borderId="15" applyAlignment="1" pivotButton="0" quotePrefix="0" xfId="0">
      <alignment horizontal="left" vertical="center" textRotation="45"/>
    </xf>
    <xf numFmtId="0" fontId="50" fillId="40" borderId="15" applyAlignment="1" pivotButton="0" quotePrefix="0" xfId="0">
      <alignment horizontal="left" vertical="center" textRotation="45"/>
    </xf>
    <xf numFmtId="0" fontId="50" fillId="46" borderId="15" applyAlignment="1" pivotButton="0" quotePrefix="0" xfId="0">
      <alignment horizontal="left" vertical="center" textRotation="45"/>
    </xf>
    <xf numFmtId="1" fontId="22" fillId="0" borderId="0" pivotButton="0" quotePrefix="0" xfId="0"/>
    <xf numFmtId="1" fontId="19" fillId="0" borderId="0" applyAlignment="1" pivotButton="0" quotePrefix="0" xfId="0">
      <alignment horizontal="center" vertical="center"/>
    </xf>
    <xf numFmtId="1" fontId="22" fillId="0" borderId="0" applyAlignment="1" pivotButton="0" quotePrefix="0" xfId="0">
      <alignment horizontal="center"/>
    </xf>
    <xf numFmtId="1" fontId="22" fillId="0" borderId="0" applyAlignment="1" pivotButton="0" quotePrefix="0" xfId="0">
      <alignment vertical="center"/>
    </xf>
    <xf numFmtId="1" fontId="22" fillId="0" borderId="0" applyAlignment="1" pivotButton="0" quotePrefix="0" xfId="0">
      <alignment horizontal="center" vertical="center"/>
    </xf>
    <xf numFmtId="1" fontId="41" fillId="0" borderId="0" applyAlignment="1" pivotButton="0" quotePrefix="0" xfId="0">
      <alignment horizontal="center" vertical="center"/>
    </xf>
    <xf numFmtId="0" fontId="84" fillId="0" borderId="0" applyAlignment="1" pivotButton="0" quotePrefix="0" xfId="0">
      <alignment horizontal="center" vertical="center" wrapText="1"/>
    </xf>
    <xf numFmtId="0" fontId="12" fillId="0" borderId="0" applyAlignment="1" pivotButton="0" quotePrefix="1" xfId="0">
      <alignment horizontal="left" vertical="center" wrapText="1"/>
    </xf>
    <xf numFmtId="0" fontId="7" fillId="12" borderId="0" applyAlignment="1" pivotButton="0" quotePrefix="0" xfId="0">
      <alignment horizontal="center" vertical="center" wrapText="1"/>
    </xf>
    <xf numFmtId="0" fontId="108" fillId="0" borderId="0" applyAlignment="1" pivotButton="0" quotePrefix="0" xfId="0">
      <alignment horizontal="center" vertical="center" wrapText="1"/>
    </xf>
    <xf numFmtId="0" fontId="26" fillId="0" borderId="0" applyAlignment="1" pivotButton="0" quotePrefix="0" xfId="0">
      <alignment horizontal="left" vertical="center" wrapText="1"/>
    </xf>
    <xf numFmtId="0" fontId="4"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4" fillId="0" borderId="0" applyAlignment="1" pivotButton="0" quotePrefix="0" xfId="0">
      <alignment horizontal="left" vertical="top" wrapText="1"/>
    </xf>
    <xf numFmtId="0" fontId="14" fillId="0" borderId="0" applyAlignment="1" pivotButton="0" quotePrefix="0" xfId="0">
      <alignment horizontal="center" vertical="center" wrapText="1"/>
    </xf>
    <xf numFmtId="0" fontId="87" fillId="0" borderId="0" applyAlignment="1" pivotButton="0" quotePrefix="0" xfId="0">
      <alignment horizontal="center" vertical="center"/>
    </xf>
    <xf numFmtId="1" fontId="27" fillId="0" borderId="0" applyAlignment="1" pivotButton="0" quotePrefix="0" xfId="0">
      <alignment horizontal="center" vertical="center" wrapText="1"/>
    </xf>
    <xf numFmtId="0" fontId="27" fillId="7" borderId="0" applyAlignment="1" pivotButton="0" quotePrefix="0" xfId="0">
      <alignment horizontal="center" vertical="center" wrapText="1"/>
    </xf>
    <xf numFmtId="0" fontId="0" fillId="32" borderId="0" applyAlignment="1" pivotButton="0" quotePrefix="0" xfId="0">
      <alignment vertical="top"/>
    </xf>
    <xf numFmtId="0" fontId="32" fillId="40" borderId="0" applyAlignment="1" pivotButton="0" quotePrefix="0" xfId="0">
      <alignment wrapText="1"/>
    </xf>
    <xf numFmtId="1" fontId="50" fillId="0" borderId="0" applyAlignment="1" pivotButton="0" quotePrefix="0" xfId="0">
      <alignment horizontal="center" vertical="center" wrapText="1"/>
    </xf>
    <xf numFmtId="0" fontId="50" fillId="0" borderId="0" applyAlignment="1" pivotButton="0" quotePrefix="0" xfId="0">
      <alignment horizontal="center" vertical="center" wrapText="1"/>
    </xf>
    <xf numFmtId="0" fontId="58" fillId="0" borderId="0" applyAlignment="1" pivotButton="0" quotePrefix="0" xfId="0">
      <alignment horizontal="center" vertical="center"/>
    </xf>
    <xf numFmtId="0" fontId="32" fillId="0" borderId="0" applyAlignment="1" pivotButton="0" quotePrefix="0" xfId="0">
      <alignment wrapText="1"/>
    </xf>
    <xf numFmtId="0" fontId="32" fillId="0" borderId="0" applyAlignment="1" pivotButton="0" quotePrefix="1" xfId="0">
      <alignment horizontal="left" vertical="center" wrapText="1"/>
    </xf>
    <xf numFmtId="0" fontId="51" fillId="36" borderId="0" applyAlignment="1" pivotButton="0" quotePrefix="0" xfId="0">
      <alignment horizontal="left" vertical="center"/>
    </xf>
    <xf numFmtId="0" fontId="2" fillId="36" borderId="0" applyAlignment="1" pivotButton="0" quotePrefix="0" xfId="0">
      <alignment horizontal="center" vertical="center" wrapText="1"/>
    </xf>
    <xf numFmtId="0" fontId="27" fillId="36" borderId="0" applyAlignment="1" pivotButton="0" quotePrefix="0" xfId="0">
      <alignment horizontal="center" vertical="center" wrapText="1"/>
    </xf>
    <xf numFmtId="0" fontId="27" fillId="4" borderId="0" applyAlignment="1" pivotButton="0" quotePrefix="0" xfId="0">
      <alignment horizontal="center" vertical="center" wrapText="1"/>
    </xf>
    <xf numFmtId="0" fontId="27" fillId="4" borderId="0" applyAlignment="1" pivotButton="0" quotePrefix="0" xfId="0">
      <alignment horizontal="left" vertical="top" wrapText="1"/>
    </xf>
    <xf numFmtId="1" fontId="27" fillId="4" borderId="0" applyAlignment="1" pivotButton="0" quotePrefix="0" xfId="0">
      <alignment horizontal="center" vertical="center" wrapText="1"/>
    </xf>
    <xf numFmtId="0" fontId="49" fillId="0" borderId="0" applyAlignment="1" pivotButton="0" quotePrefix="0" xfId="0">
      <alignment horizontal="center" vertical="center"/>
    </xf>
    <xf numFmtId="1" fontId="44" fillId="0" borderId="0" applyAlignment="1" pivotButton="0" quotePrefix="0" xfId="0">
      <alignment horizontal="center" vertical="center" wrapText="1"/>
    </xf>
    <xf numFmtId="0" fontId="27" fillId="21" borderId="0" applyAlignment="1" pivotButton="0" quotePrefix="0" xfId="0">
      <alignment horizontal="center" vertical="center" wrapText="1"/>
    </xf>
    <xf numFmtId="0" fontId="55" fillId="24" borderId="0" applyAlignment="1" pivotButton="0" quotePrefix="0" xfId="0">
      <alignment horizontal="left" vertical="center"/>
    </xf>
    <xf numFmtId="0" fontId="62" fillId="24" borderId="0" applyAlignment="1" pivotButton="0" quotePrefix="0" xfId="0">
      <alignment horizontal="left" vertical="center"/>
    </xf>
    <xf numFmtId="0" fontId="63" fillId="0" borderId="0" applyAlignment="1" pivotButton="0" quotePrefix="0" xfId="0">
      <alignment horizontal="center" vertical="center" wrapText="1"/>
    </xf>
    <xf numFmtId="0" fontId="63" fillId="0" borderId="0" applyAlignment="1" pivotButton="0" quotePrefix="0" xfId="0">
      <alignment horizontal="left" vertical="top" wrapText="1"/>
    </xf>
    <xf numFmtId="0" fontId="32" fillId="24" borderId="0" applyAlignment="1" pivotButton="0" quotePrefix="0" xfId="0">
      <alignment wrapText="1"/>
    </xf>
    <xf numFmtId="0" fontId="50" fillId="47" borderId="0" applyAlignment="1" pivotButton="0" quotePrefix="0" xfId="0">
      <alignment horizontal="center" vertical="center" wrapText="1"/>
    </xf>
    <xf numFmtId="0" fontId="32" fillId="50" borderId="0" applyAlignment="1" pivotButton="0" quotePrefix="0" xfId="0">
      <alignment wrapText="1"/>
    </xf>
    <xf numFmtId="0" fontId="32" fillId="0" borderId="0" applyAlignment="1" pivotButton="0" quotePrefix="1" xfId="0">
      <alignment vertical="center" wrapText="1"/>
    </xf>
    <xf numFmtId="0" fontId="0" fillId="0" borderId="0" applyAlignment="1" pivotButton="0" quotePrefix="1" xfId="0">
      <alignment vertical="top" wrapText="1"/>
    </xf>
    <xf numFmtId="0" fontId="27" fillId="35" borderId="0" applyAlignment="1" pivotButton="0" quotePrefix="0" xfId="0">
      <alignment horizontal="left" vertical="top" wrapText="1"/>
    </xf>
    <xf numFmtId="0" fontId="88" fillId="0" borderId="0" applyAlignment="1" pivotButton="0" quotePrefix="0" xfId="0">
      <alignment horizontal="left" vertical="center" wrapText="1"/>
    </xf>
    <xf numFmtId="0" fontId="84" fillId="0" borderId="0" applyAlignment="1" pivotButton="0" quotePrefix="0" xfId="0">
      <alignment horizontal="left" vertical="center"/>
    </xf>
    <xf numFmtId="0" fontId="84" fillId="0" borderId="0" applyAlignment="1" pivotButton="0" quotePrefix="0" xfId="0">
      <alignment horizontal="center" vertical="center"/>
    </xf>
    <xf numFmtId="0" fontId="87" fillId="0" borderId="26" applyAlignment="1" pivotButton="0" quotePrefix="0" xfId="0">
      <alignment horizontal="center" vertical="center"/>
    </xf>
    <xf numFmtId="0" fontId="0" fillId="0" borderId="26" pivotButton="0" quotePrefix="0" xfId="0"/>
    <xf numFmtId="0" fontId="0" fillId="2" borderId="26" pivotButton="0" quotePrefix="0" xfId="0"/>
    <xf numFmtId="0" fontId="0" fillId="0" borderId="26" applyAlignment="1" pivotButton="0" quotePrefix="0" xfId="0">
      <alignment vertical="center"/>
    </xf>
    <xf numFmtId="0" fontId="0" fillId="2" borderId="26" applyAlignment="1" pivotButton="0" quotePrefix="0" xfId="0">
      <alignment vertical="center"/>
    </xf>
    <xf numFmtId="0" fontId="55" fillId="32" borderId="0" applyAlignment="1" pivotButton="0" quotePrefix="0" xfId="0">
      <alignment horizontal="left" vertical="center"/>
    </xf>
    <xf numFmtId="0" fontId="2" fillId="0" borderId="26" applyAlignment="1" pivotButton="0" quotePrefix="0" xfId="0">
      <alignment horizontal="center" vertical="center" wrapText="1"/>
    </xf>
    <xf numFmtId="0" fontId="0" fillId="35" borderId="27" applyAlignment="1" pivotButton="0" quotePrefix="0" xfId="0">
      <alignment horizontal="left" vertical="center" wrapText="1"/>
    </xf>
    <xf numFmtId="0" fontId="0" fillId="35" borderId="27" applyAlignment="1" pivotButton="0" quotePrefix="1" xfId="0">
      <alignment horizontal="left" vertical="center" wrapText="1"/>
    </xf>
    <xf numFmtId="0" fontId="27" fillId="35" borderId="27" applyAlignment="1" pivotButton="0" quotePrefix="0" xfId="0">
      <alignment horizontal="left" vertical="center" wrapText="1"/>
    </xf>
    <xf numFmtId="0" fontId="0" fillId="7" borderId="27" applyAlignment="1" pivotButton="0" quotePrefix="1" xfId="0">
      <alignment horizontal="left" vertical="top" wrapText="1"/>
    </xf>
    <xf numFmtId="0" fontId="0" fillId="7" borderId="27" applyAlignment="1" pivotButton="0" quotePrefix="0" xfId="0">
      <alignment horizontal="left" vertical="center" wrapText="1"/>
    </xf>
    <xf numFmtId="0" fontId="0" fillId="7" borderId="27" applyAlignment="1" pivotButton="0" quotePrefix="1" xfId="0">
      <alignment horizontal="left" vertical="center" wrapText="1"/>
    </xf>
    <xf numFmtId="0" fontId="0" fillId="32" borderId="29" applyAlignment="1" pivotButton="0" quotePrefix="0" xfId="0">
      <alignment horizontal="center" vertical="center" wrapText="1"/>
    </xf>
    <xf numFmtId="0" fontId="12" fillId="32" borderId="27" applyAlignment="1" pivotButton="0" quotePrefix="0" xfId="0">
      <alignment horizontal="left" vertical="center" wrapText="1"/>
    </xf>
    <xf numFmtId="0" fontId="12" fillId="7" borderId="27" applyAlignment="1" pivotButton="0" quotePrefix="1" xfId="0">
      <alignment horizontal="left" vertical="center" wrapText="1"/>
    </xf>
    <xf numFmtId="0" fontId="56" fillId="40" borderId="27" applyAlignment="1" pivotButton="0" quotePrefix="0" xfId="0">
      <alignment vertical="center" wrapText="1"/>
    </xf>
    <xf numFmtId="0" fontId="32" fillId="25" borderId="27" applyAlignment="1" pivotButton="0" quotePrefix="0" xfId="0">
      <alignment vertical="center" wrapText="1"/>
    </xf>
    <xf numFmtId="0" fontId="32" fillId="25" borderId="27" applyAlignment="1" pivotButton="0" quotePrefix="1" xfId="0">
      <alignment horizontal="left" vertical="center" wrapText="1"/>
    </xf>
    <xf numFmtId="0" fontId="0" fillId="36" borderId="29" applyAlignment="1" pivotButton="0" quotePrefix="0" xfId="0">
      <alignment horizontal="center" vertical="center" wrapText="1"/>
    </xf>
    <xf numFmtId="0" fontId="0" fillId="36" borderId="16" applyAlignment="1" pivotButton="0" quotePrefix="0" xfId="0">
      <alignment horizontal="left" vertical="center" wrapText="1"/>
    </xf>
    <xf numFmtId="0" fontId="12" fillId="36" borderId="27" applyAlignment="1" pivotButton="0" quotePrefix="0" xfId="0">
      <alignment horizontal="left" vertical="center" wrapText="1"/>
    </xf>
    <xf numFmtId="0" fontId="12" fillId="7" borderId="27" applyAlignment="1" pivotButton="0" quotePrefix="1" xfId="0">
      <alignment vertical="center" wrapText="1"/>
    </xf>
    <xf numFmtId="0" fontId="56" fillId="54" borderId="27" applyAlignment="1" pivotButton="0" quotePrefix="0" xfId="0">
      <alignment vertical="center" wrapText="1"/>
    </xf>
    <xf numFmtId="0" fontId="32" fillId="25" borderId="27" applyAlignment="1" pivotButton="0" quotePrefix="1" xfId="0">
      <alignment vertical="center" wrapText="1"/>
    </xf>
    <xf numFmtId="0" fontId="12" fillId="7" borderId="27" applyAlignment="1" pivotButton="0" quotePrefix="0" xfId="0">
      <alignment horizontal="left" vertical="center" wrapText="1"/>
    </xf>
    <xf numFmtId="0" fontId="48" fillId="7" borderId="27" applyAlignment="1" pivotButton="0" quotePrefix="0" xfId="0">
      <alignment horizontal="left" vertical="center" wrapText="1"/>
    </xf>
    <xf numFmtId="0" fontId="32" fillId="36" borderId="27" applyAlignment="1" pivotButton="0" quotePrefix="0" xfId="0">
      <alignment horizontal="left" vertical="center" wrapText="1"/>
    </xf>
    <xf numFmtId="0" fontId="12" fillId="36" borderId="27" applyAlignment="1" pivotButton="0" quotePrefix="1" xfId="0">
      <alignment horizontal="left" vertical="center" wrapText="1"/>
    </xf>
    <xf numFmtId="0" fontId="0" fillId="6" borderId="29" applyAlignment="1" pivotButton="0" quotePrefix="0" xfId="0">
      <alignment horizontal="center" vertical="center" wrapText="1"/>
    </xf>
    <xf numFmtId="0" fontId="32" fillId="24" borderId="27" applyAlignment="1" pivotButton="0" quotePrefix="0" xfId="0">
      <alignment vertical="center" wrapText="1"/>
    </xf>
    <xf numFmtId="0" fontId="32" fillId="50" borderId="27" applyAlignment="1" pivotButton="0" quotePrefix="1" xfId="0">
      <alignment horizontal="left" vertical="center" wrapText="1"/>
    </xf>
    <xf numFmtId="0" fontId="32" fillId="51" borderId="27" applyAlignment="1" pivotButton="0" quotePrefix="1" xfId="0">
      <alignment vertical="center" wrapText="1"/>
    </xf>
    <xf numFmtId="0" fontId="12" fillId="32" borderId="27" applyAlignment="1" pivotButton="0" quotePrefix="1" xfId="0">
      <alignment horizontal="left" vertical="center" wrapText="1"/>
    </xf>
    <xf numFmtId="0" fontId="0" fillId="32" borderId="27" applyAlignment="1" pivotButton="0" quotePrefix="1" xfId="0">
      <alignment vertical="top" wrapText="1"/>
    </xf>
    <xf numFmtId="0" fontId="0" fillId="18" borderId="29" applyAlignment="1" pivotButton="0" quotePrefix="0" xfId="0">
      <alignment horizontal="center" vertical="center" wrapText="1"/>
    </xf>
    <xf numFmtId="9" fontId="15" fillId="0" borderId="0" applyAlignment="1" pivotButton="0" quotePrefix="0" xfId="2">
      <alignment horizontal="left"/>
    </xf>
    <xf numFmtId="0" fontId="5" fillId="7" borderId="0" applyAlignment="1" pivotButton="0" quotePrefix="0" xfId="0">
      <alignment horizontal="left" vertical="center" wrapText="1"/>
    </xf>
    <xf numFmtId="0" fontId="17" fillId="21" borderId="0" applyAlignment="1" pivotButton="0" quotePrefix="0" xfId="0">
      <alignment horizontal="left" vertical="center"/>
    </xf>
    <xf numFmtId="1" fontId="0" fillId="6" borderId="0" applyAlignment="1" pivotButton="0" quotePrefix="0" xfId="0">
      <alignment horizontal="center"/>
    </xf>
    <xf numFmtId="0" fontId="9" fillId="12" borderId="0" applyAlignment="1" pivotButton="0" quotePrefix="0" xfId="0">
      <alignment horizontal="center" vertical="center" wrapText="1"/>
    </xf>
    <xf numFmtId="1" fontId="0" fillId="7" borderId="0" applyAlignment="1" pivotButton="0" quotePrefix="0" xfId="0">
      <alignment vertical="center"/>
    </xf>
    <xf numFmtId="0" fontId="4" fillId="7" borderId="0" applyAlignment="1" pivotButton="0" quotePrefix="0" xfId="0">
      <alignment vertical="top"/>
    </xf>
    <xf numFmtId="0" fontId="5" fillId="6" borderId="0" pivotButton="0" quotePrefix="0" xfId="0"/>
    <xf numFmtId="1" fontId="5" fillId="6" borderId="0" applyAlignment="1" pivotButton="0" quotePrefix="0" xfId="0">
      <alignment horizontal="center"/>
    </xf>
    <xf numFmtId="0" fontId="3" fillId="0" borderId="0" pivotButton="0" quotePrefix="0" xfId="0"/>
    <xf numFmtId="0" fontId="113" fillId="0" borderId="0" pivotButton="0" quotePrefix="0" xfId="0"/>
    <xf numFmtId="0" fontId="17" fillId="21" borderId="0" pivotButton="0" quotePrefix="0" xfId="0"/>
    <xf numFmtId="0" fontId="82" fillId="21" borderId="0" pivotButton="0" quotePrefix="0" xfId="0"/>
    <xf numFmtId="0" fontId="12" fillId="24" borderId="54" applyAlignment="1" pivotButton="0" quotePrefix="0" xfId="0">
      <alignment horizontal="center" vertical="center" wrapText="1"/>
    </xf>
    <xf numFmtId="0" fontId="0" fillId="6" borderId="54" applyAlignment="1" pivotButton="0" quotePrefix="0" xfId="0">
      <alignment horizontal="left" vertical="center" wrapText="1"/>
    </xf>
    <xf numFmtId="0" fontId="49" fillId="45" borderId="55" applyAlignment="1" pivotButton="0" quotePrefix="0" xfId="0">
      <alignment horizontal="left" vertical="center" wrapText="1"/>
    </xf>
    <xf numFmtId="0" fontId="0" fillId="0" borderId="1" applyAlignment="1" pivotButton="0" quotePrefix="0" xfId="0">
      <alignment horizontal="left" vertical="center" wrapText="1"/>
    </xf>
    <xf numFmtId="0" fontId="12" fillId="25" borderId="1" applyAlignment="1" pivotButton="0" quotePrefix="0" xfId="0">
      <alignment horizontal="center" vertical="center" wrapText="1"/>
    </xf>
    <xf numFmtId="0" fontId="49" fillId="45" borderId="63" applyAlignment="1" pivotButton="0" quotePrefix="0" xfId="0">
      <alignment horizontal="left" vertical="center" wrapText="1"/>
    </xf>
    <xf numFmtId="0" fontId="49" fillId="0" borderId="0" applyAlignment="1" pivotButton="0" quotePrefix="0" xfId="0">
      <alignment horizontal="left" vertical="center" wrapText="1"/>
    </xf>
    <xf numFmtId="0" fontId="49" fillId="24" borderId="55" applyAlignment="1" pivotButton="0" quotePrefix="0" xfId="0">
      <alignment horizontal="left" vertical="center" wrapText="1"/>
    </xf>
    <xf numFmtId="0" fontId="12" fillId="25" borderId="78" applyAlignment="1" pivotButton="0" quotePrefix="0" xfId="0">
      <alignment horizontal="center" vertical="center" wrapText="1"/>
    </xf>
    <xf numFmtId="0" fontId="0" fillId="7" borderId="78" applyAlignment="1" pivotButton="0" quotePrefix="0" xfId="0">
      <alignment horizontal="left" vertical="center" wrapText="1"/>
    </xf>
    <xf numFmtId="0" fontId="49" fillId="24" borderId="59" applyAlignment="1" pivotButton="0" quotePrefix="0" xfId="0">
      <alignment horizontal="left" vertical="center" wrapText="1"/>
    </xf>
    <xf numFmtId="0" fontId="0" fillId="0" borderId="78" applyAlignment="1" pivotButton="0" quotePrefix="0" xfId="0">
      <alignment horizontal="left" vertical="center" wrapText="1"/>
    </xf>
    <xf numFmtId="0" fontId="12" fillId="0" borderId="78" applyAlignment="1" pivotButton="0" quotePrefix="0" xfId="0">
      <alignment horizontal="center" vertical="center" wrapText="1"/>
    </xf>
    <xf numFmtId="0" fontId="49" fillId="0" borderId="59" applyAlignment="1" pivotButton="0" quotePrefix="0" xfId="0">
      <alignment horizontal="left" vertical="center" wrapText="1"/>
    </xf>
    <xf numFmtId="0" fontId="0" fillId="3" borderId="78" applyAlignment="1" pivotButton="0" quotePrefix="0" xfId="0">
      <alignment horizontal="center" vertical="center" wrapText="1"/>
    </xf>
    <xf numFmtId="0" fontId="0" fillId="13" borderId="78" applyAlignment="1" pivotButton="0" quotePrefix="0" xfId="0">
      <alignment horizontal="left" vertical="center" wrapText="1"/>
    </xf>
    <xf numFmtId="0" fontId="0" fillId="0" borderId="54" applyAlignment="1" pivotButton="0" quotePrefix="0" xfId="0">
      <alignment horizontal="left" vertical="center" wrapText="1"/>
    </xf>
    <xf numFmtId="0" fontId="0" fillId="0" borderId="55" pivotButton="0" quotePrefix="0" xfId="0"/>
    <xf numFmtId="0" fontId="12" fillId="51" borderId="1" applyAlignment="1" pivotButton="0" quotePrefix="0" xfId="0">
      <alignment horizontal="center" vertical="center" wrapText="1"/>
    </xf>
    <xf numFmtId="0" fontId="49" fillId="41" borderId="54" applyAlignment="1" pivotButton="0" quotePrefix="0" xfId="0">
      <alignment horizontal="left" vertical="center" wrapText="1"/>
    </xf>
    <xf numFmtId="0" fontId="49" fillId="41" borderId="55" applyAlignment="1" pivotButton="0" quotePrefix="0" xfId="0">
      <alignment horizontal="left" vertical="center" wrapText="1"/>
    </xf>
    <xf numFmtId="0" fontId="49" fillId="41" borderId="0" applyAlignment="1" pivotButton="0" quotePrefix="0" xfId="0">
      <alignment horizontal="left" vertical="center" wrapText="1"/>
    </xf>
    <xf numFmtId="0" fontId="49" fillId="0" borderId="56" applyAlignment="1" pivotButton="0" quotePrefix="0" xfId="0">
      <alignment horizontal="left" vertical="center" wrapText="1"/>
    </xf>
    <xf numFmtId="0" fontId="49" fillId="41" borderId="1" applyAlignment="1" pivotButton="0" quotePrefix="0" xfId="0">
      <alignment horizontal="left" vertical="center" wrapText="1"/>
    </xf>
    <xf numFmtId="0" fontId="49" fillId="0" borderId="63" applyAlignment="1" pivotButton="0" quotePrefix="0" xfId="0">
      <alignment horizontal="left" vertical="center" wrapText="1"/>
    </xf>
    <xf numFmtId="0" fontId="49" fillId="46" borderId="54" applyAlignment="1" pivotButton="0" quotePrefix="0" xfId="0">
      <alignment horizontal="left" vertical="center" wrapText="1"/>
    </xf>
    <xf numFmtId="0" fontId="49" fillId="0" borderId="1" applyAlignment="1" pivotButton="0" quotePrefix="0" xfId="0">
      <alignment horizontal="left" vertical="center" wrapText="1"/>
    </xf>
    <xf numFmtId="0" fontId="49" fillId="46" borderId="1" applyAlignment="1" pivotButton="0" quotePrefix="0" xfId="0">
      <alignment horizontal="left" vertical="center" wrapText="1"/>
    </xf>
    <xf numFmtId="0" fontId="0" fillId="3" borderId="54" applyAlignment="1" pivotButton="0" quotePrefix="0" xfId="0">
      <alignment horizontal="center" vertical="center" wrapText="1"/>
    </xf>
    <xf numFmtId="0" fontId="0" fillId="13" borderId="54" applyAlignment="1" pivotButton="0" quotePrefix="0" xfId="0">
      <alignment horizontal="left" vertical="center" wrapText="1"/>
    </xf>
    <xf numFmtId="0" fontId="12" fillId="40" borderId="54" applyAlignment="1" pivotButton="0" quotePrefix="0" xfId="0">
      <alignment horizontal="center" vertical="center" wrapText="1"/>
    </xf>
    <xf numFmtId="0" fontId="12" fillId="24" borderId="1" applyAlignment="1" pivotButton="0" quotePrefix="0" xfId="0">
      <alignment horizontal="center" vertical="center" wrapText="1"/>
    </xf>
    <xf numFmtId="0" fontId="0" fillId="6" borderId="1" applyAlignment="1" pivotButton="0" quotePrefix="0" xfId="0">
      <alignment horizontal="left" vertical="center" wrapText="1"/>
    </xf>
    <xf numFmtId="0" fontId="49" fillId="42" borderId="54" applyAlignment="1" pivotButton="0" quotePrefix="0" xfId="0">
      <alignment horizontal="left" vertical="center" wrapText="1"/>
    </xf>
    <xf numFmtId="0" fontId="0" fillId="3" borderId="1" applyAlignment="1" pivotButton="0" quotePrefix="0" xfId="0">
      <alignment horizontal="center" vertical="center" wrapText="1"/>
    </xf>
    <xf numFmtId="0" fontId="0" fillId="13" borderId="1" applyAlignment="1" pivotButton="0" quotePrefix="0" xfId="0">
      <alignment horizontal="left" vertical="center" wrapText="1"/>
    </xf>
    <xf numFmtId="0" fontId="49" fillId="42" borderId="1" applyAlignment="1" pivotButton="0" quotePrefix="0" xfId="0">
      <alignment horizontal="left" vertical="center" wrapText="1"/>
    </xf>
    <xf numFmtId="0" fontId="49" fillId="42" borderId="55" applyAlignment="1" pivotButton="0" quotePrefix="0" xfId="0">
      <alignment horizontal="left" vertical="center" wrapText="1"/>
    </xf>
    <xf numFmtId="0" fontId="49" fillId="42" borderId="63" applyAlignment="1" pivotButton="0" quotePrefix="0" xfId="0">
      <alignment horizontal="left" vertical="center" wrapText="1"/>
    </xf>
    <xf numFmtId="0" fontId="12" fillId="24" borderId="78" applyAlignment="1" pivotButton="0" quotePrefix="0" xfId="0">
      <alignment horizontal="center" vertical="center" wrapText="1"/>
    </xf>
    <xf numFmtId="0" fontId="0" fillId="6" borderId="78" applyAlignment="1" pivotButton="0" quotePrefix="0" xfId="0">
      <alignment horizontal="left" vertical="center" wrapText="1"/>
    </xf>
    <xf numFmtId="0" fontId="49" fillId="43" borderId="54" applyAlignment="1" pivotButton="0" quotePrefix="0" xfId="0">
      <alignment horizontal="left" vertical="center" wrapText="1"/>
    </xf>
    <xf numFmtId="0" fontId="49" fillId="43" borderId="1" applyAlignment="1" pivotButton="0" quotePrefix="0" xfId="0">
      <alignment horizontal="left" vertical="center" wrapText="1"/>
    </xf>
    <xf numFmtId="0" fontId="94" fillId="0" borderId="1" applyAlignment="1" pivotButton="0" quotePrefix="0" xfId="0">
      <alignment horizontal="center" vertical="center" wrapText="1"/>
    </xf>
    <xf numFmtId="0" fontId="0" fillId="7" borderId="54" applyAlignment="1" pivotButton="0" quotePrefix="0" xfId="0">
      <alignment horizontal="left" vertical="center" wrapText="1"/>
    </xf>
    <xf numFmtId="0" fontId="12" fillId="25" borderId="54" applyAlignment="1" pivotButton="0" quotePrefix="0" xfId="0">
      <alignment horizontal="center" vertical="center" wrapText="1"/>
    </xf>
    <xf numFmtId="0" fontId="49" fillId="43" borderId="55" applyAlignment="1" pivotButton="0" quotePrefix="0" xfId="0">
      <alignment horizontal="left" vertical="center" wrapText="1"/>
    </xf>
    <xf numFmtId="0" fontId="49" fillId="43" borderId="63" applyAlignment="1" pivotButton="0" quotePrefix="0" xfId="0">
      <alignment horizontal="left" vertical="center" wrapText="1"/>
    </xf>
    <xf numFmtId="0" fontId="49" fillId="46" borderId="78" applyAlignment="1" pivotButton="0" quotePrefix="0" xfId="0">
      <alignment horizontal="left" vertical="center" wrapText="1"/>
    </xf>
    <xf numFmtId="0" fontId="12" fillId="40" borderId="78" applyAlignment="1" pivotButton="0" quotePrefix="0" xfId="0">
      <alignment horizontal="center" vertical="center" wrapText="1"/>
    </xf>
    <xf numFmtId="0" fontId="12" fillId="50" borderId="78" applyAlignment="1" pivotButton="0" quotePrefix="0" xfId="0">
      <alignment horizontal="center" vertical="center" wrapText="1"/>
    </xf>
    <xf numFmtId="0" fontId="49" fillId="46" borderId="59" applyAlignment="1" pivotButton="0" quotePrefix="0" xfId="0">
      <alignment horizontal="left" vertical="center" wrapText="1"/>
    </xf>
    <xf numFmtId="0" fontId="49" fillId="40" borderId="59" applyAlignment="1" pivotButton="0" quotePrefix="0" xfId="0">
      <alignment horizontal="left" vertical="center" wrapText="1"/>
    </xf>
    <xf numFmtId="0" fontId="0" fillId="52" borderId="54" applyAlignment="1" pivotButton="0" quotePrefix="0" xfId="0">
      <alignment horizontal="center" vertical="center"/>
    </xf>
    <xf numFmtId="0" fontId="0" fillId="0" borderId="1" applyAlignment="1" pivotButton="0" quotePrefix="0" xfId="0">
      <alignment horizontal="center" vertical="center"/>
    </xf>
    <xf numFmtId="0" fontId="49" fillId="0" borderId="54" applyAlignment="1" pivotButton="0" quotePrefix="0" xfId="0">
      <alignment horizontal="left" vertical="center" wrapText="1"/>
    </xf>
    <xf numFmtId="0" fontId="49" fillId="23" borderId="1" applyAlignment="1" pivotButton="0" quotePrefix="0" xfId="0">
      <alignment horizontal="left" vertical="center" wrapText="1"/>
    </xf>
    <xf numFmtId="0" fontId="49" fillId="23" borderId="54" applyAlignment="1" pivotButton="0" quotePrefix="0" xfId="0">
      <alignment horizontal="left" vertical="center" wrapText="1"/>
    </xf>
    <xf numFmtId="0" fontId="27" fillId="16" borderId="0" applyAlignment="1" pivotButton="0" quotePrefix="0" xfId="0">
      <alignment horizontal="left"/>
    </xf>
    <xf numFmtId="0" fontId="27" fillId="16" borderId="0" applyAlignment="1" pivotButton="0" quotePrefix="0" xfId="0">
      <alignment horizontal="left" vertical="center"/>
    </xf>
    <xf numFmtId="0" fontId="27" fillId="37" borderId="0" applyAlignment="1" pivotButton="0" quotePrefix="0" xfId="0">
      <alignment horizontal="left" vertical="center"/>
    </xf>
    <xf numFmtId="0" fontId="27" fillId="37" borderId="0" applyAlignment="1" pivotButton="0" quotePrefix="0" xfId="0">
      <alignment horizontal="left" vertical="center" wrapText="1"/>
    </xf>
    <xf numFmtId="0" fontId="27" fillId="36" borderId="0" applyAlignment="1" pivotButton="0" quotePrefix="0" xfId="0">
      <alignment horizontal="left" vertical="center"/>
    </xf>
    <xf numFmtId="0" fontId="27" fillId="34" borderId="0" applyAlignment="1" pivotButton="0" quotePrefix="0" xfId="0">
      <alignment horizontal="left" vertical="center"/>
    </xf>
    <xf numFmtId="0" fontId="27" fillId="63" borderId="3" applyAlignment="1" pivotButton="0" quotePrefix="0" xfId="0">
      <alignment vertical="center" wrapText="1"/>
    </xf>
    <xf numFmtId="0" fontId="12" fillId="28" borderId="0" applyAlignment="1" pivotButton="0" quotePrefix="0" xfId="0">
      <alignment horizontal="left" vertical="center" wrapText="1"/>
    </xf>
    <xf numFmtId="0" fontId="90" fillId="28" borderId="0" applyAlignment="1" pivotButton="0" quotePrefix="0" xfId="0">
      <alignment vertical="center"/>
    </xf>
    <xf numFmtId="0" fontId="90" fillId="28" borderId="0" applyAlignment="1" pivotButton="0" quotePrefix="0" xfId="0">
      <alignment horizontal="left" vertical="center" wrapText="1"/>
    </xf>
    <xf numFmtId="0" fontId="90" fillId="28" borderId="0" pivotButton="0" quotePrefix="0" xfId="0"/>
    <xf numFmtId="0" fontId="0" fillId="32" borderId="29" applyAlignment="1" pivotButton="0" quotePrefix="0" xfId="0">
      <alignment horizontal="left" vertical="center" wrapText="1"/>
    </xf>
    <xf numFmtId="0" fontId="0" fillId="35" borderId="29" applyAlignment="1" pivotButton="0" quotePrefix="0" xfId="0">
      <alignment horizontal="left" vertical="center" wrapText="1"/>
    </xf>
    <xf numFmtId="0" fontId="0" fillId="7" borderId="29" applyAlignment="1" pivotButton="0" quotePrefix="0" xfId="0">
      <alignment horizontal="left" vertical="center" wrapText="1"/>
    </xf>
    <xf numFmtId="0" fontId="0" fillId="36" borderId="29" applyAlignment="1" pivotButton="0" quotePrefix="0" xfId="0">
      <alignment horizontal="left" vertical="center" wrapText="1"/>
    </xf>
    <xf numFmtId="0" fontId="10" fillId="7" borderId="29" applyAlignment="1" pivotButton="0" quotePrefix="0" xfId="0">
      <alignment horizontal="left" vertical="center" wrapText="1"/>
    </xf>
    <xf numFmtId="0" fontId="0" fillId="6" borderId="29" applyAlignment="1" pivotButton="0" quotePrefix="0" xfId="0">
      <alignment horizontal="left" vertical="center" wrapText="1"/>
    </xf>
    <xf numFmtId="0" fontId="27" fillId="28" borderId="0" applyAlignment="1" pivotButton="0" quotePrefix="0" xfId="0">
      <alignment horizontal="left"/>
    </xf>
    <xf numFmtId="0" fontId="90" fillId="28" borderId="0" applyAlignment="1" pivotButton="0" quotePrefix="0" xfId="0">
      <alignment horizontal="left"/>
    </xf>
    <xf numFmtId="0" fontId="10" fillId="7" borderId="3" applyAlignment="1" pivotButton="0" quotePrefix="0" xfId="0">
      <alignment vertical="center" wrapText="1"/>
    </xf>
    <xf numFmtId="0" fontId="10" fillId="7" borderId="15" applyAlignment="1" pivotButton="0" quotePrefix="0" xfId="0">
      <alignment horizontal="left" vertical="center" wrapText="1"/>
    </xf>
    <xf numFmtId="0" fontId="0" fillId="36" borderId="54" applyAlignment="1" pivotButton="0" quotePrefix="0" xfId="0">
      <alignment vertical="center" wrapText="1"/>
    </xf>
    <xf numFmtId="0" fontId="0" fillId="0" borderId="1" applyAlignment="1" pivotButton="0" quotePrefix="0" xfId="0">
      <alignment vertical="center" wrapText="1"/>
    </xf>
    <xf numFmtId="0" fontId="0" fillId="7" borderId="1" applyAlignment="1" pivotButton="0" quotePrefix="0" xfId="0">
      <alignment vertical="center" wrapText="1"/>
    </xf>
    <xf numFmtId="0" fontId="0" fillId="36" borderId="78" applyAlignment="1" pivotButton="0" quotePrefix="0" xfId="0">
      <alignment vertical="center" wrapText="1"/>
    </xf>
    <xf numFmtId="0" fontId="0" fillId="7" borderId="78" applyAlignment="1" pivotButton="0" quotePrefix="0" xfId="0">
      <alignment vertical="center" wrapText="1"/>
    </xf>
    <xf numFmtId="0" fontId="0" fillId="36" borderId="1" applyAlignment="1" pivotButton="0" quotePrefix="0" xfId="0">
      <alignment vertical="center" wrapText="1"/>
    </xf>
    <xf numFmtId="0" fontId="0" fillId="7" borderId="54" applyAlignment="1" pivotButton="0" quotePrefix="0" xfId="0">
      <alignment vertical="center" wrapText="1"/>
    </xf>
    <xf numFmtId="0" fontId="3" fillId="0" borderId="1" applyAlignment="1" pivotButton="0" quotePrefix="0" xfId="0">
      <alignment vertical="center" wrapText="1"/>
    </xf>
    <xf numFmtId="0" fontId="12" fillId="54" borderId="1" applyAlignment="1" pivotButton="0" quotePrefix="0" xfId="0">
      <alignment vertical="center" wrapText="1"/>
    </xf>
    <xf numFmtId="0" fontId="32" fillId="54" borderId="1" applyAlignment="1" pivotButton="0" quotePrefix="0" xfId="0">
      <alignment vertical="center" wrapText="1"/>
    </xf>
    <xf numFmtId="0" fontId="32" fillId="0" borderId="0" applyAlignment="1" pivotButton="0" quotePrefix="0" xfId="0">
      <alignment vertical="center" wrapText="1"/>
    </xf>
    <xf numFmtId="0" fontId="0" fillId="3" borderId="54" applyAlignment="1" pivotButton="0" quotePrefix="0" xfId="0">
      <alignment horizontal="left" vertical="center" wrapText="1"/>
    </xf>
    <xf numFmtId="0" fontId="0" fillId="3" borderId="1" applyAlignment="1" pivotButton="0" quotePrefix="0" xfId="0">
      <alignment horizontal="left" vertical="center" wrapText="1"/>
    </xf>
    <xf numFmtId="0" fontId="0" fillId="32" borderId="54" applyAlignment="1" pivotButton="0" quotePrefix="0" xfId="0">
      <alignment vertical="center" wrapText="1"/>
    </xf>
    <xf numFmtId="0" fontId="94" fillId="0" borderId="1" applyAlignment="1" pivotButton="0" quotePrefix="0" xfId="0">
      <alignment vertical="center" wrapText="1"/>
    </xf>
    <xf numFmtId="0" fontId="0" fillId="32" borderId="78" applyAlignment="1" pivotButton="0" quotePrefix="0" xfId="0">
      <alignment vertical="center" wrapText="1"/>
    </xf>
    <xf numFmtId="0" fontId="36" fillId="0" borderId="0" pivotButton="0" quotePrefix="0" xfId="0"/>
    <xf numFmtId="0" fontId="27" fillId="21" borderId="0" applyAlignment="1" pivotButton="0" quotePrefix="0" xfId="0">
      <alignment horizontal="left" vertical="center" wrapText="1"/>
    </xf>
    <xf numFmtId="0" fontId="7" fillId="68" borderId="0" applyAlignment="1" pivotButton="0" quotePrefix="0" xfId="0">
      <alignment horizontal="center" wrapText="1"/>
    </xf>
    <xf numFmtId="0" fontId="0" fillId="68" borderId="0" applyAlignment="1" pivotButton="0" quotePrefix="0" xfId="0">
      <alignment horizontal="center" vertical="center"/>
    </xf>
    <xf numFmtId="0" fontId="9" fillId="68" borderId="0" applyAlignment="1" pivotButton="0" quotePrefix="0" xfId="0">
      <alignment horizontal="center" vertical="center"/>
    </xf>
    <xf numFmtId="0" fontId="0" fillId="68" borderId="0" pivotButton="0" quotePrefix="0" xfId="0"/>
    <xf numFmtId="0" fontId="7" fillId="69" borderId="0" applyAlignment="1" pivotButton="0" quotePrefix="0" xfId="0">
      <alignment horizontal="center" wrapText="1"/>
    </xf>
    <xf numFmtId="0" fontId="9" fillId="69" borderId="0" applyAlignment="1" pivotButton="0" quotePrefix="0" xfId="0">
      <alignment horizontal="center" vertical="center"/>
    </xf>
    <xf numFmtId="0" fontId="0" fillId="69" borderId="0" applyAlignment="1" pivotButton="0" quotePrefix="0" xfId="0">
      <alignment horizontal="center" vertical="center"/>
    </xf>
    <xf numFmtId="0" fontId="0" fillId="69" borderId="0" pivotButton="0" quotePrefix="0" xfId="0"/>
    <xf numFmtId="0" fontId="7" fillId="70" borderId="0" applyAlignment="1" pivotButton="0" quotePrefix="0" xfId="0">
      <alignment horizontal="center" wrapText="1"/>
    </xf>
    <xf numFmtId="0" fontId="0" fillId="70" borderId="0" applyAlignment="1" pivotButton="0" quotePrefix="0" xfId="0">
      <alignment horizontal="center" vertical="center"/>
    </xf>
    <xf numFmtId="0" fontId="9" fillId="70" borderId="0" applyAlignment="1" pivotButton="0" quotePrefix="0" xfId="0">
      <alignment horizontal="center" vertical="center"/>
    </xf>
    <xf numFmtId="0" fontId="0" fillId="70" borderId="0" pivotButton="0" quotePrefix="0" xfId="0"/>
    <xf numFmtId="0" fontId="0" fillId="0" borderId="18" applyAlignment="1" applyProtection="1" pivotButton="0" quotePrefix="0" xfId="0">
      <alignment horizontal="center" vertical="center"/>
      <protection locked="0" hidden="0"/>
    </xf>
    <xf numFmtId="0" fontId="0" fillId="68" borderId="11" applyAlignment="1" pivotButton="0" quotePrefix="0" xfId="0">
      <alignment horizontal="center" vertical="center"/>
    </xf>
    <xf numFmtId="0" fontId="0" fillId="0" borderId="11" applyAlignment="1" pivotButton="0" quotePrefix="0" xfId="0">
      <alignment horizontal="center" vertical="center"/>
    </xf>
    <xf numFmtId="0" fontId="0" fillId="0" borderId="20" applyAlignment="1" applyProtection="1" pivotButton="0" quotePrefix="0" xfId="0">
      <alignment horizontal="center" vertical="center"/>
      <protection locked="0" hidden="0"/>
    </xf>
    <xf numFmtId="0" fontId="9" fillId="68" borderId="10" applyAlignment="1" pivotButton="0" quotePrefix="0" xfId="0">
      <alignment horizontal="center" vertical="center"/>
    </xf>
    <xf numFmtId="0" fontId="0" fillId="69" borderId="11" applyAlignment="1" pivotButton="0" quotePrefix="0" xfId="0">
      <alignment horizontal="center" vertical="center"/>
    </xf>
    <xf numFmtId="0" fontId="3" fillId="0" borderId="0" applyAlignment="1" pivotButton="0" quotePrefix="0" xfId="0">
      <alignment horizontal="center"/>
    </xf>
    <xf numFmtId="0" fontId="0" fillId="0" borderId="19" applyAlignment="1" applyProtection="1" pivotButton="0" quotePrefix="0" xfId="0">
      <alignment horizontal="center" vertical="center"/>
      <protection locked="0" hidden="0"/>
    </xf>
    <xf numFmtId="0" fontId="0" fillId="68" borderId="10" applyAlignment="1" pivotButton="0" quotePrefix="0" xfId="0">
      <alignment horizontal="center" vertical="center"/>
    </xf>
    <xf numFmtId="0" fontId="0" fillId="0" borderId="10" applyAlignment="1" pivotButton="0" quotePrefix="0" xfId="0">
      <alignment horizontal="center" vertical="center"/>
    </xf>
    <xf numFmtId="0" fontId="0" fillId="69" borderId="10" applyAlignment="1" pivotButton="0" quotePrefix="0" xfId="0">
      <alignment horizontal="center" vertical="center"/>
    </xf>
    <xf numFmtId="0" fontId="0" fillId="70" borderId="14" applyAlignment="1" pivotButton="0" quotePrefix="0" xfId="0">
      <alignment horizontal="center" vertical="center"/>
    </xf>
    <xf numFmtId="0" fontId="0" fillId="70" borderId="13" applyAlignment="1" pivotButton="0" quotePrefix="0" xfId="0">
      <alignment horizontal="center" vertical="center"/>
    </xf>
    <xf numFmtId="0" fontId="115" fillId="70" borderId="13" applyAlignment="1" pivotButton="0" quotePrefix="0" xfId="0">
      <alignment horizontal="center" vertical="center"/>
    </xf>
    <xf numFmtId="0" fontId="115" fillId="68" borderId="21" applyAlignment="1" pivotButton="0" quotePrefix="0" xfId="0">
      <alignment horizontal="center" vertical="center"/>
    </xf>
    <xf numFmtId="0" fontId="115" fillId="0" borderId="21" applyAlignment="1" pivotButton="0" quotePrefix="0" xfId="0">
      <alignment horizontal="center" vertical="center"/>
    </xf>
    <xf numFmtId="0" fontId="115" fillId="69" borderId="21" applyAlignment="1" pivotButton="0" quotePrefix="0" xfId="0">
      <alignment horizontal="center" vertical="center"/>
    </xf>
    <xf numFmtId="0" fontId="115" fillId="70" borderId="44" applyAlignment="1" pivotButton="0" quotePrefix="0" xfId="0">
      <alignment horizontal="center" vertical="center"/>
    </xf>
    <xf numFmtId="0" fontId="115" fillId="70" borderId="14" applyAlignment="1" pivotButton="0" quotePrefix="0" xfId="0">
      <alignment horizontal="center" vertical="center"/>
    </xf>
    <xf numFmtId="0" fontId="115" fillId="68" borderId="11" applyAlignment="1" pivotButton="0" quotePrefix="0" xfId="0">
      <alignment horizontal="center" vertical="center"/>
    </xf>
    <xf numFmtId="0" fontId="115" fillId="0" borderId="11" applyAlignment="1" pivotButton="0" quotePrefix="0" xfId="0">
      <alignment horizontal="center" vertical="center"/>
    </xf>
    <xf numFmtId="0" fontId="115" fillId="69" borderId="11" applyAlignment="1" pivotButton="0" quotePrefix="0" xfId="0">
      <alignment horizontal="center" vertical="center"/>
    </xf>
    <xf numFmtId="0" fontId="115" fillId="68" borderId="10" applyAlignment="1" pivotButton="0" quotePrefix="0" xfId="0">
      <alignment horizontal="center" vertical="center"/>
    </xf>
    <xf numFmtId="0" fontId="115" fillId="0" borderId="10" applyAlignment="1" pivotButton="0" quotePrefix="0" xfId="0">
      <alignment horizontal="center" vertical="center"/>
    </xf>
    <xf numFmtId="0" fontId="115" fillId="69" borderId="10" applyAlignment="1" pivotButton="0" quotePrefix="0" xfId="0">
      <alignment horizontal="center" vertical="center"/>
    </xf>
    <xf numFmtId="0" fontId="7" fillId="0" borderId="18" applyAlignment="1" pivotButton="0" quotePrefix="0" xfId="0">
      <alignment horizontal="center" vertical="center" wrapText="1"/>
    </xf>
    <xf numFmtId="0" fontId="7" fillId="0" borderId="20" applyAlignment="1" pivotButton="0" quotePrefix="0" xfId="0">
      <alignment horizontal="center" vertical="center" wrapText="1"/>
    </xf>
    <xf numFmtId="0" fontId="115" fillId="69" borderId="0" applyAlignment="1" pivotButton="0" quotePrefix="0" xfId="0">
      <alignment horizontal="center" vertical="center"/>
    </xf>
    <xf numFmtId="0" fontId="115" fillId="0" borderId="0" applyAlignment="1" pivotButton="0" quotePrefix="0" xfId="0">
      <alignment horizontal="center" vertical="center"/>
    </xf>
    <xf numFmtId="0" fontId="115" fillId="70" borderId="6" applyAlignment="1" pivotButton="0" quotePrefix="0" xfId="0">
      <alignment horizontal="center" vertical="center"/>
    </xf>
    <xf numFmtId="0" fontId="114" fillId="0" borderId="18" applyAlignment="1" pivotButton="0" quotePrefix="0" xfId="0">
      <alignment horizontal="center" vertical="center" wrapText="1"/>
    </xf>
    <xf numFmtId="0" fontId="114" fillId="0" borderId="20" applyAlignment="1" pivotButton="0" quotePrefix="0" xfId="0">
      <alignment horizontal="center" vertical="center" wrapText="1"/>
    </xf>
    <xf numFmtId="0" fontId="115" fillId="68" borderId="0" applyAlignment="1" pivotButton="0" quotePrefix="0" xfId="0">
      <alignment horizontal="center" vertical="center"/>
    </xf>
    <xf numFmtId="0" fontId="116" fillId="68" borderId="11" applyAlignment="1" pivotButton="0" quotePrefix="0" xfId="0">
      <alignment horizontal="center" vertical="center"/>
    </xf>
    <xf numFmtId="0" fontId="116" fillId="68" borderId="10" applyAlignment="1" pivotButton="0" quotePrefix="0" xfId="0">
      <alignment horizontal="center" vertical="center"/>
    </xf>
    <xf numFmtId="0" fontId="116" fillId="68" borderId="0" applyAlignment="1" pivotButton="0" quotePrefix="0" xfId="0">
      <alignment horizontal="center" vertical="center"/>
    </xf>
    <xf numFmtId="0" fontId="116" fillId="68" borderId="0" pivotButton="0" quotePrefix="0" xfId="0"/>
    <xf numFmtId="0" fontId="116" fillId="69" borderId="10" applyAlignment="1" pivotButton="0" quotePrefix="0" xfId="0">
      <alignment horizontal="center" vertical="center"/>
    </xf>
    <xf numFmtId="0" fontId="116" fillId="0" borderId="10" applyAlignment="1" pivotButton="0" quotePrefix="0" xfId="0">
      <alignment horizontal="center" vertical="center"/>
    </xf>
    <xf numFmtId="0" fontId="116" fillId="70" borderId="14" applyAlignment="1" pivotButton="0" quotePrefix="0" xfId="0">
      <alignment horizontal="center" vertical="center"/>
    </xf>
    <xf numFmtId="0" fontId="116" fillId="69" borderId="0" applyAlignment="1" pivotButton="0" quotePrefix="0" xfId="0">
      <alignment horizontal="center" vertical="center"/>
    </xf>
    <xf numFmtId="0" fontId="116" fillId="0" borderId="0" applyAlignment="1" pivotButton="0" quotePrefix="0" xfId="0">
      <alignment horizontal="center" vertical="center"/>
    </xf>
    <xf numFmtId="0" fontId="116" fillId="70" borderId="0" applyAlignment="1" pivotButton="0" quotePrefix="0" xfId="0">
      <alignment horizontal="center" vertical="center"/>
    </xf>
    <xf numFmtId="0" fontId="116" fillId="69" borderId="11" applyAlignment="1" pivotButton="0" quotePrefix="0" xfId="0">
      <alignment horizontal="center" vertical="center"/>
    </xf>
    <xf numFmtId="0" fontId="116" fillId="0" borderId="11" applyAlignment="1" pivotButton="0" quotePrefix="0" xfId="0">
      <alignment horizontal="center" vertical="center"/>
    </xf>
    <xf numFmtId="0" fontId="116" fillId="70" borderId="13" applyAlignment="1" pivotButton="0" quotePrefix="0" xfId="0">
      <alignment horizontal="center" vertical="center"/>
    </xf>
    <xf numFmtId="0" fontId="116" fillId="70" borderId="0" pivotButton="0" quotePrefix="0" xfId="0"/>
    <xf numFmtId="0" fontId="116" fillId="0" borderId="0" pivotButton="0" quotePrefix="0" xfId="0"/>
    <xf numFmtId="0" fontId="116" fillId="69" borderId="0" pivotButton="0" quotePrefix="0" xfId="0"/>
    <xf numFmtId="0" fontId="2" fillId="6" borderId="0" pivotButton="0" quotePrefix="0" xfId="0"/>
    <xf numFmtId="0" fontId="0" fillId="14" borderId="0" pivotButton="0" quotePrefix="0" xfId="0"/>
    <xf numFmtId="0" fontId="0" fillId="14" borderId="0" applyAlignment="1" pivotButton="0" quotePrefix="0" xfId="0">
      <alignment horizontal="right"/>
    </xf>
    <xf numFmtId="0" fontId="12" fillId="53" borderId="43" applyAlignment="1" pivotButton="0" quotePrefix="0" xfId="0">
      <alignment horizontal="center" vertical="center" wrapText="1"/>
    </xf>
    <xf numFmtId="0" fontId="0" fillId="32" borderId="54" applyAlignment="1" pivotButton="0" quotePrefix="0" xfId="0">
      <alignment horizontal="center" vertical="center"/>
    </xf>
    <xf numFmtId="0" fontId="0" fillId="55" borderId="0" applyAlignment="1" pivotButton="0" quotePrefix="0" xfId="0">
      <alignment horizontal="center" vertical="center" wrapText="1"/>
    </xf>
    <xf numFmtId="0" fontId="0" fillId="18" borderId="0" applyAlignment="1" pivotButton="0" quotePrefix="0" xfId="0">
      <alignment horizontal="center" vertical="center"/>
    </xf>
    <xf numFmtId="0" fontId="0" fillId="18" borderId="0" applyAlignment="1" pivotButton="0" quotePrefix="0" xfId="0">
      <alignment horizontal="left" vertical="center"/>
    </xf>
    <xf numFmtId="1" fontId="0" fillId="18" borderId="0" applyAlignment="1" pivotButton="0" quotePrefix="0" xfId="0">
      <alignment horizontal="center" vertical="center"/>
    </xf>
    <xf numFmtId="0" fontId="19" fillId="71" borderId="0" applyAlignment="1" pivotButton="0" quotePrefix="0" xfId="0">
      <alignment horizontal="center" vertical="center"/>
    </xf>
    <xf numFmtId="9" fontId="0" fillId="12" borderId="0" applyAlignment="1" pivotButton="0" quotePrefix="0" xfId="2">
      <alignment vertical="center"/>
    </xf>
    <xf numFmtId="9" fontId="0" fillId="18" borderId="0" applyAlignment="1" pivotButton="0" quotePrefix="0" xfId="2">
      <alignment vertical="center"/>
    </xf>
    <xf numFmtId="0" fontId="7" fillId="12" borderId="0" applyAlignment="1" pivotButton="0" quotePrefix="0" xfId="0">
      <alignment vertical="center"/>
    </xf>
    <xf numFmtId="0" fontId="7" fillId="18" borderId="0" applyAlignment="1" pivotButton="0" quotePrefix="0" xfId="0">
      <alignment vertical="center"/>
    </xf>
    <xf numFmtId="9" fontId="0" fillId="3" borderId="0" applyAlignment="1" pivotButton="0" quotePrefix="0" xfId="2">
      <alignment horizontal="center" vertical="center"/>
    </xf>
    <xf numFmtId="9" fontId="0" fillId="12" borderId="0" applyAlignment="1" pivotButton="0" quotePrefix="0" xfId="2">
      <alignment horizontal="center" vertical="center"/>
    </xf>
    <xf numFmtId="9" fontId="0" fillId="18" borderId="0" applyAlignment="1" pivotButton="0" quotePrefix="0" xfId="2">
      <alignment horizontal="center" vertical="center"/>
    </xf>
    <xf numFmtId="0" fontId="7" fillId="3" borderId="0" applyAlignment="1" pivotButton="0" quotePrefix="0" xfId="0">
      <alignment horizontal="center" vertical="center"/>
    </xf>
    <xf numFmtId="0" fontId="7" fillId="12" borderId="0" applyAlignment="1" pivotButton="0" quotePrefix="0" xfId="0">
      <alignment horizontal="center" vertical="center"/>
    </xf>
    <xf numFmtId="0" fontId="7" fillId="18" borderId="0" applyAlignment="1" pivotButton="0" quotePrefix="0" xfId="0">
      <alignment horizontal="center" vertical="center"/>
    </xf>
    <xf numFmtId="9" fontId="0" fillId="3" borderId="0" applyAlignment="1" pivotButton="0" quotePrefix="0" xfId="0">
      <alignment vertical="center"/>
    </xf>
    <xf numFmtId="9" fontId="0" fillId="12" borderId="0" applyAlignment="1" pivotButton="0" quotePrefix="0" xfId="0">
      <alignment horizontal="center" vertical="center"/>
    </xf>
    <xf numFmtId="9" fontId="0" fillId="18" borderId="0" applyAlignment="1" pivotButton="0" quotePrefix="0" xfId="0">
      <alignment horizontal="center" vertical="center"/>
    </xf>
    <xf numFmtId="9" fontId="0" fillId="3" borderId="0" applyAlignment="1" pivotButton="0" quotePrefix="0" xfId="0">
      <alignment horizontal="center" vertical="center"/>
    </xf>
    <xf numFmtId="0" fontId="23" fillId="0" borderId="0" pivotButton="0" quotePrefix="0" xfId="0"/>
    <xf numFmtId="0" fontId="118" fillId="0" borderId="0" applyAlignment="1" pivotButton="0" quotePrefix="0" xfId="0">
      <alignment horizontal="center" vertical="center"/>
    </xf>
    <xf numFmtId="0" fontId="118" fillId="0" borderId="0" applyAlignment="1" pivotButton="0" quotePrefix="0" xfId="0">
      <alignment horizontal="center" vertical="center" textRotation="90"/>
    </xf>
    <xf numFmtId="0" fontId="19" fillId="72" borderId="0" applyAlignment="1" pivotButton="0" quotePrefix="0" xfId="0">
      <alignment horizontal="center" vertical="center"/>
    </xf>
    <xf numFmtId="0" fontId="41" fillId="0" borderId="0" applyAlignment="1" pivotButton="0" quotePrefix="0" xfId="0">
      <alignment vertical="center"/>
    </xf>
    <xf numFmtId="0" fontId="41" fillId="0" borderId="0" applyAlignment="1" pivotButton="0" quotePrefix="0" xfId="0">
      <alignment horizontal="center" vertical="center"/>
    </xf>
    <xf numFmtId="0" fontId="0" fillId="0" borderId="0" applyAlignment="1" pivotButton="0" quotePrefix="0" xfId="0">
      <alignment horizontal="left" vertical="top"/>
    </xf>
    <xf numFmtId="0" fontId="84" fillId="0" borderId="0" applyAlignment="1" pivotButton="0" quotePrefix="0" xfId="0">
      <alignment vertical="center"/>
    </xf>
    <xf numFmtId="0" fontId="3" fillId="0" borderId="0" applyAlignment="1" pivotButton="0" quotePrefix="0" xfId="0">
      <alignment vertical="top"/>
    </xf>
    <xf numFmtId="0" fontId="3" fillId="0" borderId="0" applyAlignment="1" pivotButton="0" quotePrefix="0" xfId="0">
      <alignment vertical="top" wrapText="1"/>
    </xf>
    <xf numFmtId="0" fontId="3" fillId="0" borderId="26" applyAlignment="1" pivotButton="0" quotePrefix="0" xfId="0">
      <alignment vertical="center" wrapText="1"/>
    </xf>
    <xf numFmtId="0" fontId="7" fillId="27" borderId="0" applyAlignment="1" pivotButton="0" quotePrefix="0" xfId="0">
      <alignment horizontal="center"/>
    </xf>
    <xf numFmtId="0" fontId="0" fillId="27" borderId="0" applyAlignment="1" pivotButton="0" quotePrefix="0" xfId="0">
      <alignment horizontal="center" wrapText="1"/>
    </xf>
    <xf numFmtId="0" fontId="0" fillId="27" borderId="10" applyAlignment="1" pivotButton="0" quotePrefix="0" xfId="0">
      <alignment horizontal="center"/>
    </xf>
    <xf numFmtId="1" fontId="0" fillId="18" borderId="0" applyAlignment="1" pivotButton="0" quotePrefix="0" xfId="0">
      <alignment vertical="center"/>
    </xf>
    <xf numFmtId="1" fontId="0" fillId="12" borderId="0" applyAlignment="1" pivotButton="0" quotePrefix="0" xfId="0">
      <alignment vertical="center"/>
    </xf>
    <xf numFmtId="9" fontId="37" fillId="0" borderId="0" pivotButton="0" quotePrefix="0" xfId="2"/>
    <xf numFmtId="0" fontId="37" fillId="0" borderId="0" applyAlignment="1" pivotButton="0" quotePrefix="0" xfId="0">
      <alignment horizontal="left" vertical="center"/>
    </xf>
    <xf numFmtId="0" fontId="82" fillId="0" borderId="0" applyAlignment="1" pivotButton="0" quotePrefix="0" xfId="0">
      <alignment vertical="center"/>
    </xf>
    <xf numFmtId="0" fontId="82" fillId="0" borderId="0" applyAlignment="1" pivotButton="0" quotePrefix="0" xfId="0">
      <alignment horizontal="center" vertical="center"/>
    </xf>
    <xf numFmtId="0" fontId="0" fillId="0" borderId="84" applyAlignment="1" pivotButton="0" quotePrefix="0" xfId="0">
      <alignment horizontal="center"/>
    </xf>
    <xf numFmtId="1" fontId="0" fillId="0" borderId="85" applyAlignment="1" pivotButton="0" quotePrefix="0" xfId="0">
      <alignment horizontal="center" wrapText="1"/>
    </xf>
    <xf numFmtId="0" fontId="0" fillId="0" borderId="85" applyAlignment="1" pivotButton="0" quotePrefix="0" xfId="0">
      <alignment horizontal="center"/>
    </xf>
    <xf numFmtId="1" fontId="15" fillId="0" borderId="0" applyAlignment="1" pivotButton="0" quotePrefix="0" xfId="0">
      <alignment horizontal="center" vertical="center"/>
    </xf>
    <xf numFmtId="0" fontId="26" fillId="0" borderId="0" applyAlignment="1" pivotButton="0" quotePrefix="0" xfId="0">
      <alignment horizontal="left"/>
    </xf>
    <xf numFmtId="0" fontId="32" fillId="40" borderId="9" applyAlignment="1" pivotButton="0" quotePrefix="0" xfId="0">
      <alignment horizontal="center" wrapText="1"/>
    </xf>
    <xf numFmtId="0" fontId="55" fillId="24" borderId="9" applyAlignment="1" pivotButton="0" quotePrefix="0" xfId="0">
      <alignment horizontal="center" vertical="center" wrapText="1"/>
    </xf>
    <xf numFmtId="166" fontId="22" fillId="0" borderId="0" applyAlignment="1" pivotButton="0" quotePrefix="0" xfId="1">
      <alignment horizontal="center" vertical="center"/>
    </xf>
    <xf numFmtId="0" fontId="2" fillId="3" borderId="9" applyAlignment="1" pivotButton="0" quotePrefix="0" xfId="0">
      <alignment horizontal="center" vertical="center" wrapText="1"/>
    </xf>
    <xf numFmtId="0" fontId="0" fillId="0" borderId="9" applyAlignment="1" pivotButton="0" quotePrefix="0" xfId="0">
      <alignment horizontal="center" vertical="center"/>
    </xf>
    <xf numFmtId="0" fontId="12" fillId="0" borderId="58" applyAlignment="1" pivotButton="0" quotePrefix="0" xfId="0">
      <alignment horizontal="center" vertical="center" wrapText="1"/>
    </xf>
    <xf numFmtId="0" fontId="0" fillId="17" borderId="22" applyAlignment="1" pivotButton="0" quotePrefix="0" xfId="0">
      <alignment horizontal="center" vertical="center" wrapText="1"/>
    </xf>
    <xf numFmtId="0" fontId="12" fillId="32" borderId="31" applyAlignment="1" pivotButton="0" quotePrefix="0" xfId="0">
      <alignment horizontal="center" vertical="center" wrapText="1"/>
    </xf>
    <xf numFmtId="9" fontId="119" fillId="0" borderId="46" applyAlignment="1" pivotButton="0" quotePrefix="0" xfId="2">
      <alignment horizontal="center" vertical="center"/>
    </xf>
    <xf numFmtId="9" fontId="119" fillId="0" borderId="47" applyAlignment="1" pivotButton="0" quotePrefix="0" xfId="2">
      <alignment horizontal="center" vertical="center"/>
    </xf>
    <xf numFmtId="9" fontId="119" fillId="0" borderId="48" applyAlignment="1" pivotButton="0" quotePrefix="0" xfId="2">
      <alignment horizontal="center" vertical="center" wrapText="1"/>
    </xf>
    <xf numFmtId="9" fontId="119" fillId="0" borderId="72" applyAlignment="1" pivotButton="0" quotePrefix="0" xfId="2">
      <alignment horizontal="center" vertical="center"/>
    </xf>
    <xf numFmtId="9" fontId="119" fillId="0" borderId="42" applyAlignment="1" pivotButton="0" quotePrefix="0" xfId="2">
      <alignment horizontal="center" vertical="center"/>
    </xf>
    <xf numFmtId="9" fontId="119" fillId="0" borderId="73" applyAlignment="1" pivotButton="0" quotePrefix="0" xfId="2">
      <alignment horizontal="center" vertical="center" wrapText="1"/>
    </xf>
    <xf numFmtId="0" fontId="23" fillId="32" borderId="0" applyAlignment="1" pivotButton="0" quotePrefix="0" xfId="0">
      <alignment horizontal="center" vertical="center" wrapText="1"/>
    </xf>
    <xf numFmtId="0" fontId="0" fillId="7" borderId="0" applyAlignment="1" pivotButton="0" quotePrefix="0" xfId="0">
      <alignment horizontal="center"/>
    </xf>
    <xf numFmtId="0" fontId="0" fillId="7" borderId="85" applyAlignment="1" pivotButton="0" quotePrefix="0" xfId="0">
      <alignment horizontal="center"/>
    </xf>
    <xf numFmtId="0" fontId="0" fillId="7" borderId="0" applyAlignment="1" pivotButton="0" quotePrefix="0" xfId="0">
      <alignment horizontal="center" vertical="center"/>
    </xf>
    <xf numFmtId="0" fontId="0" fillId="7" borderId="0" applyAlignment="1" applyProtection="1" pivotButton="0" quotePrefix="0" xfId="0">
      <alignment horizontal="center" vertical="center"/>
      <protection locked="0" hidden="0"/>
    </xf>
    <xf numFmtId="0" fontId="18" fillId="2" borderId="0" applyAlignment="1" pivotButton="0" quotePrefix="0" xfId="0">
      <alignment horizontal="left"/>
    </xf>
    <xf numFmtId="0" fontId="24" fillId="2" borderId="0" pivotButton="0" quotePrefix="0" xfId="0"/>
    <xf numFmtId="16" fontId="0" fillId="27" borderId="0" applyAlignment="1" pivotButton="0" quotePrefix="0" xfId="0">
      <alignment horizontal="center"/>
    </xf>
    <xf numFmtId="0" fontId="24" fillId="2" borderId="0" applyAlignment="1" pivotButton="0" quotePrefix="0" xfId="0">
      <alignment horizontal="left" vertical="center" wrapText="1"/>
    </xf>
    <xf numFmtId="0" fontId="18" fillId="2" borderId="0" applyAlignment="1" pivotButton="0" quotePrefix="0" xfId="0">
      <alignment horizontal="left" vertical="center"/>
    </xf>
    <xf numFmtId="0" fontId="3" fillId="21" borderId="0" applyAlignment="1" pivotButton="0" quotePrefix="0" xfId="0">
      <alignment horizontal="left" vertical="top" wrapText="1"/>
    </xf>
    <xf numFmtId="0" fontId="87" fillId="2" borderId="26" applyAlignment="1" pivotButton="0" quotePrefix="0" xfId="0">
      <alignment horizontal="center" vertical="center"/>
    </xf>
    <xf numFmtId="0" fontId="24" fillId="2" borderId="0" applyAlignment="1" pivotButton="0" quotePrefix="0" xfId="0">
      <alignment vertical="center" wrapText="1"/>
    </xf>
    <xf numFmtId="0" fontId="24" fillId="2" borderId="0" applyAlignment="1" pivotButton="0" quotePrefix="0" xfId="0">
      <alignment horizontal="center" vertical="center" wrapText="1"/>
    </xf>
    <xf numFmtId="0" fontId="120" fillId="7" borderId="15" applyAlignment="1" pivotButton="0" quotePrefix="0" xfId="0">
      <alignment horizontal="left" vertical="center" wrapText="1"/>
    </xf>
    <xf numFmtId="0" fontId="27" fillId="27" borderId="0" applyAlignment="1" pivotButton="0" quotePrefix="0" xfId="0">
      <alignment horizontal="center" vertical="center"/>
    </xf>
    <xf numFmtId="0" fontId="6" fillId="27" borderId="0" applyAlignment="1" pivotButton="0" quotePrefix="0" xfId="0">
      <alignment horizontal="center" vertical="center"/>
    </xf>
    <xf numFmtId="0" fontId="6" fillId="27" borderId="0" applyAlignment="1" pivotButton="0" quotePrefix="0" xfId="0">
      <alignment horizontal="center" vertical="center" wrapText="1"/>
    </xf>
    <xf numFmtId="9" fontId="53" fillId="0" borderId="26" applyAlignment="1" pivotButton="0" quotePrefix="0" xfId="2">
      <alignment horizontal="center" vertical="center" wrapText="1"/>
    </xf>
    <xf numFmtId="9" fontId="53" fillId="0" borderId="49" applyAlignment="1" pivotButton="0" quotePrefix="0" xfId="2">
      <alignment horizontal="center" vertical="center" wrapText="1"/>
    </xf>
    <xf numFmtId="0" fontId="50" fillId="0" borderId="15" applyAlignment="1" pivotButton="0" quotePrefix="0" xfId="0">
      <alignment horizontal="left" vertical="center"/>
    </xf>
    <xf numFmtId="0" fontId="0" fillId="15" borderId="0" applyAlignment="1" pivotButton="0" quotePrefix="0" xfId="0">
      <alignment horizontal="center" vertical="center" wrapText="1"/>
    </xf>
    <xf numFmtId="0" fontId="19" fillId="15" borderId="0" applyAlignment="1" pivotButton="0" quotePrefix="0" xfId="0">
      <alignment horizontal="left" vertical="center" wrapText="1"/>
    </xf>
    <xf numFmtId="0" fontId="23" fillId="15" borderId="0" applyAlignment="1" pivotButton="0" quotePrefix="0" xfId="0">
      <alignment horizontal="center" vertical="center" wrapText="1"/>
    </xf>
    <xf numFmtId="0" fontId="29" fillId="15" borderId="0" applyAlignment="1" pivotButton="0" quotePrefix="0" xfId="0">
      <alignment horizontal="center" vertical="center"/>
    </xf>
    <xf numFmtId="0" fontId="29" fillId="15" borderId="0" applyAlignment="1" pivotButton="0" quotePrefix="0" xfId="0">
      <alignment horizontal="left" vertical="top" wrapText="1"/>
    </xf>
    <xf numFmtId="9" fontId="27" fillId="15" borderId="0" applyAlignment="1" pivotButton="0" quotePrefix="0" xfId="2">
      <alignment horizontal="center" vertical="center"/>
    </xf>
    <xf numFmtId="9" fontId="27" fillId="15" borderId="0" applyAlignment="1" pivotButton="0" quotePrefix="0" xfId="2">
      <alignment horizontal="center" vertical="center" textRotation="90"/>
    </xf>
    <xf numFmtId="0" fontId="27" fillId="15" borderId="0" applyAlignment="1" pivotButton="0" quotePrefix="0" xfId="0">
      <alignment horizontal="left" vertical="center"/>
    </xf>
    <xf numFmtId="0" fontId="3" fillId="0" borderId="0" applyAlignment="1" pivotButton="0" quotePrefix="0" xfId="0">
      <alignment horizontal="center" vertical="center"/>
    </xf>
    <xf numFmtId="0" fontId="0" fillId="21" borderId="0" pivotButton="0" quotePrefix="0" xfId="0"/>
    <xf numFmtId="0" fontId="90" fillId="10" borderId="0" applyAlignment="1" pivotButton="0" quotePrefix="0" xfId="0">
      <alignment horizontal="center" vertical="center" wrapText="1"/>
    </xf>
    <xf numFmtId="0" fontId="23" fillId="6" borderId="0" applyAlignment="1" pivotButton="0" quotePrefix="0" xfId="0">
      <alignment horizontal="center" vertical="center" wrapText="1"/>
    </xf>
    <xf numFmtId="0" fontId="122" fillId="50" borderId="74" applyAlignment="1" pivotButton="0" quotePrefix="0" xfId="0">
      <alignment horizontal="center" vertical="center" wrapText="1"/>
    </xf>
    <xf numFmtId="0" fontId="122" fillId="50" borderId="41" applyAlignment="1" pivotButton="0" quotePrefix="0" xfId="0">
      <alignment horizontal="center" vertical="center" wrapText="1"/>
    </xf>
    <xf numFmtId="0" fontId="122" fillId="51" borderId="9" applyAlignment="1" pivotButton="0" quotePrefix="0" xfId="0">
      <alignment vertical="center" wrapText="1"/>
    </xf>
    <xf numFmtId="0" fontId="122" fillId="51" borderId="9" applyAlignment="1" pivotButton="0" quotePrefix="0" xfId="0">
      <alignment horizontal="center" vertical="center" wrapText="1"/>
    </xf>
    <xf numFmtId="0" fontId="0" fillId="21" borderId="0" applyAlignment="1" pivotButton="0" quotePrefix="0" xfId="0">
      <alignment horizontal="center"/>
    </xf>
    <xf numFmtId="0" fontId="0" fillId="0" borderId="84" applyAlignment="1" pivotButton="0" quotePrefix="0" xfId="0">
      <alignment horizontal="center" vertical="center" wrapText="1"/>
    </xf>
    <xf numFmtId="0" fontId="0" fillId="0" borderId="9" applyAlignment="1" pivotButton="0" quotePrefix="0" xfId="0">
      <alignment horizontal="center"/>
    </xf>
    <xf numFmtId="1" fontId="0" fillId="0" borderId="9" applyAlignment="1" pivotButton="0" quotePrefix="0" xfId="0">
      <alignment horizontal="center"/>
    </xf>
    <xf numFmtId="0" fontId="27" fillId="18" borderId="0" applyAlignment="1" pivotButton="0" quotePrefix="0" xfId="0">
      <alignment textRotation="90"/>
    </xf>
    <xf numFmtId="0" fontId="27" fillId="73" borderId="0" applyAlignment="1" pivotButton="0" quotePrefix="0" xfId="0">
      <alignment horizontal="center" textRotation="90"/>
    </xf>
    <xf numFmtId="0" fontId="27" fillId="18" borderId="0" pivotButton="0" quotePrefix="0" xfId="0"/>
    <xf numFmtId="0" fontId="27" fillId="73" borderId="0" applyAlignment="1" pivotButton="0" quotePrefix="0" xfId="0">
      <alignment horizontal="center"/>
    </xf>
    <xf numFmtId="0" fontId="27" fillId="7" borderId="0" applyAlignment="1" pivotButton="0" quotePrefix="0" xfId="0">
      <alignment horizontal="center"/>
    </xf>
    <xf numFmtId="1" fontId="27" fillId="18" borderId="0" applyAlignment="1" pivotButton="0" quotePrefix="0" xfId="0">
      <alignment horizontal="center"/>
    </xf>
    <xf numFmtId="0" fontId="27" fillId="18" borderId="0" applyAlignment="1" pivotButton="0" quotePrefix="0" xfId="0">
      <alignment horizontal="center"/>
    </xf>
    <xf numFmtId="1" fontId="0" fillId="0" borderId="86" applyAlignment="1" pivotButton="0" quotePrefix="0" xfId="0">
      <alignment horizontal="center"/>
    </xf>
    <xf numFmtId="0" fontId="0" fillId="0" borderId="19" applyAlignment="1" pivotButton="0" quotePrefix="0" xfId="0">
      <alignment horizontal="center"/>
    </xf>
    <xf numFmtId="0" fontId="0" fillId="0" borderId="6" applyAlignment="1" pivotButton="0" quotePrefix="0" xfId="0">
      <alignment horizontal="center"/>
    </xf>
    <xf numFmtId="1" fontId="0" fillId="0" borderId="20" applyAlignment="1" pivotButton="0" quotePrefix="0" xfId="0">
      <alignment horizontal="center"/>
    </xf>
    <xf numFmtId="1" fontId="0" fillId="0" borderId="14" applyAlignment="1" pivotButton="0" quotePrefix="0" xfId="0">
      <alignment horizontal="center"/>
    </xf>
    <xf numFmtId="0" fontId="0" fillId="7" borderId="0" applyAlignment="1" pivotButton="0" quotePrefix="0" xfId="0">
      <alignment wrapText="1"/>
    </xf>
    <xf numFmtId="0" fontId="0" fillId="69" borderId="19" applyAlignment="1" pivotButton="0" quotePrefix="0" xfId="0">
      <alignment horizontal="center" vertical="center"/>
    </xf>
    <xf numFmtId="0" fontId="0" fillId="69" borderId="6" applyAlignment="1" pivotButton="0" quotePrefix="0" xfId="0">
      <alignment horizontal="center" vertical="center"/>
    </xf>
    <xf numFmtId="0" fontId="23" fillId="0" borderId="64" applyAlignment="1" pivotButton="0" quotePrefix="0" xfId="0">
      <alignment vertical="center" wrapText="1"/>
    </xf>
    <xf numFmtId="0" fontId="23" fillId="0" borderId="0" applyAlignment="1" pivotButton="0" quotePrefix="0" xfId="0">
      <alignment vertical="top"/>
    </xf>
    <xf numFmtId="0" fontId="23" fillId="0" borderId="0" applyAlignment="1" pivotButton="0" quotePrefix="0" xfId="0">
      <alignment vertical="top" wrapText="1"/>
    </xf>
    <xf numFmtId="0" fontId="29" fillId="0" borderId="78" applyAlignment="1" pivotButton="0" quotePrefix="0" xfId="0">
      <alignment horizontal="left" vertical="center" wrapText="1"/>
    </xf>
    <xf numFmtId="0" fontId="23" fillId="0" borderId="0" applyAlignment="1" pivotButton="0" quotePrefix="0" xfId="0">
      <alignment vertical="center" wrapText="1"/>
    </xf>
    <xf numFmtId="0" fontId="29" fillId="0" borderId="0" applyAlignment="1" pivotButton="0" quotePrefix="0" xfId="0">
      <alignment horizontal="left" vertical="center" wrapText="1"/>
    </xf>
    <xf numFmtId="0" fontId="23" fillId="0" borderId="78" applyAlignment="1" pivotButton="0" quotePrefix="0" xfId="0">
      <alignment vertical="top"/>
    </xf>
    <xf numFmtId="0" fontId="23" fillId="0" borderId="59" applyAlignment="1" pivotButton="0" quotePrefix="0" xfId="0">
      <alignment vertical="top"/>
    </xf>
    <xf numFmtId="0" fontId="0" fillId="0" borderId="0" applyAlignment="1" pivotButton="0" quotePrefix="0" xfId="0">
      <alignment horizontal="center" textRotation="90"/>
    </xf>
    <xf numFmtId="0" fontId="9" fillId="0" borderId="0" applyAlignment="1" pivotButton="0" quotePrefix="0" xfId="0">
      <alignment horizontal="center"/>
    </xf>
    <xf numFmtId="1" fontId="9" fillId="0" borderId="0" applyAlignment="1" pivotButton="0" quotePrefix="0" xfId="0">
      <alignment horizontal="center" wrapText="1"/>
    </xf>
    <xf numFmtId="0" fontId="9" fillId="7" borderId="0" applyAlignment="1" pivotButton="0" quotePrefix="0" xfId="0">
      <alignment horizontal="center"/>
    </xf>
    <xf numFmtId="1" fontId="123" fillId="0" borderId="0" applyAlignment="1" pivotButton="0" quotePrefix="0" xfId="0">
      <alignment horizontal="center"/>
    </xf>
    <xf numFmtId="1" fontId="9" fillId="0" borderId="0" applyAlignment="1" pivotButton="0" quotePrefix="0" xfId="0">
      <alignment horizontal="center"/>
    </xf>
    <xf numFmtId="0" fontId="123" fillId="0" borderId="0" applyAlignment="1" pivotButton="0" quotePrefix="0" xfId="0">
      <alignment horizontal="center"/>
    </xf>
    <xf numFmtId="0" fontId="0" fillId="7" borderId="0" applyAlignment="1" pivotButton="0" quotePrefix="0" xfId="0">
      <alignment vertical="top"/>
    </xf>
    <xf numFmtId="0" fontId="0" fillId="0" borderId="85" applyAlignment="1" pivotButton="0" quotePrefix="0" xfId="0">
      <alignment horizontal="center" vertical="center"/>
    </xf>
    <xf numFmtId="1" fontId="4" fillId="0" borderId="86" applyAlignment="1" pivotButton="0" quotePrefix="0" xfId="0">
      <alignment horizontal="center"/>
    </xf>
    <xf numFmtId="0" fontId="7" fillId="27" borderId="0" applyAlignment="1" pivotButton="0" quotePrefix="0" xfId="0">
      <alignment horizontal="center" wrapText="1"/>
    </xf>
    <xf numFmtId="1" fontId="0" fillId="0" borderId="85" applyAlignment="1" pivotButton="0" quotePrefix="0" xfId="0">
      <alignment horizontal="center" vertical="center"/>
    </xf>
    <xf numFmtId="1" fontId="0" fillId="27" borderId="86" applyAlignment="1" pivotButton="0" quotePrefix="0" xfId="0">
      <alignment horizontal="center" vertical="center"/>
    </xf>
    <xf numFmtId="16" fontId="0" fillId="0" borderId="0" applyAlignment="1" pivotButton="0" quotePrefix="0" xfId="0">
      <alignment horizontal="center" vertical="center"/>
    </xf>
    <xf numFmtId="0" fontId="0" fillId="0" borderId="88" applyAlignment="1" pivotButton="0" quotePrefix="0" xfId="0">
      <alignment horizontal="center" vertical="center"/>
    </xf>
    <xf numFmtId="0" fontId="0" fillId="0" borderId="44" applyAlignment="1" pivotButton="0" quotePrefix="0" xfId="0">
      <alignment horizontal="center" vertical="center"/>
    </xf>
    <xf numFmtId="1" fontId="4" fillId="0" borderId="0" applyAlignment="1" pivotButton="0" quotePrefix="0" xfId="0">
      <alignment horizontal="center"/>
    </xf>
    <xf numFmtId="1" fontId="2" fillId="0" borderId="86" applyAlignment="1" pivotButton="0" quotePrefix="0" xfId="0">
      <alignment horizontal="center"/>
    </xf>
    <xf numFmtId="0" fontId="0" fillId="0" borderId="19" pivotButton="0" quotePrefix="0" xfId="0"/>
    <xf numFmtId="0" fontId="10" fillId="0" borderId="19" pivotButton="0" quotePrefix="0" xfId="0"/>
    <xf numFmtId="0" fontId="6" fillId="7" borderId="0" pivotButton="0" quotePrefix="0" xfId="0"/>
    <xf numFmtId="1" fontId="0" fillId="0" borderId="0" applyAlignment="1" applyProtection="1" pivotButton="0" quotePrefix="0" xfId="0">
      <alignment horizontal="center" vertical="center"/>
      <protection locked="0" hidden="0"/>
    </xf>
    <xf numFmtId="0" fontId="76" fillId="0" borderId="0" applyAlignment="1" pivotButton="0" quotePrefix="0" xfId="0">
      <alignment horizontal="center"/>
    </xf>
    <xf numFmtId="1" fontId="76" fillId="0" borderId="0" pivotButton="0" quotePrefix="0" xfId="0"/>
    <xf numFmtId="1" fontId="27" fillId="0" borderId="0" pivotButton="0" quotePrefix="0" xfId="0"/>
    <xf numFmtId="1" fontId="27" fillId="0" borderId="0" applyAlignment="1" pivotButton="0" quotePrefix="0" xfId="0">
      <alignment horizontal="center" vertical="center"/>
    </xf>
    <xf numFmtId="0" fontId="6" fillId="0" borderId="0" applyAlignment="1" pivotButton="0" quotePrefix="0" xfId="0">
      <alignment horizontal="right"/>
    </xf>
    <xf numFmtId="0" fontId="3" fillId="21" borderId="0" applyAlignment="1" pivotButton="0" quotePrefix="0" xfId="0">
      <alignment horizontal="left" vertical="center" wrapText="1"/>
    </xf>
    <xf numFmtId="0" fontId="0" fillId="12" borderId="0" applyAlignment="1" pivotButton="0" quotePrefix="0" xfId="0">
      <alignment horizontal="center" vertical="center" wrapText="1"/>
    </xf>
    <xf numFmtId="0" fontId="3" fillId="0" borderId="26" applyAlignment="1" pivotButton="0" quotePrefix="0" xfId="0">
      <alignment wrapText="1"/>
    </xf>
    <xf numFmtId="0" fontId="3" fillId="0" borderId="26" pivotButton="0" quotePrefix="0" xfId="0"/>
    <xf numFmtId="0" fontId="0" fillId="0" borderId="0" applyAlignment="1" pivotButton="0" quotePrefix="0" xfId="0">
      <alignment horizontal="left" textRotation="45"/>
    </xf>
    <xf numFmtId="0" fontId="124" fillId="0" borderId="0" applyAlignment="1" pivotButton="0" quotePrefix="0" xfId="0">
      <alignment horizontal="right"/>
    </xf>
    <xf numFmtId="0" fontId="0" fillId="0" borderId="0" applyAlignment="1" pivotButton="0" quotePrefix="0" xfId="0">
      <alignment horizontal="center" textRotation="45"/>
    </xf>
    <xf numFmtId="0" fontId="35" fillId="0" borderId="0" pivotButton="0" quotePrefix="0" xfId="0"/>
    <xf numFmtId="0" fontId="3" fillId="10" borderId="0" applyAlignment="1" pivotButton="0" quotePrefix="0" xfId="0">
      <alignment vertical="center"/>
    </xf>
    <xf numFmtId="0" fontId="83" fillId="10" borderId="0" applyAlignment="1" pivotButton="0" quotePrefix="0" xfId="0">
      <alignment horizontal="left" vertical="center" wrapText="1"/>
    </xf>
    <xf numFmtId="0" fontId="8" fillId="0" borderId="0" applyAlignment="1" pivotButton="0" quotePrefix="0" xfId="0">
      <alignment horizontal="left"/>
    </xf>
    <xf numFmtId="0" fontId="0" fillId="67" borderId="0" applyAlignment="1" applyProtection="1" pivotButton="0" quotePrefix="0" xfId="0">
      <alignment horizontal="center" vertical="center"/>
      <protection locked="0" hidden="0"/>
    </xf>
    <xf numFmtId="0" fontId="0" fillId="15" borderId="0" applyAlignment="1" applyProtection="1" pivotButton="0" quotePrefix="0" xfId="0">
      <alignment horizontal="center" vertical="center"/>
      <protection locked="0" hidden="0"/>
    </xf>
    <xf numFmtId="0" fontId="18" fillId="16" borderId="0" applyAlignment="1" pivotButton="0" quotePrefix="0" xfId="0">
      <alignment vertical="center"/>
    </xf>
    <xf numFmtId="0" fontId="0" fillId="36" borderId="0" applyAlignment="1" pivotButton="0" quotePrefix="0" xfId="2">
      <alignment horizontal="center" vertical="center" wrapText="1"/>
    </xf>
    <xf numFmtId="9" fontId="0" fillId="36" borderId="0" applyAlignment="1" pivotButton="0" quotePrefix="0" xfId="2">
      <alignment horizontal="center" vertical="center" wrapText="1"/>
    </xf>
    <xf numFmtId="0" fontId="127" fillId="16" borderId="0" applyAlignment="1" pivotButton="0" quotePrefix="0" xfId="0">
      <alignment horizontal="center" vertical="center"/>
    </xf>
    <xf numFmtId="0" fontId="18" fillId="16" borderId="53" applyAlignment="1" pivotButton="0" quotePrefix="0" xfId="0">
      <alignment vertical="center"/>
    </xf>
    <xf numFmtId="0" fontId="18" fillId="16" borderId="54" applyAlignment="1" pivotButton="0" quotePrefix="0" xfId="0">
      <alignment vertical="center"/>
    </xf>
    <xf numFmtId="0" fontId="18" fillId="16" borderId="54" applyAlignment="1" pivotButton="0" quotePrefix="0" xfId="0">
      <alignment horizontal="center" vertical="center"/>
    </xf>
    <xf numFmtId="0" fontId="18" fillId="16" borderId="55" applyAlignment="1" pivotButton="0" quotePrefix="0" xfId="0">
      <alignment horizontal="center" vertical="center"/>
    </xf>
    <xf numFmtId="0" fontId="7" fillId="16" borderId="36" applyAlignment="1" pivotButton="0" quotePrefix="0" xfId="0">
      <alignment horizontal="center" wrapText="1"/>
    </xf>
    <xf numFmtId="0" fontId="7" fillId="16" borderId="56" applyAlignment="1" pivotButton="0" quotePrefix="0" xfId="0">
      <alignment horizontal="center" wrapText="1"/>
    </xf>
    <xf numFmtId="0" fontId="127" fillId="16" borderId="36" applyAlignment="1" pivotButton="0" quotePrefix="0" xfId="0">
      <alignment horizontal="center" vertical="center"/>
    </xf>
    <xf numFmtId="0" fontId="0" fillId="16" borderId="56" applyAlignment="1" applyProtection="1" pivotButton="0" quotePrefix="0" xfId="0">
      <alignment horizontal="center" vertical="center"/>
      <protection locked="0" hidden="0"/>
    </xf>
    <xf numFmtId="0" fontId="0" fillId="16" borderId="87" applyAlignment="1" pivotButton="0" quotePrefix="0" xfId="0">
      <alignment horizontal="center" vertical="center"/>
    </xf>
    <xf numFmtId="0" fontId="0" fillId="16" borderId="89" applyAlignment="1" pivotButton="0" quotePrefix="0" xfId="0">
      <alignment horizontal="center" vertical="center"/>
    </xf>
    <xf numFmtId="0" fontId="0" fillId="67" borderId="64" applyAlignment="1" pivotButton="0" quotePrefix="0" xfId="0">
      <alignment horizontal="center" vertical="center"/>
    </xf>
    <xf numFmtId="0" fontId="0" fillId="67" borderId="56" applyAlignment="1" applyProtection="1" pivotButton="0" quotePrefix="0" xfId="0">
      <alignment horizontal="center" vertical="center"/>
      <protection locked="0" hidden="0"/>
    </xf>
    <xf numFmtId="0" fontId="0" fillId="15" borderId="64" applyAlignment="1" pivotButton="0" quotePrefix="0" xfId="0">
      <alignment horizontal="center" vertical="center"/>
    </xf>
    <xf numFmtId="0" fontId="0" fillId="15" borderId="56" applyAlignment="1" applyProtection="1" pivotButton="0" quotePrefix="0" xfId="0">
      <alignment horizontal="center" vertical="center"/>
      <protection locked="0" hidden="0"/>
    </xf>
    <xf numFmtId="0" fontId="0" fillId="36" borderId="36" applyAlignment="1" pivotButton="0" quotePrefix="0" xfId="0">
      <alignment horizontal="center" vertical="center"/>
    </xf>
    <xf numFmtId="9" fontId="0" fillId="36" borderId="56" applyAlignment="1" pivotButton="0" quotePrefix="0" xfId="2">
      <alignment horizontal="center" vertical="center" wrapText="1"/>
    </xf>
    <xf numFmtId="0" fontId="7" fillId="16" borderId="56" applyAlignment="1" pivotButton="0" quotePrefix="0" xfId="0">
      <alignment horizontal="center" vertical="center" wrapText="1"/>
    </xf>
    <xf numFmtId="9" fontId="17" fillId="10" borderId="1" applyAlignment="1" pivotButton="0" quotePrefix="0" xfId="2">
      <alignment horizontal="center" vertical="center" wrapText="1"/>
    </xf>
    <xf numFmtId="0" fontId="17" fillId="10" borderId="1" applyAlignment="1" pivotButton="0" quotePrefix="0" xfId="0">
      <alignment horizontal="center" vertical="center" wrapText="1"/>
    </xf>
    <xf numFmtId="0" fontId="0" fillId="10" borderId="63" pivotButton="0" quotePrefix="0" xfId="0"/>
    <xf numFmtId="0" fontId="18" fillId="16" borderId="53" applyAlignment="1" pivotButton="0" quotePrefix="0" xfId="0">
      <alignment horizontal="center" vertical="center"/>
    </xf>
    <xf numFmtId="0" fontId="0" fillId="16" borderId="90" applyAlignment="1" applyProtection="1" pivotButton="0" quotePrefix="0" xfId="0">
      <alignment horizontal="center" vertical="center"/>
      <protection locked="0" hidden="0"/>
    </xf>
    <xf numFmtId="0" fontId="0" fillId="16" borderId="91" applyAlignment="1" applyProtection="1" pivotButton="0" quotePrefix="0" xfId="0">
      <alignment horizontal="center" vertical="center"/>
      <protection locked="0" hidden="0"/>
    </xf>
    <xf numFmtId="0" fontId="0" fillId="36" borderId="56" applyAlignment="1" pivotButton="0" quotePrefix="0" xfId="2">
      <alignment horizontal="center" vertical="center" wrapText="1"/>
    </xf>
    <xf numFmtId="0" fontId="114" fillId="0" borderId="19" applyAlignment="1" pivotButton="0" quotePrefix="0" xfId="0">
      <alignment horizontal="center" vertical="center" wrapText="1"/>
    </xf>
    <xf numFmtId="0" fontId="0" fillId="10" borderId="64" applyAlignment="1" pivotButton="0" quotePrefix="0" xfId="0">
      <alignment vertical="center"/>
    </xf>
    <xf numFmtId="0" fontId="14" fillId="10" borderId="78" applyAlignment="1" pivotButton="0" quotePrefix="0" xfId="0">
      <alignment horizontal="left" vertical="center" wrapText="1"/>
    </xf>
    <xf numFmtId="0" fontId="0" fillId="10" borderId="78" applyAlignment="1" pivotButton="0" quotePrefix="0" xfId="0">
      <alignment horizontal="left" vertical="center" wrapText="1"/>
    </xf>
    <xf numFmtId="0" fontId="127" fillId="10" borderId="64" applyAlignment="1" pivotButton="0" quotePrefix="0" xfId="0">
      <alignment horizontal="center" vertical="center"/>
    </xf>
    <xf numFmtId="0" fontId="127" fillId="10" borderId="78" applyAlignment="1" pivotButton="0" quotePrefix="0" xfId="0">
      <alignment horizontal="center" vertical="center"/>
    </xf>
    <xf numFmtId="0" fontId="10" fillId="0" borderId="0" applyAlignment="1" pivotButton="0" quotePrefix="0" xfId="0">
      <alignment horizontal="left"/>
    </xf>
    <xf numFmtId="0" fontId="128" fillId="16" borderId="36" applyAlignment="1" pivotButton="0" quotePrefix="0" xfId="0">
      <alignment horizontal="center" vertical="center"/>
    </xf>
    <xf numFmtId="0" fontId="128" fillId="16" borderId="0" applyAlignment="1" pivotButton="0" quotePrefix="0" xfId="0">
      <alignment horizontal="center" vertical="center"/>
    </xf>
    <xf numFmtId="0" fontId="129" fillId="13" borderId="20" applyAlignment="1" pivotButton="0" quotePrefix="0" xfId="0">
      <alignment horizontal="center"/>
    </xf>
    <xf numFmtId="0" fontId="129" fillId="13" borderId="14" applyAlignment="1" pivotButton="0" quotePrefix="0" xfId="0">
      <alignment horizontal="center"/>
    </xf>
    <xf numFmtId="0" fontId="0" fillId="10" borderId="59" applyAlignment="1" applyProtection="1" pivotButton="0" quotePrefix="0" xfId="0">
      <alignment horizontal="center" vertical="center"/>
      <protection locked="0" hidden="0"/>
    </xf>
    <xf numFmtId="0" fontId="7" fillId="0" borderId="56" applyAlignment="1" pivotButton="0" quotePrefix="0" xfId="0">
      <alignment horizontal="center" vertical="center" wrapText="1"/>
    </xf>
    <xf numFmtId="0" fontId="127" fillId="0" borderId="0" applyAlignment="1" pivotButton="0" quotePrefix="0" xfId="0">
      <alignment horizontal="center" vertical="center"/>
    </xf>
    <xf numFmtId="9" fontId="17" fillId="0" borderId="0" applyAlignment="1" pivotButton="0" quotePrefix="0" xfId="2">
      <alignment horizontal="center" vertical="center" wrapText="1"/>
    </xf>
    <xf numFmtId="0" fontId="17" fillId="0" borderId="0" applyAlignment="1" pivotButton="0" quotePrefix="0" xfId="0">
      <alignment horizontal="center" vertical="center" wrapText="1"/>
    </xf>
    <xf numFmtId="0" fontId="0" fillId="10" borderId="89" applyAlignment="1" pivotButton="0" quotePrefix="0" xfId="0">
      <alignment horizontal="center" vertical="center"/>
    </xf>
    <xf numFmtId="0" fontId="0" fillId="10" borderId="11" applyAlignment="1" pivotButton="0" quotePrefix="0" xfId="0">
      <alignment horizontal="center" vertical="center"/>
    </xf>
    <xf numFmtId="0" fontId="0" fillId="10" borderId="91" applyAlignment="1" applyProtection="1" pivotButton="0" quotePrefix="0" xfId="0">
      <alignment horizontal="center" vertical="center"/>
      <protection locked="0" hidden="0"/>
    </xf>
    <xf numFmtId="0" fontId="7" fillId="6" borderId="0" applyAlignment="1" pivotButton="0" quotePrefix="0" xfId="0">
      <alignment horizontal="center"/>
    </xf>
    <xf numFmtId="0" fontId="2" fillId="6" borderId="0" applyAlignment="1" pivotButton="0" quotePrefix="0" xfId="0">
      <alignment horizontal="right"/>
    </xf>
    <xf numFmtId="0" fontId="0" fillId="6" borderId="0" applyAlignment="1" pivotButton="0" quotePrefix="0" xfId="0">
      <alignment horizontal="right" vertical="center"/>
    </xf>
    <xf numFmtId="0" fontId="117" fillId="0" borderId="0" pivotButton="0" quotePrefix="0" xfId="0"/>
    <xf numFmtId="0" fontId="114" fillId="0" borderId="0" applyAlignment="1" pivotButton="0" quotePrefix="0" xfId="0">
      <alignment horizontal="center" vertical="center" wrapText="1"/>
    </xf>
    <xf numFmtId="0" fontId="0" fillId="0" borderId="0" applyAlignment="1" pivotButton="0" quotePrefix="0" xfId="2">
      <alignment horizontal="center" vertical="center" wrapText="1"/>
    </xf>
    <xf numFmtId="0" fontId="126" fillId="0" borderId="0" applyAlignment="1" pivotButton="0" quotePrefix="0" xfId="0">
      <alignment horizontal="center" vertical="center" wrapText="1"/>
    </xf>
    <xf numFmtId="0" fontId="0" fillId="0" borderId="0" applyAlignment="1" pivotButton="0" quotePrefix="0" xfId="2">
      <alignment horizontal="center" vertical="center" wrapText="1"/>
    </xf>
    <xf numFmtId="0" fontId="130" fillId="0" borderId="0" pivotButton="0" quotePrefix="0" xfId="0"/>
    <xf numFmtId="0" fontId="10" fillId="0" borderId="0" applyAlignment="1" pivotButton="0" quotePrefix="0" xfId="0">
      <alignment horizontal="right"/>
    </xf>
    <xf numFmtId="0" fontId="10" fillId="0" borderId="0" applyAlignment="1" pivotButton="0" quotePrefix="0" xfId="0">
      <alignment horizontal="center"/>
    </xf>
    <xf numFmtId="0" fontId="0" fillId="14" borderId="0" applyAlignment="1" pivotButton="0" quotePrefix="0" xfId="0">
      <alignment horizontal="center"/>
    </xf>
    <xf numFmtId="0" fontId="3" fillId="21" borderId="0" applyAlignment="1" pivotButton="0" quotePrefix="0" xfId="0">
      <alignment horizontal="left" vertical="center"/>
    </xf>
    <xf numFmtId="0" fontId="3" fillId="21" borderId="3" applyAlignment="1" pivotButton="0" quotePrefix="0" xfId="0">
      <alignment vertical="center" wrapText="1"/>
    </xf>
    <xf numFmtId="0" fontId="32" fillId="24" borderId="54" applyAlignment="1" pivotButton="0" quotePrefix="0" xfId="0">
      <alignment horizontal="center" vertical="center" wrapText="1"/>
    </xf>
    <xf numFmtId="0" fontId="50" fillId="41" borderId="54" applyAlignment="1" pivotButton="0" quotePrefix="0" xfId="0">
      <alignment horizontal="left" vertical="center" wrapText="1"/>
    </xf>
    <xf numFmtId="1" fontId="0" fillId="7" borderId="0" applyAlignment="1" pivotButton="0" quotePrefix="0" xfId="0">
      <alignment horizontal="center" vertical="center"/>
    </xf>
    <xf numFmtId="1" fontId="0" fillId="7" borderId="0" applyAlignment="1" pivotButton="0" quotePrefix="0" xfId="0">
      <alignment vertical="center" wrapText="1"/>
    </xf>
    <xf numFmtId="0" fontId="5" fillId="0" borderId="0" applyAlignment="1" pivotButton="0" quotePrefix="0" xfId="0">
      <alignment horizontal="left" vertical="center"/>
    </xf>
    <xf numFmtId="1" fontId="6" fillId="0" borderId="0" applyAlignment="1" pivotButton="0" quotePrefix="0" xfId="0">
      <alignment vertical="center" wrapText="1"/>
    </xf>
    <xf numFmtId="0" fontId="0" fillId="9" borderId="0" applyAlignment="1" pivotButton="0" quotePrefix="0" xfId="0">
      <alignment horizontal="center" vertical="center"/>
    </xf>
    <xf numFmtId="0" fontId="0" fillId="16" borderId="53" applyAlignment="1" pivotButton="0" quotePrefix="0" xfId="0">
      <alignment horizontal="left" vertical="center"/>
    </xf>
    <xf numFmtId="0" fontId="131" fillId="75" borderId="9" applyAlignment="1" pivotButton="0" quotePrefix="0" xfId="0">
      <alignment horizontal="center" vertical="center" wrapText="1"/>
    </xf>
    <xf numFmtId="0" fontId="132" fillId="75" borderId="14" applyAlignment="1" pivotButton="0" quotePrefix="0" xfId="0">
      <alignment horizontal="center" vertical="center" wrapText="1"/>
    </xf>
    <xf numFmtId="0" fontId="132" fillId="75" borderId="0" applyAlignment="1" pivotButton="0" quotePrefix="0" xfId="0">
      <alignment vertical="center" wrapText="1"/>
    </xf>
    <xf numFmtId="0" fontId="132" fillId="75" borderId="31" applyAlignment="1" pivotButton="0" quotePrefix="0" xfId="0">
      <alignment vertical="center" wrapText="1"/>
    </xf>
    <xf numFmtId="0" fontId="132" fillId="75" borderId="15" applyAlignment="1" pivotButton="0" quotePrefix="0" xfId="0">
      <alignment vertical="center" wrapText="1"/>
    </xf>
    <xf numFmtId="0" fontId="132" fillId="75" borderId="15" applyAlignment="1" pivotButton="0" quotePrefix="0" xfId="0">
      <alignment horizontal="center" vertical="center" wrapText="1"/>
    </xf>
    <xf numFmtId="1" fontId="133" fillId="21" borderId="15" applyAlignment="1" pivotButton="0" quotePrefix="0" xfId="0">
      <alignment horizontal="center" vertical="center" wrapText="1"/>
    </xf>
    <xf numFmtId="9" fontId="134" fillId="21" borderId="37" applyAlignment="1" pivotButton="0" quotePrefix="0" xfId="2">
      <alignment horizontal="center" vertical="center" wrapText="1"/>
    </xf>
    <xf numFmtId="9" fontId="134" fillId="21" borderId="26" applyAlignment="1" pivotButton="0" quotePrefix="0" xfId="2">
      <alignment horizontal="center" vertical="center" wrapText="1"/>
    </xf>
    <xf numFmtId="9" fontId="134" fillId="21" borderId="49" applyAlignment="1" pivotButton="0" quotePrefix="0" xfId="2">
      <alignment horizontal="center" vertical="center" wrapText="1"/>
    </xf>
    <xf numFmtId="0" fontId="133" fillId="75" borderId="15" applyAlignment="1" pivotButton="0" quotePrefix="0" xfId="0">
      <alignment horizontal="left" vertical="center"/>
    </xf>
    <xf numFmtId="0" fontId="3" fillId="21" borderId="0" applyAlignment="1" pivotButton="0" quotePrefix="0" xfId="0">
      <alignment horizontal="center" vertical="center"/>
    </xf>
    <xf numFmtId="0" fontId="135" fillId="21" borderId="0" applyAlignment="1" pivotButton="0" quotePrefix="0" xfId="0">
      <alignment horizontal="center" vertical="center" textRotation="90"/>
    </xf>
    <xf numFmtId="165" fontId="84" fillId="21" borderId="0" applyAlignment="1" pivotButton="0" quotePrefix="0" xfId="1">
      <alignment horizontal="center"/>
    </xf>
    <xf numFmtId="1" fontId="84" fillId="21" borderId="0" pivotButton="0" quotePrefix="0" xfId="0"/>
    <xf numFmtId="0" fontId="84" fillId="21" borderId="0" pivotButton="0" quotePrefix="0" xfId="0"/>
    <xf numFmtId="0" fontId="136" fillId="21" borderId="0" applyAlignment="1" pivotButton="0" quotePrefix="0" xfId="0">
      <alignment horizontal="center" vertical="center" textRotation="90"/>
    </xf>
    <xf numFmtId="0" fontId="137" fillId="21" borderId="0" applyAlignment="1" pivotButton="0" quotePrefix="0" xfId="0">
      <alignment horizontal="center" vertical="top" textRotation="90"/>
    </xf>
    <xf numFmtId="0" fontId="84" fillId="75" borderId="14" applyAlignment="1" pivotButton="0" quotePrefix="0" xfId="0">
      <alignment horizontal="center" vertical="center" wrapText="1"/>
    </xf>
    <xf numFmtId="0" fontId="84" fillId="21" borderId="0" applyAlignment="1" pivotButton="0" quotePrefix="0" xfId="0">
      <alignment vertical="center" wrapText="1"/>
    </xf>
    <xf numFmtId="0" fontId="84" fillId="75" borderId="0" applyAlignment="1" pivotButton="0" quotePrefix="0" xfId="0">
      <alignment vertical="center" wrapText="1"/>
    </xf>
    <xf numFmtId="0" fontId="84" fillId="75" borderId="9" applyAlignment="1" pivotButton="0" quotePrefix="0" xfId="0">
      <alignment vertical="center" wrapText="1"/>
    </xf>
    <xf numFmtId="0" fontId="84" fillId="75" borderId="0" applyAlignment="1" pivotButton="0" quotePrefix="0" xfId="0">
      <alignment horizontal="center" vertical="center" wrapText="1"/>
    </xf>
    <xf numFmtId="0" fontId="84" fillId="75" borderId="2" applyAlignment="1" pivotButton="0" quotePrefix="0" xfId="0">
      <alignment horizontal="center" vertical="center" wrapText="1"/>
    </xf>
    <xf numFmtId="0" fontId="137" fillId="21" borderId="0" applyAlignment="1" pivotButton="0" quotePrefix="0" xfId="0">
      <alignment horizontal="center" vertical="center" wrapText="1"/>
    </xf>
    <xf numFmtId="0" fontId="137" fillId="21" borderId="85" applyAlignment="1" pivotButton="0" quotePrefix="0" xfId="0">
      <alignment horizontal="center" vertical="center" wrapText="1"/>
    </xf>
    <xf numFmtId="0" fontId="3" fillId="21" borderId="9" applyAlignment="1" pivotButton="0" quotePrefix="0" xfId="0">
      <alignment horizontal="center" vertical="center" wrapText="1"/>
    </xf>
    <xf numFmtId="0" fontId="3" fillId="9" borderId="16" applyAlignment="1" pivotButton="0" quotePrefix="1" xfId="0">
      <alignment horizontal="left" vertical="top" wrapText="1"/>
    </xf>
    <xf numFmtId="0" fontId="3" fillId="9" borderId="16" applyAlignment="1" pivotButton="0" quotePrefix="0" xfId="0">
      <alignment horizontal="center" vertical="center" wrapText="1"/>
    </xf>
    <xf numFmtId="0" fontId="90" fillId="21" borderId="82" applyAlignment="1" pivotButton="0" quotePrefix="0" xfId="0">
      <alignment horizontal="center" vertical="center" wrapText="1"/>
    </xf>
    <xf numFmtId="0" fontId="3" fillId="21" borderId="22" applyAlignment="1" pivotButton="0" quotePrefix="1" xfId="0">
      <alignment horizontal="left" vertical="center" wrapText="1"/>
    </xf>
    <xf numFmtId="0" fontId="90" fillId="9" borderId="85" applyAlignment="1" pivotButton="0" quotePrefix="0" xfId="0">
      <alignment horizontal="center" vertical="center" wrapText="1"/>
    </xf>
    <xf numFmtId="0" fontId="132" fillId="30" borderId="2" applyAlignment="1" pivotButton="0" quotePrefix="0" xfId="0">
      <alignment horizontal="center" vertical="center" wrapText="1"/>
    </xf>
    <xf numFmtId="0" fontId="83" fillId="28" borderId="0" applyAlignment="1" pivotButton="0" quotePrefix="1" xfId="0">
      <alignment vertical="center" wrapText="1"/>
    </xf>
    <xf numFmtId="0" fontId="0" fillId="28" borderId="0" applyAlignment="1" pivotButton="0" quotePrefix="0" xfId="0">
      <alignment vertical="center" wrapText="1"/>
    </xf>
    <xf numFmtId="0" fontId="0" fillId="28" borderId="16" applyAlignment="1" pivotButton="0" quotePrefix="0" xfId="0">
      <alignment horizontal="center" vertical="center" wrapText="1"/>
    </xf>
    <xf numFmtId="0" fontId="139" fillId="28" borderId="0" applyAlignment="1" pivotButton="0" quotePrefix="0" xfId="0">
      <alignment vertical="center" wrapText="1"/>
    </xf>
    <xf numFmtId="0" fontId="3" fillId="28" borderId="0" applyAlignment="1" pivotButton="0" quotePrefix="0" xfId="0">
      <alignment vertical="center" wrapText="1"/>
    </xf>
    <xf numFmtId="0" fontId="3" fillId="28" borderId="16" applyAlignment="1" pivotButton="0" quotePrefix="0" xfId="0">
      <alignment horizontal="center" vertical="center" wrapText="1"/>
    </xf>
    <xf numFmtId="0" fontId="3" fillId="28" borderId="9" applyAlignment="1" pivotButton="0" quotePrefix="0" xfId="0">
      <alignment horizontal="center" vertical="center" wrapText="1"/>
    </xf>
    <xf numFmtId="0" fontId="0" fillId="28" borderId="9" applyAlignment="1" pivotButton="0" quotePrefix="0" xfId="0">
      <alignment horizontal="center" vertical="center" wrapText="1"/>
    </xf>
    <xf numFmtId="0" fontId="6" fillId="0" borderId="0" applyAlignment="1" pivotButton="0" quotePrefix="0" xfId="0">
      <alignment horizontal="center" vertical="center" wrapText="1"/>
    </xf>
    <xf numFmtId="0" fontId="12" fillId="24" borderId="0" applyAlignment="1" pivotButton="0" quotePrefix="0" xfId="0">
      <alignment horizontal="center" vertical="center" wrapText="1"/>
    </xf>
    <xf numFmtId="0" fontId="49" fillId="23" borderId="55" applyAlignment="1" pivotButton="0" quotePrefix="0" xfId="0">
      <alignment horizontal="left" vertical="center" wrapText="1"/>
    </xf>
    <xf numFmtId="0" fontId="27" fillId="5" borderId="1" applyAlignment="1" pivotButton="0" quotePrefix="0" xfId="0">
      <alignment horizontal="left" vertical="center" wrapText="1"/>
    </xf>
    <xf numFmtId="0" fontId="49" fillId="23" borderId="63" applyAlignment="1" pivotButton="0" quotePrefix="0" xfId="0">
      <alignment horizontal="left" vertical="center" wrapText="1"/>
    </xf>
    <xf numFmtId="0" fontId="24" fillId="28" borderId="0" pivotButton="0" quotePrefix="0" xfId="0"/>
    <xf numFmtId="0" fontId="27" fillId="14" borderId="0" applyAlignment="1" pivotButton="0" quotePrefix="0" xfId="0">
      <alignment horizontal="left" vertical="center" wrapText="1"/>
    </xf>
    <xf numFmtId="0" fontId="27" fillId="32" borderId="0" applyAlignment="1" pivotButton="0" quotePrefix="0" xfId="0">
      <alignment horizontal="left" vertical="center" wrapText="1"/>
    </xf>
    <xf numFmtId="0" fontId="12" fillId="40" borderId="0" applyAlignment="1" pivotButton="0" quotePrefix="0" xfId="0">
      <alignment horizontal="center" vertical="center" wrapText="1"/>
    </xf>
    <xf numFmtId="0" fontId="12" fillId="40" borderId="1" applyAlignment="1" pivotButton="0" quotePrefix="0" xfId="0">
      <alignment horizontal="center" vertical="center" wrapText="1"/>
    </xf>
    <xf numFmtId="0" fontId="0" fillId="32" borderId="1" applyAlignment="1" pivotButton="0" quotePrefix="0" xfId="0">
      <alignment vertical="center" wrapText="1"/>
    </xf>
    <xf numFmtId="0" fontId="12" fillId="50" borderId="54" applyAlignment="1" pivotButton="0" quotePrefix="0" xfId="0">
      <alignment horizontal="center" vertical="center" wrapText="1"/>
    </xf>
    <xf numFmtId="0" fontId="49" fillId="46" borderId="55" applyAlignment="1" pivotButton="0" quotePrefix="0" xfId="0">
      <alignment horizontal="left" vertical="center" wrapText="1"/>
    </xf>
    <xf numFmtId="0" fontId="27" fillId="32" borderId="56" applyAlignment="1" pivotButton="0" quotePrefix="0" xfId="0">
      <alignment horizontal="left" vertical="center" wrapText="1"/>
    </xf>
    <xf numFmtId="0" fontId="3" fillId="28" borderId="0" applyAlignment="1" pivotButton="0" quotePrefix="0" xfId="0">
      <alignment vertical="center"/>
    </xf>
    <xf numFmtId="0" fontId="0" fillId="35" borderId="27" applyAlignment="1" pivotButton="0" quotePrefix="1" xfId="0">
      <alignment horizontal="left" vertical="top" wrapText="1"/>
    </xf>
    <xf numFmtId="0" fontId="12" fillId="6" borderId="27" applyAlignment="1" pivotButton="0" quotePrefix="1" xfId="0">
      <alignment vertical="center" wrapText="1"/>
    </xf>
    <xf numFmtId="0" fontId="55" fillId="76" borderId="0" applyAlignment="1" pivotButton="0" quotePrefix="0" xfId="0">
      <alignment horizontal="left" vertical="center" wrapText="1"/>
    </xf>
    <xf numFmtId="0" fontId="0" fillId="13" borderId="0" applyAlignment="1" pivotButton="0" quotePrefix="0" xfId="0">
      <alignment horizontal="center" vertical="center" wrapText="1"/>
    </xf>
    <xf numFmtId="0" fontId="62" fillId="76" borderId="0" applyAlignment="1" pivotButton="0" quotePrefix="0" xfId="0">
      <alignment horizontal="left" vertical="center"/>
    </xf>
    <xf numFmtId="0" fontId="62" fillId="76" borderId="0" applyAlignment="1" pivotButton="0" quotePrefix="0" xfId="0">
      <alignment vertical="center"/>
    </xf>
    <xf numFmtId="0" fontId="32" fillId="76" borderId="0" applyAlignment="1" pivotButton="0" quotePrefix="0" xfId="0">
      <alignment wrapText="1"/>
    </xf>
    <xf numFmtId="0" fontId="0" fillId="9" borderId="29" applyAlignment="1" pivotButton="0" quotePrefix="0" xfId="0">
      <alignment horizontal="center" vertical="center" wrapText="1"/>
    </xf>
    <xf numFmtId="0" fontId="32" fillId="30" borderId="27" applyAlignment="1" pivotButton="0" quotePrefix="0" xfId="0">
      <alignment vertical="center" wrapText="1"/>
    </xf>
    <xf numFmtId="0" fontId="0" fillId="9" borderId="0" applyAlignment="1" pivotButton="0" quotePrefix="0" xfId="0">
      <alignment horizontal="left" vertical="top" wrapText="1"/>
    </xf>
    <xf numFmtId="1" fontId="50" fillId="9" borderId="0" applyAlignment="1" pivotButton="0" quotePrefix="0" xfId="0">
      <alignment horizontal="center" vertical="center" wrapText="1"/>
    </xf>
    <xf numFmtId="0" fontId="0" fillId="9" borderId="26" pivotButton="0" quotePrefix="0" xfId="0"/>
    <xf numFmtId="0" fontId="87" fillId="9" borderId="26" applyAlignment="1" pivotButton="0" quotePrefix="0" xfId="0">
      <alignment horizontal="center" vertical="center"/>
    </xf>
    <xf numFmtId="0" fontId="0" fillId="9" borderId="29" applyAlignment="1" pivotButton="0" quotePrefix="0" xfId="0">
      <alignment horizontal="left" vertical="center" wrapText="1"/>
    </xf>
    <xf numFmtId="0" fontId="12" fillId="9" borderId="27" applyAlignment="1" pivotButton="0" quotePrefix="1" xfId="0">
      <alignment vertical="center" wrapText="1"/>
    </xf>
    <xf numFmtId="0" fontId="27" fillId="9" borderId="0" applyAlignment="1" pivotButton="0" quotePrefix="0" xfId="0">
      <alignment horizontal="left" vertical="top" wrapText="1"/>
    </xf>
    <xf numFmtId="0" fontId="50" fillId="30" borderId="0" applyAlignment="1" pivotButton="0" quotePrefix="0" xfId="0">
      <alignment horizontal="center" vertical="center" wrapText="1"/>
    </xf>
    <xf numFmtId="0" fontId="73" fillId="12" borderId="0" applyAlignment="1" pivotButton="0" quotePrefix="0" xfId="0">
      <alignment horizontal="left" vertical="center" wrapText="1"/>
    </xf>
    <xf numFmtId="0" fontId="140" fillId="0" borderId="0" pivotButton="0" quotePrefix="0" xfId="0"/>
    <xf numFmtId="0" fontId="0" fillId="0" borderId="9" applyAlignment="1" pivotButton="0" quotePrefix="0" xfId="0">
      <alignment horizontal="right" vertical="center"/>
    </xf>
    <xf numFmtId="0" fontId="49" fillId="40" borderId="0" applyAlignment="1" pivotButton="0" quotePrefix="0" xfId="0">
      <alignment horizontal="left" vertical="center" wrapText="1"/>
    </xf>
    <xf numFmtId="0" fontId="0" fillId="6" borderId="1" applyAlignment="1" pivotButton="0" quotePrefix="0" xfId="0">
      <alignment horizontal="center" vertical="center"/>
    </xf>
    <xf numFmtId="0" fontId="0" fillId="6" borderId="1" applyAlignment="1" pivotButton="0" quotePrefix="0" xfId="0">
      <alignment horizontal="center" vertical="center" wrapText="1"/>
    </xf>
    <xf numFmtId="0" fontId="0" fillId="0" borderId="0" applyAlignment="1" pivotButton="0" quotePrefix="1" xfId="0">
      <alignment horizontal="center" vertical="center"/>
    </xf>
    <xf numFmtId="0" fontId="79" fillId="0" borderId="0" applyAlignment="1" pivotButton="0" quotePrefix="0" xfId="0">
      <alignment horizontal="left" vertical="center" wrapText="1"/>
    </xf>
    <xf numFmtId="0" fontId="3" fillId="21" borderId="7" applyAlignment="1" pivotButton="0" quotePrefix="0" xfId="0">
      <alignment horizontal="center" vertical="center" wrapText="1"/>
    </xf>
    <xf numFmtId="0" fontId="10" fillId="21" borderId="0" applyAlignment="1" pivotButton="0" quotePrefix="0" xfId="0">
      <alignment horizontal="left" vertical="center" wrapText="1"/>
    </xf>
    <xf numFmtId="0" fontId="23" fillId="0" borderId="0" applyAlignment="1" pivotButton="0" quotePrefix="0" xfId="0">
      <alignment horizontal="center" vertical="top"/>
    </xf>
    <xf numFmtId="0" fontId="0" fillId="36" borderId="1" applyAlignment="1" pivotButton="0" quotePrefix="0" xfId="0">
      <alignment horizontal="left" vertical="center" wrapText="1"/>
    </xf>
    <xf numFmtId="0" fontId="10" fillId="21" borderId="0" applyAlignment="1" pivotButton="0" quotePrefix="0" xfId="0">
      <alignment horizontal="left" vertical="top" wrapText="1"/>
    </xf>
    <xf numFmtId="0" fontId="6" fillId="0" borderId="0" applyAlignment="1" pivotButton="0" quotePrefix="0" xfId="0">
      <alignment horizontal="left" vertical="center" wrapText="1"/>
    </xf>
    <xf numFmtId="0" fontId="79" fillId="6" borderId="0" applyAlignment="1" pivotButton="0" quotePrefix="0" xfId="0">
      <alignment horizontal="left" vertical="center" wrapText="1"/>
    </xf>
    <xf numFmtId="0" fontId="32" fillId="50" borderId="1" applyAlignment="1" pivotButton="0" quotePrefix="0" xfId="0">
      <alignment horizontal="center" vertical="center" wrapText="1"/>
    </xf>
    <xf numFmtId="0" fontId="49" fillId="40" borderId="54" applyAlignment="1" pivotButton="0" quotePrefix="0" xfId="0">
      <alignment horizontal="left" vertical="center" wrapText="1"/>
    </xf>
    <xf numFmtId="0" fontId="50" fillId="0" borderId="56" applyAlignment="1" pivotButton="0" quotePrefix="0" xfId="0">
      <alignment horizontal="left" vertical="center" wrapText="1"/>
    </xf>
    <xf numFmtId="0" fontId="0" fillId="6" borderId="0" applyAlignment="1" pivotButton="0" quotePrefix="0" xfId="0">
      <alignment horizontal="left" vertical="top" wrapText="1"/>
    </xf>
    <xf numFmtId="0" fontId="0" fillId="50" borderId="1" applyAlignment="1" pivotButton="0" quotePrefix="0" xfId="0">
      <alignment horizontal="center" vertical="center" wrapText="1"/>
    </xf>
    <xf numFmtId="0" fontId="19" fillId="24" borderId="14" applyAlignment="1" pivotButton="0" quotePrefix="0" xfId="0">
      <alignment horizontal="center" vertical="center" wrapText="1"/>
    </xf>
    <xf numFmtId="0" fontId="19" fillId="24" borderId="0" applyAlignment="1" pivotButton="0" quotePrefix="0" xfId="0">
      <alignment horizontal="left" vertical="center" wrapText="1"/>
    </xf>
    <xf numFmtId="0" fontId="19" fillId="25" borderId="14" applyAlignment="1" pivotButton="0" quotePrefix="0" xfId="0">
      <alignment horizontal="center" vertical="center" wrapText="1"/>
    </xf>
    <xf numFmtId="0" fontId="19" fillId="25" borderId="0" applyAlignment="1" pivotButton="0" quotePrefix="0" xfId="0">
      <alignment horizontal="left" vertical="center" wrapText="1"/>
    </xf>
    <xf numFmtId="0" fontId="141" fillId="75" borderId="0" applyAlignment="1" pivotButton="0" quotePrefix="0" xfId="0">
      <alignment horizontal="left" vertical="center" wrapText="1"/>
    </xf>
    <xf numFmtId="0" fontId="141" fillId="75" borderId="0" applyAlignment="1" pivotButton="0" quotePrefix="0" xfId="0">
      <alignment vertical="center" wrapText="1"/>
    </xf>
    <xf numFmtId="0" fontId="19" fillId="24" borderId="0" applyAlignment="1" pivotButton="0" quotePrefix="0" xfId="0">
      <alignment vertical="center" wrapText="1"/>
    </xf>
    <xf numFmtId="0" fontId="19" fillId="25" borderId="0" applyAlignment="1" pivotButton="0" quotePrefix="0" xfId="0">
      <alignment vertical="center" wrapText="1"/>
    </xf>
    <xf numFmtId="0" fontId="141" fillId="75" borderId="14" applyAlignment="1" pivotButton="0" quotePrefix="0" xfId="0">
      <alignment horizontal="center" vertical="center" wrapText="1"/>
    </xf>
    <xf numFmtId="0" fontId="19" fillId="25" borderId="8" applyAlignment="1" pivotButton="0" quotePrefix="0" xfId="0">
      <alignment horizontal="center" vertical="center" wrapText="1"/>
    </xf>
    <xf numFmtId="0" fontId="19" fillId="24" borderId="8" applyAlignment="1" pivotButton="0" quotePrefix="0" xfId="0">
      <alignment horizontal="center" vertical="center" wrapText="1"/>
    </xf>
    <xf numFmtId="0" fontId="19" fillId="24" borderId="0" applyAlignment="1" pivotButton="0" quotePrefix="0" xfId="0">
      <alignment horizontal="center" vertical="center" wrapText="1"/>
    </xf>
    <xf numFmtId="0" fontId="19" fillId="25" borderId="0" applyAlignment="1" pivotButton="0" quotePrefix="0" xfId="0">
      <alignment horizontal="center" vertical="center" wrapText="1"/>
    </xf>
    <xf numFmtId="0" fontId="19" fillId="0" borderId="0" applyAlignment="1" pivotButton="0" quotePrefix="0" xfId="0">
      <alignment horizontal="center" vertical="center" wrapText="1"/>
    </xf>
    <xf numFmtId="0" fontId="19" fillId="0" borderId="0" applyAlignment="1" pivotButton="0" quotePrefix="0" xfId="0">
      <alignment vertical="center" wrapText="1"/>
    </xf>
    <xf numFmtId="0" fontId="122" fillId="51" borderId="0" applyAlignment="1" pivotButton="0" quotePrefix="0" xfId="0">
      <alignment horizontal="center" vertical="center" wrapText="1"/>
    </xf>
    <xf numFmtId="0" fontId="122" fillId="51" borderId="0" applyAlignment="1" pivotButton="0" quotePrefix="0" xfId="0">
      <alignment vertical="center" wrapText="1"/>
    </xf>
    <xf numFmtId="0" fontId="38" fillId="0" borderId="0" pivotButton="0" quotePrefix="0" xfId="0"/>
    <xf numFmtId="0" fontId="19" fillId="30" borderId="14" applyAlignment="1" pivotButton="0" quotePrefix="0" xfId="0">
      <alignment horizontal="center" vertical="center" wrapText="1"/>
    </xf>
    <xf numFmtId="0" fontId="19" fillId="30" borderId="0" applyAlignment="1" pivotButton="0" quotePrefix="0" xfId="0">
      <alignment horizontal="center" vertical="center" wrapText="1"/>
    </xf>
    <xf numFmtId="0" fontId="8" fillId="12" borderId="7" applyAlignment="1" pivotButton="0" quotePrefix="0" xfId="0">
      <alignment horizontal="center"/>
    </xf>
    <xf numFmtId="1" fontId="0" fillId="3" borderId="0" applyAlignment="1" pivotButton="0" quotePrefix="0" xfId="0">
      <alignment horizontal="center" vertical="center"/>
    </xf>
    <xf numFmtId="0" fontId="0" fillId="3" borderId="9" applyAlignment="1" pivotButton="0" quotePrefix="0" xfId="0">
      <alignment horizontal="center" vertical="center"/>
    </xf>
    <xf numFmtId="0" fontId="32" fillId="25" borderId="0" applyAlignment="1" pivotButton="0" quotePrefix="0" xfId="0">
      <alignment vertical="center"/>
    </xf>
    <xf numFmtId="0" fontId="122" fillId="51" borderId="0" applyAlignment="1" pivotButton="0" quotePrefix="0" xfId="0">
      <alignment vertical="center"/>
    </xf>
    <xf numFmtId="0" fontId="142" fillId="0" borderId="0" applyAlignment="1" pivotButton="0" quotePrefix="0" xfId="0">
      <alignment horizontal="left"/>
    </xf>
    <xf numFmtId="0" fontId="142" fillId="0" borderId="0" applyAlignment="1" pivotButton="0" quotePrefix="0" xfId="0">
      <alignment horizontal="left" vertical="center"/>
    </xf>
    <xf numFmtId="0" fontId="2" fillId="12" borderId="9" applyAlignment="1" pivotButton="0" quotePrefix="0" xfId="0">
      <alignment horizontal="center" vertical="center"/>
    </xf>
    <xf numFmtId="0" fontId="2" fillId="0" borderId="0" applyAlignment="1" pivotButton="0" quotePrefix="0" xfId="0">
      <alignment horizontal="right"/>
    </xf>
    <xf numFmtId="1" fontId="2" fillId="12" borderId="9" applyAlignment="1" pivotButton="0" quotePrefix="0" xfId="0">
      <alignment horizontal="center" vertical="center"/>
    </xf>
    <xf numFmtId="164" fontId="2" fillId="12" borderId="8" applyAlignment="1" pivotButton="0" quotePrefix="0" xfId="0">
      <alignment horizontal="center" vertical="center"/>
    </xf>
    <xf numFmtId="1" fontId="0" fillId="0" borderId="2" applyAlignment="1" pivotButton="0" quotePrefix="0" xfId="0">
      <alignment horizontal="center" vertical="center"/>
    </xf>
    <xf numFmtId="0" fontId="28" fillId="0" borderId="16" applyAlignment="1" pivotButton="0" quotePrefix="0" xfId="0">
      <alignment horizontal="left" vertical="top" wrapText="1"/>
    </xf>
    <xf numFmtId="0" fontId="0" fillId="15" borderId="21" applyAlignment="1" pivotButton="0" quotePrefix="0" xfId="0">
      <alignment horizontal="center" vertical="center"/>
    </xf>
    <xf numFmtId="0" fontId="0" fillId="15" borderId="44" applyAlignment="1" applyProtection="1" pivotButton="0" quotePrefix="0" xfId="0">
      <alignment horizontal="center" vertical="center"/>
      <protection locked="0" hidden="0"/>
    </xf>
    <xf numFmtId="0" fontId="0" fillId="15" borderId="87" applyAlignment="1" pivotButton="0" quotePrefix="0" xfId="0">
      <alignment horizontal="center" vertical="center"/>
    </xf>
    <xf numFmtId="1" fontId="0" fillId="15" borderId="21" applyAlignment="1" pivotButton="0" quotePrefix="0" xfId="0">
      <alignment horizontal="center" vertical="center"/>
    </xf>
    <xf numFmtId="0" fontId="0" fillId="9" borderId="3" applyAlignment="1" pivotButton="0" quotePrefix="0" xfId="0">
      <alignment vertical="center" wrapText="1"/>
    </xf>
    <xf numFmtId="0" fontId="0" fillId="15" borderId="16" applyAlignment="1" pivotButton="0" quotePrefix="0" xfId="0">
      <alignment horizontal="center" vertical="center" wrapText="1"/>
    </xf>
    <xf numFmtId="0" fontId="3" fillId="0" borderId="0" applyAlignment="1" pivotButton="0" quotePrefix="0" xfId="0">
      <alignment horizontal="center" vertical="center" wrapText="1"/>
    </xf>
    <xf numFmtId="0" fontId="90" fillId="21" borderId="38" applyAlignment="1" pivotButton="0" quotePrefix="0" xfId="0">
      <alignment horizontal="center" vertical="center" wrapText="1"/>
    </xf>
    <xf numFmtId="0" fontId="138" fillId="15" borderId="16" applyAlignment="1" pivotButton="0" quotePrefix="0" xfId="0">
      <alignment horizontal="center" vertical="center" wrapText="1"/>
    </xf>
    <xf numFmtId="0" fontId="27" fillId="0" borderId="9" applyAlignment="1" pivotButton="0" quotePrefix="0" xfId="0">
      <alignment horizontal="center" vertical="center" wrapText="1"/>
    </xf>
    <xf numFmtId="1" fontId="3" fillId="0" borderId="0" applyAlignment="1" applyProtection="1" pivotButton="0" quotePrefix="0" xfId="0">
      <alignment horizontal="center" vertical="center"/>
      <protection locked="0" hidden="0"/>
    </xf>
    <xf numFmtId="0" fontId="28" fillId="0" borderId="16" applyAlignment="1" pivotButton="0" quotePrefix="0" xfId="0">
      <alignment horizontal="center" vertical="center" wrapText="1"/>
    </xf>
    <xf numFmtId="0" fontId="28" fillId="0" borderId="16" applyAlignment="1" pivotButton="0" quotePrefix="0" xfId="0">
      <alignment horizontal="center" vertical="top" wrapText="1"/>
    </xf>
    <xf numFmtId="0" fontId="81" fillId="0" borderId="0" applyAlignment="1" pivotButton="0" quotePrefix="0" xfId="0">
      <alignment vertical="center"/>
    </xf>
    <xf numFmtId="0" fontId="0" fillId="27" borderId="0" applyAlignment="1" pivotButton="0" quotePrefix="0" xfId="0">
      <alignment horizontal="left" vertical="center" wrapText="1"/>
    </xf>
    <xf numFmtId="0" fontId="0" fillId="27" borderId="0" applyAlignment="1" pivotButton="0" quotePrefix="1" xfId="0">
      <alignment vertical="top" wrapText="1"/>
    </xf>
    <xf numFmtId="0" fontId="32" fillId="27" borderId="0" applyAlignment="1" pivotButton="0" quotePrefix="0" xfId="0">
      <alignment horizontal="center" vertical="center" wrapText="1"/>
    </xf>
    <xf numFmtId="0" fontId="50" fillId="27" borderId="0" applyAlignment="1" pivotButton="0" quotePrefix="0" xfId="0">
      <alignment horizontal="center" vertical="center" wrapText="1"/>
    </xf>
    <xf numFmtId="0" fontId="27" fillId="27" borderId="0" applyAlignment="1" pivotButton="0" quotePrefix="0" xfId="0">
      <alignment horizontal="left" vertical="top" wrapText="1"/>
    </xf>
    <xf numFmtId="0" fontId="3" fillId="27" borderId="0" pivotButton="0" quotePrefix="0" xfId="0"/>
    <xf numFmtId="0" fontId="87" fillId="27" borderId="0" applyAlignment="1" pivotButton="0" quotePrefix="0" xfId="0">
      <alignment horizontal="center" vertical="center"/>
    </xf>
    <xf numFmtId="0" fontId="0" fillId="0" borderId="15" applyAlignment="1" pivotButton="0" quotePrefix="0" xfId="0">
      <alignment vertical="center"/>
    </xf>
    <xf numFmtId="0" fontId="14" fillId="0" borderId="15" applyAlignment="1" pivotButton="0" quotePrefix="0" xfId="0">
      <alignment vertical="center"/>
    </xf>
    <xf numFmtId="0" fontId="30" fillId="0" borderId="15" applyAlignment="1" pivotButton="0" quotePrefix="0" xfId="0">
      <alignment horizontal="right" vertical="center"/>
    </xf>
    <xf numFmtId="0" fontId="28" fillId="0" borderId="15" applyAlignment="1" pivotButton="0" quotePrefix="0" xfId="0">
      <alignment horizontal="left" vertical="center"/>
    </xf>
    <xf numFmtId="0" fontId="28" fillId="0" borderId="15" applyAlignment="1" pivotButton="0" quotePrefix="0" xfId="0">
      <alignment vertical="center"/>
    </xf>
    <xf numFmtId="0" fontId="28" fillId="0" borderId="15" applyAlignment="1" pivotButton="0" quotePrefix="0" xfId="0">
      <alignment horizontal="right" vertical="center"/>
    </xf>
    <xf numFmtId="0" fontId="0" fillId="0" borderId="16" applyAlignment="1" pivotButton="0" quotePrefix="0" xfId="0">
      <alignment vertical="center"/>
    </xf>
    <xf numFmtId="0" fontId="74" fillId="0" borderId="16" applyAlignment="1" pivotButton="0" quotePrefix="0" xfId="0">
      <alignment vertical="center"/>
    </xf>
    <xf numFmtId="0" fontId="14" fillId="0" borderId="16" applyAlignment="1" pivotButton="0" quotePrefix="0" xfId="0">
      <alignment vertical="center"/>
    </xf>
    <xf numFmtId="0" fontId="30" fillId="0" borderId="16" applyAlignment="1" pivotButton="0" quotePrefix="0" xfId="0">
      <alignment horizontal="right" vertical="center"/>
    </xf>
    <xf numFmtId="0" fontId="28" fillId="0" borderId="16" applyAlignment="1" pivotButton="0" quotePrefix="0" xfId="0">
      <alignment horizontal="left" vertical="center"/>
    </xf>
    <xf numFmtId="0" fontId="28" fillId="0" borderId="16" applyAlignment="1" pivotButton="0" quotePrefix="0" xfId="0">
      <alignment vertical="center"/>
    </xf>
    <xf numFmtId="0" fontId="28" fillId="0" borderId="16" applyAlignment="1" pivotButton="0" quotePrefix="0" xfId="0">
      <alignment horizontal="right" vertical="center"/>
    </xf>
    <xf numFmtId="0" fontId="10" fillId="65" borderId="0" applyAlignment="1" pivotButton="0" quotePrefix="0" xfId="0">
      <alignment horizontal="center"/>
    </xf>
    <xf numFmtId="0" fontId="73" fillId="65" borderId="0" applyAlignment="1" pivotButton="0" quotePrefix="0" xfId="0">
      <alignment horizontal="center" vertical="center"/>
    </xf>
    <xf numFmtId="0" fontId="143" fillId="65" borderId="0" applyAlignment="1" pivotButton="0" quotePrefix="0" xfId="0">
      <alignment horizontal="center" vertical="center"/>
    </xf>
    <xf numFmtId="0" fontId="10" fillId="65" borderId="0" applyAlignment="1" pivotButton="0" quotePrefix="0" xfId="0">
      <alignment horizontal="center" vertical="center"/>
    </xf>
    <xf numFmtId="0" fontId="29" fillId="77" borderId="0" applyAlignment="1" pivotButton="0" quotePrefix="0" xfId="0">
      <alignment horizontal="center" vertical="center"/>
    </xf>
    <xf numFmtId="0" fontId="0" fillId="77" borderId="0" pivotButton="0" quotePrefix="0" xfId="0"/>
    <xf numFmtId="0" fontId="0" fillId="77" borderId="0" applyAlignment="1" pivotButton="0" quotePrefix="0" xfId="0">
      <alignment horizontal="center"/>
    </xf>
    <xf numFmtId="0" fontId="0" fillId="77" borderId="0" applyAlignment="1" pivotButton="0" quotePrefix="0" xfId="0">
      <alignment horizontal="center" vertical="center"/>
    </xf>
    <xf numFmtId="1" fontId="0" fillId="77" borderId="0" applyAlignment="1" pivotButton="0" quotePrefix="0" xfId="0">
      <alignment horizontal="center" vertical="center" wrapText="1"/>
    </xf>
    <xf numFmtId="9" fontId="0" fillId="0" borderId="0" applyAlignment="1" pivotButton="0" quotePrefix="0" xfId="2">
      <alignment horizontal="left" vertical="center"/>
    </xf>
    <xf numFmtId="9" fontId="1" fillId="0" borderId="0" applyAlignment="1" pivotButton="0" quotePrefix="0" xfId="2">
      <alignment horizontal="center" vertical="center"/>
    </xf>
    <xf numFmtId="0" fontId="0" fillId="0" borderId="2" applyAlignment="1" pivotButton="0" quotePrefix="0" xfId="0">
      <alignment horizontal="center"/>
    </xf>
    <xf numFmtId="0" fontId="0" fillId="2" borderId="0" pivotButton="0" quotePrefix="0" xfId="0"/>
    <xf numFmtId="0" fontId="0" fillId="2" borderId="0" applyAlignment="1" pivotButton="0" quotePrefix="0" xfId="0">
      <alignment horizontal="center"/>
    </xf>
    <xf numFmtId="0" fontId="3" fillId="2" borderId="0" pivotButton="0" quotePrefix="0" xfId="0"/>
    <xf numFmtId="0" fontId="3" fillId="2" borderId="0" applyAlignment="1" pivotButton="0" quotePrefix="0" xfId="0">
      <alignment horizontal="center"/>
    </xf>
    <xf numFmtId="0" fontId="73" fillId="12" borderId="0" applyAlignment="1" pivotButton="0" quotePrefix="0" xfId="0">
      <alignment horizontal="center" vertical="center"/>
    </xf>
    <xf numFmtId="0" fontId="144" fillId="12" borderId="0" applyAlignment="1" pivotButton="0" quotePrefix="0" xfId="0">
      <alignment horizontal="center"/>
    </xf>
    <xf numFmtId="1" fontId="144" fillId="12" borderId="0" applyAlignment="1" pivotButton="0" quotePrefix="0" xfId="0">
      <alignment horizontal="center" vertical="center" wrapText="1"/>
    </xf>
    <xf numFmtId="0" fontId="0" fillId="65" borderId="2" applyAlignment="1" pivotButton="0" quotePrefix="0" xfId="0">
      <alignment horizontal="center"/>
    </xf>
    <xf numFmtId="1" fontId="144" fillId="12" borderId="0" applyAlignment="1" pivotButton="0" quotePrefix="0" xfId="0">
      <alignment horizontal="center" vertical="center"/>
    </xf>
    <xf numFmtId="1" fontId="0" fillId="65" borderId="4" applyAlignment="1" pivotButton="0" quotePrefix="0" xfId="0">
      <alignment horizontal="center" vertical="center"/>
    </xf>
    <xf numFmtId="0" fontId="144" fillId="0" borderId="0" applyAlignment="1" pivotButton="0" quotePrefix="0" xfId="0">
      <alignment horizontal="center"/>
    </xf>
    <xf numFmtId="1" fontId="0" fillId="65" borderId="2" applyAlignment="1" pivotButton="0" quotePrefix="0" xfId="0">
      <alignment horizontal="center" vertical="center"/>
    </xf>
    <xf numFmtId="0" fontId="0" fillId="0" borderId="9" pivotButton="0" quotePrefix="0" xfId="0"/>
    <xf numFmtId="0" fontId="0" fillId="0" borderId="0" pivotButton="0" quotePrefix="1" xfId="0"/>
    <xf numFmtId="0" fontId="0" fillId="0" borderId="9" applyAlignment="1" pivotButton="0" quotePrefix="0" xfId="0">
      <alignment horizontal="left" vertical="center"/>
    </xf>
    <xf numFmtId="0" fontId="0" fillId="0" borderId="15" applyAlignment="1" pivotButton="0" quotePrefix="0" xfId="0">
      <alignment horizontal="left" vertical="center"/>
    </xf>
    <xf numFmtId="0" fontId="0" fillId="0" borderId="9" applyAlignment="1" pivotButton="0" quotePrefix="1" xfId="0">
      <alignment horizontal="right" vertical="center"/>
    </xf>
    <xf numFmtId="0" fontId="27" fillId="0" borderId="9" applyAlignment="1" pivotButton="0" quotePrefix="0" xfId="0">
      <alignment horizontal="center" vertical="center"/>
    </xf>
    <xf numFmtId="0" fontId="0" fillId="0" borderId="9" applyAlignment="1" pivotButton="0" quotePrefix="0" xfId="0">
      <alignment horizontal="left" vertical="center" wrapText="1"/>
    </xf>
    <xf numFmtId="0" fontId="0" fillId="0" borderId="8" applyAlignment="1" pivotButton="0" quotePrefix="0" xfId="0">
      <alignment horizontal="left" vertical="center" wrapText="1"/>
    </xf>
    <xf numFmtId="0" fontId="0" fillId="0" borderId="8" applyAlignment="1" pivotButton="0" quotePrefix="0" xfId="0">
      <alignment horizontal="left" vertical="center"/>
    </xf>
    <xf numFmtId="0" fontId="144" fillId="12" borderId="0" applyAlignment="1" pivotButton="0" quotePrefix="0" xfId="0">
      <alignment horizontal="center" vertical="center"/>
    </xf>
    <xf numFmtId="0" fontId="0" fillId="13" borderId="0" pivotButton="0" quotePrefix="0" xfId="0"/>
    <xf numFmtId="0" fontId="0" fillId="13" borderId="0" applyAlignment="1" pivotButton="0" quotePrefix="0" xfId="0">
      <alignment horizontal="center"/>
    </xf>
    <xf numFmtId="1" fontId="0" fillId="13" borderId="0" applyAlignment="1" pivotButton="0" quotePrefix="0" xfId="0">
      <alignment horizontal="center"/>
    </xf>
    <xf numFmtId="0" fontId="0" fillId="56" borderId="0" pivotButton="0" quotePrefix="0" xfId="0"/>
    <xf numFmtId="0" fontId="0" fillId="56" borderId="0" applyAlignment="1" pivotButton="0" quotePrefix="0" xfId="0">
      <alignment horizontal="center"/>
    </xf>
    <xf numFmtId="0" fontId="0" fillId="36" borderId="0" pivotButton="0" quotePrefix="0" xfId="0"/>
    <xf numFmtId="0" fontId="0" fillId="36" borderId="0" applyAlignment="1" pivotButton="0" quotePrefix="0" xfId="0">
      <alignment horizontal="center"/>
    </xf>
    <xf numFmtId="1" fontId="0" fillId="36" borderId="0" applyAlignment="1" pivotButton="0" quotePrefix="0" xfId="0">
      <alignment horizontal="center"/>
    </xf>
    <xf numFmtId="0" fontId="0" fillId="20" borderId="0" pivotButton="0" quotePrefix="0" xfId="0"/>
    <xf numFmtId="0" fontId="0" fillId="20" borderId="0" applyAlignment="1" pivotButton="0" quotePrefix="0" xfId="0">
      <alignment horizontal="center"/>
    </xf>
    <xf numFmtId="1" fontId="0" fillId="20" borderId="0" applyAlignment="1" pivotButton="0" quotePrefix="0" xfId="0">
      <alignment horizontal="center"/>
    </xf>
    <xf numFmtId="1" fontId="0" fillId="56"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left" wrapText="1"/>
    </xf>
    <xf numFmtId="0" fontId="6" fillId="0" borderId="0" applyAlignment="1" pivotButton="0" quotePrefix="0" xfId="0">
      <alignment horizontal="center" vertical="center" wrapText="1"/>
    </xf>
    <xf numFmtId="0" fontId="8" fillId="0" borderId="0" applyAlignment="1" pivotButton="0" quotePrefix="0" xfId="0">
      <alignment horizontal="left" wrapText="1"/>
    </xf>
    <xf numFmtId="0" fontId="0" fillId="0" borderId="0" applyAlignment="1" pivotButton="0" quotePrefix="0" xfId="0">
      <alignment horizontal="center" vertical="top" wrapText="1"/>
    </xf>
    <xf numFmtId="0" fontId="39" fillId="0" borderId="0" applyAlignment="1" pivotButton="0" quotePrefix="0" xfId="0">
      <alignment horizontal="center" vertical="center"/>
    </xf>
    <xf numFmtId="0" fontId="28" fillId="0" borderId="16" applyAlignment="1" pivotButton="0" quotePrefix="0" xfId="0">
      <alignment horizontal="left" wrapText="1"/>
    </xf>
    <xf numFmtId="0" fontId="28" fillId="0" borderId="16" applyAlignment="1" pivotButton="0" quotePrefix="0" xfId="0">
      <alignment horizontal="left" vertical="top" wrapText="1"/>
    </xf>
    <xf numFmtId="0" fontId="28" fillId="0" borderId="16" applyAlignment="1" pivotButton="0" quotePrefix="0" xfId="0">
      <alignment horizontal="left" vertical="center" wrapText="1"/>
    </xf>
    <xf numFmtId="0" fontId="0" fillId="0" borderId="0" applyAlignment="1" pivotButton="0" quotePrefix="0" xfId="0">
      <alignment horizontal="left"/>
    </xf>
    <xf numFmtId="0" fontId="0" fillId="0" borderId="0" applyAlignment="1" pivotButton="0" quotePrefix="0" xfId="0">
      <alignment horizontal="center" wrapText="1"/>
    </xf>
    <xf numFmtId="0" fontId="4" fillId="14" borderId="0" applyAlignment="1" pivotButton="0" quotePrefix="0" xfId="0">
      <alignment horizontal="center" vertical="center" wrapText="1"/>
    </xf>
    <xf numFmtId="0" fontId="4" fillId="32" borderId="0" applyAlignment="1" pivotButton="0" quotePrefix="0" xfId="0">
      <alignment horizontal="center" vertical="center" wrapText="1"/>
    </xf>
    <xf numFmtId="0" fontId="4" fillId="34" borderId="0" applyAlignment="1" pivotButton="0" quotePrefix="0" xfId="0">
      <alignment horizontal="center" vertical="center" wrapText="1"/>
    </xf>
    <xf numFmtId="0" fontId="28" fillId="0" borderId="15" applyAlignment="1" pivotButton="0" quotePrefix="0" xfId="0">
      <alignment horizontal="left" vertical="center" wrapText="1"/>
    </xf>
    <xf numFmtId="0" fontId="27" fillId="0" borderId="0" applyAlignment="1" pivotButton="0" quotePrefix="0" xfId="0">
      <alignment horizontal="center" vertical="center" wrapText="1"/>
    </xf>
    <xf numFmtId="0" fontId="27" fillId="0" borderId="0" applyAlignment="1" pivotButton="0" quotePrefix="0" xfId="0">
      <alignment horizontal="center" vertical="center"/>
    </xf>
    <xf numFmtId="0" fontId="7" fillId="0" borderId="0" applyAlignment="1" pivotButton="0" quotePrefix="0" xfId="0">
      <alignment horizontal="center" vertical="center" wrapText="1"/>
    </xf>
    <xf numFmtId="0" fontId="7" fillId="4" borderId="0" applyAlignment="1" pivotButton="0" quotePrefix="0" xfId="0">
      <alignment horizontal="center" vertical="center" wrapText="1"/>
    </xf>
    <xf numFmtId="0" fontId="15" fillId="0" borderId="70" applyAlignment="1" pivotButton="0" quotePrefix="0" xfId="0">
      <alignment horizontal="center" vertical="center"/>
    </xf>
    <xf numFmtId="0" fontId="15" fillId="0" borderId="0" applyAlignment="1" pivotButton="0" quotePrefix="0" xfId="0">
      <alignment horizontal="center" vertical="center"/>
    </xf>
    <xf numFmtId="0" fontId="15" fillId="0" borderId="1" applyAlignment="1" pivotButton="0" quotePrefix="0" xfId="0">
      <alignment horizontal="center" vertical="center" wrapText="1"/>
    </xf>
    <xf numFmtId="0" fontId="0" fillId="55" borderId="0" applyAlignment="1" pivotButton="0" quotePrefix="0" xfId="0">
      <alignment horizontal="center" vertical="center" wrapText="1"/>
    </xf>
    <xf numFmtId="0" fontId="12" fillId="32" borderId="58" applyAlignment="1" pivotButton="0" quotePrefix="0" xfId="0">
      <alignment horizontal="center" vertical="center" wrapText="1"/>
    </xf>
    <xf numFmtId="0" fontId="0" fillId="27" borderId="0" applyAlignment="1" pivotButton="0" quotePrefix="0" xfId="0">
      <alignment horizontal="center" vertical="center"/>
    </xf>
    <xf numFmtId="0" fontId="30" fillId="0" borderId="0" applyAlignment="1" pivotButton="0" quotePrefix="0" xfId="0">
      <alignment horizontal="center"/>
    </xf>
    <xf numFmtId="0" fontId="90" fillId="28" borderId="0" applyAlignment="1" pivotButton="0" quotePrefix="0" xfId="0">
      <alignment horizontal="left" vertical="center" wrapText="1"/>
    </xf>
    <xf numFmtId="0" fontId="0" fillId="0" borderId="0" applyAlignment="1" pivotButton="0" quotePrefix="0" xfId="0">
      <alignment horizontal="center" vertical="center"/>
    </xf>
    <xf numFmtId="0" fontId="27" fillId="12" borderId="0" applyAlignment="1" pivotButton="0" quotePrefix="0" xfId="0">
      <alignment horizontal="center" vertical="center" wrapText="1"/>
    </xf>
    <xf numFmtId="0" fontId="0" fillId="7" borderId="15" applyAlignment="1" pivotButton="0" quotePrefix="0" xfId="0">
      <alignment horizontal="left" vertical="center" wrapText="1"/>
    </xf>
    <xf numFmtId="0" fontId="0" fillId="7" borderId="12" applyAlignment="1" pivotButton="0" quotePrefix="0" xfId="0">
      <alignment horizontal="left" vertical="center" wrapText="1"/>
    </xf>
    <xf numFmtId="0" fontId="0" fillId="7" borderId="3" applyAlignment="1" pivotButton="0" quotePrefix="0" xfId="0">
      <alignment horizontal="left" vertical="center" wrapText="1"/>
    </xf>
    <xf numFmtId="0" fontId="0" fillId="0" borderId="12" applyAlignment="1" pivotButton="0" quotePrefix="0" xfId="0">
      <alignment horizontal="left" vertical="center" wrapText="1"/>
    </xf>
    <xf numFmtId="0" fontId="0" fillId="0" borderId="3" applyAlignment="1" pivotButton="0" quotePrefix="0" xfId="0">
      <alignment horizontal="left" vertical="center" wrapText="1"/>
    </xf>
    <xf numFmtId="0" fontId="0" fillId="0" borderId="7" applyAlignment="1" pivotButton="0" quotePrefix="0" xfId="0">
      <alignment horizontal="center" textRotation="90"/>
    </xf>
    <xf numFmtId="0" fontId="0" fillId="0" borderId="9" applyAlignment="1" pivotButton="0" quotePrefix="0" xfId="0">
      <alignment horizontal="center" textRotation="90"/>
    </xf>
    <xf numFmtId="0" fontId="0" fillId="0" borderId="8" applyAlignment="1" pivotButton="0" quotePrefix="0" xfId="0">
      <alignment horizontal="center" textRotation="90"/>
    </xf>
    <xf numFmtId="0" fontId="0" fillId="0" borderId="6" applyAlignment="1" pivotButton="0" quotePrefix="0" xfId="0">
      <alignment horizontal="center" textRotation="90"/>
    </xf>
    <xf numFmtId="0" fontId="0" fillId="0" borderId="14" applyAlignment="1" pivotButton="0" quotePrefix="0" xfId="0">
      <alignment horizontal="center" textRotation="90"/>
    </xf>
    <xf numFmtId="0" fontId="0" fillId="0" borderId="19" applyAlignment="1" pivotButton="0" quotePrefix="0" xfId="0">
      <alignment horizontal="center" textRotation="90"/>
    </xf>
    <xf numFmtId="0" fontId="0" fillId="0" borderId="20" applyAlignment="1" pivotButton="0" quotePrefix="0" xfId="0">
      <alignment horizontal="center" textRotation="90"/>
    </xf>
    <xf numFmtId="0" fontId="0" fillId="0" borderId="0" applyAlignment="1" pivotButton="0" quotePrefix="0" xfId="0">
      <alignment horizontal="center" textRotation="90"/>
    </xf>
    <xf numFmtId="0" fontId="0" fillId="0" borderId="10" applyAlignment="1" pivotButton="0" quotePrefix="0" xfId="0">
      <alignment horizontal="center" textRotation="90"/>
    </xf>
    <xf numFmtId="0" fontId="15" fillId="12" borderId="18" applyAlignment="1" pivotButton="0" quotePrefix="0" xfId="0">
      <alignment horizontal="center"/>
    </xf>
    <xf numFmtId="0" fontId="15" fillId="12" borderId="11" applyAlignment="1" pivotButton="0" quotePrefix="0" xfId="0">
      <alignment horizontal="center"/>
    </xf>
    <xf numFmtId="0" fontId="15" fillId="12" borderId="13" applyAlignment="1" pivotButton="0" quotePrefix="0" xfId="0">
      <alignment horizontal="center"/>
    </xf>
    <xf numFmtId="0" fontId="0" fillId="0" borderId="0" applyAlignment="1" pivotButton="0" quotePrefix="0" xfId="0">
      <alignment horizontal="center" textRotation="90" wrapText="1"/>
    </xf>
    <xf numFmtId="0" fontId="0" fillId="0" borderId="10" applyAlignment="1" pivotButton="0" quotePrefix="0" xfId="0">
      <alignment horizontal="center" textRotation="90" wrapText="1"/>
    </xf>
    <xf numFmtId="0" fontId="0" fillId="0" borderId="6" applyAlignment="1" pivotButton="0" quotePrefix="0" xfId="0">
      <alignment horizontal="center" textRotation="90" wrapText="1"/>
    </xf>
    <xf numFmtId="0" fontId="0" fillId="0" borderId="14" applyAlignment="1" pivotButton="0" quotePrefix="0" xfId="0">
      <alignment horizontal="center" textRotation="90" wrapText="1"/>
    </xf>
    <xf numFmtId="0" fontId="15" fillId="18" borderId="18" applyAlignment="1" pivotButton="0" quotePrefix="0" xfId="0">
      <alignment horizontal="center"/>
    </xf>
    <xf numFmtId="0" fontId="15" fillId="18" borderId="11" applyAlignment="1" pivotButton="0" quotePrefix="0" xfId="0">
      <alignment horizontal="center"/>
    </xf>
    <xf numFmtId="0" fontId="15" fillId="18" borderId="13" applyAlignment="1" pivotButton="0" quotePrefix="0" xfId="0">
      <alignment horizontal="center"/>
    </xf>
    <xf numFmtId="0" fontId="15" fillId="0" borderId="10" applyAlignment="1" pivotButton="0" quotePrefix="0" xfId="0">
      <alignment horizontal="center" vertical="center"/>
    </xf>
    <xf numFmtId="0" fontId="0" fillId="0" borderId="11" applyAlignment="1" pivotButton="0" quotePrefix="0" xfId="0">
      <alignment horizontal="center" vertical="center"/>
    </xf>
    <xf numFmtId="0" fontId="24" fillId="0" borderId="0" applyAlignment="1" pivotButton="0" quotePrefix="0" xfId="0">
      <alignment horizontal="center" vertical="center"/>
    </xf>
    <xf numFmtId="0" fontId="12" fillId="32" borderId="0" applyAlignment="1" pivotButton="0" quotePrefix="0" xfId="0">
      <alignment horizontal="center" vertical="center" wrapText="1"/>
    </xf>
    <xf numFmtId="0" fontId="0" fillId="27" borderId="0" applyAlignment="1" pivotButton="0" quotePrefix="0" xfId="0">
      <alignment horizontal="center"/>
    </xf>
    <xf numFmtId="0" fontId="0" fillId="0" borderId="79" applyAlignment="1" pivotButton="0" quotePrefix="0" xfId="0">
      <alignment horizontal="center"/>
    </xf>
    <xf numFmtId="0" fontId="0" fillId="0" borderId="21" applyAlignment="1" pivotButton="0" quotePrefix="0" xfId="0">
      <alignment horizontal="center"/>
    </xf>
    <xf numFmtId="0" fontId="0" fillId="0" borderId="44" applyAlignment="1" pivotButton="0" quotePrefix="0" xfId="0">
      <alignment horizontal="center"/>
    </xf>
    <xf numFmtId="0" fontId="6" fillId="0" borderId="0" applyAlignment="1" pivotButton="0" quotePrefix="0" xfId="0">
      <alignment horizontal="center"/>
    </xf>
    <xf numFmtId="0" fontId="0" fillId="0" borderId="53" applyAlignment="1" pivotButton="0" quotePrefix="0" xfId="0">
      <alignment horizontal="left" vertical="center" wrapText="1"/>
    </xf>
    <xf numFmtId="0" fontId="0" fillId="0" borderId="62" applyAlignment="1" pivotButton="0" quotePrefix="0" xfId="0">
      <alignment horizontal="left" vertical="center" wrapText="1"/>
    </xf>
    <xf numFmtId="0" fontId="0" fillId="16" borderId="53" applyAlignment="1" pivotButton="0" quotePrefix="0" xfId="0">
      <alignment horizontal="left" vertical="center" wrapText="1"/>
    </xf>
    <xf numFmtId="0" fontId="0" fillId="16" borderId="54" applyAlignment="1" pivotButton="0" quotePrefix="0" xfId="0">
      <alignment horizontal="left" vertical="center" wrapText="1"/>
    </xf>
    <xf numFmtId="0" fontId="0" fillId="16" borderId="55" applyAlignment="1" pivotButton="0" quotePrefix="0" xfId="0">
      <alignment horizontal="left" vertical="center" wrapText="1"/>
    </xf>
    <xf numFmtId="0" fontId="0" fillId="16" borderId="53" applyAlignment="1" pivotButton="0" quotePrefix="0" xfId="0">
      <alignment horizontal="left" vertical="top" wrapText="1"/>
    </xf>
    <xf numFmtId="0" fontId="0" fillId="16" borderId="54" applyAlignment="1" pivotButton="0" quotePrefix="0" xfId="0">
      <alignment horizontal="left" vertical="top" wrapText="1"/>
    </xf>
    <xf numFmtId="0" fontId="0" fillId="16" borderId="55" applyAlignment="1" pivotButton="0" quotePrefix="0" xfId="0">
      <alignment horizontal="left" vertical="top" wrapText="1"/>
    </xf>
    <xf numFmtId="0" fontId="7" fillId="6" borderId="0" applyAlignment="1" pivotButton="0" quotePrefix="0" xfId="0">
      <alignment horizontal="center"/>
    </xf>
    <xf numFmtId="0" fontId="125" fillId="63" borderId="36" applyAlignment="1" pivotButton="0" quotePrefix="0" xfId="0">
      <alignment horizontal="center" vertical="center" wrapText="1"/>
    </xf>
    <xf numFmtId="0" fontId="125" fillId="63" borderId="0" applyAlignment="1" pivotButton="0" quotePrefix="0" xfId="0">
      <alignment horizontal="center" vertical="center" wrapText="1"/>
    </xf>
    <xf numFmtId="0" fontId="125" fillId="63" borderId="56" applyAlignment="1" pivotButton="0" quotePrefix="0" xfId="0">
      <alignment horizontal="center" vertical="center" wrapText="1"/>
    </xf>
    <xf numFmtId="0" fontId="126" fillId="74" borderId="36" applyAlignment="1" pivotButton="0" quotePrefix="0" xfId="0">
      <alignment horizontal="center" vertical="center" wrapText="1"/>
    </xf>
    <xf numFmtId="0" fontId="126" fillId="74" borderId="0" applyAlignment="1" pivotButton="0" quotePrefix="0" xfId="0">
      <alignment horizontal="center" vertical="center" wrapText="1"/>
    </xf>
    <xf numFmtId="0" fontId="126" fillId="74" borderId="56" applyAlignment="1" pivotButton="0" quotePrefix="0" xfId="0">
      <alignment horizontal="center" vertical="center" wrapText="1"/>
    </xf>
    <xf numFmtId="0" fontId="88" fillId="74" borderId="36" applyAlignment="1" pivotButton="0" quotePrefix="0" xfId="0">
      <alignment horizontal="center" vertical="center" wrapText="1"/>
    </xf>
    <xf numFmtId="0" fontId="88" fillId="74" borderId="0" applyAlignment="1" pivotButton="0" quotePrefix="0" xfId="0">
      <alignment horizontal="center" vertical="center" wrapText="1"/>
    </xf>
    <xf numFmtId="0" fontId="88" fillId="74" borderId="0" applyAlignment="1" pivotButton="0" quotePrefix="0" xfId="0">
      <alignment horizontal="center" vertical="center"/>
    </xf>
    <xf numFmtId="0" fontId="88" fillId="74" borderId="56" applyAlignment="1" pivotButton="0" quotePrefix="0" xfId="0">
      <alignment horizontal="center" vertical="center"/>
    </xf>
    <xf numFmtId="0" fontId="18" fillId="16" borderId="54" applyAlignment="1" pivotButton="0" quotePrefix="0" xfId="0">
      <alignment horizontal="center" vertical="center" wrapText="1"/>
    </xf>
    <xf numFmtId="0" fontId="0" fillId="27" borderId="0" applyAlignment="1" pivotButton="0" quotePrefix="0" xfId="0">
      <alignment horizontal="center" vertical="center" wrapText="1"/>
    </xf>
    <xf numFmtId="0" fontId="0" fillId="8" borderId="0" applyAlignment="1" pivotButton="0" quotePrefix="0" xfId="0">
      <alignment horizontal="center" vertical="center" wrapText="1"/>
    </xf>
    <xf numFmtId="0" fontId="0" fillId="0" borderId="0" applyAlignment="1" pivotButton="0" quotePrefix="0" xfId="0">
      <alignment horizontal="left" vertical="center" wrapText="1"/>
    </xf>
    <xf numFmtId="0" fontId="18" fillId="16" borderId="0" applyAlignment="1" pivotButton="0" quotePrefix="0" xfId="0">
      <alignment horizontal="center" vertical="center"/>
    </xf>
    <xf numFmtId="0" fontId="18" fillId="16" borderId="0" applyAlignment="1" pivotButton="0" quotePrefix="0" xfId="0">
      <alignment horizontal="center" vertical="center" wrapText="1"/>
    </xf>
    <xf numFmtId="0" fontId="14" fillId="6" borderId="0" applyAlignment="1" pivotButton="0" quotePrefix="0" xfId="0">
      <alignment horizontal="center" vertical="center" textRotation="90"/>
    </xf>
    <xf numFmtId="0" fontId="24" fillId="10" borderId="0" applyAlignment="1" pivotButton="0" quotePrefix="0" xfId="0">
      <alignment horizontal="center" vertical="center" textRotation="90"/>
    </xf>
    <xf numFmtId="0" fontId="117" fillId="21" borderId="0" applyAlignment="1" pivotButton="0" quotePrefix="0" xfId="0">
      <alignment horizontal="center" wrapText="1"/>
    </xf>
    <xf numFmtId="0" fontId="117" fillId="21" borderId="0" applyAlignment="1" pivotButton="0" quotePrefix="0" xfId="0">
      <alignment horizontal="center"/>
    </xf>
    <xf numFmtId="0" fontId="0" fillId="0" borderId="0" applyAlignment="1" pivotButton="0" quotePrefix="0" xfId="0">
      <alignment vertical="center" wrapText="1"/>
    </xf>
    <xf numFmtId="0" fontId="82" fillId="0" borderId="0" applyAlignment="1" pivotButton="0" quotePrefix="0" xfId="0">
      <alignment horizontal="center" vertical="center" wrapText="1"/>
    </xf>
    <xf numFmtId="0" fontId="0" fillId="64" borderId="0" applyAlignment="1" pivotButton="0" quotePrefix="0" xfId="0">
      <alignment horizontal="center" vertical="center" textRotation="45"/>
    </xf>
    <xf numFmtId="165" fontId="0" fillId="6" borderId="0" applyAlignment="1" pivotButton="0" quotePrefix="0" xfId="1">
      <alignment horizontal="center" vertical="center"/>
    </xf>
    <xf numFmtId="0" fontId="28" fillId="0" borderId="0" applyAlignment="1" pivotButton="0" quotePrefix="0" xfId="0">
      <alignment horizontal="center" vertical="center" wrapText="1"/>
    </xf>
    <xf numFmtId="0" fontId="0" fillId="0" borderId="0" applyAlignment="1" pivotButton="0" quotePrefix="1" xfId="0">
      <alignment horizontal="center" vertical="center"/>
    </xf>
    <xf numFmtId="0" fontId="3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7" fillId="6" borderId="0" applyAlignment="1" pivotButton="0" quotePrefix="0" xfId="0">
      <alignment horizontal="left"/>
    </xf>
    <xf numFmtId="0" fontId="0" fillId="16" borderId="19" applyAlignment="1" pivotButton="0" quotePrefix="0" xfId="0">
      <alignment horizontal="center" vertical="center"/>
    </xf>
    <xf numFmtId="0" fontId="0" fillId="18" borderId="0" applyAlignment="1" pivotButton="0" quotePrefix="0" xfId="0">
      <alignment horizontal="center"/>
    </xf>
    <xf numFmtId="0" fontId="2" fillId="0" borderId="0" applyAlignment="1" pivotButton="0" quotePrefix="0" xfId="0">
      <alignment horizontal="center"/>
    </xf>
    <xf numFmtId="0" fontId="27" fillId="0" borderId="0" applyAlignment="1" pivotButton="0" quotePrefix="0" xfId="0">
      <alignment horizontal="center" wrapText="1"/>
    </xf>
    <xf numFmtId="0" fontId="2" fillId="31" borderId="0" applyAlignment="1" pivotButton="0" quotePrefix="0" xfId="0">
      <alignment horizontal="center" wrapText="1"/>
    </xf>
    <xf numFmtId="165" fontId="0" fillId="17" borderId="0" applyAlignment="1" pivotButton="0" quotePrefix="0" xfId="2">
      <alignment horizontal="center" vertical="center" wrapText="1"/>
    </xf>
    <xf numFmtId="0" fontId="0" fillId="17" borderId="0" applyAlignment="1" pivotButton="0" quotePrefix="0" xfId="2">
      <alignment horizontal="center" vertical="center" wrapText="1"/>
    </xf>
    <xf numFmtId="0" fontId="2" fillId="31" borderId="0" applyAlignment="1" pivotButton="0" quotePrefix="0" xfId="0">
      <alignment horizontal="center" vertical="top" wrapText="1"/>
    </xf>
    <xf numFmtId="0" fontId="0" fillId="0" borderId="56" applyAlignment="1" pivotButton="0" quotePrefix="0" xfId="0">
      <alignment horizontal="center" wrapText="1"/>
    </xf>
    <xf numFmtId="0" fontId="4" fillId="0" borderId="53" applyAlignment="1" pivotButton="0" quotePrefix="0" xfId="0">
      <alignment horizontal="center" wrapText="1"/>
    </xf>
    <xf numFmtId="0" fontId="4" fillId="0" borderId="54" applyAlignment="1" pivotButton="0" quotePrefix="0" xfId="0">
      <alignment horizontal="center" wrapText="1"/>
    </xf>
    <xf numFmtId="0" fontId="4" fillId="0" borderId="55" applyAlignment="1" pivotButton="0" quotePrefix="0" xfId="0">
      <alignment horizontal="center" wrapText="1"/>
    </xf>
    <xf numFmtId="0" fontId="5" fillId="16" borderId="0" applyAlignment="1" pivotButton="0" quotePrefix="0" xfId="0">
      <alignment horizontal="center"/>
    </xf>
    <xf numFmtId="0" fontId="7" fillId="27" borderId="0" applyAlignment="1" pivotButton="0" quotePrefix="0" xfId="0">
      <alignment horizontal="center" vertical="center"/>
    </xf>
    <xf numFmtId="0" fontId="0" fillId="0" borderId="0" applyAlignment="1" pivotButton="0" quotePrefix="0" xfId="0">
      <alignment horizontal="center"/>
    </xf>
    <xf numFmtId="0" fontId="0" fillId="29" borderId="0" applyAlignment="1" pivotButton="0" quotePrefix="0" xfId="0">
      <alignment horizontal="center"/>
    </xf>
    <xf numFmtId="1" fontId="0" fillId="77" borderId="0" applyAlignment="1" pivotButton="0" quotePrefix="0" xfId="0">
      <alignment horizontal="center"/>
    </xf>
    <xf numFmtId="0" fontId="0" fillId="0" borderId="3" applyAlignment="1" pivotButton="0" quotePrefix="0" xfId="0">
      <alignment horizontal="center" vertical="center"/>
    </xf>
    <xf numFmtId="1" fontId="0" fillId="77" borderId="0" applyAlignment="1" pivotButton="0" quotePrefix="0" xfId="0">
      <alignment horizontal="center" vertical="center"/>
    </xf>
    <xf numFmtId="1" fontId="0" fillId="77" borderId="11" applyAlignment="1" pivotButton="0" quotePrefix="0" xfId="0">
      <alignment horizontal="center" vertical="center"/>
    </xf>
    <xf numFmtId="1" fontId="73" fillId="65" borderId="2" applyAlignment="1" pivotButton="0" quotePrefix="0" xfId="0">
      <alignment horizontal="center" vertical="center"/>
    </xf>
    <xf numFmtId="1" fontId="73" fillId="65" borderId="0" applyAlignment="1" pivotButton="0" quotePrefix="0" xfId="0">
      <alignment horizontal="center" vertical="center"/>
    </xf>
    <xf numFmtId="0" fontId="0" fillId="0" borderId="15" pivotButton="0" quotePrefix="0" xfId="0"/>
    <xf numFmtId="0" fontId="0" fillId="0" borderId="92" pivotButton="0" quotePrefix="0" xfId="0"/>
    <xf numFmtId="0" fontId="0" fillId="0" borderId="66" pivotButton="0" quotePrefix="0" xfId="0"/>
    <xf numFmtId="166" fontId="22" fillId="0" borderId="0" applyAlignment="1" pivotButton="0" quotePrefix="0" xfId="1">
      <alignment horizontal="center"/>
    </xf>
    <xf numFmtId="0" fontId="0" fillId="0" borderId="58" pivotButton="0" quotePrefix="0" xfId="0"/>
    <xf numFmtId="166" fontId="22" fillId="0" borderId="0" applyAlignment="1" pivotButton="0" quotePrefix="0" xfId="1">
      <alignment horizontal="center" vertical="center"/>
    </xf>
    <xf numFmtId="166" fontId="22" fillId="0" borderId="0" applyAlignment="1" pivotButton="0" quotePrefix="0" xfId="1">
      <alignment vertical="center"/>
    </xf>
    <xf numFmtId="0" fontId="0" fillId="0" borderId="2" applyAlignment="1" pivotButton="0" quotePrefix="0" xfId="0">
      <alignment horizontal="center" textRotation="90"/>
    </xf>
    <xf numFmtId="0" fontId="15" fillId="12" borderId="7" applyAlignment="1" pivotButton="0" quotePrefix="0" xfId="0">
      <alignment horizontal="center"/>
    </xf>
    <xf numFmtId="0" fontId="0" fillId="0" borderId="11" pivotButton="0" quotePrefix="0" xfId="0"/>
    <xf numFmtId="0" fontId="0" fillId="0" borderId="13" pivotButton="0" quotePrefix="0" xfId="0"/>
    <xf numFmtId="0" fontId="15" fillId="18" borderId="7" applyAlignment="1" pivotButton="0" quotePrefix="0" xfId="0">
      <alignment horizontal="center"/>
    </xf>
    <xf numFmtId="0" fontId="0" fillId="0" borderId="6" pivotButton="0" quotePrefix="0" xfId="0"/>
    <xf numFmtId="0" fontId="0" fillId="0" borderId="8" pivotButton="0" quotePrefix="0" xfId="0"/>
    <xf numFmtId="0" fontId="0" fillId="0" borderId="20" pivotButton="0" quotePrefix="0" xfId="0"/>
    <xf numFmtId="0" fontId="0" fillId="0" borderId="14" pivotButton="0" quotePrefix="0" xfId="0"/>
    <xf numFmtId="0" fontId="0" fillId="7" borderId="4" applyAlignment="1" pivotButton="0" quotePrefix="0" xfId="0">
      <alignment horizontal="left" vertical="center" wrapText="1"/>
    </xf>
    <xf numFmtId="0" fontId="0" fillId="0" borderId="3" pivotButton="0" quotePrefix="0" xfId="0"/>
    <xf numFmtId="0" fontId="0" fillId="0" borderId="4" applyAlignment="1" pivotButton="0" quotePrefix="0" xfId="0">
      <alignment horizontal="left" vertical="center" wrapText="1"/>
    </xf>
    <xf numFmtId="164" fontId="2" fillId="12" borderId="8" applyAlignment="1" pivotButton="0" quotePrefix="0" xfId="0">
      <alignment horizontal="center" vertical="center"/>
    </xf>
    <xf numFmtId="0" fontId="0" fillId="0" borderId="21" pivotButton="0" quotePrefix="0" xfId="0"/>
    <xf numFmtId="0" fontId="0" fillId="0" borderId="44" pivotButton="0" quotePrefix="0" xfId="0"/>
    <xf numFmtId="164" fontId="0" fillId="0" borderId="0" pivotButton="0" quotePrefix="0" xfId="0"/>
    <xf numFmtId="0" fontId="0" fillId="16" borderId="84" applyAlignment="1" pivotButton="0" quotePrefix="0" xfId="0">
      <alignment horizontal="left" vertical="top" wrapText="1"/>
    </xf>
    <xf numFmtId="0" fontId="0" fillId="16" borderId="84" applyAlignment="1" pivotButton="0" quotePrefix="0" xfId="0">
      <alignment horizontal="left" vertical="center" wrapText="1"/>
    </xf>
    <xf numFmtId="0" fontId="125" fillId="63" borderId="85" applyAlignment="1" pivotButton="0" quotePrefix="0" xfId="0">
      <alignment horizontal="center" vertical="center" wrapText="1"/>
    </xf>
    <xf numFmtId="0" fontId="126" fillId="74" borderId="85" applyAlignment="1" pivotButton="0" quotePrefix="0" xfId="0">
      <alignment horizontal="center" vertical="center" wrapText="1"/>
    </xf>
    <xf numFmtId="0" fontId="4" fillId="0" borderId="84" applyAlignment="1" pivotButton="0" quotePrefix="0" xfId="0">
      <alignment horizontal="center" wrapText="1"/>
    </xf>
  </cellXfs>
  <cellStyles count="4">
    <cellStyle name="Normal" xfId="0" builtinId="0"/>
    <cellStyle name="Milliers" xfId="1" builtinId="3"/>
    <cellStyle name="Pourcentage" xfId="2" builtinId="5"/>
    <cellStyle name="Lien hypertexte" xfId="3" builtinId="8"/>
  </cellStyles>
  <dxfs count="1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externalLink" Target="/xl/externalLinks/externalLink1.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Pt>
            <idx val="3"/>
            <bubble3D val="0"/>
            <spPr>
              <a:solidFill>
                <a:schemeClr val="accent4"/>
              </a:solidFill>
              <a:ln>
                <a:noFill/>
                <a:prstDash val="solid"/>
              </a:ln>
            </spPr>
          </dPt>
          <dPt>
            <idx val="4"/>
            <bubble3D val="0"/>
            <spPr>
              <a:solidFill>
                <a:schemeClr val="accent5"/>
              </a:solidFill>
              <a:ln>
                <a:noFill/>
                <a:prstDash val="solid"/>
              </a:ln>
            </spPr>
          </dPt>
          <dPt>
            <idx val="5"/>
            <bubble3D val="0"/>
            <spPr>
              <a:solidFill>
                <a:schemeClr val="accent6"/>
              </a:solidFill>
              <a:ln>
                <a:noFill/>
                <a:prstDash val="solid"/>
              </a:ln>
            </spPr>
          </dPt>
          <dPt>
            <idx val="6"/>
            <bubble3D val="0"/>
            <spPr>
              <a:solidFill>
                <a:schemeClr val="accent1">
                  <a:lumMod val="60000"/>
                </a:schemeClr>
              </a:solidFill>
              <a:ln>
                <a:noFill/>
                <a:prstDash val="solid"/>
              </a:ln>
            </spPr>
          </dPt>
          <dPt>
            <idx val="7"/>
            <bubble3D val="0"/>
            <spPr>
              <a:solidFill>
                <a:schemeClr val="accent2">
                  <a:lumMod val="60000"/>
                </a:schemeClr>
              </a:solidFill>
              <a:ln>
                <a:noFill/>
                <a:prstDash val="solid"/>
              </a:ln>
            </spPr>
          </dPt>
          <dPt>
            <idx val="8"/>
            <bubble3D val="0"/>
            <spPr>
              <a:solidFill>
                <a:schemeClr val="accent3">
                  <a:lumMod val="60000"/>
                </a:schemeClr>
              </a:solidFill>
              <a:ln>
                <a:noFill/>
                <a:prstDash val="solid"/>
              </a:ln>
            </spPr>
          </dPt>
          <dPt>
            <idx val="9"/>
            <bubble3D val="0"/>
            <spPr>
              <a:solidFill>
                <a:schemeClr val="accent4">
                  <a:lumMod val="60000"/>
                </a:schemeClr>
              </a:solidFill>
              <a:ln>
                <a:noFill/>
                <a:prstDash val="solid"/>
              </a:ln>
            </spPr>
          </dPt>
          <dLbls>
            <dLbl>
              <idx val="0"/>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fr-FR"/>
                </a:p>
              </txPr>
              <dLblPos val="outEnd"/>
              <showLegendKey val="0"/>
              <showVal val="0"/>
              <showCatName val="1"/>
              <showSerName val="0"/>
              <showPercent val="1"/>
              <showBubbleSize val="0"/>
            </dLbl>
            <dLbl>
              <idx val="1"/>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2"/>
                      </a:solidFill>
                      <a:latin typeface="+mn-lt"/>
                      <a:ea typeface="+mn-ea"/>
                      <a:cs typeface="+mn-cs"/>
                    </a:defRPr>
                  </a:pPr>
                  <a:r>
                    <a:t/>
                  </a:r>
                  <a:endParaRPr lang="fr-FR"/>
                </a:p>
              </txPr>
              <dLblPos val="outEnd"/>
              <showLegendKey val="0"/>
              <showVal val="0"/>
              <showCatName val="1"/>
              <showSerName val="0"/>
              <showPercent val="1"/>
              <showBubbleSize val="0"/>
            </dLbl>
            <dLbl>
              <idx val="2"/>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3"/>
                      </a:solidFill>
                      <a:latin typeface="+mn-lt"/>
                      <a:ea typeface="+mn-ea"/>
                      <a:cs typeface="+mn-cs"/>
                    </a:defRPr>
                  </a:pPr>
                  <a:r>
                    <a:t/>
                  </a:r>
                  <a:endParaRPr lang="fr-FR"/>
                </a:p>
              </txPr>
              <dLblPos val="outEnd"/>
              <showLegendKey val="0"/>
              <showVal val="0"/>
              <showCatName val="1"/>
              <showSerName val="0"/>
              <showPercent val="1"/>
              <showBubbleSize val="0"/>
            </dLbl>
            <dLbl>
              <idx val="3"/>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4"/>
                      </a:solidFill>
                      <a:latin typeface="+mn-lt"/>
                      <a:ea typeface="+mn-ea"/>
                      <a:cs typeface="+mn-cs"/>
                    </a:defRPr>
                  </a:pPr>
                  <a:r>
                    <a:t/>
                  </a:r>
                  <a:endParaRPr lang="fr-FR"/>
                </a:p>
              </txPr>
              <dLblPos val="outEnd"/>
              <showLegendKey val="0"/>
              <showVal val="0"/>
              <showCatName val="1"/>
              <showSerName val="0"/>
              <showPercent val="1"/>
              <showBubbleSize val="0"/>
            </dLbl>
            <dLbl>
              <idx val="4"/>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5"/>
                      </a:solidFill>
                      <a:latin typeface="+mn-lt"/>
                      <a:ea typeface="+mn-ea"/>
                      <a:cs typeface="+mn-cs"/>
                    </a:defRPr>
                  </a:pPr>
                  <a:r>
                    <a:t/>
                  </a:r>
                  <a:endParaRPr lang="fr-FR"/>
                </a:p>
              </txPr>
              <dLblPos val="outEnd"/>
              <showLegendKey val="0"/>
              <showVal val="0"/>
              <showCatName val="1"/>
              <showSerName val="0"/>
              <showPercent val="1"/>
              <showBubbleSize val="0"/>
            </dLbl>
            <dLbl>
              <idx val="5"/>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6"/>
                      </a:solidFill>
                      <a:latin typeface="+mn-lt"/>
                      <a:ea typeface="+mn-ea"/>
                      <a:cs typeface="+mn-cs"/>
                    </a:defRPr>
                  </a:pPr>
                  <a:r>
                    <a:t/>
                  </a:r>
                  <a:endParaRPr lang="fr-FR"/>
                </a:p>
              </txPr>
              <dLblPos val="outEnd"/>
              <showLegendKey val="0"/>
              <showVal val="0"/>
              <showCatName val="1"/>
              <showSerName val="0"/>
              <showPercent val="1"/>
              <showBubbleSize val="0"/>
            </dLbl>
            <dLbl>
              <idx val="6"/>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fr-FR"/>
                </a:p>
              </txPr>
              <dLblPos val="outEnd"/>
              <showLegendKey val="0"/>
              <showVal val="0"/>
              <showCatName val="1"/>
              <showSerName val="0"/>
              <showPercent val="1"/>
              <showBubbleSize val="0"/>
            </dLbl>
            <dLbl>
              <idx val="7"/>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fr-FR"/>
                </a:p>
              </txPr>
              <dLblPos val="outEnd"/>
              <showLegendKey val="0"/>
              <showVal val="0"/>
              <showCatName val="1"/>
              <showSerName val="0"/>
              <showPercent val="1"/>
              <showBubbleSize val="0"/>
            </dLbl>
            <dLbl>
              <idx val="8"/>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3">
                          <a:lumMod val="60000"/>
                        </a:schemeClr>
                      </a:solidFill>
                      <a:latin typeface="+mn-lt"/>
                      <a:ea typeface="+mn-ea"/>
                      <a:cs typeface="+mn-cs"/>
                    </a:defRPr>
                  </a:pPr>
                  <a:r>
                    <a:t/>
                  </a:r>
                  <a:endParaRPr lang="fr-FR"/>
                </a:p>
              </txPr>
              <dLblPos val="outEnd"/>
              <showLegendKey val="0"/>
              <showVal val="0"/>
              <showCatName val="1"/>
              <showSerName val="0"/>
              <showPercent val="1"/>
              <showBubbleSize val="0"/>
            </dLbl>
            <dLbl>
              <idx val="9"/>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4">
                          <a:lumMod val="60000"/>
                        </a:schemeClr>
                      </a:solidFill>
                      <a:latin typeface="+mn-lt"/>
                      <a:ea typeface="+mn-ea"/>
                      <a:cs typeface="+mn-cs"/>
                    </a:defRPr>
                  </a:pPr>
                  <a:r>
                    <a:t/>
                  </a:r>
                  <a:endParaRPr lang="fr-FR"/>
                </a:p>
              </txPr>
              <dLblPos val="outEnd"/>
              <showLegendKey val="0"/>
              <showVal val="0"/>
              <showCatName val="1"/>
              <showSerName val="0"/>
              <showPercent val="1"/>
              <showBubbleSize val="0"/>
            </dLbl>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fr-FR"/>
              </a:p>
            </txPr>
            <dLblPos val="outEnd"/>
            <showLegendKey val="0"/>
            <showVal val="0"/>
            <showCatName val="1"/>
            <showSerName val="0"/>
            <showPercent val="1"/>
            <showBubbleSize val="0"/>
            <showLeaderLines val="1"/>
          </dLbls>
          <cat>
            <strRef>
              <f>Baromètre!$AD$5:$AD$14</f>
              <strCache>
                <ptCount val="10"/>
                <pt idx="0">
                  <v>Alliance</v>
                </pt>
                <pt idx="1">
                  <v>Altération/dévoiement de la réalité</v>
                </pt>
                <pt idx="2">
                  <v>Chantage affectif, loyauté, manipulation</v>
                </pt>
                <pt idx="3">
                  <v>Dénigrement</v>
                </pt>
                <pt idx="4">
                  <v>Interférence temps et/ou communication</v>
                </pt>
                <pt idx="5">
                  <v>Interférence lien affectif ou symbolique</v>
                </pt>
                <pt idx="8">
                  <v>Parentification</v>
                </pt>
                <pt idx="9">
                  <v>Rôle actif, Réponse au CC</v>
                </pt>
              </strCache>
            </strRef>
          </cat>
          <val>
            <numRef>
              <f>Baromètre!$AE$5:$AE$14</f>
              <numCache>
                <formatCode>0%</formatCode>
                <ptCount val="10"/>
                <pt idx="0">
                  <v>0.05311077389984825</v>
                </pt>
                <pt idx="1">
                  <v>0.09559939301972686</v>
                </pt>
                <pt idx="2">
                  <v>0.1456752655538695</v>
                </pt>
                <pt idx="3">
                  <v>0.06676783004552352</v>
                </pt>
                <pt idx="4">
                  <v>0.2261001517450683</v>
                </pt>
                <pt idx="5">
                  <v>0.2382397572078908</v>
                </pt>
                <pt idx="8">
                  <v>0.07738998482549317</v>
                </pt>
                <pt idx="9">
                  <v>0.09711684370257967</v>
                </pt>
              </numCache>
            </numRef>
          </val>
        </ser>
        <dLbls>
          <dLblPos val="outEnd"/>
          <showLegendKey val="0"/>
          <showVal val="0"/>
          <showCatName val="0"/>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cap="all" baseline="0">
                <a:solidFill>
                  <a:schemeClr val="tx1">
                    <a:lumMod val="65000"/>
                    <a:lumOff val="35000"/>
                  </a:schemeClr>
                </a:solidFill>
                <a:latin typeface="+mn-lt"/>
                <a:ea typeface="+mn-ea"/>
                <a:cs typeface="+mn-cs"/>
              </a:defRPr>
            </a:pPr>
            <a:r>
              <a:rPr lang="fr-CA"/>
              <a:t>Impact</a:t>
            </a:r>
            <a:r>
              <a:rPr lang="fr-CA" baseline="0"/>
              <a:t xml:space="preserve"> chez l'enfant selon les catégories</a:t>
            </a:r>
            <a:endParaRPr lang="fr-CA"/>
          </a:p>
        </rich>
      </tx>
      <overlay val="0"/>
      <spPr>
        <a:noFill/>
        <a:ln>
          <a:noFill/>
          <a:prstDash val="solid"/>
        </a:ln>
      </spPr>
      <txPr>
        <a:bodyPr rot="0" spcFirstLastPara="1" vertOverflow="ellipsis" vert="horz" wrap="square" anchor="ctr" anchorCtr="1"/>
        <a:lstStyle/>
        <a:p>
          <a:pPr>
            <a:defRPr sz="1600" b="1" i="0" strike="noStrike" kern="1200" cap="all" baseline="0">
              <a:solidFill>
                <a:schemeClr val="tx1">
                  <a:lumMod val="65000"/>
                  <a:lumOff val="35000"/>
                </a:schemeClr>
              </a:solidFill>
              <a:latin typeface="+mn-lt"/>
              <a:ea typeface="+mn-ea"/>
              <a:cs typeface="+mn-cs"/>
            </a:defRPr>
          </a:pPr>
          <a:r>
            <a:t/>
          </a:r>
          <a:endParaRPr lang="fr-FR"/>
        </a:p>
      </tx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Pt>
            <idx val="3"/>
            <bubble3D val="0"/>
            <spPr>
              <a:solidFill>
                <a:schemeClr val="accent4"/>
              </a:solidFill>
              <a:ln>
                <a:noFill/>
                <a:prstDash val="solid"/>
              </a:ln>
            </spPr>
          </dPt>
          <dPt>
            <idx val="4"/>
            <bubble3D val="0"/>
            <spPr>
              <a:solidFill>
                <a:schemeClr val="accent5"/>
              </a:solidFill>
              <a:ln>
                <a:noFill/>
                <a:prstDash val="solid"/>
              </a:ln>
            </spPr>
          </dPt>
          <dPt>
            <idx val="5"/>
            <bubble3D val="0"/>
            <spPr>
              <a:solidFill>
                <a:schemeClr val="accent6"/>
              </a:solidFill>
              <a:ln>
                <a:noFill/>
                <a:prstDash val="solid"/>
              </a:ln>
            </spPr>
          </dPt>
          <dPt>
            <idx val="6"/>
            <bubble3D val="0"/>
            <spPr>
              <a:solidFill>
                <a:schemeClr val="accent1">
                  <a:lumMod val="60000"/>
                </a:schemeClr>
              </a:solidFill>
              <a:ln>
                <a:noFill/>
                <a:prstDash val="solid"/>
              </a:ln>
            </spPr>
          </dPt>
          <dPt>
            <idx val="7"/>
            <bubble3D val="0"/>
            <spPr>
              <a:solidFill>
                <a:schemeClr val="accent2">
                  <a:lumMod val="60000"/>
                </a:schemeClr>
              </a:solidFill>
              <a:ln>
                <a:noFill/>
                <a:prstDash val="solid"/>
              </a:ln>
            </spPr>
          </dPt>
          <dLbls>
            <dLbl>
              <idx val="0"/>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fr-FR"/>
                </a:p>
              </txPr>
              <dLblPos val="outEnd"/>
              <showLegendKey val="0"/>
              <showVal val="0"/>
              <showCatName val="1"/>
              <showSerName val="0"/>
              <showPercent val="1"/>
              <showBubbleSize val="0"/>
            </dLbl>
            <dLbl>
              <idx val="1"/>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2"/>
                      </a:solidFill>
                      <a:latin typeface="+mn-lt"/>
                      <a:ea typeface="+mn-ea"/>
                      <a:cs typeface="+mn-cs"/>
                    </a:defRPr>
                  </a:pPr>
                  <a:r>
                    <a:t/>
                  </a:r>
                  <a:endParaRPr lang="fr-FR"/>
                </a:p>
              </txPr>
              <dLblPos val="outEnd"/>
              <showLegendKey val="0"/>
              <showVal val="0"/>
              <showCatName val="1"/>
              <showSerName val="0"/>
              <showPercent val="1"/>
              <showBubbleSize val="0"/>
            </dLbl>
            <dLbl>
              <idx val="2"/>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3"/>
                      </a:solidFill>
                      <a:latin typeface="+mn-lt"/>
                      <a:ea typeface="+mn-ea"/>
                      <a:cs typeface="+mn-cs"/>
                    </a:defRPr>
                  </a:pPr>
                  <a:r>
                    <a:t/>
                  </a:r>
                  <a:endParaRPr lang="fr-FR"/>
                </a:p>
              </txPr>
              <dLblPos val="outEnd"/>
              <showLegendKey val="0"/>
              <showVal val="0"/>
              <showCatName val="1"/>
              <showSerName val="0"/>
              <showPercent val="1"/>
              <showBubbleSize val="0"/>
            </dLbl>
            <dLbl>
              <idx val="3"/>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4"/>
                      </a:solidFill>
                      <a:latin typeface="+mn-lt"/>
                      <a:ea typeface="+mn-ea"/>
                      <a:cs typeface="+mn-cs"/>
                    </a:defRPr>
                  </a:pPr>
                  <a:r>
                    <a:t/>
                  </a:r>
                  <a:endParaRPr lang="fr-FR"/>
                </a:p>
              </txPr>
              <dLblPos val="outEnd"/>
              <showLegendKey val="0"/>
              <showVal val="0"/>
              <showCatName val="1"/>
              <showSerName val="0"/>
              <showPercent val="1"/>
              <showBubbleSize val="0"/>
            </dLbl>
            <dLbl>
              <idx val="4"/>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5"/>
                      </a:solidFill>
                      <a:latin typeface="+mn-lt"/>
                      <a:ea typeface="+mn-ea"/>
                      <a:cs typeface="+mn-cs"/>
                    </a:defRPr>
                  </a:pPr>
                  <a:r>
                    <a:t/>
                  </a:r>
                  <a:endParaRPr lang="fr-FR"/>
                </a:p>
              </txPr>
              <dLblPos val="outEnd"/>
              <showLegendKey val="0"/>
              <showVal val="0"/>
              <showCatName val="1"/>
              <showSerName val="0"/>
              <showPercent val="1"/>
              <showBubbleSize val="0"/>
            </dLbl>
            <dLbl>
              <idx val="5"/>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6"/>
                      </a:solidFill>
                      <a:latin typeface="+mn-lt"/>
                      <a:ea typeface="+mn-ea"/>
                      <a:cs typeface="+mn-cs"/>
                    </a:defRPr>
                  </a:pPr>
                  <a:r>
                    <a:t/>
                  </a:r>
                  <a:endParaRPr lang="fr-FR"/>
                </a:p>
              </txPr>
              <dLblPos val="outEnd"/>
              <showLegendKey val="0"/>
              <showVal val="0"/>
              <showCatName val="1"/>
              <showSerName val="0"/>
              <showPercent val="1"/>
              <showBubbleSize val="0"/>
            </dLbl>
            <dLbl>
              <idx val="6"/>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lumMod val="60000"/>
                        </a:schemeClr>
                      </a:solidFill>
                      <a:latin typeface="+mn-lt"/>
                      <a:ea typeface="+mn-ea"/>
                      <a:cs typeface="+mn-cs"/>
                    </a:defRPr>
                  </a:pPr>
                  <a:r>
                    <a:t/>
                  </a:r>
                  <a:endParaRPr lang="fr-FR"/>
                </a:p>
              </txPr>
              <dLblPos val="outEnd"/>
              <showLegendKey val="0"/>
              <showVal val="0"/>
              <showCatName val="1"/>
              <showSerName val="0"/>
              <showPercent val="1"/>
              <showBubbleSize val="0"/>
            </dLbl>
            <dLbl>
              <idx val="7"/>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2">
                          <a:lumMod val="60000"/>
                        </a:schemeClr>
                      </a:solidFill>
                      <a:latin typeface="+mn-lt"/>
                      <a:ea typeface="+mn-ea"/>
                      <a:cs typeface="+mn-cs"/>
                    </a:defRPr>
                  </a:pPr>
                  <a:r>
                    <a:t/>
                  </a:r>
                  <a:endParaRPr lang="fr-FR"/>
                </a:p>
              </txPr>
              <dLblPos val="outEnd"/>
              <showLegendKey val="0"/>
              <showVal val="0"/>
              <showCatName val="1"/>
              <showSerName val="0"/>
              <showPercent val="1"/>
              <showBubbleSize val="0"/>
            </dLbl>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fr-FR"/>
              </a:p>
            </txPr>
            <dLblPos val="outEnd"/>
            <showLegendKey val="0"/>
            <showVal val="0"/>
            <showCatName val="1"/>
            <showSerName val="0"/>
            <showPercent val="1"/>
            <showBubbleSize val="0"/>
            <showLeaderLines val="1"/>
          </dLbls>
          <cat>
            <strRef>
              <f>Baromètre!$AD$38:$AD$45</f>
              <strCache>
                <ptCount val="8"/>
                <pt idx="0">
                  <v>Alliance</v>
                </pt>
                <pt idx="1">
                  <v>Altération/dévoiement de la réalité</v>
                </pt>
                <pt idx="2">
                  <v>Chantage affectif, loyauté, manipulation</v>
                </pt>
                <pt idx="3">
                  <v>Dénigrement</v>
                </pt>
                <pt idx="4">
                  <v>Interférence temps et/ou communication</v>
                </pt>
                <pt idx="5">
                  <v>Interférence lien affectif ou symbolique</v>
                </pt>
                <pt idx="6">
                  <v>Parentification</v>
                </pt>
                <pt idx="7">
                  <v>Rôle actif, Réponse au CC</v>
                </pt>
              </strCache>
            </strRef>
          </cat>
          <val>
            <numRef>
              <f>Baromètre!$AE$38:$AE$45</f>
              <numCache>
                <formatCode>0%</formatCode>
                <ptCount val="8"/>
                <pt idx="0">
                  <v>0.08602150537634409</v>
                </pt>
                <pt idx="1">
                  <v>0.01075268817204301</v>
                </pt>
                <pt idx="2">
                  <v>0.08064516129032258</v>
                </pt>
                <pt idx="3">
                  <v>0.09677419354838709</v>
                </pt>
                <pt idx="4">
                  <v>0.1666666666666667</v>
                </pt>
                <pt idx="5">
                  <v>0.1182795698924731</v>
                </pt>
                <pt idx="6">
                  <v>0.2258064516129032</v>
                </pt>
                <pt idx="7">
                  <v>0.2150537634408602</v>
                </pt>
              </numCache>
            </numRef>
          </val>
        </ser>
        <dLbls>
          <dLblPos val="outEnd"/>
          <showLegendKey val="0"/>
          <showVal val="0"/>
          <showCatName val="0"/>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plotArea>
      <layout>
        <manualLayout>
          <layoutTarget val="inner"/>
          <xMode val="edge"/>
          <yMode val="edge"/>
          <wMode val="factor"/>
          <hMode val="factor"/>
          <x val="0.08795396488118615"/>
          <y val="0.0159317878275136"/>
          <w val="0.9010613436182219"/>
          <h val="0.9398465289897102"/>
        </manualLayout>
      </layout>
      <barChart>
        <barDir val="col"/>
        <grouping val="stacked"/>
        <varyColors val="0"/>
        <ser>
          <idx val="0"/>
          <order val="0"/>
          <tx>
            <strRef>
              <f>Baromètre!$AL$21</f>
              <strCache>
                <ptCount val="1"/>
                <pt idx="0">
                  <v>Co-parent</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dPt>
            <idx val="1"/>
            <invertIfNegative val="0"/>
            <bubble3D val="0"/>
            <spPr>
              <a:solidFill>
                <a:srgbClr val="FF7E79"/>
              </a:solidFill>
              <a:ln>
                <a:noFill/>
                <a:prstDash val="solid"/>
              </a:ln>
            </spPr>
          </dPt>
          <dPt>
            <idx val="2"/>
            <invertIfNegative val="0"/>
            <bubble3D val="0"/>
            <spPr>
              <a:solidFill>
                <a:srgbClr val="FFFF00"/>
              </a:solidFill>
              <a:ln>
                <a:noFill/>
                <a:prstDash val="solid"/>
              </a:ln>
            </spPr>
          </dPt>
          <cat>
            <strRef>
              <f>Baromètre!$AM$20:$AO$20</f>
              <strCache>
                <ptCount val="3"/>
                <pt idx="0">
                  <v>C</v>
                </pt>
                <pt idx="1">
                  <v>E</v>
                </pt>
                <pt idx="2">
                  <v>V</v>
                </pt>
              </strCache>
            </strRef>
          </cat>
          <val>
            <numRef>
              <f>Baromètre!$AM$21:$AO$21</f>
              <numCache>
                <formatCode>0%</formatCode>
                <ptCount val="3"/>
                <pt idx="0">
                  <v>0.5226986506746627</v>
                </pt>
                <pt idx="1">
                  <v>0.3121739130434782</v>
                </pt>
                <pt idx="2">
                  <v>0.1651274362818591</v>
                </pt>
              </numCache>
            </numRef>
          </val>
        </ser>
        <ser>
          <idx val="1"/>
          <order val="1"/>
          <tx>
            <strRef>
              <f>Baromètre!$AL$22</f>
              <strCache>
                <ptCount val="1"/>
                <pt idx="0">
                  <v>Enfant</v>
                </pt>
              </strCache>
            </strRef>
          </tx>
          <spPr>
            <a:solidFill>
              <a:srgbClr val="FFFF00"/>
            </a:solidFill>
            <a:ln>
              <a:noFill/>
              <a:prstDash val="solid"/>
            </a:ln>
          </spPr>
          <invertIfNegative val="0"/>
          <dPt>
            <idx val="0"/>
            <invertIfNegative val="0"/>
            <bubble3D val="0"/>
            <spPr>
              <a:pattFill prst="pct50">
                <a:fgClr>
                  <a:schemeClr val="accent1"/>
                </a:fgClr>
                <a:bgClr>
                  <a:schemeClr val="bg1"/>
                </a:bgClr>
              </a:pattFill>
              <a:ln>
                <a:noFill/>
                <a:prstDash val="solid"/>
              </a:ln>
            </spPr>
          </dPt>
          <dPt>
            <idx val="1"/>
            <invertIfNegative val="0"/>
            <bubble3D val="0"/>
            <spPr>
              <a:pattFill prst="pct50">
                <a:fgClr>
                  <a:srgbClr val="F4E6FF"/>
                </a:fgClr>
                <a:bgClr>
                  <a:srgbClr val="FF7E79"/>
                </a:bgClr>
              </a:pattFill>
              <a:ln>
                <a:noFill/>
                <a:prstDash val="solid"/>
              </a:ln>
            </spPr>
          </dPt>
          <dPt>
            <idx val="2"/>
            <invertIfNegative val="0"/>
            <bubble3D val="0"/>
            <spPr>
              <a:pattFill prst="dkDnDiag">
                <a:fgClr>
                  <a:srgbClr val="FFFF00"/>
                </a:fgClr>
                <a:bgClr>
                  <a:schemeClr val="bg1"/>
                </a:bgClr>
              </a:pattFill>
              <a:ln>
                <a:noFill/>
                <a:prstDash val="solid"/>
              </a:ln>
            </spPr>
          </dPt>
          <cat>
            <strRef>
              <f>Baromètre!$AM$20:$AO$20</f>
              <strCache>
                <ptCount val="3"/>
                <pt idx="0">
                  <v>C</v>
                </pt>
                <pt idx="1">
                  <v>E</v>
                </pt>
                <pt idx="2">
                  <v>V</v>
                </pt>
              </strCache>
            </strRef>
          </cat>
          <val>
            <numRef>
              <f>Baromètre!$AM$22:$AO$22</f>
              <numCache>
                <formatCode>0%</formatCode>
                <ptCount val="3"/>
                <pt idx="0">
                  <v>-0.4811827956989247</v>
                </pt>
                <pt idx="1">
                  <v>-0.3736559139784946</v>
                </pt>
                <pt idx="2">
                  <v>-0.1451612903225807</v>
                </pt>
              </numCache>
            </numRef>
          </val>
        </ser>
        <dLbls>
          <showLegendKey val="0"/>
          <showVal val="0"/>
          <showCatName val="0"/>
          <showSerName val="0"/>
          <showPercent val="0"/>
          <showBubbleSize val="0"/>
        </dLbls>
        <gapWidth val="150"/>
        <overlap val="100"/>
        <axId val="1334792848"/>
        <axId val="1334794496"/>
      </barChart>
      <catAx>
        <axId val="1334792848"/>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1800" b="0" i="0" strike="noStrike" kern="1200" baseline="0">
                <a:solidFill>
                  <a:schemeClr val="tx1">
                    <a:lumMod val="65000"/>
                    <a:lumOff val="35000"/>
                  </a:schemeClr>
                </a:solidFill>
                <a:latin typeface="+mn-lt"/>
                <a:ea typeface="+mn-ea"/>
                <a:cs typeface="+mn-cs"/>
              </a:defRPr>
            </a:pPr>
            <a:r>
              <a:t/>
            </a:r>
            <a:endParaRPr lang="fr-FR"/>
          </a:p>
        </txPr>
        <crossAx val="1334794496"/>
        <crosses val="autoZero"/>
        <auto val="1"/>
        <lblAlgn val="ctr"/>
        <lblOffset val="100"/>
        <noMultiLvlLbl val="0"/>
      </catAx>
      <valAx>
        <axId val="1334794496"/>
        <scaling>
          <orientation val="minMax"/>
        </scaling>
        <delete val="0"/>
        <axPos val="l"/>
        <majorGridlines>
          <spPr>
            <a:ln w="9525" cap="flat" cmpd="sng" algn="ctr">
              <a:solidFill>
                <a:schemeClr val="tx1">
                  <a:lumMod val="15000"/>
                  <a:lumOff val="85000"/>
                </a:schemeClr>
              </a:solidFill>
              <a:prstDash val="solid"/>
              <a:round/>
            </a:ln>
          </spPr>
        </majorGridlines>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bg1"/>
                </a:solidFill>
                <a:latin typeface="+mn-lt"/>
                <a:ea typeface="+mn-ea"/>
                <a:cs typeface="+mn-cs"/>
              </a:defRPr>
            </a:pPr>
            <a:r>
              <a:t/>
            </a:r>
            <a:endParaRPr lang="fr-FR"/>
          </a:p>
        </txPr>
        <crossAx val="1334792848"/>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fr-CA" b="1"/>
              <a:t>Les comportements les</a:t>
            </a:r>
            <a:r>
              <a:rPr lang="fr-CA" b="1" baseline="0"/>
              <a:t xml:space="preserve"> plus fréquents adoptés par l'enfant en réaction aux comportements aliénants</a:t>
            </a:r>
            <a:endParaRPr lang="fr-CA" b="1"/>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fr-FR"/>
        </a:p>
      </txPr>
    </title>
    <plotArea>
      <layout/>
      <radarChart>
        <radarStyle val="marker"/>
        <varyColors val="0"/>
        <ser>
          <idx val="0"/>
          <order val="0"/>
          <spPr>
            <a:ln w="41275" cap="rnd">
              <a:solidFill>
                <a:srgbClr val="FF0000"/>
              </a:solidFill>
              <a:prstDash val="solid"/>
              <a:round/>
              <a:headEnd type="oval"/>
            </a:ln>
          </spPr>
          <marker>
            <symbol val="none"/>
            <spPr>
              <a:ln>
                <a:prstDash val="solid"/>
              </a:ln>
            </spPr>
          </marker>
          <cat>
            <strRef>
              <f>Baromètre!$R$81:$R$95</f>
              <strCache>
                <ptCount val="11"/>
                <pt idx="4">
                  <v>déforme les souvenirs</v>
                </pt>
                <pt idx="7">
                  <v>change d'attitude lorsqu'il est en présence des deux parents</v>
                </pt>
                <pt idx="10">
                  <v>est informé du contexte juridique ou autre sujet associé au conflit</v>
                </pt>
              </strCache>
            </strRef>
          </cat>
          <val>
            <numRef>
              <f>Baromètre!$V$81:$V$95</f>
              <numCache>
                <formatCode>0</formatCode>
                <ptCount val="15"/>
                <pt idx="0">
                  <v>23</v>
                </pt>
                <pt idx="1">
                  <v>10</v>
                </pt>
                <pt idx="2">
                  <v>7</v>
                </pt>
                <pt idx="3">
                  <v>34</v>
                </pt>
                <pt idx="4">
                  <v>27</v>
                </pt>
                <pt idx="5">
                  <v>14</v>
                </pt>
                <pt idx="6">
                  <v>11</v>
                </pt>
                <pt idx="7">
                  <v>25</v>
                </pt>
                <pt idx="8">
                  <v>18</v>
                </pt>
                <pt idx="9">
                  <v>32</v>
                </pt>
                <pt idx="10">
                  <v>28</v>
                </pt>
                <pt idx="11">
                  <v>25</v>
                </pt>
                <pt idx="12">
                  <v>30</v>
                </pt>
                <pt idx="13">
                  <v>48</v>
                </pt>
                <pt idx="14">
                  <v>27</v>
                </pt>
              </numCache>
            </numRef>
          </val>
        </ser>
        <dLbls>
          <showLegendKey val="0"/>
          <showVal val="0"/>
          <showCatName val="0"/>
          <showSerName val="0"/>
          <showPercent val="0"/>
          <showBubbleSize val="0"/>
        </dLbls>
        <axId val="790389904"/>
        <axId val="790391552"/>
      </radarChart>
      <catAx>
        <axId val="790389904"/>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r>
              <a:t/>
            </a:r>
            <a:endParaRPr lang="fr-FR"/>
          </a:p>
        </txPr>
        <crossAx val="790391552"/>
        <crosses val="autoZero"/>
        <auto val="1"/>
        <lblAlgn val="ctr"/>
        <lblOffset val="100"/>
        <noMultiLvlLbl val="0"/>
      </catAx>
      <valAx>
        <axId val="790391552"/>
        <scaling>
          <orientation val="minMax"/>
        </scaling>
        <delete val="1"/>
        <axPos val="l"/>
        <majorGridlines>
          <spPr>
            <a:ln w="9525" cap="flat" cmpd="sng" algn="ctr">
              <a:solidFill>
                <a:schemeClr val="tx1">
                  <a:lumMod val="15000"/>
                  <a:lumOff val="85000"/>
                </a:schemeClr>
              </a:solidFill>
              <a:prstDash val="solid"/>
              <a:round/>
            </a:ln>
          </spPr>
        </majorGridlines>
        <numFmt formatCode="0" sourceLinked="1"/>
        <majorTickMark val="none"/>
        <minorTickMark val="none"/>
        <tickLblPos val="nextTo"/>
        <crossAx val="790389904"/>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fr-CA"/>
              <a:t>Valeur</a:t>
            </a:r>
            <a:r>
              <a:rPr lang="fr-CA" baseline="0"/>
              <a:t xml:space="preserve"> de l'échelle de fréquence proposée </a:t>
            </a:r>
          </a:p>
          <a:p>
            <a:pPr>
              <a:defRPr/>
            </a:pPr>
            <a:r>
              <a:rPr lang="fr-CA" baseline="0"/>
              <a:t>(à tester)</a:t>
            </a:r>
            <a:endParaRPr lang="fr-CA"/>
          </a:p>
        </rich>
      </tx>
      <layout>
        <manualLayout>
          <xMode val="edge"/>
          <yMode val="edge"/>
          <wMode val="factor"/>
          <hMode val="factor"/>
          <x val="0.3297026180842322"/>
          <y val="0.01892744479495268"/>
        </manualLayout>
      </layout>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fr-FR"/>
        </a:p>
      </txPr>
    </title>
    <plotArea>
      <layout/>
      <lineChart>
        <grouping val="standard"/>
        <varyColors val="0"/>
        <ser>
          <idx val="0"/>
          <order val="0"/>
          <spPr>
            <a:ln w="28575" cap="rnd">
              <a:solidFill>
                <a:schemeClr val="accent1"/>
              </a:solidFill>
              <a:prstDash val="solid"/>
              <a:round/>
            </a:ln>
          </spPr>
          <marker>
            <symbol val="none"/>
            <spPr>
              <a:ln>
                <a:prstDash val="solid"/>
              </a:ln>
            </spPr>
          </marker>
          <cat>
            <numRef>
              <f>Test_Bible!$F$51:$K$51</f>
              <numCache>
                <formatCode>General</formatCode>
                <ptCount val="6"/>
              </numCache>
            </numRef>
          </cat>
          <val>
            <numRef>
              <f>Test_Bible!$E$52:$K$52</f>
              <numCache>
                <formatCode>0</formatCode>
                <ptCount val="7"/>
                <pt idx="0">
                  <v>0</v>
                </pt>
                <pt idx="1">
                  <v>0</v>
                </pt>
                <pt idx="2">
                  <v>1</v>
                </pt>
                <pt idx="3">
                  <v>2</v>
                </pt>
                <pt idx="4">
                  <v>4</v>
                </pt>
                <pt idx="5">
                  <v>7</v>
                </pt>
                <pt idx="6">
                  <v>10</v>
                </pt>
              </numCache>
            </numRef>
          </val>
          <smooth val="0"/>
        </ser>
        <dLbls>
          <showLegendKey val="0"/>
          <showVal val="0"/>
          <showCatName val="0"/>
          <showSerName val="0"/>
          <showPercent val="0"/>
          <showBubbleSize val="0"/>
        </dLbls>
        <smooth val="0"/>
        <axId val="244597247"/>
        <axId val="1911571008"/>
      </lineChart>
      <catAx>
        <axId val="244597247"/>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fr-FR"/>
          </a:p>
        </txPr>
        <crossAx val="1911571008"/>
        <crosses val="autoZero"/>
        <auto val="1"/>
        <lblAlgn val="ctr"/>
        <lblOffset val="100"/>
        <noMultiLvlLbl val="0"/>
      </catAx>
      <valAx>
        <axId val="1911571008"/>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fr-CA"/>
                  <a:t xml:space="preserve">Valeur de fréquernce </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
              </a:r>
              <a:endParaRPr lang="fr-FR"/>
            </a:p>
          </tx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fr-FR"/>
          </a:p>
        </txPr>
        <crossAx val="244597247"/>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plotArea>
      <layout/>
      <scatterChart>
        <scatterStyle val="lineMarker"/>
        <varyColors val="0"/>
        <ser>
          <idx val="0"/>
          <order val="0"/>
          <spPr>
            <a:ln w="19050" cap="rnd">
              <a:solidFill>
                <a:schemeClr val="accent1"/>
              </a:solidFill>
              <a:prstDash val="solid"/>
              <a:round/>
            </a:ln>
          </spPr>
          <marker>
            <symbol val="circle"/>
            <size val="5"/>
            <spPr>
              <a:solidFill>
                <a:schemeClr val="accent1"/>
              </a:solidFill>
              <a:ln w="9525">
                <a:solidFill>
                  <a:schemeClr val="accent1"/>
                </a:solidFill>
                <a:prstDash val="solid"/>
              </a:ln>
            </spPr>
          </marker>
          <xVal>
            <numRef>
              <f>TEMP_Différentiel!$AO$9:$AO$29</f>
              <numCache>
                <formatCode>General</formatCode>
                <ptCount val="21"/>
                <pt idx="0">
                  <v>-10</v>
                </pt>
                <pt idx="1">
                  <v>-9</v>
                </pt>
                <pt idx="2">
                  <v>-8</v>
                </pt>
                <pt idx="3">
                  <v>-7</v>
                </pt>
                <pt idx="4">
                  <v>-6</v>
                </pt>
                <pt idx="5">
                  <v>-5</v>
                </pt>
                <pt idx="6">
                  <v>-4</v>
                </pt>
                <pt idx="7">
                  <v>-3</v>
                </pt>
                <pt idx="8">
                  <v>-2</v>
                </pt>
                <pt idx="9">
                  <v>-1</v>
                </pt>
                <pt idx="10">
                  <v>0</v>
                </pt>
                <pt idx="11">
                  <v>1</v>
                </pt>
                <pt idx="12">
                  <v>2</v>
                </pt>
                <pt idx="13">
                  <v>3</v>
                </pt>
                <pt idx="14">
                  <v>4</v>
                </pt>
                <pt idx="15">
                  <v>5</v>
                </pt>
                <pt idx="16">
                  <v>6</v>
                </pt>
                <pt idx="17">
                  <v>7</v>
                </pt>
                <pt idx="18">
                  <v>8</v>
                </pt>
                <pt idx="19">
                  <v>9</v>
                </pt>
                <pt idx="20">
                  <v>10</v>
                </pt>
              </numCache>
            </numRef>
          </xVal>
          <yVal>
            <numRef>
              <f>TEMP_Différentiel!$AP$9:$AP$29</f>
              <numCache>
                <formatCode>0%</formatCode>
                <ptCount val="21"/>
                <pt idx="0">
                  <v>-1</v>
                </pt>
                <pt idx="1">
                  <v>-0.9</v>
                </pt>
                <pt idx="2">
                  <v>-0.8</v>
                </pt>
                <pt idx="3">
                  <v>-0.7</v>
                </pt>
                <pt idx="4">
                  <v>-0.6</v>
                </pt>
                <pt idx="5">
                  <v>-0.5</v>
                </pt>
                <pt idx="6">
                  <v>-0.4</v>
                </pt>
                <pt idx="7">
                  <v>-0.3</v>
                </pt>
                <pt idx="8">
                  <v>-0.2</v>
                </pt>
                <pt idx="9">
                  <v>-0.1</v>
                </pt>
                <pt idx="10">
                  <v>0</v>
                </pt>
                <pt idx="11">
                  <v>0.1</v>
                </pt>
                <pt idx="12">
                  <v>0.2</v>
                </pt>
                <pt idx="13">
                  <v>0.3</v>
                </pt>
                <pt idx="14">
                  <v>0.4</v>
                </pt>
                <pt idx="15">
                  <v>0.5</v>
                </pt>
                <pt idx="16">
                  <v>0.6</v>
                </pt>
                <pt idx="17">
                  <v>0.7</v>
                </pt>
                <pt idx="18">
                  <v>0.8</v>
                </pt>
                <pt idx="19">
                  <v>0.9</v>
                </pt>
                <pt idx="20">
                  <v>1</v>
                </pt>
              </numCache>
            </numRef>
          </yVal>
          <smooth val="0"/>
        </ser>
        <dLbls>
          <showLegendKey val="0"/>
          <showVal val="0"/>
          <showCatName val="0"/>
          <showSerName val="0"/>
          <showPercent val="0"/>
          <showBubbleSize val="0"/>
        </dLbls>
        <axId val="1988786336"/>
        <axId val="1989140928"/>
      </scatterChart>
      <valAx>
        <axId val="1988786336"/>
        <scaling>
          <orientation val="minMax"/>
        </scaling>
        <delete val="0"/>
        <axPos val="b"/>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fr-FR"/>
          </a:p>
        </txPr>
        <crossAx val="1989140928"/>
        <crosses val="autoZero"/>
        <crossBetween val="midCat"/>
      </valAx>
      <valAx>
        <axId val="1989140928"/>
        <scaling>
          <orientation val="minMax"/>
        </scaling>
        <delete val="0"/>
        <axPos val="l"/>
        <majorGridlines>
          <spPr>
            <a:ln w="9525" cap="flat" cmpd="sng" algn="ctr">
              <a:solidFill>
                <a:schemeClr val="tx1">
                  <a:lumMod val="15000"/>
                  <a:lumOff val="85000"/>
                </a:schemeClr>
              </a:solidFill>
              <a:prstDash val="solid"/>
              <a:round/>
            </a:ln>
          </spPr>
        </majorGridlines>
        <numFmt formatCode="0%"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fr-FR"/>
          </a:p>
        </txPr>
        <crossAx val="1988786336"/>
        <crosses val="autoZero"/>
        <crossBetween val="midCat"/>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omments/comment1.xml><?xml version="1.0" encoding="utf-8"?>
<comments xmlns="http://schemas.openxmlformats.org/spreadsheetml/2006/main">
  <authors>
    <author>tc={697B1E9F-53A6-B74D-BF17-7004257BA094}</author>
    <author>tc={0B0A78D6-6DB4-654B-AB13-20DB3B9AB0A4}</author>
    <author>tc={6BAD718D-189A-0948-B331-8C28778DB747}</author>
    <author>tc={852E7277-ACA8-6C46-8E5D-96CD43594B07}</author>
    <author>tc={47BF9CD6-1770-A046-A2B1-89341CE1CA30}</author>
    <author>tc={B6A740A4-9ECC-6E49-A97C-C6E6A5E1DBAB}</author>
    <author>tc={902D2B26-E155-1947-8639-A738AC4A49DE}</author>
    <author>tc={68EA85FE-9DF0-5844-9BCE-7D656945FC26}</author>
    <author>tc={B14264B7-A064-9146-BFB9-271E3A2E0D94}</author>
    <author>tc={D8FDD0BD-27D7-B14B-882F-341CAFFF4EB0}</author>
  </authors>
  <commentList>
    <comment ref="A17" authorId="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23" authorId="1"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86" authorId="2"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97" authorId="3"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109" authorId="4"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01" authorId="5"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211" authorId="6"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24" authorId="7"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68" authorId="8"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371" authorId="9"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List>
</comments>
</file>

<file path=xl/comments/comment2.xml><?xml version="1.0" encoding="utf-8"?>
<comments xmlns="http://schemas.openxmlformats.org/spreadsheetml/2006/main">
  <authors>
    <author>tc={C40D78C1-98D9-7841-8904-71D25DEFAD0E}</author>
    <author>tc={1EE026BF-86EE-8949-A68A-0C65E0A74BF5}</author>
  </authors>
  <commentList>
    <comment ref="N81" authorId="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text>
    </comment>
    <comment ref="N136" authorId="1"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text>
    </comment>
  </commentList>
</comments>
</file>

<file path=xl/comments/comment3.xml><?xml version="1.0" encoding="utf-8"?>
<comments xmlns="http://schemas.openxmlformats.org/spreadsheetml/2006/main">
  <authors>
    <author>tc={D4B32C04-D12F-0B4B-BD9B-C8236FA86327}</author>
    <author>tc={936771B5-C196-1F44-A858-B311094709E1}</author>
    <author>tc={5BA632C6-BBEB-1B4B-A14D-D232D57BED90}</author>
  </authors>
  <commentList>
    <comment ref="AD295" authorId="0"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 ref="AD297" authorId="1"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 ref="B389" authorId="2"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List>
</comments>
</file>

<file path=xl/comments/comment4.xml><?xml version="1.0" encoding="utf-8"?>
<comments xmlns="http://schemas.openxmlformats.org/spreadsheetml/2006/main">
  <authors>
    <author>tc={E7611D64-DAAA-5141-80D3-2AEB08ECD7E6}</author>
    <author>tc={98AB70AC-AEAE-674A-B0CF-63DCA6F1C9E6}</author>
    <author>tc={72C471DA-08C6-4D4B-B3A1-8DCD0404A786}</author>
    <author>tc={13FBC11C-7C34-F345-A8DF-D881A1F95A19}</author>
    <author>tc={81A20AE0-63BE-7F4B-BB9A-FE06AD7C3418}</author>
    <author>tc={D354F9B8-5015-C549-95D1-FA9B3CBFE8BB}</author>
    <author>tc={E5DFF164-7B12-F249-A782-FCCD5E365D1A}</author>
    <author>tc={B94E8436-E845-E546-B894-DB5EDD8BA0E0}</author>
    <author>tc={DE626292-8580-6E42-961B-64BDB766B0CD}</author>
    <author>tc={31C20CA6-116C-0340-961A-F9568B02D590}</author>
    <author>tc={7D138550-6BD1-4446-B3F8-AAB33EA1F0AB}</author>
    <author>tc={6FE3614A-5C8B-4042-8826-9314AC2D771E}</author>
    <author>tc={E54D9FBC-CC04-2E4E-A97E-73F5246AB750}</author>
  </authors>
  <commentList>
    <comment ref="O5" authorId="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ex.: si le coparent a une piètre opinion de sa valeur parentale / ouvrir dialogue / médiation 
ne pas nourrir l’impasse du préjugé  
Réponse :
     Dans une situation de 1 an et moins ; 
Pas de relation de coparentalité (éducative)
</t>
      </text>
    </comment>
    <comment ref="O8" authorId="1"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PÉRIODE DE TURBULENCE À PRÉVOIR DES DEUX PREMIÈRES ANNÉES
</t>
      </text>
    </comment>
    <comment ref="O17" authorId="2"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ÈDUCATION REJET PASSIF ET REJET ACTIF
+notion théorique associé au rejet actif ou passif</t>
      </text>
    </comment>
    <comment ref="O27" authorId="3"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Principe de coparentalité (droits parentaux)</t>
      </text>
    </comment>
    <comment ref="O29" authorId="4"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Tappette sur les doigts
</t>
      </text>
    </comment>
    <comment ref="G33" authorId="5"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text>
    </comment>
    <comment ref="O33" authorId="6"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Notion du volontaire et involontaire</t>
      </text>
    </comment>
    <comment ref="O37" authorId="7"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DROITS ET PRINCIPE DE COPARENTALITÉ
Dans le rapport, les comportements cochés, viennent alimentés les résultats. À l’mage des catégories ou autres schématisations
</t>
      </text>
    </comment>
    <comment ref="O38" authorId="8"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Important de commenter dans le r/r final si le répondant indique qu’il est déchu de l’autorité parentale … et expliquer ce que que c’est car ça change tout. Et inversement, selon le désir d’exclusion parentale, surveiller les cpts typiques 
 </t>
      </text>
    </comment>
    <comment ref="G41" authorId="9"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text>
    </comment>
    <comment ref="O47" authorId="1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ADR
</t>
      </text>
    </comment>
    <comment ref="O51" authorId="11"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text>
    </comment>
    <comment ref="O56" authorId="12"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text>
    </comment>
  </commentList>
</comments>
</file>

<file path=xl/comments/comment5.xml><?xml version="1.0" encoding="utf-8"?>
<comments xmlns="http://schemas.openxmlformats.org/spreadsheetml/2006/main">
  <authors>
    <author>tc={A66E4250-D4C2-824C-A68B-04AE1461DE07}</author>
  </authors>
  <commentList>
    <comment ref="R243" authorId="0"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Aucun CSS car la demande du parent altère le r/r enfant parent et désacralise le lien parent-enfant et pour ne pas annuler le calcul ou rendre nul le calcul ap vs css,, même si le parent répondant devait être déclenché, il est plus important de relevé la dynamique d’AP en jeu</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s>
</file>

<file path=xl/drawings/_rels/drawing2.xml.rels><Relationships xmlns="http://schemas.openxmlformats.org/package/2006/relationships"><Relationship Type="http://schemas.openxmlformats.org/officeDocument/2006/relationships/chart" Target="/xl/charts/chart5.xml" Id="rId1" /></Relationships>
</file>

<file path=xl/drawings/_rels/drawing3.xml.rels><Relationships xmlns="http://schemas.openxmlformats.org/package/2006/relationships"><Relationship Type="http://schemas.openxmlformats.org/officeDocument/2006/relationships/chart" Target="/xl/charts/chart6.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14</col>
      <colOff>22086</colOff>
      <row>5</row>
      <rowOff>176697</rowOff>
    </from>
    <to>
      <col>19</col>
      <colOff>121478</colOff>
      <row>28</row>
      <rowOff>55217</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199908</colOff>
      <row>30</row>
      <rowOff>0</rowOff>
    </from>
    <to>
      <col>19</col>
      <colOff>1916759</colOff>
      <row>51</row>
      <rowOff>223426</rowOff>
    </to>
    <graphicFrame>
      <nvGraphicFramePr>
        <cNvPr id="2" name="Chart 2"/>
        <cNvGraphicFramePr/>
      </nvGraphicFramePr>
      <xfrm/>
      <a:graphic>
        <a:graphicData uri="http://schemas.openxmlformats.org/drawingml/2006/chart">
          <c:chart r:id="rId2"/>
        </a:graphicData>
      </a:graphic>
    </graphicFrame>
    <clientData/>
  </twoCellAnchor>
  <twoCellAnchor>
    <from>
      <col>20</col>
      <colOff>194028</colOff>
      <row>20</row>
      <rowOff>4754</rowOff>
    </from>
    <to>
      <col>23</col>
      <colOff>398436</colOff>
      <row>44</row>
      <rowOff>210499</rowOff>
    </to>
    <graphicFrame>
      <nvGraphicFramePr>
        <cNvPr id="3" name="Chart 3"/>
        <cNvGraphicFramePr/>
      </nvGraphicFramePr>
      <xfrm/>
      <a:graphic>
        <a:graphicData uri="http://schemas.openxmlformats.org/drawingml/2006/chart">
          <c:chart r:id="rId3"/>
        </a:graphicData>
      </a:graphic>
    </graphicFrame>
    <clientData/>
  </twoCellAnchor>
  <twoCellAnchor>
    <from>
      <col>0</col>
      <colOff>863600</colOff>
      <row>78</row>
      <rowOff>101601</rowOff>
    </from>
    <to>
      <col>13</col>
      <colOff>787400</colOff>
      <row>98</row>
      <rowOff>50801</rowOff>
    </to>
    <graphicFrame>
      <nvGraphicFramePr>
        <cNvPr id="4" name="Chart 4"/>
        <cNvGraphicFramePr/>
      </nvGraphicFramePr>
      <xfrm/>
      <a:graphic>
        <a:graphicData uri="http://schemas.openxmlformats.org/drawingml/2006/chart">
          <c:chart r:id="rId4"/>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65</col>
      <colOff>482181</colOff>
      <row>1</row>
      <rowOff>15282</rowOff>
    </from>
    <to>
      <col>72</col>
      <colOff>612247</colOff>
      <row>24</row>
      <rowOff>30382</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31</col>
      <colOff>88900</colOff>
      <row>2</row>
      <rowOff>57150</rowOff>
    </from>
    <to>
      <col>39</col>
      <colOff>0</colOff>
      <row>21</row>
      <rowOff>25400</rowOff>
    </to>
    <graphicFrame>
      <nvGraphicFramePr>
        <cNvPr id="1" name="Chart 1"/>
        <cNvGraphicFramePr/>
      </nvGraphicFramePr>
      <xfrm/>
      <a:graphic>
        <a:graphicData uri="http://schemas.openxmlformats.org/drawingml/2006/chart">
          <c:chart r:id="rId1"/>
        </a:graphicData>
      </a:graphic>
    </graphicFrame>
    <clientData/>
  </twoCellAnchor>
</wsDr>
</file>

<file path=xl/externalLinks/_rels/externalLink1.xml.rels><Relationships xmlns="http://schemas.openxmlformats.org/package/2006/relationships"><Relationship Type="http://schemas.openxmlformats.org/officeDocument/2006/relationships/externalLinkPath" Target="/Users/admin/Library/Mobile%20Documents/com~apple~CloudDocs/e.Constellations/Application%20web/TEST/Mode&#768;le%20eC%20__%2011nov_grand%20me&#769;nag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Constat Final"/>
      <sheetName val="Baromètre"/>
      <sheetName val="BIBLE"/>
      <sheetName val="Test_Bible"/>
      <sheetName val="Q_qualitatives"/>
      <sheetName val="Indice VC"/>
      <sheetName val="Action-Réaction finale"/>
      <sheetName val="Modèle Calcul A-R"/>
      <sheetName val="Cpts miroirs des parents"/>
      <sheetName val="Modèle Miroir_divergence"/>
      <sheetName val="Modèle miroir_diagnostic"/>
      <sheetName val="Diff"/>
      <sheetName val="CPTS indépendants"/>
      <sheetName val="Modèle_CPTS ind."/>
      <sheetName val="TEMP_Différentiel"/>
    </sheetNames>
    <sheetDataSet>
      <sheetData sheetId="0"/>
      <sheetData sheetId="1"/>
      <sheetData sheetId="2"/>
      <sheetData sheetId="3"/>
      <sheetData sheetId="4"/>
      <sheetData sheetId="5"/>
      <sheetData sheetId="6"/>
      <sheetData sheetId="7"/>
      <sheetData sheetId="8">
        <row r="6">
          <cell r="B6" t="str">
            <v>Sérénité et confidence face à la séparation</v>
          </cell>
        </row>
        <row r="9">
          <cell r="B9" t="str">
            <v>Interrogatoires au retour de garde</v>
          </cell>
        </row>
        <row r="11">
          <cell r="B11" t="str">
            <v>Exigences de coparentalité</v>
          </cell>
          <cell r="G11" t="str">
            <v>PCR10</v>
          </cell>
        </row>
        <row r="13">
          <cell r="B13" t="str">
            <v>Valeur du co-parent</v>
          </cell>
        </row>
        <row r="16">
          <cell r="B16" t="str">
            <v>Prise de décision sans le consentement de l'autre</v>
          </cell>
        </row>
      </sheetData>
      <sheetData sheetId="9"/>
      <sheetData sheetId="10"/>
      <sheetData sheetId="11"/>
      <sheetData sheetId="12"/>
      <sheetData sheetId="13"/>
      <sheetData sheetId="14"/>
    </sheetDataSet>
  </externalBook>
</externalLink>
</file>

<file path=xl/theme/theme1.xml><?xml version="1.0" encoding="utf-8"?>
<a:theme xmlns:a="http://schemas.openxmlformats.org/drawingml/2006/main" name="Thème Office 2013 – 2022">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8.xml.rels><Relationships xmlns="http://schemas.openxmlformats.org/package/2006/relationships"><Relationship Type="http://schemas.openxmlformats.org/officeDocument/2006/relationships/drawing" Target="/xl/drawings/drawing3.xml" Id="rId1"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hyperlink" Target="https://www.santemagazine.fr/psycho-sexo/psycho/psycho-enfant/parent-solo-ne-soyez-pas-trop-fusionnel-172034" TargetMode="External" Id="rId1" /><Relationship Type="http://schemas.openxmlformats.org/officeDocument/2006/relationships/hyperlink" Target="https://educaloi.qc.ca/capsules/lautorite-parentale/" TargetMode="External" Id="rId2"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5.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411"/>
  <sheetViews>
    <sheetView tabSelected="1" workbookViewId="0">
      <pane xSplit="1" ySplit="3" topLeftCell="B4" activePane="bottomRight" state="frozen"/>
      <selection pane="topRight" activeCell="B1" sqref="B1"/>
      <selection pane="bottomLeft" activeCell="A2" sqref="A2"/>
      <selection pane="bottomRight" activeCell="R12" sqref="R12"/>
    </sheetView>
  </sheetViews>
  <sheetFormatPr baseColWidth="10" defaultRowHeight="16"/>
  <cols>
    <col width="14.33203125" customWidth="1" min="1" max="1"/>
    <col width="16.33203125" customWidth="1" style="2089" min="2" max="2"/>
    <col width="15.1640625" customWidth="1" style="2089" min="3" max="3"/>
    <col width="22.83203125" customWidth="1" min="4" max="4"/>
    <col width="28.5" customWidth="1" style="2089" min="5" max="5"/>
    <col width="9.1640625" customWidth="1" style="2089" min="6" max="6"/>
    <col width="10.83203125" customWidth="1" style="2089" min="7" max="11"/>
  </cols>
  <sheetData>
    <row r="1" ht="116" customHeight="1">
      <c r="B1" s="2073" t="inlineStr">
        <is>
          <t>Valeur de base que l'usager entre. Cette valeur se transporte dans le fichier TEST_Bible</t>
        </is>
      </c>
      <c r="C1" s="2073" t="inlineStr">
        <is>
          <t>Le résultat retourné par le Test_Bible EST ICI</t>
        </is>
      </c>
      <c r="D1" s="2073" t="inlineStr">
        <is>
          <t>Le résultat de chaque bloc parenté est ICI</t>
        </is>
      </c>
      <c r="E1" s="2073" t="inlineStr">
        <is>
          <t>Le résultat final qui représente l'indice AP par acteur</t>
        </is>
      </c>
      <c r="H1" s="2073" t="n"/>
    </row>
    <row r="2" ht="47" customHeight="1">
      <c r="C2" s="2089" t="n"/>
      <c r="E2" s="2090" t="n"/>
    </row>
    <row r="3">
      <c r="A3" t="inlineStr">
        <is>
          <t>Identifiant</t>
        </is>
      </c>
      <c r="B3" s="2089" t="inlineStr">
        <is>
          <t>Valeur entrée</t>
        </is>
      </c>
      <c r="C3" s="2089" t="inlineStr">
        <is>
          <t>Résultat intermédiaire par question</t>
        </is>
      </c>
      <c r="D3" t="inlineStr">
        <is>
          <t>Résultat du bloc parenté</t>
        </is>
      </c>
      <c r="E3" s="2089" t="inlineStr">
        <is>
          <t>Résultat de l'indice AP de l'acteur</t>
        </is>
      </c>
      <c r="F3" s="2089" t="inlineStr">
        <is>
          <t>Intervalle du gradiant d'AP par acteur</t>
        </is>
      </c>
    </row>
    <row r="4">
      <c r="A4">
        <f>BIBLE!E18</f>
        <v/>
      </c>
      <c r="B4" s="2089" t="inlineStr">
        <is>
          <t>3</t>
        </is>
      </c>
      <c r="D4" s="1941" t="n"/>
      <c r="E4" s="1942" t="n"/>
      <c r="F4" s="1942" t="n"/>
      <c r="G4" s="1942" t="n"/>
      <c r="H4" s="1942" t="n"/>
      <c r="I4" s="1942" t="n"/>
      <c r="J4" s="1942" t="n"/>
      <c r="K4" s="1942" t="n"/>
    </row>
    <row r="5">
      <c r="A5">
        <f>BIBLE!E19</f>
        <v/>
      </c>
      <c r="B5" s="2089" t="inlineStr">
        <is>
          <t>2</t>
        </is>
      </c>
      <c r="D5" s="1941" t="n"/>
      <c r="E5" s="1942" t="n"/>
      <c r="F5" s="1942" t="n"/>
      <c r="G5" s="1942" t="n"/>
      <c r="H5" s="1942" t="n"/>
      <c r="I5" s="1942" t="n"/>
      <c r="J5" s="1942" t="n"/>
      <c r="K5" s="1942" t="n"/>
    </row>
    <row r="6">
      <c r="A6">
        <f>BIBLE!E20</f>
        <v/>
      </c>
      <c r="B6" s="2089" t="inlineStr">
        <is>
          <t>1</t>
        </is>
      </c>
      <c r="D6" s="1941" t="n"/>
      <c r="E6" s="1942" t="n"/>
      <c r="F6" s="1942" t="n"/>
      <c r="G6" s="1942" t="n"/>
      <c r="H6" s="1942" t="n"/>
      <c r="I6" s="1942" t="n"/>
      <c r="J6" s="1942" t="n"/>
      <c r="K6" s="1942" t="n"/>
    </row>
    <row r="7">
      <c r="A7">
        <f>BIBLE!E21</f>
        <v/>
      </c>
      <c r="B7" s="2089" t="inlineStr">
        <is>
          <t>3</t>
        </is>
      </c>
      <c r="D7" s="1941" t="n"/>
      <c r="E7" s="1942" t="n"/>
      <c r="F7" s="1942" t="n"/>
      <c r="G7" s="1942" t="n"/>
      <c r="H7" s="1942" t="n"/>
      <c r="I7" s="1942" t="n"/>
      <c r="J7" s="1942" t="n"/>
      <c r="K7" s="1942" t="n"/>
    </row>
    <row r="8">
      <c r="A8">
        <f>BIBLE!E22</f>
        <v/>
      </c>
      <c r="B8" s="2089" t="inlineStr">
        <is>
          <t>2</t>
        </is>
      </c>
      <c r="D8" s="1941" t="n"/>
      <c r="E8" s="1942" t="n"/>
      <c r="F8" s="1942" t="n"/>
      <c r="G8" s="1942" t="n"/>
      <c r="H8" s="1942" t="n"/>
      <c r="I8" s="1942" t="n"/>
      <c r="J8" s="1942" t="n"/>
      <c r="K8" s="1942" t="n"/>
    </row>
    <row r="9">
      <c r="A9">
        <f>BIBLE!E23</f>
        <v/>
      </c>
      <c r="B9" s="2089" t="inlineStr">
        <is>
          <t>1</t>
        </is>
      </c>
      <c r="D9" s="1941" t="n"/>
      <c r="E9" s="1942" t="n"/>
      <c r="F9" s="1942" t="n"/>
      <c r="G9" s="1942" t="n"/>
      <c r="H9" s="1942" t="n"/>
      <c r="I9" s="1942" t="n"/>
      <c r="J9" s="1942" t="n"/>
      <c r="K9" s="1942" t="n"/>
    </row>
    <row r="10">
      <c r="A10">
        <f>BIBLE!E24</f>
        <v/>
      </c>
      <c r="B10" s="2089" t="inlineStr">
        <is>
          <t>2</t>
        </is>
      </c>
      <c r="D10" s="1941" t="n"/>
      <c r="E10" s="1942" t="n"/>
      <c r="F10" s="1942" t="n"/>
      <c r="G10" s="1942" t="n"/>
      <c r="H10" s="1942" t="n"/>
      <c r="I10" s="1942" t="n"/>
      <c r="J10" s="1942" t="n"/>
      <c r="K10" s="1942" t="n"/>
    </row>
    <row r="11">
      <c r="A11">
        <f>BIBLE!E25</f>
        <v/>
      </c>
      <c r="B11" s="2089" t="inlineStr">
        <is>
          <t>2</t>
        </is>
      </c>
      <c r="D11" s="1941" t="n"/>
      <c r="E11" s="1942" t="n"/>
      <c r="F11" s="1942" t="n"/>
      <c r="G11" s="1942" t="n"/>
      <c r="H11" s="1942" t="n"/>
      <c r="I11" s="1942" t="n"/>
      <c r="J11" s="1942" t="n"/>
      <c r="K11" s="1942" t="n"/>
    </row>
    <row r="12">
      <c r="A12">
        <f>BIBLE!E26</f>
        <v/>
      </c>
      <c r="B12" s="2089" t="inlineStr">
        <is>
          <t>2</t>
        </is>
      </c>
      <c r="D12" s="1941" t="n"/>
      <c r="E12" s="1942" t="n"/>
      <c r="F12" s="1942" t="n"/>
      <c r="G12" s="1942" t="n"/>
      <c r="H12" s="1942" t="n"/>
      <c r="I12" s="1942" t="n"/>
      <c r="J12" s="1942" t="n"/>
      <c r="K12" s="1942" t="n"/>
    </row>
    <row r="13">
      <c r="A13">
        <f>BIBLE!E27</f>
        <v/>
      </c>
      <c r="B13" s="115" t="n">
        <v>4</v>
      </c>
      <c r="C13" s="115">
        <f>Test_Bible!Q53</f>
        <v/>
      </c>
      <c r="D13" s="1941" t="n"/>
      <c r="E13" s="1942" t="n"/>
      <c r="F13" s="1942" t="n"/>
      <c r="G13" s="1942" t="n"/>
      <c r="H13" s="1942" t="n"/>
      <c r="I13" s="1942" t="n"/>
      <c r="J13" s="1942" t="n"/>
      <c r="K13" s="1942" t="n"/>
    </row>
    <row r="14">
      <c r="A14">
        <f>BIBLE!E28</f>
        <v/>
      </c>
      <c r="B14" s="115" t="inlineStr">
        <is>
          <t>1</t>
        </is>
      </c>
      <c r="D14" s="1941" t="n"/>
      <c r="E14" s="1942" t="n"/>
      <c r="F14" s="1942" t="n"/>
      <c r="G14" s="1942" t="n"/>
      <c r="H14" s="1942" t="n"/>
      <c r="I14" s="1942" t="n"/>
      <c r="J14" s="1942" t="n"/>
      <c r="K14" s="1942" t="n"/>
    </row>
    <row r="15">
      <c r="A15">
        <f>BIBLE!E29</f>
        <v/>
      </c>
      <c r="B15" s="115" t="n">
        <v>4</v>
      </c>
      <c r="C15" s="115">
        <f>Test_Bible!Q56</f>
        <v/>
      </c>
      <c r="D15" s="1941" t="n"/>
      <c r="E15" s="1942" t="n"/>
      <c r="F15" s="1942" t="n"/>
      <c r="G15" s="1942" t="n"/>
      <c r="H15" s="1942" t="n"/>
      <c r="I15" s="1942" t="n"/>
      <c r="J15" s="1942" t="n"/>
      <c r="K15" s="1942" t="n"/>
    </row>
    <row r="16">
      <c r="A16">
        <f>BIBLE!E30</f>
        <v/>
      </c>
      <c r="B16" s="115" t="n">
        <v>2</v>
      </c>
      <c r="C16" s="115">
        <f>Test_Bible!Q57</f>
        <v/>
      </c>
      <c r="D16" s="1941" t="n"/>
      <c r="E16" s="1942" t="n"/>
      <c r="F16" s="1942" t="n"/>
      <c r="G16" s="1942" t="n"/>
      <c r="H16" s="1942" t="n"/>
      <c r="I16" s="1942" t="n"/>
      <c r="J16" s="1942" t="n"/>
      <c r="K16" s="1942" t="n"/>
    </row>
    <row r="17">
      <c r="A17" s="60">
        <f>BIBLE!E31</f>
        <v/>
      </c>
      <c r="B17" s="115" t="inlineStr">
        <is>
          <t>3</t>
        </is>
      </c>
      <c r="D17" s="1941" t="n"/>
      <c r="E17" s="1942" t="n"/>
      <c r="F17" s="1942" t="n"/>
      <c r="G17" s="1942" t="n"/>
      <c r="H17" s="1942" t="n"/>
      <c r="I17" s="1942" t="n"/>
      <c r="J17" s="1942" t="n"/>
      <c r="K17" s="1942" t="n"/>
    </row>
    <row r="18">
      <c r="A18" s="60">
        <f>A17</f>
        <v/>
      </c>
      <c r="B18" s="115" t="n">
        <v>0</v>
      </c>
      <c r="D18" s="1941" t="n"/>
      <c r="E18" s="1942" t="n"/>
      <c r="F18" s="1942" t="n"/>
      <c r="G18" s="1942" t="n"/>
      <c r="H18" s="1942" t="n"/>
      <c r="I18" s="1942" t="n"/>
      <c r="J18" s="1942" t="n"/>
      <c r="K18" s="1942" t="n"/>
    </row>
    <row r="19">
      <c r="A19" s="60">
        <f>A18</f>
        <v/>
      </c>
      <c r="B19" s="115" t="n">
        <v>0</v>
      </c>
      <c r="D19" s="1941" t="n"/>
      <c r="E19" s="1942" t="n"/>
      <c r="F19" s="1942" t="n"/>
      <c r="G19" s="1942" t="n"/>
      <c r="H19" s="1942" t="n"/>
      <c r="I19" s="1942" t="n"/>
      <c r="J19" s="1942" t="n"/>
      <c r="K19" s="1942" t="n"/>
    </row>
    <row r="20">
      <c r="A20" s="60">
        <f>A19</f>
        <v/>
      </c>
      <c r="B20" s="115" t="n">
        <v>1</v>
      </c>
      <c r="D20" s="1941" t="n"/>
      <c r="E20" s="1942" t="n"/>
      <c r="F20" s="1942" t="n"/>
      <c r="G20" s="1942" t="n"/>
      <c r="H20" s="1942" t="n"/>
      <c r="I20" s="1942" t="n"/>
      <c r="J20" s="1942" t="n"/>
      <c r="K20" s="1942" t="n"/>
    </row>
    <row r="21">
      <c r="A21" s="60">
        <f>A20</f>
        <v/>
      </c>
      <c r="B21" s="115" t="n">
        <v>0</v>
      </c>
      <c r="D21" s="1941" t="n"/>
      <c r="E21" s="1942" t="n"/>
      <c r="F21" s="1942" t="n"/>
      <c r="G21" s="1942" t="n"/>
      <c r="H21" s="1942" t="n"/>
      <c r="I21" s="1942" t="n"/>
      <c r="J21" s="1942" t="n"/>
      <c r="K21" s="1942" t="n"/>
    </row>
    <row r="22">
      <c r="A22" s="60">
        <f>A21</f>
        <v/>
      </c>
      <c r="B22" s="115" t="n">
        <v>0</v>
      </c>
      <c r="D22" s="1941" t="n"/>
      <c r="E22" s="1942" t="n"/>
      <c r="F22" s="1942" t="n"/>
      <c r="G22" s="1942" t="n"/>
      <c r="H22" s="1942" t="n"/>
      <c r="I22" s="1942" t="n"/>
      <c r="J22" s="1942" t="n"/>
      <c r="K22" s="1942" t="n"/>
    </row>
    <row r="23">
      <c r="A23" s="60">
        <f>BIBLE!E32</f>
        <v/>
      </c>
      <c r="B23" s="115" t="inlineStr">
        <is>
          <t>2</t>
        </is>
      </c>
      <c r="D23" s="1941" t="n"/>
      <c r="E23" s="1942" t="n"/>
      <c r="F23" s="1942" t="n"/>
      <c r="G23" s="1942" t="n"/>
      <c r="H23" s="1942" t="n"/>
      <c r="I23" s="1942" t="n"/>
      <c r="J23" s="1942" t="n"/>
      <c r="K23" s="1942" t="n"/>
    </row>
    <row r="24">
      <c r="A24" s="60">
        <f>A23</f>
        <v/>
      </c>
      <c r="B24" s="115" t="inlineStr">
        <is>
          <t>5</t>
        </is>
      </c>
      <c r="D24" s="1941" t="n"/>
      <c r="E24" s="1942" t="n"/>
      <c r="F24" s="1942" t="n"/>
      <c r="G24" s="1942" t="n"/>
      <c r="H24" s="1942" t="n"/>
      <c r="I24" s="1942" t="n"/>
      <c r="J24" s="1942" t="n"/>
      <c r="K24" s="1942" t="n"/>
    </row>
    <row r="25">
      <c r="A25" s="60">
        <f>A24</f>
        <v/>
      </c>
      <c r="B25" s="115" t="n">
        <v>1</v>
      </c>
      <c r="D25" s="1941" t="n"/>
      <c r="E25" s="1942" t="n"/>
      <c r="F25" s="1942" t="n"/>
      <c r="G25" s="1942" t="n"/>
      <c r="H25" s="1942" t="n"/>
      <c r="I25" s="1942" t="n"/>
      <c r="J25" s="1942" t="n"/>
      <c r="K25" s="1942" t="n"/>
    </row>
    <row r="26">
      <c r="A26" s="60">
        <f>A25</f>
        <v/>
      </c>
      <c r="B26" s="115" t="n">
        <v>1</v>
      </c>
      <c r="D26" s="1941" t="n"/>
      <c r="E26" s="1942" t="n"/>
      <c r="F26" s="1942" t="n"/>
      <c r="G26" s="1942" t="n"/>
      <c r="H26" s="1942" t="n"/>
      <c r="I26" s="1942" t="n"/>
      <c r="J26" s="1942" t="n"/>
      <c r="K26" s="1942" t="n"/>
    </row>
    <row r="27">
      <c r="A27" s="60">
        <f>A26</f>
        <v/>
      </c>
      <c r="B27" s="115" t="n">
        <v>0</v>
      </c>
      <c r="D27" s="1941" t="n"/>
      <c r="E27" s="1942" t="n"/>
      <c r="F27" s="1942" t="n"/>
      <c r="G27" s="1942" t="n"/>
      <c r="H27" s="1942" t="n"/>
      <c r="I27" s="1942" t="n"/>
      <c r="J27" s="1942" t="n"/>
      <c r="K27" s="1942" t="n"/>
    </row>
    <row r="28">
      <c r="A28" s="60">
        <f>A27</f>
        <v/>
      </c>
      <c r="B28" s="115" t="n">
        <v>0</v>
      </c>
      <c r="D28" s="1941" t="n"/>
      <c r="E28" s="1942" t="n"/>
      <c r="F28" s="1942" t="n"/>
      <c r="G28" s="1942" t="n"/>
      <c r="H28" s="1942" t="n"/>
      <c r="I28" s="1942" t="n"/>
      <c r="J28" s="1942" t="n"/>
      <c r="K28" s="1942" t="n"/>
    </row>
    <row r="29">
      <c r="A29" s="60">
        <f>A28</f>
        <v/>
      </c>
      <c r="B29" s="115" t="n">
        <v>0</v>
      </c>
      <c r="D29" s="1941" t="n"/>
      <c r="E29" s="1942" t="n"/>
      <c r="F29" s="1942" t="n"/>
      <c r="G29" s="1942" t="n"/>
      <c r="H29" s="1942" t="n"/>
      <c r="I29" s="1942" t="n"/>
      <c r="J29" s="1942" t="n"/>
      <c r="K29" s="1942" t="n"/>
    </row>
    <row r="30">
      <c r="A30">
        <f>BIBLE!E33</f>
        <v/>
      </c>
      <c r="B30" s="2089" t="inlineStr">
        <is>
          <t>3</t>
        </is>
      </c>
      <c r="D30" s="1941" t="n"/>
      <c r="E30" s="1942" t="n"/>
      <c r="F30" s="1942" t="n"/>
      <c r="G30" s="1942" t="n"/>
      <c r="H30" s="1942" t="n"/>
      <c r="I30" s="1942" t="n"/>
      <c r="J30" s="1942" t="n"/>
      <c r="K30" s="1942" t="n"/>
    </row>
    <row r="31">
      <c r="A31">
        <f>BIBLE!E34</f>
        <v/>
      </c>
      <c r="B31" s="2089" t="inlineStr">
        <is>
          <t>1</t>
        </is>
      </c>
      <c r="D31" s="1941" t="n"/>
      <c r="E31" s="1942" t="n"/>
      <c r="F31" s="1942" t="n"/>
      <c r="G31" s="1942" t="n"/>
      <c r="H31" s="1942" t="n"/>
      <c r="I31" s="1942" t="n"/>
      <c r="J31" s="1942" t="n"/>
      <c r="K31" s="1942" t="n"/>
    </row>
    <row r="32">
      <c r="A32">
        <f>BIBLE!E35</f>
        <v/>
      </c>
      <c r="B32" s="2089" t="n">
        <v>0</v>
      </c>
      <c r="D32" s="1941" t="n"/>
      <c r="E32" s="1942" t="n"/>
      <c r="F32" s="1942" t="n"/>
      <c r="G32" s="1942" t="n"/>
      <c r="H32" s="1942" t="n"/>
      <c r="I32" s="1942" t="n"/>
      <c r="J32" s="1942" t="n"/>
      <c r="K32" s="1942" t="n"/>
    </row>
    <row r="33">
      <c r="D33" s="1943" t="inlineStr">
        <is>
          <t>Ne fait pas parti des calculs de l'indice AP</t>
        </is>
      </c>
      <c r="E33" s="1944" t="n"/>
      <c r="F33" s="1944" t="n"/>
      <c r="G33" s="1944" t="n"/>
      <c r="H33" s="1944" t="n"/>
      <c r="I33" s="1944" t="n"/>
      <c r="J33" s="1944" t="n"/>
      <c r="K33" s="1944" t="n"/>
    </row>
    <row r="48">
      <c r="A48">
        <f>BIBLE!E38</f>
        <v/>
      </c>
      <c r="B48" s="115" t="n">
        <v>10</v>
      </c>
      <c r="C48" s="115">
        <f>Test_Bible!Q97</f>
        <v/>
      </c>
      <c r="D48" s="1941" t="n"/>
      <c r="E48" s="1942" t="n"/>
      <c r="F48" s="1942" t="n"/>
      <c r="G48" s="1942" t="n"/>
      <c r="H48" s="1942" t="n"/>
      <c r="I48" s="1942" t="n"/>
      <c r="J48" s="1942" t="n"/>
      <c r="K48" s="1942" t="n"/>
    </row>
    <row r="49">
      <c r="A49">
        <f>BIBLE!E39</f>
        <v/>
      </c>
      <c r="B49" s="115" t="n">
        <v>10</v>
      </c>
      <c r="C49" s="115">
        <f>Test_Bible!Q98</f>
        <v/>
      </c>
      <c r="D49" s="1941" t="n"/>
      <c r="E49" s="1942" t="n"/>
      <c r="F49" s="1942" t="n"/>
      <c r="G49" s="1942" t="n"/>
      <c r="H49" s="1942" t="n"/>
      <c r="I49" s="1942" t="n"/>
      <c r="J49" s="1942" t="n"/>
      <c r="K49" s="1942" t="n"/>
    </row>
    <row r="50">
      <c r="A50">
        <f>BIBLE!E40</f>
        <v/>
      </c>
      <c r="B50" s="115" t="n">
        <v>6</v>
      </c>
      <c r="C50" s="115">
        <f>Test_Bible!Q99</f>
        <v/>
      </c>
      <c r="D50" s="1941" t="n"/>
      <c r="E50" s="1942" t="n"/>
      <c r="F50" s="1942" t="n"/>
      <c r="G50" s="1942" t="n"/>
      <c r="H50" s="1942" t="n"/>
      <c r="I50" s="1942" t="n"/>
      <c r="J50" s="1942" t="n"/>
      <c r="K50" s="1942" t="n"/>
    </row>
    <row r="51">
      <c r="A51">
        <f>BIBLE!E41</f>
        <v/>
      </c>
      <c r="B51" s="115" t="n">
        <v>1</v>
      </c>
      <c r="C51" s="115">
        <f>Test_Bible!Q100</f>
        <v/>
      </c>
      <c r="D51" s="1941" t="n"/>
      <c r="E51" s="1942" t="n"/>
      <c r="F51" s="1942" t="n"/>
      <c r="G51" s="1942" t="n"/>
      <c r="H51" s="1942" t="n"/>
      <c r="I51" s="1942" t="n"/>
      <c r="J51" s="1942" t="n"/>
      <c r="K51" s="1942" t="n"/>
    </row>
    <row r="52">
      <c r="A52">
        <f>BIBLE!E42</f>
        <v/>
      </c>
      <c r="B52" s="115" t="n">
        <v>0</v>
      </c>
      <c r="C52" s="115">
        <f>Test_Bible!Q101</f>
        <v/>
      </c>
      <c r="D52" s="1941" t="n"/>
      <c r="E52" s="1942" t="n"/>
      <c r="F52" s="1942" t="n"/>
      <c r="G52" s="1942" t="n"/>
      <c r="H52" s="1942" t="n"/>
      <c r="I52" s="1942" t="n"/>
      <c r="J52" s="1942" t="n"/>
      <c r="K52" s="1942" t="n"/>
    </row>
    <row r="53">
      <c r="A53">
        <f>BIBLE!E43</f>
        <v/>
      </c>
      <c r="B53" s="115" t="n">
        <v>0</v>
      </c>
      <c r="C53" s="115">
        <f>Test_Bible!Q102</f>
        <v/>
      </c>
      <c r="D53" s="1941" t="n"/>
      <c r="E53" s="1942" t="n"/>
      <c r="F53" s="1942" t="n"/>
      <c r="G53" s="1942" t="n"/>
      <c r="H53" s="1942" t="n"/>
      <c r="I53" s="1942" t="n"/>
      <c r="J53" s="1942" t="n"/>
      <c r="K53" s="1942" t="n"/>
    </row>
    <row r="54">
      <c r="A54">
        <f>BIBLE!E44</f>
        <v/>
      </c>
      <c r="B54" s="115" t="n">
        <v>1</v>
      </c>
      <c r="C54" s="115">
        <f>Test_Bible!Q103</f>
        <v/>
      </c>
      <c r="D54" s="1941" t="n"/>
      <c r="E54" s="1942" t="n"/>
      <c r="F54" s="1942" t="n"/>
      <c r="G54" s="1942" t="n"/>
      <c r="H54" s="1942" t="n"/>
      <c r="I54" s="1942" t="n"/>
      <c r="J54" s="1942" t="n"/>
      <c r="K54" s="1942" t="n"/>
    </row>
    <row r="55">
      <c r="A55">
        <f>BIBLE!E45</f>
        <v/>
      </c>
      <c r="B55" s="115" t="n">
        <v>1</v>
      </c>
      <c r="C55" s="115">
        <f>Test_Bible!Q104</f>
        <v/>
      </c>
      <c r="D55" s="1941" t="n"/>
      <c r="E55" s="1942" t="n"/>
      <c r="F55" s="1942" t="n"/>
      <c r="G55" s="1942" t="n"/>
      <c r="H55" s="1942" t="n"/>
      <c r="I55" s="1942" t="n"/>
      <c r="J55" s="1942" t="n"/>
      <c r="K55" s="1942" t="n"/>
    </row>
    <row r="56">
      <c r="A56">
        <f>BIBLE!E46</f>
        <v/>
      </c>
      <c r="B56" s="115" t="n">
        <v>0</v>
      </c>
      <c r="C56" s="115">
        <f>Test_Bible!Q105</f>
        <v/>
      </c>
      <c r="D56" s="1941" t="n"/>
      <c r="E56" s="1942" t="n"/>
      <c r="F56" s="1942" t="n"/>
      <c r="G56" s="1942" t="n"/>
      <c r="H56" s="1942" t="n"/>
      <c r="I56" s="1942" t="n"/>
      <c r="J56" s="1942" t="n"/>
      <c r="K56" s="1942" t="n"/>
    </row>
    <row r="57">
      <c r="D57" s="1943" t="inlineStr">
        <is>
          <t>Ne fait pas parti des calculs de l'indice AP</t>
        </is>
      </c>
      <c r="E57" s="1944" t="n"/>
      <c r="F57" s="1944" t="n"/>
      <c r="G57" s="1944" t="n"/>
      <c r="H57" s="1944" t="n"/>
      <c r="I57" s="1944" t="n"/>
      <c r="J57" s="1944" t="n"/>
      <c r="K57" s="1944" t="n"/>
    </row>
    <row r="83">
      <c r="A83">
        <f>BIBLE!E49</f>
        <v/>
      </c>
      <c r="B83" s="115" t="n">
        <v>4</v>
      </c>
      <c r="C83" s="115">
        <f>Test_Bible!Q109</f>
        <v/>
      </c>
      <c r="D83" s="73">
        <f>Test_Bible!V109</f>
        <v/>
      </c>
    </row>
    <row r="84">
      <c r="A84">
        <f>BIBLE!E50</f>
        <v/>
      </c>
      <c r="B84" s="115" t="n">
        <v>4</v>
      </c>
      <c r="C84" s="115">
        <f>Test_Bible!Q110</f>
        <v/>
      </c>
    </row>
    <row r="85">
      <c r="A85">
        <f>BIBLE!E51</f>
        <v/>
      </c>
      <c r="B85" s="115" t="n">
        <v>1</v>
      </c>
      <c r="C85" s="115">
        <f>Test_Bible!Q111</f>
        <v/>
      </c>
    </row>
    <row r="86">
      <c r="A86" s="60">
        <f>BIBLE!E52</f>
        <v/>
      </c>
      <c r="B86" s="115" t="n">
        <v>1</v>
      </c>
      <c r="C86" s="115" t="n"/>
    </row>
    <row r="87">
      <c r="A87" s="60">
        <f>A86</f>
        <v/>
      </c>
      <c r="B87" s="115" t="n">
        <v>1</v>
      </c>
      <c r="C87" s="115" t="n"/>
    </row>
    <row r="88">
      <c r="A88" s="60">
        <f>A87</f>
        <v/>
      </c>
      <c r="B88" s="115" t="n">
        <v>1</v>
      </c>
      <c r="C88" s="115" t="n"/>
    </row>
    <row r="89">
      <c r="A89" s="60">
        <f>A88</f>
        <v/>
      </c>
      <c r="B89" s="115" t="n">
        <v>0</v>
      </c>
      <c r="C89" s="115" t="n"/>
    </row>
    <row r="90">
      <c r="A90" s="60">
        <f>A89</f>
        <v/>
      </c>
      <c r="B90" s="115" t="n">
        <v>1</v>
      </c>
      <c r="C90" s="115" t="n"/>
    </row>
    <row r="91">
      <c r="A91" s="60">
        <f>A90</f>
        <v/>
      </c>
      <c r="B91" s="115" t="n">
        <v>0</v>
      </c>
      <c r="C91" s="115" t="n"/>
    </row>
    <row r="92">
      <c r="A92" s="60">
        <f>A91</f>
        <v/>
      </c>
      <c r="B92" s="115" t="n">
        <v>0</v>
      </c>
      <c r="C92" s="115" t="n"/>
    </row>
    <row r="93">
      <c r="A93">
        <f>BIBLE!E53</f>
        <v/>
      </c>
      <c r="B93" s="115" t="n">
        <v>10</v>
      </c>
      <c r="C93" s="115">
        <f>Test_Bible!Q120</f>
        <v/>
      </c>
      <c r="D93" s="73">
        <f>Test_Bible!V120</f>
        <v/>
      </c>
    </row>
    <row r="94">
      <c r="A94">
        <f>BIBLE!E54</f>
        <v/>
      </c>
      <c r="B94" s="115" t="n">
        <v>1</v>
      </c>
      <c r="C94" s="115">
        <f>Test_Bible!Q121</f>
        <v/>
      </c>
      <c r="D94" s="73">
        <f>Test_Bible!V121</f>
        <v/>
      </c>
    </row>
    <row r="95">
      <c r="A95">
        <f>BIBLE!E55</f>
        <v/>
      </c>
      <c r="B95" s="115" t="n">
        <v>4</v>
      </c>
      <c r="C95" s="115">
        <f>Test_Bible!Q122</f>
        <v/>
      </c>
      <c r="D95" s="73">
        <f>Test_Bible!V122</f>
        <v/>
      </c>
    </row>
    <row r="96">
      <c r="A96">
        <f>BIBLE!E56</f>
        <v/>
      </c>
      <c r="B96" s="115" t="n">
        <v>2</v>
      </c>
      <c r="C96" s="115">
        <f>Test_Bible!Q123</f>
        <v/>
      </c>
      <c r="D96" s="73">
        <f>Test_Bible!V123</f>
        <v/>
      </c>
    </row>
    <row r="97">
      <c r="A97" s="60">
        <f>BIBLE!E57</f>
        <v/>
      </c>
      <c r="B97" s="115" t="n">
        <v>0</v>
      </c>
      <c r="C97" s="115" t="n"/>
    </row>
    <row r="98">
      <c r="A98" s="60">
        <f>A97</f>
        <v/>
      </c>
      <c r="B98" s="115" t="n">
        <v>0</v>
      </c>
      <c r="C98" s="115" t="n"/>
    </row>
    <row r="99">
      <c r="A99" s="60">
        <f>A98</f>
        <v/>
      </c>
      <c r="B99" s="115" t="n">
        <v>1</v>
      </c>
      <c r="C99" s="115" t="n"/>
    </row>
    <row r="100">
      <c r="A100" s="60">
        <f>A99</f>
        <v/>
      </c>
      <c r="B100" s="115" t="n">
        <v>0</v>
      </c>
      <c r="C100" s="115" t="n"/>
    </row>
    <row r="101">
      <c r="A101" s="60">
        <f>A100</f>
        <v/>
      </c>
      <c r="B101" s="115" t="n">
        <v>0</v>
      </c>
      <c r="C101" s="115" t="n"/>
    </row>
    <row r="102">
      <c r="A102">
        <f>BIBLE!E58</f>
        <v/>
      </c>
      <c r="B102" s="115" t="n">
        <v>2</v>
      </c>
      <c r="C102" s="115">
        <f>Test_Bible!Q130</f>
        <v/>
      </c>
      <c r="D102" s="73">
        <f>Test_Bible!Q130</f>
        <v/>
      </c>
    </row>
    <row r="103">
      <c r="A103">
        <f>BIBLE!E59</f>
        <v/>
      </c>
      <c r="B103" s="115" t="n">
        <v>4</v>
      </c>
      <c r="C103" s="115">
        <f>Test_Bible!Q131</f>
        <v/>
      </c>
      <c r="D103" s="73">
        <f>Test_Bible!Q131</f>
        <v/>
      </c>
    </row>
    <row r="104">
      <c r="A104">
        <f>BIBLE!E60</f>
        <v/>
      </c>
      <c r="B104" s="115" t="n">
        <v>2</v>
      </c>
      <c r="C104" s="115">
        <f>Test_Bible!Q132</f>
        <v/>
      </c>
      <c r="D104" s="73">
        <f>Test_Bible!Q132</f>
        <v/>
      </c>
    </row>
    <row r="105">
      <c r="A105">
        <f>BIBLE!E61</f>
        <v/>
      </c>
      <c r="B105" s="115" t="n">
        <v>4</v>
      </c>
      <c r="C105" s="115">
        <f>Test_Bible!Q133</f>
        <v/>
      </c>
      <c r="D105" s="73">
        <f>Test_Bible!Q133</f>
        <v/>
      </c>
    </row>
    <row r="106">
      <c r="A106">
        <f>BIBLE!E62</f>
        <v/>
      </c>
      <c r="B106" s="115" t="n">
        <v>0</v>
      </c>
      <c r="C106" s="115">
        <f>Test_Bible!Q134</f>
        <v/>
      </c>
      <c r="D106" s="73">
        <f>Test_Bible!Q134</f>
        <v/>
      </c>
    </row>
    <row r="107">
      <c r="A107">
        <f>BIBLE!E63</f>
        <v/>
      </c>
      <c r="B107" s="115" t="n">
        <v>1</v>
      </c>
      <c r="C107" s="115">
        <f>Test_Bible!Q135</f>
        <v/>
      </c>
      <c r="D107" s="73">
        <f>Test_Bible!Q135</f>
        <v/>
      </c>
    </row>
    <row r="108">
      <c r="A108">
        <f>BIBLE!E64</f>
        <v/>
      </c>
      <c r="B108" s="115" t="n">
        <v>10</v>
      </c>
      <c r="C108" s="115">
        <f>Test_Bible!Q136</f>
        <v/>
      </c>
      <c r="D108" s="73">
        <f>Test_Bible!Q136</f>
        <v/>
      </c>
    </row>
    <row r="109">
      <c r="A109" s="60">
        <f>BIBLE!E65</f>
        <v/>
      </c>
      <c r="B109" s="115" t="n">
        <v>1</v>
      </c>
      <c r="C109" s="115" t="n"/>
    </row>
    <row r="110">
      <c r="A110" s="60">
        <f>A109</f>
        <v/>
      </c>
      <c r="B110" s="115" t="n">
        <v>0</v>
      </c>
      <c r="C110" s="115" t="n"/>
    </row>
    <row r="111">
      <c r="A111" s="60">
        <f>A110</f>
        <v/>
      </c>
      <c r="B111" s="115" t="n">
        <v>1</v>
      </c>
      <c r="C111" s="115" t="n"/>
    </row>
    <row r="112">
      <c r="A112" s="60">
        <f>A111</f>
        <v/>
      </c>
      <c r="B112" s="115" t="n">
        <v>0</v>
      </c>
      <c r="C112" s="115" t="n"/>
    </row>
    <row r="113">
      <c r="A113" s="60">
        <f>A112</f>
        <v/>
      </c>
      <c r="B113" s="115" t="n">
        <v>0</v>
      </c>
      <c r="C113" s="115" t="n"/>
    </row>
    <row r="114">
      <c r="A114" s="60">
        <f>A113</f>
        <v/>
      </c>
      <c r="B114" s="115" t="n">
        <v>0</v>
      </c>
      <c r="C114" s="115" t="n"/>
    </row>
    <row r="115">
      <c r="A115" s="60">
        <f>A114</f>
        <v/>
      </c>
      <c r="B115" s="115" t="n">
        <v>0</v>
      </c>
      <c r="C115" s="115" t="n"/>
    </row>
    <row r="116">
      <c r="A116">
        <f>BIBLE!E66</f>
        <v/>
      </c>
      <c r="B116" s="115" t="n">
        <v>7</v>
      </c>
      <c r="C116" s="115">
        <f>Test_Bible!Q145</f>
        <v/>
      </c>
      <c r="D116" s="73">
        <f>Test_Bible!V145</f>
        <v/>
      </c>
    </row>
    <row r="117">
      <c r="A117">
        <f>BIBLE!E67</f>
        <v/>
      </c>
      <c r="B117" s="115" t="n">
        <v>0</v>
      </c>
      <c r="C117" s="115">
        <f>Test_Bible!Q146</f>
        <v/>
      </c>
      <c r="D117" s="73">
        <f>Test_Bible!V146</f>
        <v/>
      </c>
    </row>
    <row r="118">
      <c r="A118">
        <f>BIBLE!E68</f>
        <v/>
      </c>
      <c r="B118" s="115" t="n">
        <v>2</v>
      </c>
      <c r="C118" s="115">
        <f>Test_Bible!Q147</f>
        <v/>
      </c>
      <c r="D118" s="73">
        <f>Test_Bible!V147</f>
        <v/>
      </c>
    </row>
    <row r="119">
      <c r="A119">
        <f>BIBLE!E69</f>
        <v/>
      </c>
      <c r="B119" s="115" t="n">
        <v>2</v>
      </c>
      <c r="C119" s="115" t="n"/>
    </row>
    <row r="120">
      <c r="A120">
        <f>BIBLE!E70</f>
        <v/>
      </c>
      <c r="B120" s="115" t="n">
        <v>2</v>
      </c>
      <c r="C120" s="115">
        <f>Test_Bible!Q150</f>
        <v/>
      </c>
      <c r="D120" s="73">
        <f>Test_Bible!V150</f>
        <v/>
      </c>
    </row>
    <row r="121">
      <c r="A121">
        <f>BIBLE!E71</f>
        <v/>
      </c>
      <c r="B121" s="115" t="n">
        <v>0</v>
      </c>
      <c r="C121" s="115">
        <f>Test_Bible!Q151</f>
        <v/>
      </c>
    </row>
    <row r="122">
      <c r="A122">
        <f>BIBLE!E72</f>
        <v/>
      </c>
      <c r="B122" s="115" t="n">
        <v>0</v>
      </c>
      <c r="C122" s="115">
        <f>Test_Bible!Q152</f>
        <v/>
      </c>
      <c r="D122" s="73">
        <f>Test_Bible!V152</f>
        <v/>
      </c>
    </row>
    <row r="123">
      <c r="A123">
        <f>BIBLE!E73</f>
        <v/>
      </c>
      <c r="B123" s="115" t="n">
        <v>0</v>
      </c>
      <c r="C123" s="115">
        <f>Test_Bible!Q153</f>
        <v/>
      </c>
      <c r="D123" s="73">
        <f>Test_Bible!V153</f>
        <v/>
      </c>
    </row>
    <row r="124" ht="20" customHeight="1">
      <c r="A124" s="1971" t="n"/>
      <c r="B124" s="1972" t="n"/>
      <c r="C124" s="1972" t="n"/>
      <c r="D124" s="1971" t="n"/>
      <c r="E124" s="1973">
        <f>Test_Bible!V155</f>
        <v/>
      </c>
      <c r="F124" s="1973">
        <f>Test_Bible!X155</f>
        <v/>
      </c>
      <c r="G124" s="1973">
        <f>Test_Bible!Y155</f>
        <v/>
      </c>
      <c r="H124" s="1973">
        <f>Test_Bible!Z155</f>
        <v/>
      </c>
      <c r="I124" s="1973">
        <f>Test_Bible!AA155</f>
        <v/>
      </c>
      <c r="J124" s="1973">
        <f>Test_Bible!AB155</f>
        <v/>
      </c>
      <c r="K124" s="1973">
        <f>Test_Bible!AC155</f>
        <v/>
      </c>
    </row>
    <row r="148">
      <c r="A148">
        <f>BIBLE!E78</f>
        <v/>
      </c>
      <c r="B148" s="115" t="n">
        <v>10</v>
      </c>
      <c r="C148" s="115">
        <f>Test_Bible!Q159</f>
        <v/>
      </c>
      <c r="D148" s="73">
        <f>Test_Bible!V159</f>
        <v/>
      </c>
    </row>
    <row r="149">
      <c r="A149">
        <f>BIBLE!E79</f>
        <v/>
      </c>
      <c r="B149" s="115" t="n">
        <v>7</v>
      </c>
      <c r="C149" s="115">
        <f>Test_Bible!Q161</f>
        <v/>
      </c>
    </row>
    <row r="150">
      <c r="A150">
        <f>BIBLE!E80</f>
        <v/>
      </c>
      <c r="B150" s="115" t="n">
        <v>6</v>
      </c>
      <c r="C150" s="115">
        <f>Test_Bible!Q162</f>
        <v/>
      </c>
    </row>
    <row r="151">
      <c r="A151">
        <f>BIBLE!E81</f>
        <v/>
      </c>
      <c r="B151" s="2089" t="n">
        <v>2</v>
      </c>
    </row>
    <row r="152">
      <c r="A152">
        <f>BIBLE!E82</f>
        <v/>
      </c>
      <c r="B152" s="115" t="n">
        <v>7</v>
      </c>
      <c r="C152" s="115">
        <f>Test_Bible!Q166</f>
        <v/>
      </c>
      <c r="D152" s="73">
        <f>Test_Bible!V166</f>
        <v/>
      </c>
    </row>
    <row r="153">
      <c r="A153">
        <f>BIBLE!E83</f>
        <v/>
      </c>
      <c r="B153" s="115" t="n">
        <v>7</v>
      </c>
      <c r="C153" s="115">
        <f>Test_Bible!Q167</f>
        <v/>
      </c>
      <c r="D153" s="73">
        <f>Test_Bible!V167</f>
        <v/>
      </c>
    </row>
    <row r="154">
      <c r="A154">
        <f>BIBLE!E84</f>
        <v/>
      </c>
      <c r="B154" s="115" t="n">
        <v>4</v>
      </c>
      <c r="C154" s="115">
        <f>Test_Bible!Q168</f>
        <v/>
      </c>
    </row>
    <row r="155">
      <c r="A155">
        <f>BIBLE!E85</f>
        <v/>
      </c>
      <c r="B155" s="115" t="n">
        <v>7</v>
      </c>
      <c r="C155" s="115">
        <f>Test_Bible!Q169</f>
        <v/>
      </c>
      <c r="D155" s="73">
        <f>Test_Bible!V169</f>
        <v/>
      </c>
    </row>
    <row r="156">
      <c r="A156">
        <f>BIBLE!E86</f>
        <v/>
      </c>
      <c r="B156" s="115" t="n">
        <v>10</v>
      </c>
      <c r="C156" s="115">
        <f>Test_Bible!Q170</f>
        <v/>
      </c>
    </row>
    <row r="157">
      <c r="A157">
        <f>BIBLE!E87</f>
        <v/>
      </c>
      <c r="B157" s="115" t="n">
        <v>7</v>
      </c>
      <c r="C157" s="115">
        <f>Test_Bible!Q171</f>
        <v/>
      </c>
      <c r="D157" s="73">
        <f>Test_Bible!V171</f>
        <v/>
      </c>
    </row>
    <row r="158">
      <c r="A158">
        <f>BIBLE!E88</f>
        <v/>
      </c>
      <c r="B158" s="115" t="n">
        <v>7</v>
      </c>
      <c r="C158" s="115">
        <f>Test_Bible!Q172</f>
        <v/>
      </c>
    </row>
    <row r="159">
      <c r="A159">
        <f>BIBLE!E89</f>
        <v/>
      </c>
      <c r="B159" s="115" t="n">
        <v>7</v>
      </c>
      <c r="C159" s="115">
        <f>Test_Bible!Q173</f>
        <v/>
      </c>
      <c r="D159" s="73">
        <f>Test_Bible!V173</f>
        <v/>
      </c>
    </row>
    <row r="160">
      <c r="A160">
        <f>BIBLE!E90</f>
        <v/>
      </c>
      <c r="B160" s="115" t="n">
        <v>2</v>
      </c>
      <c r="C160" s="115">
        <f>Test_Bible!Q174</f>
        <v/>
      </c>
    </row>
    <row r="161">
      <c r="A161">
        <f>BIBLE!E91</f>
        <v/>
      </c>
      <c r="B161" s="115" t="n">
        <v>2</v>
      </c>
      <c r="C161" s="115">
        <f>Test_Bible!Q175</f>
        <v/>
      </c>
    </row>
    <row r="162">
      <c r="A162">
        <f>BIBLE!E92</f>
        <v/>
      </c>
      <c r="B162" s="115" t="n">
        <v>7</v>
      </c>
      <c r="C162" s="115">
        <f>Test_Bible!Q176</f>
        <v/>
      </c>
      <c r="D162" s="73">
        <f>Test_Bible!V176</f>
        <v/>
      </c>
    </row>
    <row r="163">
      <c r="A163">
        <f>BIBLE!E93</f>
        <v/>
      </c>
      <c r="B163" s="115" t="n">
        <v>4</v>
      </c>
      <c r="C163" s="115">
        <f>Test_Bible!Q177</f>
        <v/>
      </c>
    </row>
    <row r="164">
      <c r="A164">
        <f>BIBLE!E94</f>
        <v/>
      </c>
      <c r="B164" s="115" t="n">
        <v>4</v>
      </c>
      <c r="C164" s="115">
        <f>Test_Bible!Q178</f>
        <v/>
      </c>
      <c r="D164" s="73">
        <f>Test_Bible!V178</f>
        <v/>
      </c>
    </row>
    <row r="165">
      <c r="A165">
        <f>BIBLE!E95</f>
        <v/>
      </c>
      <c r="B165" s="115" t="n">
        <v>10</v>
      </c>
      <c r="C165" s="115">
        <f>Test_Bible!Q179</f>
        <v/>
      </c>
      <c r="D165" s="73">
        <f>Test_Bible!V179</f>
        <v/>
      </c>
    </row>
    <row r="166">
      <c r="A166">
        <f>BIBLE!E96</f>
        <v/>
      </c>
      <c r="B166" s="115" t="n">
        <v>7</v>
      </c>
      <c r="C166" s="115">
        <f>Test_Bible!Q180</f>
        <v/>
      </c>
    </row>
    <row r="167">
      <c r="A167">
        <f>BIBLE!E97</f>
        <v/>
      </c>
      <c r="B167" s="115" t="n">
        <v>10</v>
      </c>
      <c r="C167" s="115">
        <f>Test_Bible!Q181</f>
        <v/>
      </c>
      <c r="D167" s="73">
        <f>Test_Bible!V181</f>
        <v/>
      </c>
    </row>
    <row r="168">
      <c r="A168">
        <f>BIBLE!E98</f>
        <v/>
      </c>
      <c r="B168" s="115" t="n">
        <v>4</v>
      </c>
      <c r="C168" s="115">
        <f>Test_Bible!Q182</f>
        <v/>
      </c>
      <c r="D168" s="73">
        <f>Test_Bible!V182</f>
        <v/>
      </c>
    </row>
    <row r="169">
      <c r="A169">
        <f>BIBLE!E99</f>
        <v/>
      </c>
      <c r="B169" s="115" t="n">
        <v>4</v>
      </c>
      <c r="C169" s="115">
        <f>Test_Bible!Q183</f>
        <v/>
      </c>
    </row>
    <row r="170">
      <c r="A170">
        <f>BIBLE!E100</f>
        <v/>
      </c>
      <c r="B170" s="115" t="n">
        <v>0</v>
      </c>
      <c r="C170" s="115">
        <f>Test_Bible!Q184</f>
        <v/>
      </c>
    </row>
    <row r="171">
      <c r="A171">
        <f>BIBLE!E101</f>
        <v/>
      </c>
      <c r="B171" s="115" t="n">
        <v>7</v>
      </c>
      <c r="C171" s="115">
        <f>Test_Bible!Q185</f>
        <v/>
      </c>
    </row>
    <row r="172">
      <c r="A172">
        <f>BIBLE!E102</f>
        <v/>
      </c>
      <c r="B172" s="115" t="n">
        <v>0</v>
      </c>
      <c r="C172" s="115">
        <f>Test_Bible!Q186</f>
        <v/>
      </c>
      <c r="D172" s="73">
        <f>Test_Bible!V186</f>
        <v/>
      </c>
    </row>
    <row r="173">
      <c r="A173">
        <f>BIBLE!E103</f>
        <v/>
      </c>
      <c r="B173" s="115" t="n">
        <v>2</v>
      </c>
      <c r="C173" s="115">
        <f>Test_Bible!Q187</f>
        <v/>
      </c>
      <c r="D173" s="73">
        <f>Test_Bible!V187</f>
        <v/>
      </c>
    </row>
    <row r="174">
      <c r="A174">
        <f>BIBLE!E104</f>
        <v/>
      </c>
      <c r="B174" s="115" t="n">
        <v>0</v>
      </c>
      <c r="C174" s="115">
        <f>Test_Bible!Q188</f>
        <v/>
      </c>
    </row>
    <row r="175">
      <c r="A175">
        <f>BIBLE!E105</f>
        <v/>
      </c>
      <c r="B175" s="115" t="n">
        <v>7</v>
      </c>
      <c r="C175" s="115">
        <f>Test_Bible!Q189</f>
        <v/>
      </c>
      <c r="D175" s="73">
        <f>Test_Bible!V189</f>
        <v/>
      </c>
    </row>
    <row r="176">
      <c r="A176">
        <f>BIBLE!E106</f>
        <v/>
      </c>
      <c r="B176" s="115" t="n">
        <v>4</v>
      </c>
      <c r="C176" s="115">
        <f>Test_Bible!Q190</f>
        <v/>
      </c>
    </row>
    <row r="177">
      <c r="A177">
        <f>BIBLE!E107</f>
        <v/>
      </c>
      <c r="B177" s="115" t="n">
        <v>7</v>
      </c>
      <c r="C177" s="115">
        <f>Test_Bible!Q191</f>
        <v/>
      </c>
    </row>
    <row r="178">
      <c r="A178">
        <f>BIBLE!E108</f>
        <v/>
      </c>
      <c r="B178" s="115" t="n">
        <v>7</v>
      </c>
      <c r="C178" s="115">
        <f>Test_Bible!Q192</f>
        <v/>
      </c>
    </row>
    <row r="179">
      <c r="A179">
        <f>BIBLE!E109</f>
        <v/>
      </c>
      <c r="B179" s="115" t="n">
        <v>1</v>
      </c>
      <c r="C179" s="115">
        <f>Test_Bible!Q193</f>
        <v/>
      </c>
      <c r="D179" s="73">
        <f>Test_Bible!V193</f>
        <v/>
      </c>
    </row>
    <row r="180">
      <c r="A180">
        <f>BIBLE!E110</f>
        <v/>
      </c>
      <c r="B180" s="115" t="n">
        <v>7</v>
      </c>
      <c r="C180" s="115">
        <f>Test_Bible!Q194</f>
        <v/>
      </c>
      <c r="D180" s="73">
        <f>Test_Bible!V194</f>
        <v/>
      </c>
    </row>
    <row r="181">
      <c r="A181">
        <f>BIBLE!E111</f>
        <v/>
      </c>
      <c r="B181" s="115" t="n">
        <v>7</v>
      </c>
      <c r="C181" s="115">
        <f>Test_Bible!Q195</f>
        <v/>
      </c>
      <c r="D181" s="73">
        <f>Test_Bible!V195</f>
        <v/>
      </c>
    </row>
    <row r="182">
      <c r="A182">
        <f>BIBLE!E112</f>
        <v/>
      </c>
      <c r="B182" s="115" t="n">
        <v>4</v>
      </c>
      <c r="C182" s="115">
        <f>Test_Bible!Q196</f>
        <v/>
      </c>
    </row>
    <row r="183">
      <c r="A183">
        <f>BIBLE!E113</f>
        <v/>
      </c>
      <c r="B183" s="115" t="n">
        <v>10</v>
      </c>
      <c r="C183" s="115">
        <f>Test_Bible!Q197</f>
        <v/>
      </c>
      <c r="D183" s="73">
        <f>Test_Bible!V197</f>
        <v/>
      </c>
    </row>
    <row r="184">
      <c r="A184">
        <f>BIBLE!E114</f>
        <v/>
      </c>
      <c r="B184" s="115" t="n">
        <v>7</v>
      </c>
      <c r="C184" s="115">
        <f>Test_Bible!Q198</f>
        <v/>
      </c>
    </row>
    <row r="185">
      <c r="A185">
        <f>BIBLE!E115</f>
        <v/>
      </c>
      <c r="B185" s="115" t="n">
        <v>2</v>
      </c>
      <c r="C185" s="115">
        <f>Test_Bible!Q199</f>
        <v/>
      </c>
    </row>
    <row r="186">
      <c r="A186">
        <f>BIBLE!E116</f>
        <v/>
      </c>
      <c r="B186" s="115" t="n">
        <v>0</v>
      </c>
      <c r="C186" s="115">
        <f>Test_Bible!Q200</f>
        <v/>
      </c>
    </row>
    <row r="187">
      <c r="A187">
        <f>BIBLE!E117</f>
        <v/>
      </c>
      <c r="B187" s="115" t="n">
        <v>10</v>
      </c>
      <c r="C187" s="115">
        <f>Test_Bible!Q201</f>
        <v/>
      </c>
      <c r="D187" s="73">
        <f>Test_Bible!V201</f>
        <v/>
      </c>
    </row>
    <row r="188">
      <c r="A188">
        <f>BIBLE!E118</f>
        <v/>
      </c>
      <c r="B188" s="115" t="n">
        <v>7</v>
      </c>
      <c r="C188" s="115">
        <f>Test_Bible!Q202</f>
        <v/>
      </c>
      <c r="D188" s="73">
        <f>Test_Bible!V202</f>
        <v/>
      </c>
    </row>
    <row r="189">
      <c r="A189">
        <f>BIBLE!E119</f>
        <v/>
      </c>
      <c r="B189" s="115" t="n">
        <v>10</v>
      </c>
      <c r="C189" s="115">
        <f>Test_Bible!Q203</f>
        <v/>
      </c>
      <c r="D189" s="73">
        <f>Test_Bible!V203</f>
        <v/>
      </c>
    </row>
    <row r="190">
      <c r="A190">
        <f>BIBLE!E120</f>
        <v/>
      </c>
      <c r="B190" s="115" t="n">
        <v>4</v>
      </c>
      <c r="C190" s="115">
        <f>Test_Bible!Q204</f>
        <v/>
      </c>
      <c r="D190" s="73">
        <f>Test_Bible!V204</f>
        <v/>
      </c>
    </row>
    <row r="191">
      <c r="A191">
        <f>BIBLE!E121</f>
        <v/>
      </c>
      <c r="B191" s="115" t="n">
        <v>2</v>
      </c>
      <c r="C191" s="115">
        <f>Test_Bible!Q205</f>
        <v/>
      </c>
    </row>
    <row r="192">
      <c r="A192">
        <f>BIBLE!E122</f>
        <v/>
      </c>
      <c r="B192" s="115" t="n">
        <v>7</v>
      </c>
      <c r="C192" s="115">
        <f>Test_Bible!Q206</f>
        <v/>
      </c>
      <c r="D192" s="73">
        <f>Test_Bible!V206</f>
        <v/>
      </c>
    </row>
    <row r="193">
      <c r="A193">
        <f>BIBLE!E123</f>
        <v/>
      </c>
      <c r="B193" s="115" t="n">
        <v>4</v>
      </c>
      <c r="C193" s="115">
        <f>Test_Bible!Q207</f>
        <v/>
      </c>
      <c r="D193" s="73">
        <f>Test_Bible!V207</f>
        <v/>
      </c>
    </row>
    <row r="194">
      <c r="A194">
        <f>BIBLE!E124</f>
        <v/>
      </c>
      <c r="B194" s="115" t="n">
        <v>1</v>
      </c>
      <c r="C194" s="115" t="n"/>
    </row>
    <row r="195">
      <c r="A195">
        <f>BIBLE!E125</f>
        <v/>
      </c>
      <c r="B195" s="115" t="n">
        <v>10</v>
      </c>
      <c r="C195" s="115">
        <f>Test_Bible!Q212</f>
        <v/>
      </c>
      <c r="D195" s="73">
        <f>Test_Bible!V212</f>
        <v/>
      </c>
    </row>
    <row r="196">
      <c r="A196">
        <f>BIBLE!E126</f>
        <v/>
      </c>
      <c r="B196" s="115" t="n">
        <v>0</v>
      </c>
      <c r="C196" s="115">
        <f>Test_Bible!Q213</f>
        <v/>
      </c>
      <c r="D196" s="73">
        <f>Test_Bible!V213</f>
        <v/>
      </c>
    </row>
    <row r="197">
      <c r="A197">
        <f>BIBLE!E127</f>
        <v/>
      </c>
      <c r="B197" s="115" t="n">
        <v>7</v>
      </c>
      <c r="C197" s="115">
        <f>Test_Bible!Q214</f>
        <v/>
      </c>
      <c r="D197" s="73">
        <f>Test_Bible!V214</f>
        <v/>
      </c>
    </row>
    <row r="198">
      <c r="A198">
        <f>BIBLE!E128</f>
        <v/>
      </c>
      <c r="B198" s="115" t="n">
        <v>4</v>
      </c>
      <c r="C198" s="115">
        <f>Test_Bible!Q215</f>
        <v/>
      </c>
    </row>
    <row r="199">
      <c r="A199">
        <f>BIBLE!E129</f>
        <v/>
      </c>
      <c r="B199" s="115" t="n">
        <v>0</v>
      </c>
      <c r="C199" s="115">
        <f>Test_Bible!Q216</f>
        <v/>
      </c>
      <c r="D199" s="73">
        <f>Test_Bible!V216</f>
        <v/>
      </c>
    </row>
    <row r="200">
      <c r="A200">
        <f>BIBLE!E130</f>
        <v/>
      </c>
      <c r="B200" s="115" t="n">
        <v>7</v>
      </c>
      <c r="C200" s="115">
        <f>Test_Bible!Q217</f>
        <v/>
      </c>
      <c r="D200" s="73">
        <f>Test_Bible!V217</f>
        <v/>
      </c>
    </row>
    <row r="201">
      <c r="A201" s="60">
        <f>BIBLE!E131</f>
        <v/>
      </c>
      <c r="B201" s="115" t="n">
        <v>1</v>
      </c>
      <c r="C201" s="115" t="n"/>
    </row>
    <row r="202">
      <c r="A202" s="60">
        <f>A201</f>
        <v/>
      </c>
      <c r="B202" s="115" t="n">
        <v>0</v>
      </c>
      <c r="C202" s="115" t="n"/>
    </row>
    <row r="203">
      <c r="A203" s="60">
        <f>A202</f>
        <v/>
      </c>
      <c r="B203" s="115" t="n">
        <v>1</v>
      </c>
      <c r="C203" s="115" t="n"/>
    </row>
    <row r="204">
      <c r="A204" s="60">
        <f>A203</f>
        <v/>
      </c>
      <c r="B204" s="115" t="n">
        <v>1</v>
      </c>
      <c r="C204" s="115" t="n"/>
    </row>
    <row r="205">
      <c r="A205" s="60">
        <f>A204</f>
        <v/>
      </c>
      <c r="B205" s="115" t="n">
        <v>0</v>
      </c>
      <c r="C205" s="115" t="n"/>
    </row>
    <row r="206">
      <c r="A206" s="60">
        <f>A205</f>
        <v/>
      </c>
      <c r="B206" s="115" t="n">
        <v>0</v>
      </c>
      <c r="C206" s="115" t="n"/>
    </row>
    <row r="207">
      <c r="A207">
        <f>BIBLE!E132</f>
        <v/>
      </c>
      <c r="B207" s="115" t="n">
        <v>0</v>
      </c>
      <c r="C207" s="115" t="n"/>
    </row>
    <row r="208">
      <c r="A208">
        <f>BIBLE!E133</f>
        <v/>
      </c>
      <c r="B208" s="115" t="n">
        <v>7</v>
      </c>
      <c r="C208" s="115">
        <f>Test_Bible!Q230</f>
        <v/>
      </c>
      <c r="D208" s="73">
        <f>Test_Bible!V230</f>
        <v/>
      </c>
    </row>
    <row r="209">
      <c r="A209">
        <f>BIBLE!E134</f>
        <v/>
      </c>
      <c r="B209" s="115" t="n">
        <v>7</v>
      </c>
      <c r="C209" s="115">
        <f>Test_Bible!Q231</f>
        <v/>
      </c>
    </row>
    <row r="210">
      <c r="A210">
        <f>BIBLE!E135</f>
        <v/>
      </c>
      <c r="B210" s="115" t="n">
        <v>0</v>
      </c>
      <c r="C210" s="115">
        <f>Test_Bible!Q232</f>
        <v/>
      </c>
    </row>
    <row r="211">
      <c r="A211" s="60">
        <f>BIBLE!E136</f>
        <v/>
      </c>
      <c r="B211" s="115" t="n">
        <v>1</v>
      </c>
      <c r="C211" s="115" t="n"/>
    </row>
    <row r="212">
      <c r="A212" s="60">
        <f>A211</f>
        <v/>
      </c>
      <c r="B212" s="115" t="n">
        <v>0</v>
      </c>
      <c r="C212" s="115" t="n"/>
    </row>
    <row r="213">
      <c r="A213" s="60">
        <f>A212</f>
        <v/>
      </c>
      <c r="B213" s="115" t="n">
        <v>1</v>
      </c>
      <c r="C213" s="115" t="n"/>
    </row>
    <row r="214">
      <c r="A214" s="60">
        <f>A213</f>
        <v/>
      </c>
      <c r="B214" s="115" t="n">
        <v>0</v>
      </c>
      <c r="C214" s="115" t="n"/>
    </row>
    <row r="215">
      <c r="A215" s="60">
        <f>A214</f>
        <v/>
      </c>
      <c r="B215" s="115" t="n">
        <v>0</v>
      </c>
      <c r="C215" s="115" t="n"/>
    </row>
    <row r="216">
      <c r="A216">
        <f>BIBLE!E137</f>
        <v/>
      </c>
      <c r="B216" s="115" t="n">
        <v>0</v>
      </c>
      <c r="C216" s="115">
        <f>Test_Bible!Q239</f>
        <v/>
      </c>
      <c r="D216" s="73">
        <f>Test_Bible!V239</f>
        <v/>
      </c>
    </row>
    <row r="217">
      <c r="A217">
        <f>BIBLE!E138</f>
        <v/>
      </c>
      <c r="B217" s="115" t="n">
        <v>0</v>
      </c>
      <c r="C217" s="115">
        <f>Test_Bible!Q240</f>
        <v/>
      </c>
    </row>
    <row r="218">
      <c r="A218">
        <f>BIBLE!E139</f>
        <v/>
      </c>
      <c r="B218" s="115" t="n">
        <v>0</v>
      </c>
      <c r="C218" s="115">
        <f>Test_Bible!Q241</f>
        <v/>
      </c>
    </row>
    <row r="219">
      <c r="A219">
        <f>BIBLE!E140</f>
        <v/>
      </c>
      <c r="B219" s="115" t="n">
        <v>4</v>
      </c>
      <c r="C219" s="115">
        <f>Test_Bible!Q242</f>
        <v/>
      </c>
      <c r="D219" s="73">
        <f>Test_Bible!V242</f>
        <v/>
      </c>
    </row>
    <row r="220">
      <c r="A220">
        <f>BIBLE!E141</f>
        <v/>
      </c>
      <c r="B220" s="115" t="n">
        <v>0</v>
      </c>
      <c r="C220" s="115">
        <f>Test_Bible!Q243</f>
        <v/>
      </c>
      <c r="D220" s="73">
        <f>Test_Bible!V243</f>
        <v/>
      </c>
    </row>
    <row r="221">
      <c r="A221">
        <f>BIBLE!E142</f>
        <v/>
      </c>
      <c r="B221" s="115" t="n">
        <v>4</v>
      </c>
      <c r="C221" s="115">
        <f>Test_Bible!Q244</f>
        <v/>
      </c>
      <c r="D221" s="73">
        <f>Test_Bible!V244</f>
        <v/>
      </c>
    </row>
    <row r="222">
      <c r="A222">
        <f>BIBLE!E143</f>
        <v/>
      </c>
      <c r="B222" s="115" t="n">
        <v>10</v>
      </c>
      <c r="C222" s="115">
        <f>Test_Bible!Q245</f>
        <v/>
      </c>
      <c r="D222" s="73">
        <f>Test_Bible!V245</f>
        <v/>
      </c>
    </row>
    <row r="223">
      <c r="A223">
        <f>BIBLE!E144</f>
        <v/>
      </c>
      <c r="B223" s="115" t="n">
        <v>7</v>
      </c>
      <c r="C223" s="115">
        <f>Test_Bible!Q246</f>
        <v/>
      </c>
      <c r="D223" s="73">
        <f>Test_Bible!V246</f>
        <v/>
      </c>
    </row>
    <row r="224">
      <c r="A224" s="60">
        <f>BIBLE!E145</f>
        <v/>
      </c>
      <c r="B224" s="115" t="n">
        <v>1</v>
      </c>
      <c r="C224" s="115" t="n"/>
      <c r="D224" s="73" t="n"/>
    </row>
    <row r="225">
      <c r="A225" s="60">
        <f>A224</f>
        <v/>
      </c>
      <c r="B225" s="115" t="n">
        <v>0</v>
      </c>
    </row>
    <row r="226">
      <c r="A226" s="60">
        <f>A225</f>
        <v/>
      </c>
      <c r="B226" s="115" t="n">
        <v>0</v>
      </c>
    </row>
    <row r="227">
      <c r="A227" s="60">
        <f>A226</f>
        <v/>
      </c>
      <c r="B227" s="115" t="n">
        <v>0</v>
      </c>
    </row>
    <row r="228">
      <c r="A228" s="60">
        <f>A227</f>
        <v/>
      </c>
      <c r="B228" s="115" t="n">
        <v>1</v>
      </c>
    </row>
    <row r="229">
      <c r="A229" s="60">
        <f>A228</f>
        <v/>
      </c>
      <c r="B229" s="115" t="n">
        <v>0</v>
      </c>
    </row>
    <row r="230">
      <c r="A230" s="60">
        <f>A229</f>
        <v/>
      </c>
      <c r="B230" s="115" t="n">
        <v>0</v>
      </c>
    </row>
    <row r="231">
      <c r="A231" s="1968" t="n"/>
      <c r="B231" s="1969" t="n"/>
      <c r="C231" s="1969" t="n"/>
      <c r="D231" s="1968" t="n"/>
      <c r="E231" s="1970">
        <f>Test_Bible!V255</f>
        <v/>
      </c>
      <c r="F231" s="1970">
        <f>Test_Bible!X255</f>
        <v/>
      </c>
      <c r="G231" s="1970">
        <f>Test_Bible!Y255</f>
        <v/>
      </c>
      <c r="H231" s="1970">
        <f>Test_Bible!Z255</f>
        <v/>
      </c>
      <c r="I231" s="1970">
        <f>Test_Bible!AA255</f>
        <v/>
      </c>
      <c r="J231" s="1970">
        <f>Test_Bible!AB255</f>
        <v/>
      </c>
      <c r="K231" s="1970">
        <f>Test_Bible!AC255</f>
        <v/>
      </c>
    </row>
    <row r="245">
      <c r="A245">
        <f>BIBLE!E149</f>
        <v/>
      </c>
      <c r="B245" s="115" t="n">
        <v>9</v>
      </c>
      <c r="C245" s="115">
        <f>Test_Bible!Q259</f>
        <v/>
      </c>
    </row>
    <row r="246">
      <c r="A246">
        <f>BIBLE!E150</f>
        <v/>
      </c>
      <c r="B246" s="115" t="n">
        <v>5</v>
      </c>
      <c r="C246" s="115">
        <f>Test_Bible!Q260</f>
        <v/>
      </c>
    </row>
    <row r="247">
      <c r="A247">
        <f>BIBLE!E151</f>
        <v/>
      </c>
      <c r="B247" s="115" t="n">
        <v>0</v>
      </c>
      <c r="C247" s="115">
        <f>Test_Bible!Q261</f>
        <v/>
      </c>
    </row>
    <row r="248">
      <c r="A248">
        <f>BIBLE!E152</f>
        <v/>
      </c>
      <c r="B248" s="115" t="n">
        <v>2</v>
      </c>
      <c r="C248" s="115">
        <f>Test_Bible!Q263</f>
        <v/>
      </c>
      <c r="D248" s="73">
        <f>Test_Bible!V263</f>
        <v/>
      </c>
    </row>
    <row r="249">
      <c r="A249">
        <f>BIBLE!E153</f>
        <v/>
      </c>
      <c r="B249" s="115" t="n">
        <v>0</v>
      </c>
      <c r="C249" s="115">
        <f>Test_Bible!Q264</f>
        <v/>
      </c>
    </row>
    <row r="250">
      <c r="A250">
        <f>BIBLE!E154</f>
        <v/>
      </c>
      <c r="B250" s="115" t="n">
        <v>0</v>
      </c>
      <c r="C250" s="115">
        <f>Test_Bible!Q265</f>
        <v/>
      </c>
      <c r="D250" s="73">
        <f>Test_Bible!V265</f>
        <v/>
      </c>
    </row>
    <row r="251">
      <c r="A251">
        <f>BIBLE!E155</f>
        <v/>
      </c>
      <c r="B251" s="115" t="n">
        <v>0</v>
      </c>
      <c r="C251" s="115">
        <f>Test_Bible!Q266</f>
        <v/>
      </c>
    </row>
    <row r="252">
      <c r="A252">
        <f>BIBLE!E156</f>
        <v/>
      </c>
      <c r="B252" s="115" t="n">
        <v>7</v>
      </c>
      <c r="C252" s="115">
        <f>Test_Bible!Q267</f>
        <v/>
      </c>
      <c r="D252" s="73">
        <f>Test_Bible!V267</f>
        <v/>
      </c>
    </row>
    <row r="253">
      <c r="A253">
        <f>BIBLE!E157</f>
        <v/>
      </c>
      <c r="B253" s="115" t="n">
        <v>2</v>
      </c>
      <c r="C253" s="115" t="n"/>
    </row>
    <row r="254">
      <c r="A254">
        <f>BIBLE!E158</f>
        <v/>
      </c>
      <c r="B254" s="115" t="n">
        <v>1</v>
      </c>
      <c r="C254" s="115">
        <f>Test_Bible!Q273</f>
        <v/>
      </c>
      <c r="D254" s="73">
        <f>Test_Bible!V273</f>
        <v/>
      </c>
    </row>
    <row r="255">
      <c r="A255">
        <f>BIBLE!E159</f>
        <v/>
      </c>
      <c r="B255" s="115" t="n">
        <v>0</v>
      </c>
      <c r="C255" s="115">
        <f>Test_Bible!Q274</f>
        <v/>
      </c>
    </row>
    <row r="256">
      <c r="A256">
        <f>BIBLE!E160</f>
        <v/>
      </c>
      <c r="B256" s="115" t="n">
        <v>0</v>
      </c>
      <c r="C256" s="115">
        <f>Test_Bible!Q275</f>
        <v/>
      </c>
    </row>
    <row r="257">
      <c r="A257">
        <f>BIBLE!E161</f>
        <v/>
      </c>
      <c r="B257" s="115" t="n">
        <v>7</v>
      </c>
      <c r="C257" s="115">
        <f>Test_Bible!Q276</f>
        <v/>
      </c>
      <c r="D257" s="73">
        <f>Test_Bible!V276</f>
        <v/>
      </c>
    </row>
    <row r="258">
      <c r="A258">
        <f>BIBLE!E162</f>
        <v/>
      </c>
      <c r="B258" s="115" t="n">
        <v>2</v>
      </c>
      <c r="C258" s="115">
        <f>Test_Bible!Q277</f>
        <v/>
      </c>
      <c r="D258" s="73">
        <f>Test_Bible!V277</f>
        <v/>
      </c>
    </row>
    <row r="259">
      <c r="A259">
        <f>BIBLE!E163</f>
        <v/>
      </c>
      <c r="B259" s="115" t="n">
        <v>2</v>
      </c>
      <c r="C259" s="115">
        <f>Test_Bible!Q278</f>
        <v/>
      </c>
      <c r="D259" s="73">
        <f>Test_Bible!V278</f>
        <v/>
      </c>
    </row>
    <row r="260">
      <c r="A260">
        <f>BIBLE!E164</f>
        <v/>
      </c>
      <c r="B260" s="115" t="n">
        <v>1</v>
      </c>
      <c r="C260" s="115">
        <f>Test_Bible!Q279</f>
        <v/>
      </c>
      <c r="D260" s="73">
        <f>Test_Bible!V279</f>
        <v/>
      </c>
    </row>
    <row r="261">
      <c r="A261">
        <f>BIBLE!E165</f>
        <v/>
      </c>
      <c r="B261" s="115" t="n">
        <v>0</v>
      </c>
      <c r="C261" s="115">
        <f>Test_Bible!Q280</f>
        <v/>
      </c>
      <c r="D261" s="73">
        <f>Test_Bible!V280</f>
        <v/>
      </c>
    </row>
    <row r="262">
      <c r="A262">
        <f>BIBLE!E166</f>
        <v/>
      </c>
      <c r="B262" s="115" t="n">
        <v>0</v>
      </c>
      <c r="C262" s="115">
        <f>Test_Bible!Q281</f>
        <v/>
      </c>
      <c r="D262" s="73">
        <f>Test_Bible!V281</f>
        <v/>
      </c>
    </row>
    <row r="263">
      <c r="A263">
        <f>BIBLE!E167</f>
        <v/>
      </c>
      <c r="B263" s="115" t="n">
        <v>7</v>
      </c>
      <c r="C263" s="115">
        <f>Test_Bible!Q282</f>
        <v/>
      </c>
      <c r="D263" s="73">
        <f>Test_Bible!V282</f>
        <v/>
      </c>
    </row>
    <row r="264">
      <c r="A264">
        <f>BIBLE!E168</f>
        <v/>
      </c>
      <c r="B264" s="115" t="n">
        <v>2</v>
      </c>
      <c r="C264" s="115">
        <f>Test_Bible!Q283</f>
        <v/>
      </c>
    </row>
    <row r="265">
      <c r="A265">
        <f>BIBLE!E169</f>
        <v/>
      </c>
      <c r="B265" s="115" t="n">
        <v>2</v>
      </c>
      <c r="C265" s="115">
        <f>Test_Bible!Q284</f>
        <v/>
      </c>
      <c r="D265" s="73">
        <f>Test_Bible!V284</f>
        <v/>
      </c>
    </row>
    <row r="266">
      <c r="A266">
        <f>BIBLE!E170</f>
        <v/>
      </c>
      <c r="B266" s="115" t="n">
        <v>0</v>
      </c>
      <c r="C266" s="115">
        <f>Test_Bible!Q285</f>
        <v/>
      </c>
    </row>
    <row r="267">
      <c r="A267">
        <f>BIBLE!E171</f>
        <v/>
      </c>
      <c r="B267" s="115" t="n">
        <v>2</v>
      </c>
      <c r="C267" s="115">
        <f>Test_Bible!Q286</f>
        <v/>
      </c>
      <c r="D267" s="73">
        <f>Test_Bible!V286</f>
        <v/>
      </c>
    </row>
    <row r="268">
      <c r="A268" s="60">
        <f>BIBLE!E172</f>
        <v/>
      </c>
      <c r="B268" s="115" t="n">
        <v>0</v>
      </c>
      <c r="C268" s="115" t="n"/>
    </row>
    <row r="269">
      <c r="A269" s="60">
        <f>A268</f>
        <v/>
      </c>
      <c r="B269" s="115" t="n">
        <v>1</v>
      </c>
      <c r="C269" s="115" t="n"/>
    </row>
    <row r="270">
      <c r="A270" s="60">
        <f>A269</f>
        <v/>
      </c>
      <c r="B270" s="115" t="n">
        <v>0</v>
      </c>
      <c r="C270" s="115" t="n"/>
    </row>
    <row r="271">
      <c r="A271" s="60">
        <f>A270</f>
        <v/>
      </c>
      <c r="B271" s="115" t="n">
        <v>1</v>
      </c>
      <c r="C271" s="115" t="n"/>
    </row>
    <row r="272">
      <c r="A272">
        <f>BIBLE!E173</f>
        <v/>
      </c>
      <c r="B272" s="115" t="n">
        <v>0</v>
      </c>
      <c r="C272" s="115">
        <f>Test_Bible!Q291</f>
        <v/>
      </c>
    </row>
    <row r="273">
      <c r="A273">
        <f>BIBLE!E174</f>
        <v/>
      </c>
      <c r="B273" s="115" t="n">
        <v>2</v>
      </c>
      <c r="C273" s="115">
        <f>Test_Bible!Q292</f>
        <v/>
      </c>
    </row>
    <row r="274">
      <c r="A274">
        <f>BIBLE!E175</f>
        <v/>
      </c>
      <c r="B274" s="115" t="n">
        <v>7</v>
      </c>
      <c r="C274" s="115">
        <f>Test_Bible!Q293</f>
        <v/>
      </c>
    </row>
    <row r="275">
      <c r="A275">
        <f>BIBLE!E176</f>
        <v/>
      </c>
      <c r="B275" s="115" t="n">
        <v>2</v>
      </c>
      <c r="C275" s="115">
        <f>Test_Bible!Q294</f>
        <v/>
      </c>
      <c r="D275" s="73">
        <f>Test_Bible!V294</f>
        <v/>
      </c>
    </row>
    <row r="276">
      <c r="A276">
        <f>BIBLE!E177</f>
        <v/>
      </c>
      <c r="B276" s="115" t="n">
        <v>1</v>
      </c>
      <c r="C276" s="115">
        <f>Test_Bible!Q295</f>
        <v/>
      </c>
      <c r="D276" s="73">
        <f>Test_Bible!V295</f>
        <v/>
      </c>
    </row>
    <row r="277">
      <c r="A277">
        <f>BIBLE!E178</f>
        <v/>
      </c>
      <c r="B277" s="115" t="n">
        <v>7</v>
      </c>
      <c r="C277" s="115">
        <f>Test_Bible!Q296</f>
        <v/>
      </c>
    </row>
    <row r="278">
      <c r="A278">
        <f>BIBLE!E179</f>
        <v/>
      </c>
      <c r="B278" s="115" t="n">
        <v>7</v>
      </c>
      <c r="C278" s="115">
        <f>Test_Bible!Q297</f>
        <v/>
      </c>
      <c r="D278">
        <f>Test_Bible!V297</f>
        <v/>
      </c>
    </row>
    <row r="279">
      <c r="A279">
        <f>BIBLE!E180</f>
        <v/>
      </c>
      <c r="B279" s="115" t="n">
        <v>7</v>
      </c>
      <c r="C279" s="115">
        <f>Test_Bible!Q298</f>
        <v/>
      </c>
    </row>
    <row r="280">
      <c r="A280">
        <f>BIBLE!E181</f>
        <v/>
      </c>
      <c r="B280" s="115" t="n">
        <v>2</v>
      </c>
      <c r="C280" s="115">
        <f>Test_Bible!Q299</f>
        <v/>
      </c>
      <c r="D280" s="73">
        <f>Test_Bible!V299</f>
        <v/>
      </c>
    </row>
    <row r="281">
      <c r="A281">
        <f>BIBLE!E182</f>
        <v/>
      </c>
      <c r="B281" s="115" t="n">
        <v>2</v>
      </c>
      <c r="C281" s="115">
        <f>Test_Bible!Q300</f>
        <v/>
      </c>
    </row>
    <row r="282">
      <c r="A282">
        <f>BIBLE!E183</f>
        <v/>
      </c>
      <c r="B282" s="115" t="n">
        <v>7</v>
      </c>
      <c r="C282" s="115">
        <f>Test_Bible!Q301</f>
        <v/>
      </c>
      <c r="D282" s="73">
        <f>Test_Bible!V301</f>
        <v/>
      </c>
    </row>
    <row r="283">
      <c r="A283">
        <f>BIBLE!E184</f>
        <v/>
      </c>
      <c r="B283" s="115" t="n">
        <v>1</v>
      </c>
      <c r="C283" s="115">
        <f>Test_Bible!Q302</f>
        <v/>
      </c>
      <c r="D283" s="73">
        <f>Test_Bible!V302</f>
        <v/>
      </c>
    </row>
    <row r="284">
      <c r="A284">
        <f>BIBLE!E185</f>
        <v/>
      </c>
      <c r="B284" s="115" t="n">
        <v>10</v>
      </c>
      <c r="C284" s="115">
        <f>Test_Bible!Q303</f>
        <v/>
      </c>
      <c r="D284" s="73">
        <f>Test_Bible!V303</f>
        <v/>
      </c>
    </row>
    <row r="285">
      <c r="A285">
        <f>BIBLE!E186</f>
        <v/>
      </c>
      <c r="B285" s="115" t="n">
        <v>7</v>
      </c>
      <c r="C285" s="115">
        <f>Test_Bible!Q304</f>
        <v/>
      </c>
      <c r="D285" s="73">
        <f>Test_Bible!V304</f>
        <v/>
      </c>
    </row>
    <row r="286">
      <c r="A286">
        <f>BIBLE!E187</f>
        <v/>
      </c>
      <c r="B286" s="115" t="n">
        <v>7</v>
      </c>
      <c r="C286" s="115">
        <f>Test_Bible!Q305</f>
        <v/>
      </c>
      <c r="D286" s="73">
        <f>Test_Bible!V305</f>
        <v/>
      </c>
    </row>
    <row r="287">
      <c r="A287">
        <f>BIBLE!E188</f>
        <v/>
      </c>
      <c r="B287" s="115" t="n">
        <v>2</v>
      </c>
      <c r="C287" s="115">
        <f>Test_Bible!Q306</f>
        <v/>
      </c>
      <c r="D287" s="73">
        <f>Test_Bible!V306</f>
        <v/>
      </c>
    </row>
    <row r="288">
      <c r="A288">
        <f>BIBLE!E189</f>
        <v/>
      </c>
      <c r="B288" s="115" t="n">
        <v>3</v>
      </c>
      <c r="C288" s="115" t="n"/>
    </row>
    <row r="289">
      <c r="A289">
        <f>BIBLE!E190</f>
        <v/>
      </c>
      <c r="B289" s="115" t="n">
        <v>0</v>
      </c>
      <c r="C289" s="115">
        <f>Test_Bible!Q314</f>
        <v/>
      </c>
    </row>
    <row r="290">
      <c r="A290">
        <f>BIBLE!E191</f>
        <v/>
      </c>
      <c r="B290" s="115" t="n">
        <v>2</v>
      </c>
      <c r="C290" s="115">
        <f>Test_Bible!Q315</f>
        <v/>
      </c>
      <c r="D290" s="73">
        <f>Test_Bible!V315</f>
        <v/>
      </c>
    </row>
    <row r="291">
      <c r="A291">
        <f>BIBLE!E192</f>
        <v/>
      </c>
      <c r="B291" s="115" t="n">
        <v>1</v>
      </c>
      <c r="C291" s="115">
        <f>Test_Bible!Q316</f>
        <v/>
      </c>
      <c r="D291" s="73">
        <f>Test_Bible!V316</f>
        <v/>
      </c>
    </row>
    <row r="292">
      <c r="A292">
        <f>BIBLE!E193</f>
        <v/>
      </c>
      <c r="B292" s="115" t="n">
        <v>0</v>
      </c>
      <c r="C292" s="115">
        <f>Test_Bible!Q317</f>
        <v/>
      </c>
    </row>
    <row r="293">
      <c r="A293">
        <f>BIBLE!E194</f>
        <v/>
      </c>
      <c r="B293" s="115" t="n">
        <v>2</v>
      </c>
      <c r="C293" s="115">
        <f>Test_Bible!Q318</f>
        <v/>
      </c>
      <c r="D293" s="73">
        <f>Test_Bible!V318</f>
        <v/>
      </c>
    </row>
    <row r="294">
      <c r="A294">
        <f>BIBLE!E195</f>
        <v/>
      </c>
      <c r="B294" s="115" t="n">
        <v>0</v>
      </c>
      <c r="C294" s="115">
        <f>Test_Bible!Q319</f>
        <v/>
      </c>
      <c r="D294" s="73">
        <f>Test_Bible!V319</f>
        <v/>
      </c>
    </row>
    <row r="295">
      <c r="A295">
        <f>BIBLE!E196</f>
        <v/>
      </c>
      <c r="B295" s="115" t="n">
        <v>0</v>
      </c>
      <c r="C295" s="115">
        <f>Test_Bible!Q320</f>
        <v/>
      </c>
      <c r="D295" s="73">
        <f>Test_Bible!V320</f>
        <v/>
      </c>
    </row>
    <row r="296">
      <c r="A296">
        <f>BIBLE!E197</f>
        <v/>
      </c>
      <c r="B296" s="115" t="n">
        <v>2</v>
      </c>
      <c r="C296" s="115">
        <f>Test_Bible!Q321</f>
        <v/>
      </c>
      <c r="D296" s="73">
        <f>Test_Bible!V321</f>
        <v/>
      </c>
    </row>
    <row r="297">
      <c r="A297">
        <f>BIBLE!E198</f>
        <v/>
      </c>
      <c r="B297" s="115" t="n">
        <v>0</v>
      </c>
      <c r="C297" s="115">
        <f>Test_Bible!Q322</f>
        <v/>
      </c>
    </row>
    <row r="298">
      <c r="A298">
        <f>BIBLE!E199</f>
        <v/>
      </c>
      <c r="B298" s="115" t="n">
        <v>0</v>
      </c>
      <c r="C298" s="115">
        <f>Test_Bible!Q323</f>
        <v/>
      </c>
    </row>
    <row r="299">
      <c r="A299">
        <f>BIBLE!E200</f>
        <v/>
      </c>
      <c r="B299" s="115" t="n">
        <v>2</v>
      </c>
      <c r="C299" s="115">
        <f>Test_Bible!Q324</f>
        <v/>
      </c>
      <c r="D299" s="73">
        <f>Test_Bible!V324</f>
        <v/>
      </c>
    </row>
    <row r="300">
      <c r="A300">
        <f>BIBLE!E201</f>
        <v/>
      </c>
      <c r="B300" s="115" t="n">
        <v>3</v>
      </c>
      <c r="C300" s="115" t="n"/>
    </row>
    <row r="301">
      <c r="A301">
        <f>BIBLE!E202</f>
        <v/>
      </c>
      <c r="B301" s="115" t="n">
        <v>0</v>
      </c>
      <c r="C301" s="115">
        <f>Test_Bible!Q331</f>
        <v/>
      </c>
    </row>
    <row r="302">
      <c r="A302">
        <f>BIBLE!E203</f>
        <v/>
      </c>
      <c r="B302" s="115" t="n">
        <v>0</v>
      </c>
      <c r="C302" s="115">
        <f>Test_Bible!Q332</f>
        <v/>
      </c>
    </row>
    <row r="303">
      <c r="A303">
        <f>BIBLE!E204</f>
        <v/>
      </c>
      <c r="B303" s="115" t="n">
        <v>1</v>
      </c>
      <c r="C303" s="115" t="n"/>
    </row>
    <row r="304">
      <c r="A304">
        <f>BIBLE!E205</f>
        <v/>
      </c>
      <c r="B304" s="115" t="n">
        <v>2</v>
      </c>
      <c r="C304" s="115" t="n"/>
    </row>
    <row r="305">
      <c r="A305">
        <f>A304</f>
        <v/>
      </c>
      <c r="B305" s="115" t="n">
        <v>0</v>
      </c>
      <c r="C305" s="115" t="n"/>
    </row>
    <row r="306">
      <c r="A306">
        <f>A305</f>
        <v/>
      </c>
      <c r="B306" s="115" t="n">
        <v>0</v>
      </c>
      <c r="C306" s="115" t="n"/>
    </row>
    <row r="307">
      <c r="A307">
        <f>A306</f>
        <v/>
      </c>
      <c r="B307" s="115" t="n">
        <v>7</v>
      </c>
      <c r="C307" s="115" t="n"/>
    </row>
    <row r="308">
      <c r="A308">
        <f>A307</f>
        <v/>
      </c>
      <c r="B308" s="115" t="n">
        <v>0</v>
      </c>
      <c r="C308" s="115" t="n"/>
    </row>
    <row r="309">
      <c r="A309">
        <f>A308</f>
        <v/>
      </c>
      <c r="B309" s="115" t="n">
        <v>2</v>
      </c>
      <c r="C309" s="115" t="n"/>
    </row>
    <row r="310">
      <c r="A310">
        <f>A309</f>
        <v/>
      </c>
      <c r="B310" s="115" t="n">
        <v>0</v>
      </c>
      <c r="C310" s="115" t="n"/>
    </row>
    <row r="311">
      <c r="A311">
        <f>A310</f>
        <v/>
      </c>
      <c r="B311" s="115" t="n">
        <v>0</v>
      </c>
      <c r="C311" s="115" t="n"/>
    </row>
    <row r="312">
      <c r="A312">
        <f>A311</f>
        <v/>
      </c>
      <c r="B312" s="115" t="n">
        <v>0</v>
      </c>
      <c r="C312" s="115" t="n"/>
    </row>
    <row r="313">
      <c r="A313">
        <f>A312</f>
        <v/>
      </c>
      <c r="B313" s="115" t="n">
        <v>0</v>
      </c>
      <c r="C313" s="115" t="n"/>
    </row>
    <row r="314">
      <c r="A314">
        <f>BIBLE!E206</f>
        <v/>
      </c>
      <c r="B314" s="115" t="n">
        <v>4</v>
      </c>
      <c r="C314" s="115" t="n"/>
    </row>
    <row r="315">
      <c r="A315">
        <f>A314</f>
        <v/>
      </c>
      <c r="B315" s="115" t="n">
        <v>0</v>
      </c>
      <c r="C315" s="115" t="n"/>
    </row>
    <row r="316">
      <c r="A316">
        <f>A315</f>
        <v/>
      </c>
      <c r="B316" s="115" t="n">
        <v>0</v>
      </c>
      <c r="C316" s="115" t="n"/>
    </row>
    <row r="317">
      <c r="A317">
        <f>A316</f>
        <v/>
      </c>
      <c r="B317" s="115" t="n">
        <v>4</v>
      </c>
      <c r="C317" s="115" t="n"/>
    </row>
    <row r="318">
      <c r="A318">
        <f>A317</f>
        <v/>
      </c>
      <c r="B318" s="115" t="n">
        <v>0</v>
      </c>
      <c r="C318" s="115" t="n"/>
    </row>
    <row r="319">
      <c r="A319">
        <f>A318</f>
        <v/>
      </c>
      <c r="B319" s="115" t="n">
        <v>0</v>
      </c>
      <c r="C319" s="115" t="n"/>
    </row>
    <row r="320">
      <c r="A320">
        <f>A319</f>
        <v/>
      </c>
      <c r="B320" s="115" t="n">
        <v>10</v>
      </c>
      <c r="C320" s="115" t="n"/>
    </row>
    <row r="321">
      <c r="A321">
        <f>A320</f>
        <v/>
      </c>
      <c r="B321" s="115" t="n">
        <v>2</v>
      </c>
      <c r="C321" s="115" t="n"/>
    </row>
    <row r="322">
      <c r="A322">
        <f>A321</f>
        <v/>
      </c>
      <c r="B322" s="115" t="n">
        <v>0</v>
      </c>
      <c r="C322" s="115" t="n"/>
    </row>
    <row r="323">
      <c r="A323">
        <f>A322</f>
        <v/>
      </c>
      <c r="B323" s="115" t="n">
        <v>0</v>
      </c>
      <c r="C323" s="115" t="n"/>
    </row>
    <row r="324">
      <c r="A324">
        <f>BIBLE!E207</f>
        <v/>
      </c>
      <c r="B324" s="115" t="n">
        <v>4</v>
      </c>
      <c r="C324" s="115">
        <f>Test_Bible!Q358</f>
        <v/>
      </c>
      <c r="D324" s="73">
        <f>Test_Bible!V358</f>
        <v/>
      </c>
    </row>
    <row r="325">
      <c r="A325">
        <f>BIBLE!E208</f>
        <v/>
      </c>
      <c r="B325" s="115" t="n">
        <v>5</v>
      </c>
      <c r="C325" s="115" t="n"/>
    </row>
    <row r="326">
      <c r="A326" s="1966" t="n"/>
      <c r="B326" s="1967" t="n"/>
      <c r="C326" s="1967" t="n"/>
      <c r="D326" s="1966" t="n"/>
      <c r="E326" s="1974">
        <f>Test_Bible!V367</f>
        <v/>
      </c>
      <c r="F326" s="1974">
        <f>Test_Bible!X367</f>
        <v/>
      </c>
      <c r="G326" s="1974">
        <f>Test_Bible!Y367</f>
        <v/>
      </c>
      <c r="H326" s="1974">
        <f>Test_Bible!Z367</f>
        <v/>
      </c>
      <c r="I326" s="1974">
        <f>Test_Bible!AA367</f>
        <v/>
      </c>
      <c r="J326" s="1974">
        <f>Test_Bible!AB367</f>
        <v/>
      </c>
      <c r="K326" s="1974">
        <f>Test_Bible!AC367</f>
        <v/>
      </c>
    </row>
    <row r="344">
      <c r="A344">
        <f>BIBLE!E211</f>
        <v/>
      </c>
      <c r="B344" s="2089" t="n">
        <v>3</v>
      </c>
      <c r="D344" s="1941" t="n"/>
      <c r="E344" s="1942" t="n"/>
      <c r="F344" s="1942" t="n"/>
      <c r="G344" s="1942" t="n"/>
      <c r="H344" s="1942" t="n"/>
      <c r="I344" s="1942" t="n"/>
      <c r="J344" s="1942" t="n"/>
      <c r="K344" s="1942" t="n"/>
    </row>
    <row r="345">
      <c r="A345">
        <f>BIBLE!E212</f>
        <v/>
      </c>
      <c r="B345" s="2089" t="n">
        <v>2</v>
      </c>
      <c r="D345" s="1941" t="n"/>
      <c r="E345" s="1942" t="n"/>
      <c r="F345" s="1942" t="n"/>
      <c r="G345" s="1942" t="n"/>
      <c r="H345" s="1942" t="n"/>
      <c r="I345" s="1942" t="n"/>
      <c r="J345" s="1942" t="n"/>
      <c r="K345" s="1942" t="n"/>
    </row>
    <row r="346">
      <c r="A346" s="1971" t="n"/>
      <c r="B346" s="1972" t="n"/>
      <c r="C346" s="1972" t="n"/>
      <c r="D346" s="1971" t="inlineStr">
        <is>
          <t>Ne fait pas parti des calculs de l'indice AP</t>
        </is>
      </c>
      <c r="E346" s="1972" t="n"/>
      <c r="F346" s="1972" t="n"/>
      <c r="G346" s="1972" t="n"/>
      <c r="H346" s="1972" t="n"/>
      <c r="I346" s="1972" t="n"/>
      <c r="J346" s="1972" t="n"/>
      <c r="K346" s="1972" t="n"/>
    </row>
    <row r="367">
      <c r="A367">
        <f>BIBLE!E215</f>
        <v/>
      </c>
      <c r="B367" s="115" t="n">
        <v>4</v>
      </c>
      <c r="C367" s="115">
        <f>Test_Bible!Q389</f>
        <v/>
      </c>
      <c r="D367" s="73">
        <f>Test_Bible!V389</f>
        <v/>
      </c>
    </row>
    <row r="368">
      <c r="A368">
        <f>BIBLE!E216</f>
        <v/>
      </c>
      <c r="B368" s="115" t="n">
        <v>7</v>
      </c>
      <c r="C368" s="115">
        <f>Test_Bible!Q390</f>
        <v/>
      </c>
    </row>
    <row r="369">
      <c r="A369">
        <f>BIBLE!E217</f>
        <v/>
      </c>
      <c r="B369" s="115" t="n">
        <v>7</v>
      </c>
      <c r="C369" s="115">
        <f>Test_Bible!Q391</f>
        <v/>
      </c>
      <c r="D369" s="73">
        <f>Test_Bible!V391</f>
        <v/>
      </c>
    </row>
    <row r="370">
      <c r="A370">
        <f>BIBLE!E218</f>
        <v/>
      </c>
      <c r="B370" s="115" t="n">
        <v>7</v>
      </c>
      <c r="C370" s="115">
        <f>Test_Bible!Q392</f>
        <v/>
      </c>
      <c r="D370" s="73">
        <f>Test_Bible!V392</f>
        <v/>
      </c>
    </row>
    <row r="371">
      <c r="A371" s="60">
        <f>BIBLE!E219</f>
        <v/>
      </c>
      <c r="B371" s="115" t="n">
        <v>0</v>
      </c>
      <c r="C371" s="115" t="n"/>
      <c r="D371" s="73">
        <f>Test_Bible!V393</f>
        <v/>
      </c>
    </row>
    <row r="372">
      <c r="A372" s="60">
        <f>A371</f>
        <v/>
      </c>
      <c r="B372" s="115" t="n">
        <v>0</v>
      </c>
      <c r="C372" s="115" t="n"/>
      <c r="D372" s="73" t="n"/>
    </row>
    <row r="373">
      <c r="A373" s="60">
        <f>A372</f>
        <v/>
      </c>
      <c r="B373" s="115" t="n">
        <v>0</v>
      </c>
      <c r="C373" s="115" t="n"/>
      <c r="D373" s="73" t="n"/>
    </row>
    <row r="374">
      <c r="A374" s="60">
        <f>A373</f>
        <v/>
      </c>
      <c r="B374" s="115" t="n">
        <v>1</v>
      </c>
      <c r="C374" s="115" t="n"/>
      <c r="D374" s="73" t="n"/>
    </row>
    <row r="375">
      <c r="A375" s="60">
        <f>A374</f>
        <v/>
      </c>
      <c r="B375" s="115" t="n">
        <v>1</v>
      </c>
      <c r="C375" s="115" t="n"/>
      <c r="D375" s="73" t="n"/>
    </row>
    <row r="376">
      <c r="A376">
        <f>BIBLE!E220</f>
        <v/>
      </c>
      <c r="B376" s="115" t="n">
        <v>4</v>
      </c>
      <c r="C376" s="115">
        <f>Test_Bible!Q399</f>
        <v/>
      </c>
    </row>
    <row r="377">
      <c r="A377">
        <f>BIBLE!E221</f>
        <v/>
      </c>
      <c r="B377" s="115" t="n">
        <v>1</v>
      </c>
      <c r="C377" s="115">
        <f>Test_Bible!Q400</f>
        <v/>
      </c>
    </row>
    <row r="378">
      <c r="A378">
        <f>BIBLE!E222</f>
        <v/>
      </c>
      <c r="B378" s="115" t="n">
        <v>0</v>
      </c>
      <c r="C378" s="115">
        <f>Test_Bible!Q401</f>
        <v/>
      </c>
    </row>
    <row r="379">
      <c r="A379">
        <f>BIBLE!E223</f>
        <v/>
      </c>
      <c r="B379" s="115" t="n">
        <v>4</v>
      </c>
      <c r="C379" s="115">
        <f>Test_Bible!Q402</f>
        <v/>
      </c>
      <c r="D379" s="73">
        <f>Test_Bible!V402</f>
        <v/>
      </c>
    </row>
    <row r="380">
      <c r="A380">
        <f>BIBLE!E224</f>
        <v/>
      </c>
      <c r="B380" s="115" t="n">
        <v>4</v>
      </c>
      <c r="C380" s="115">
        <f>Test_Bible!Q403</f>
        <v/>
      </c>
    </row>
    <row r="381">
      <c r="A381">
        <f>BIBLE!E225</f>
        <v/>
      </c>
      <c r="B381" s="115" t="n">
        <v>2</v>
      </c>
      <c r="C381" s="115">
        <f>Test_Bible!Q404</f>
        <v/>
      </c>
      <c r="D381" s="73">
        <f>Test_Bible!V404</f>
        <v/>
      </c>
    </row>
    <row r="382">
      <c r="A382">
        <f>BIBLE!E226</f>
        <v/>
      </c>
      <c r="B382" s="115" t="n">
        <v>7</v>
      </c>
      <c r="C382" s="115">
        <f>Test_Bible!Q405</f>
        <v/>
      </c>
      <c r="D382" s="73">
        <f>Test_Bible!V405</f>
        <v/>
      </c>
    </row>
    <row r="383">
      <c r="A383">
        <f>BIBLE!E227</f>
        <v/>
      </c>
      <c r="B383" s="115" t="n">
        <v>7</v>
      </c>
      <c r="C383" s="115">
        <f>Test_Bible!Q406</f>
        <v/>
      </c>
      <c r="D383" s="73">
        <f>Test_Bible!V406</f>
        <v/>
      </c>
    </row>
    <row r="384">
      <c r="A384">
        <f>BIBLE!E228</f>
        <v/>
      </c>
      <c r="B384" s="115" t="n">
        <v>7</v>
      </c>
      <c r="C384" s="115">
        <f>Test_Bible!Q407</f>
        <v/>
      </c>
      <c r="D384" s="73">
        <f>Test_Bible!V407</f>
        <v/>
      </c>
    </row>
    <row r="385">
      <c r="A385">
        <f>BIBLE!E229</f>
        <v/>
      </c>
      <c r="B385" s="115" t="n">
        <v>7</v>
      </c>
      <c r="C385" s="115">
        <f>Test_Bible!Q408</f>
        <v/>
      </c>
      <c r="D385" s="73">
        <f>Test_Bible!V408</f>
        <v/>
      </c>
    </row>
    <row r="386">
      <c r="A386">
        <f>BIBLE!E230</f>
        <v/>
      </c>
      <c r="B386" s="115" t="n">
        <v>2</v>
      </c>
      <c r="C386" s="115">
        <f>Test_Bible!Q409</f>
        <v/>
      </c>
      <c r="D386" s="73">
        <f>Test_Bible!V409</f>
        <v/>
      </c>
    </row>
    <row r="387">
      <c r="A387">
        <f>BIBLE!E231</f>
        <v/>
      </c>
      <c r="B387" s="115" t="n">
        <v>10</v>
      </c>
      <c r="C387" s="115">
        <f>Test_Bible!Q410</f>
        <v/>
      </c>
      <c r="D387" s="73">
        <f>Test_Bible!V410</f>
        <v/>
      </c>
    </row>
    <row r="388">
      <c r="A388">
        <f>BIBLE!E232</f>
        <v/>
      </c>
      <c r="B388" s="115" t="n">
        <v>7</v>
      </c>
      <c r="C388" s="115">
        <f>Test_Bible!Q411</f>
        <v/>
      </c>
      <c r="D388" s="73">
        <f>Test_Bible!V411</f>
        <v/>
      </c>
    </row>
    <row r="389">
      <c r="A389" s="1963" t="n"/>
      <c r="B389" s="1964" t="n"/>
      <c r="C389" s="1964" t="n"/>
      <c r="D389" s="1963" t="n"/>
      <c r="E389" s="1965">
        <f>Test_Bible!V412</f>
        <v/>
      </c>
      <c r="F389" s="1965">
        <f>Test_Bible!X412</f>
        <v/>
      </c>
      <c r="G389" s="1965">
        <f>Test_Bible!Y412</f>
        <v/>
      </c>
      <c r="H389" s="1965">
        <f>Test_Bible!Z412</f>
        <v/>
      </c>
      <c r="I389" s="1965">
        <f>Test_Bible!AA412</f>
        <v/>
      </c>
      <c r="J389" s="1965">
        <f>Test_Bible!AB412</f>
        <v/>
      </c>
      <c r="K389" s="1965">
        <f>Test_Bible!AC412</f>
        <v/>
      </c>
    </row>
    <row r="407">
      <c r="A407">
        <f>BIBLE!E238</f>
        <v/>
      </c>
      <c r="B407" s="2089" t="n">
        <v>3</v>
      </c>
    </row>
    <row r="408">
      <c r="A408">
        <f>BIBLE!E239</f>
        <v/>
      </c>
      <c r="B408" s="2089" t="n">
        <v>3</v>
      </c>
    </row>
    <row r="409">
      <c r="A409">
        <f>BIBLE!E240</f>
        <v/>
      </c>
      <c r="B409" s="2089" t="n">
        <v>8</v>
      </c>
    </row>
    <row r="410">
      <c r="A410">
        <f>BIBLE!E241</f>
        <v/>
      </c>
      <c r="B410" s="2089" t="n">
        <v>0</v>
      </c>
    </row>
    <row r="411">
      <c r="A411">
        <f>BIBLE!E242</f>
        <v/>
      </c>
      <c r="B411" s="2089" t="n">
        <v>10</v>
      </c>
    </row>
  </sheetData>
  <mergeCells count="1">
    <mergeCell ref="F3:K3"/>
  </mergeCells>
  <pageMargins left="0.7" right="0.7" top="0.75" bottom="0.75" header="0.3" footer="0.3"/>
  <legacyDrawing r:id="anysvml"/>
</worksheet>
</file>

<file path=xl/worksheets/sheet10.xml><?xml version="1.0" encoding="utf-8"?>
<worksheet xmlns="http://schemas.openxmlformats.org/spreadsheetml/2006/main">
  <sheetPr>
    <outlinePr summaryBelow="1" summaryRight="1"/>
    <pageSetUpPr/>
  </sheetPr>
  <dimension ref="A1:K19"/>
  <sheetViews>
    <sheetView topLeftCell="A5" workbookViewId="0">
      <selection activeCell="B7" sqref="B7"/>
    </sheetView>
  </sheetViews>
  <sheetFormatPr baseColWidth="10" defaultRowHeight="16"/>
  <cols>
    <col width="62.83203125" customWidth="1" min="2" max="2"/>
    <col width="11.83203125" customWidth="1" min="3" max="3"/>
    <col width="15.5" customWidth="1" min="4" max="4"/>
    <col width="13.6640625" customWidth="1" min="14" max="14"/>
  </cols>
  <sheetData>
    <row r="1" ht="30" customHeight="1">
      <c r="B1" s="461" t="inlineStr">
        <is>
          <t>Évaluation de comportements de violence conjugale du PFA</t>
        </is>
      </c>
    </row>
    <row r="2" ht="30" customHeight="1">
      <c r="B2" s="1203" t="inlineStr">
        <is>
          <t>Aucun baromètre à cet effet.</t>
        </is>
      </c>
      <c r="C2" s="1204" t="n"/>
      <c r="D2" s="1204" t="n"/>
      <c r="E2" s="1204" t="n"/>
      <c r="F2" s="1204" t="n"/>
      <c r="G2" s="1204" t="n"/>
      <c r="H2" s="1204" t="n"/>
      <c r="I2" s="1204" t="n"/>
      <c r="J2" s="1204" t="n"/>
      <c r="K2" s="1204" t="n"/>
    </row>
    <row r="3" ht="30" customHeight="1">
      <c r="B3" s="1368" t="inlineStr">
        <is>
          <t>Si des comportements de VC sont détectés, il y aura mention dans le rapport final de contacter SOS violence conjugale</t>
        </is>
      </c>
      <c r="C3" s="1204" t="n"/>
      <c r="D3" s="1204" t="n"/>
      <c r="E3" s="1204" t="n"/>
      <c r="F3" s="1204" t="n"/>
      <c r="G3" s="1204" t="n"/>
      <c r="H3" s="1204" t="n"/>
      <c r="I3" s="1204" t="n"/>
      <c r="J3" s="1204" t="n"/>
      <c r="K3" s="1204" t="n"/>
    </row>
    <row r="4" ht="30" customHeight="1">
      <c r="B4" s="1203" t="inlineStr">
        <is>
          <t>Identifier VC durant la vie commune OU VC post-séparation seulement</t>
        </is>
      </c>
      <c r="C4" s="1204" t="n"/>
      <c r="D4" s="22" t="inlineStr">
        <is>
          <t>Comportements VC avant la séparation</t>
        </is>
      </c>
      <c r="E4" s="22" t="n"/>
      <c r="F4" s="22" t="n"/>
      <c r="G4" s="1367">
        <f>SUM(C7:C8)</f>
        <v/>
      </c>
      <c r="H4" s="1204" t="n"/>
      <c r="I4" s="1204" t="n"/>
      <c r="J4" s="1204" t="n"/>
      <c r="K4" s="1204" t="n"/>
    </row>
    <row r="5" ht="30" customHeight="1">
      <c r="B5" s="1203" t="n"/>
      <c r="C5" s="1204" t="n"/>
      <c r="D5" s="22" t="inlineStr">
        <is>
          <t>Comportements VC post-séparation</t>
        </is>
      </c>
      <c r="E5" s="22" t="n"/>
      <c r="F5" s="22" t="n"/>
      <c r="G5" s="1367">
        <f>SUM(C9:C16)</f>
        <v/>
      </c>
      <c r="H5" s="1204" t="n"/>
      <c r="I5" s="1204" t="n"/>
      <c r="J5" s="1204" t="n"/>
      <c r="K5" s="1204" t="n"/>
    </row>
    <row r="6" ht="26" customHeight="1">
      <c r="C6" t="inlineStr">
        <is>
          <t>Fréquence</t>
        </is>
      </c>
      <c r="D6" t="inlineStr">
        <is>
          <t xml:space="preserve"># comport. </t>
        </is>
      </c>
      <c r="G6" t="inlineStr">
        <is>
          <t> </t>
        </is>
      </c>
    </row>
    <row r="7" ht="45" customHeight="1">
      <c r="A7" s="7">
        <f>Test_Bible!A104</f>
        <v/>
      </c>
      <c r="B7" s="7">
        <f>Test_Bible!B104</f>
        <v/>
      </c>
      <c r="C7" s="6">
        <f>Test_Bible!P104</f>
        <v/>
      </c>
      <c r="D7" s="2002">
        <f>IF(C7&gt;0,1,0)</f>
        <v/>
      </c>
    </row>
    <row r="8" ht="48" customHeight="1">
      <c r="A8" s="7">
        <f>Test_Bible!A106</f>
        <v/>
      </c>
      <c r="B8" s="7">
        <f>Test_Bible!B106</f>
        <v/>
      </c>
      <c r="C8" s="6">
        <f>Test_Bible!P106</f>
        <v/>
      </c>
      <c r="D8" s="2002">
        <f>IF(C8&gt;0,1,0)</f>
        <v/>
      </c>
    </row>
    <row r="9" ht="48" customHeight="1">
      <c r="A9" s="2066">
        <f>Test_Bible!A111</f>
        <v/>
      </c>
      <c r="B9" s="2066">
        <f>Test_Bible!B111</f>
        <v/>
      </c>
      <c r="C9" s="90">
        <f>Test_Bible!P111</f>
        <v/>
      </c>
      <c r="D9" s="2002">
        <f>IF(C9&gt;0,1,0)</f>
        <v/>
      </c>
    </row>
    <row r="10" ht="52" customHeight="1">
      <c r="A10" s="7">
        <f>Test_Bible!A177</f>
        <v/>
      </c>
      <c r="B10" s="7">
        <f>Test_Bible!B177</f>
        <v/>
      </c>
      <c r="C10" s="6">
        <f>Test_Bible!P177</f>
        <v/>
      </c>
      <c r="D10" s="2002">
        <f>IF(C10&gt;0,1,0)</f>
        <v/>
      </c>
    </row>
    <row r="11" ht="42" customHeight="1">
      <c r="A11" s="7">
        <f>Test_Bible!A183</f>
        <v/>
      </c>
      <c r="B11" s="7">
        <f>Test_Bible!B183</f>
        <v/>
      </c>
      <c r="C11" s="6">
        <f>Test_Bible!P183</f>
        <v/>
      </c>
      <c r="D11" s="2002">
        <f>IF(C11&gt;0,1,0)</f>
        <v/>
      </c>
    </row>
    <row r="12" ht="53" customHeight="1">
      <c r="A12" s="7">
        <f>Test_Bible!A184</f>
        <v/>
      </c>
      <c r="B12" s="7">
        <f>Test_Bible!B184</f>
        <v/>
      </c>
      <c r="C12" s="6">
        <f>Test_Bible!P184</f>
        <v/>
      </c>
      <c r="D12" s="2002">
        <f>IF(C12&gt;0,1,0)</f>
        <v/>
      </c>
      <c r="E12" s="7" t="inlineStr">
        <is>
          <t>Même chose que le premier comportement mais dans un autre contexte !!!! Celui-ci sera à zéro si répondu plus haut.</t>
        </is>
      </c>
    </row>
    <row r="13" ht="83" customHeight="1">
      <c r="A13" s="7">
        <f>Test_Bible!A185</f>
        <v/>
      </c>
      <c r="B13" s="7">
        <f>Test_Bible!B185</f>
        <v/>
      </c>
      <c r="C13" s="6">
        <f>Test_Bible!P185</f>
        <v/>
      </c>
      <c r="D13" s="2002">
        <f>IF(C13&gt;0,1,0)</f>
        <v/>
      </c>
    </row>
    <row r="14" ht="73" customHeight="1">
      <c r="A14" s="7">
        <f>Test_Bible!A200</f>
        <v/>
      </c>
      <c r="B14" s="7">
        <f>Test_Bible!B200</f>
        <v/>
      </c>
      <c r="C14" s="6">
        <f>Test_Bible!P200</f>
        <v/>
      </c>
      <c r="D14" s="2002">
        <f>IF(C14&gt;0,1,0)</f>
        <v/>
      </c>
    </row>
    <row r="15" ht="66" customHeight="1">
      <c r="A15" s="7">
        <f>Test_Bible!A199</f>
        <v/>
      </c>
      <c r="B15" s="7">
        <f>Test_Bible!B199</f>
        <v/>
      </c>
      <c r="C15" s="6">
        <f>Test_Bible!P199</f>
        <v/>
      </c>
      <c r="D15" s="2002">
        <f>IF(C15&gt;0,1,0)</f>
        <v/>
      </c>
    </row>
    <row r="16" ht="46" customHeight="1">
      <c r="A16">
        <f>Test_Bible!A232</f>
        <v/>
      </c>
      <c r="B16">
        <f>Test_Bible!B232</f>
        <v/>
      </c>
      <c r="C16" s="6">
        <f>Test_Bible!P232</f>
        <v/>
      </c>
      <c r="D16" s="2002">
        <f>IF(C16&gt;0,1,0)</f>
        <v/>
      </c>
      <c r="E16" s="7" t="inlineStr">
        <is>
          <t>Même chose que le premier comportement mais dans un autre contexte !!!! Celui-ci sera à zéro si répondu plus haut.</t>
        </is>
      </c>
    </row>
    <row r="17" ht="83" customHeight="1">
      <c r="B17" s="2066">
        <f>Test_Bible!B232</f>
        <v/>
      </c>
      <c r="C17" s="656" t="n"/>
      <c r="D17" s="2002" t="n"/>
      <c r="E17" s="7" t="n"/>
    </row>
    <row r="18" ht="59" customHeight="1">
      <c r="B18" s="2066" t="n"/>
      <c r="C18" s="6" t="n"/>
    </row>
    <row r="19" ht="59" customHeight="1">
      <c r="B19" s="2066" t="inlineStr">
        <is>
          <t>TOTAL</t>
        </is>
      </c>
      <c r="C19" s="6">
        <f>SUM(C7:C17)</f>
        <v/>
      </c>
      <c r="D19" s="2002">
        <f>SUM(D7:D17)</f>
        <v/>
      </c>
      <c r="E19" s="7" t="n"/>
    </row>
  </sheetData>
  <pageMargins left="0.7" right="0.7" top="0.75" bottom="0.75" header="0.3" footer="0.3"/>
  <pageSetup orientation="portrait" horizontalDpi="0" verticalDpi="0" copies="2"/>
</worksheet>
</file>

<file path=xl/worksheets/sheet11.xml><?xml version="1.0" encoding="utf-8"?>
<worksheet xmlns="http://schemas.openxmlformats.org/spreadsheetml/2006/main">
  <sheetPr>
    <outlinePr summaryBelow="1" summaryRight="1"/>
    <pageSetUpPr fitToPage="1"/>
  </sheetPr>
  <dimension ref="A1:V102"/>
  <sheetViews>
    <sheetView topLeftCell="F46" zoomScale="89" zoomScaleNormal="89" workbookViewId="0">
      <selection activeCell="O60" sqref="O59:P60"/>
    </sheetView>
  </sheetViews>
  <sheetFormatPr baseColWidth="10" defaultRowHeight="16"/>
  <cols>
    <col hidden="1" min="1" max="4"/>
    <col hidden="1" width="16.83203125" customWidth="1" min="5" max="5"/>
    <col width="16.33203125" customWidth="1" style="2066" min="6" max="6"/>
    <col width="13.83203125" customWidth="1" min="7" max="7"/>
    <col width="51" customWidth="1" min="8" max="8"/>
    <col width="13.1640625" customWidth="1" min="9" max="9"/>
    <col width="2.6640625" customWidth="1" min="10" max="10"/>
    <col width="47.6640625" customWidth="1" min="12" max="12"/>
    <col width="16.1640625" customWidth="1" min="13" max="13"/>
    <col width="3.1640625" customWidth="1" min="14" max="14"/>
    <col width="19.6640625" customWidth="1" min="15" max="15"/>
    <col width="70.83203125" customWidth="1" min="16" max="16"/>
    <col width="12.6640625" bestFit="1" customWidth="1" min="17" max="17"/>
    <col width="2.83203125" customWidth="1" min="18" max="18"/>
    <col width="6.6640625" bestFit="1" customWidth="1" min="19" max="19"/>
    <col width="57" bestFit="1" customWidth="1" min="20" max="20"/>
    <col width="12.5" bestFit="1" customWidth="1" min="21" max="21"/>
    <col width="18.6640625" bestFit="1" customWidth="1" min="22" max="22"/>
    <col width="6.6640625" customWidth="1" min="23" max="24"/>
  </cols>
  <sheetData>
    <row r="1" ht="26" customHeight="1">
      <c r="F1" s="686" t="inlineStr">
        <is>
          <t>Liste entière des comportements du PFA (NC) qui engendre des réactions chez l'enfant (et parent ciblé)</t>
        </is>
      </c>
      <c r="K1" s="687" t="n"/>
    </row>
    <row r="5" ht="47" customHeight="1">
      <c r="G5" s="576" t="n"/>
    </row>
    <row r="6" ht="22" customHeight="1">
      <c r="A6" s="15" t="inlineStr">
        <is>
          <t>VC</t>
        </is>
      </c>
      <c r="B6" s="897" t="inlineStr">
        <is>
          <t>CL</t>
        </is>
      </c>
      <c r="C6" s="15" t="inlineStr">
        <is>
          <t>CSS</t>
        </is>
      </c>
      <c r="D6" s="897" t="inlineStr">
        <is>
          <t>AP</t>
        </is>
      </c>
      <c r="F6" s="690" t="inlineStr">
        <is>
          <t>Thème</t>
        </is>
      </c>
      <c r="H6" s="672" t="inlineStr">
        <is>
          <t>Co-parent</t>
        </is>
      </c>
      <c r="I6" s="672" t="n"/>
      <c r="J6" s="672" t="n"/>
      <c r="L6" s="687" t="inlineStr">
        <is>
          <t>Nouveau conjoint</t>
        </is>
      </c>
      <c r="M6" s="687" t="n"/>
      <c r="N6" s="687" t="n"/>
      <c r="O6" s="687" t="n"/>
      <c r="P6" s="687" t="inlineStr">
        <is>
          <t>Enfant</t>
        </is>
      </c>
      <c r="Q6" s="687" t="n"/>
      <c r="R6" s="687" t="n"/>
      <c r="S6" s="687" t="n"/>
      <c r="T6" s="687" t="inlineStr">
        <is>
          <t>Parent répondant</t>
        </is>
      </c>
    </row>
    <row r="7" ht="15" customHeight="1" thickBot="1">
      <c r="A7" s="2002" t="n"/>
      <c r="B7" s="898" t="n"/>
      <c r="C7" s="2002" t="n"/>
      <c r="D7" s="898" t="n"/>
      <c r="G7" s="703" t="n"/>
      <c r="H7" s="704" t="n"/>
      <c r="I7" s="705" t="n"/>
      <c r="J7" s="766" t="n"/>
      <c r="K7" s="766" t="n"/>
      <c r="L7" s="766" t="n"/>
      <c r="M7" s="766" t="n"/>
      <c r="N7" s="766" t="n"/>
      <c r="O7" s="766" t="n"/>
      <c r="P7" s="766" t="n"/>
      <c r="Q7" s="766" t="n"/>
    </row>
    <row r="8" ht="48" customHeight="1">
      <c r="A8" s="2002" t="n"/>
      <c r="B8" s="898" t="inlineStr">
        <is>
          <t>x</t>
        </is>
      </c>
      <c r="C8" s="2002" t="n"/>
      <c r="D8" s="898" t="n"/>
      <c r="E8" s="899" t="n"/>
      <c r="F8" s="706" t="inlineStr">
        <is>
          <t>Demande de garder des secrets</t>
        </is>
      </c>
      <c r="G8" s="694">
        <f>BIBLE!E82</f>
        <v/>
      </c>
      <c r="H8" s="1454">
        <f>BIBLE!F82</f>
        <v/>
      </c>
      <c r="I8" s="708">
        <f>BIBLE!U82</f>
        <v/>
      </c>
      <c r="J8" s="709" t="n"/>
      <c r="K8" s="709" t="n"/>
      <c r="L8" s="709" t="n"/>
      <c r="M8" s="709" t="n"/>
      <c r="N8" s="709" t="n"/>
      <c r="O8" s="1375">
        <f>BIBLE!E152</f>
        <v/>
      </c>
      <c r="P8" s="1376">
        <f>BIBLE!F152</f>
        <v/>
      </c>
      <c r="Q8" s="1377">
        <f>BIBLE!U152</f>
        <v/>
      </c>
    </row>
    <row r="9" ht="35" customHeight="1" thickBot="1">
      <c r="A9" s="2002" t="n"/>
      <c r="B9" s="898" t="inlineStr">
        <is>
          <t>x</t>
        </is>
      </c>
      <c r="C9" s="2002" t="n"/>
      <c r="D9" s="898" t="n"/>
      <c r="E9" s="899" t="n"/>
      <c r="F9" s="710" t="n"/>
      <c r="G9" s="696" t="n"/>
      <c r="H9" s="1455" t="n"/>
      <c r="I9" s="695" t="n"/>
      <c r="J9" s="333" t="n"/>
      <c r="K9" s="333" t="n"/>
      <c r="L9" s="333" t="n"/>
      <c r="M9" s="333" t="n"/>
      <c r="N9" s="333" t="n"/>
      <c r="O9" s="1379">
        <f>BIBLE!E153</f>
        <v/>
      </c>
      <c r="P9" s="711">
        <f>BIBLE!F153</f>
        <v/>
      </c>
      <c r="Q9" s="1380">
        <f>BIBLE!U153</f>
        <v/>
      </c>
    </row>
    <row r="10" ht="17" customHeight="1" thickBot="1">
      <c r="A10" s="2002" t="n"/>
      <c r="B10" s="898" t="n"/>
      <c r="C10" s="2002" t="n"/>
      <c r="D10" s="898" t="n"/>
      <c r="G10" s="2073" t="n"/>
      <c r="H10" s="2066" t="n"/>
      <c r="I10" s="683" t="n"/>
      <c r="O10" s="545" t="n"/>
      <c r="P10" s="2059" t="n"/>
      <c r="Q10" s="1381" t="n"/>
    </row>
    <row r="11" ht="56" customHeight="1">
      <c r="A11" s="2002" t="n"/>
      <c r="B11" s="898" t="inlineStr">
        <is>
          <t>x</t>
        </is>
      </c>
      <c r="C11" s="2002" t="n"/>
      <c r="D11" s="898" t="n"/>
      <c r="E11" s="899" t="n"/>
      <c r="F11" s="896" t="inlineStr">
        <is>
          <t>Abandon de la famille</t>
        </is>
      </c>
      <c r="G11" s="694">
        <f>BIBLE!E83</f>
        <v/>
      </c>
      <c r="H11" s="1454">
        <f>BIBLE!F83</f>
        <v/>
      </c>
      <c r="I11" s="739">
        <f>BIBLE!U83</f>
        <v/>
      </c>
      <c r="J11" s="709" t="n"/>
      <c r="K11" s="709" t="n"/>
      <c r="L11" s="709" t="n"/>
      <c r="M11" s="709" t="n"/>
      <c r="N11" s="709" t="n"/>
      <c r="O11" s="1375">
        <f>BIBLE!E158</f>
        <v/>
      </c>
      <c r="P11" s="1376">
        <f>BIBLE!F158</f>
        <v/>
      </c>
      <c r="Q11" s="1382">
        <f>BIBLE!U158</f>
        <v/>
      </c>
    </row>
    <row r="12" ht="61" customHeight="1" thickBot="1">
      <c r="A12" s="2002" t="n"/>
      <c r="B12" s="898" t="n"/>
      <c r="C12" s="2002" t="n"/>
      <c r="D12" s="898" t="inlineStr">
        <is>
          <t>x</t>
        </is>
      </c>
      <c r="E12" s="899" t="n"/>
      <c r="F12" s="332" t="n"/>
      <c r="G12" s="730">
        <f>BIBLE!E84</f>
        <v/>
      </c>
      <c r="H12" s="1456">
        <f>BIBLE!F84</f>
        <v/>
      </c>
      <c r="I12" s="731">
        <f>BIBLE!U84</f>
        <v/>
      </c>
      <c r="J12" s="333" t="n"/>
      <c r="K12" s="333" t="n"/>
      <c r="L12" s="333" t="n"/>
      <c r="M12" s="333" t="n"/>
      <c r="N12" s="333" t="n"/>
      <c r="O12" s="333" t="n"/>
      <c r="P12" s="333" t="n"/>
      <c r="Q12" s="334" t="n"/>
    </row>
    <row r="13" ht="17" customHeight="1" thickBot="1">
      <c r="A13" s="2002" t="n"/>
      <c r="B13" s="898" t="n"/>
      <c r="C13" s="2002" t="n"/>
      <c r="D13" s="898" t="n"/>
      <c r="G13" s="2073" t="n"/>
      <c r="H13" s="2066" t="n"/>
      <c r="I13" s="683" t="n"/>
    </row>
    <row r="14" ht="64" customHeight="1" thickBot="1">
      <c r="A14" s="2002" t="n"/>
      <c r="B14" s="898" t="n"/>
      <c r="C14" s="2002" t="n"/>
      <c r="D14" s="898" t="inlineStr">
        <is>
          <t>x</t>
        </is>
      </c>
      <c r="E14" s="899" t="n"/>
      <c r="F14" s="712" t="inlineStr">
        <is>
          <t>Accusation de maladie mentale et dangerosité</t>
        </is>
      </c>
      <c r="G14" s="693">
        <f>BIBLE!E85</f>
        <v/>
      </c>
      <c r="H14" s="1457">
        <f>BIBLE!F85</f>
        <v/>
      </c>
      <c r="I14" s="713">
        <f>BIBLE!U85</f>
        <v/>
      </c>
      <c r="J14" s="700" t="n"/>
      <c r="K14" s="700" t="n"/>
      <c r="L14" s="700" t="n"/>
      <c r="M14" s="700" t="n"/>
      <c r="N14" s="700" t="n"/>
      <c r="O14" s="1383">
        <f>BIBLE!E159</f>
        <v/>
      </c>
      <c r="P14" s="1384">
        <f>BIBLE!F159</f>
        <v/>
      </c>
      <c r="Q14" s="1385">
        <f>BIBLE!U159</f>
        <v/>
      </c>
    </row>
    <row r="15" ht="17" customHeight="1" thickBot="1">
      <c r="A15" s="2002" t="n"/>
      <c r="B15" s="898" t="n"/>
      <c r="C15" s="2002" t="n"/>
      <c r="D15" s="898" t="n"/>
      <c r="F15" s="734" t="n"/>
      <c r="G15" s="701" t="n"/>
      <c r="H15" s="734" t="n"/>
      <c r="I15" s="699" t="n"/>
      <c r="J15" s="700" t="n"/>
      <c r="K15" s="700" t="n"/>
      <c r="L15" s="700" t="n"/>
      <c r="M15" s="700" t="n"/>
      <c r="N15" s="700" t="n"/>
      <c r="O15" s="1387" t="n"/>
      <c r="P15" s="1386" t="n"/>
      <c r="Q15" s="1388" t="n"/>
    </row>
    <row r="16" ht="69" customHeight="1" thickBot="1">
      <c r="A16" s="2002" t="n"/>
      <c r="B16" s="898" t="n"/>
      <c r="C16" s="2002" t="n"/>
      <c r="D16" s="898" t="inlineStr">
        <is>
          <t>x</t>
        </is>
      </c>
      <c r="E16" s="899" t="n"/>
      <c r="F16" s="712" t="inlineStr">
        <is>
          <t>Manque de sécurité</t>
        </is>
      </c>
      <c r="G16" s="714">
        <f>BIBLE!E86</f>
        <v/>
      </c>
      <c r="H16" s="1458">
        <f>BIBLE!F86</f>
        <v/>
      </c>
      <c r="I16" s="713">
        <f>BIBLE!U86</f>
        <v/>
      </c>
      <c r="J16" s="700" t="n"/>
      <c r="K16" s="1389">
        <f>BIBLE!E217</f>
        <v/>
      </c>
      <c r="L16" s="1390">
        <f>BIBLE!F217</f>
        <v/>
      </c>
      <c r="M16" s="713">
        <f>BIBLE!U217</f>
        <v/>
      </c>
      <c r="N16" s="700" t="n"/>
      <c r="O16" s="1383">
        <f>BIBLE!E160</f>
        <v/>
      </c>
      <c r="P16" s="1384">
        <f>BIBLE!F160</f>
        <v/>
      </c>
      <c r="Q16" s="1385">
        <f>BIBLE!U160</f>
        <v/>
      </c>
    </row>
    <row r="17" ht="17" customHeight="1" thickBot="1">
      <c r="A17" s="2002" t="n"/>
      <c r="B17" s="898" t="n"/>
      <c r="C17" s="2002" t="n"/>
      <c r="D17" s="898" t="n"/>
      <c r="F17" s="778" t="n"/>
      <c r="G17" s="692" t="n"/>
      <c r="H17" s="778" t="n"/>
      <c r="I17" s="732" t="n"/>
      <c r="K17" s="2073" t="n"/>
      <c r="L17" s="2059" t="n"/>
      <c r="M17" s="683" t="n"/>
      <c r="O17" s="545" t="n"/>
      <c r="P17" s="2059" t="n"/>
      <c r="Q17" s="1381" t="n"/>
    </row>
    <row r="18" ht="51" customHeight="1">
      <c r="A18" s="2002" t="n"/>
      <c r="B18" s="898" t="n"/>
      <c r="C18" s="2002" t="n"/>
      <c r="D18" s="898" t="inlineStr">
        <is>
          <t>x</t>
        </is>
      </c>
      <c r="E18" s="899" t="n"/>
      <c r="F18" s="706" t="inlineStr">
        <is>
          <t>Modifications des faits et souvenirs</t>
        </is>
      </c>
      <c r="G18" s="694">
        <f>BIBLE!E87</f>
        <v/>
      </c>
      <c r="H18" s="1454">
        <f>BIBLE!F87</f>
        <v/>
      </c>
      <c r="I18" s="739">
        <f>BIBLE!U87</f>
        <v/>
      </c>
      <c r="J18" s="709" t="n"/>
      <c r="K18" s="709" t="n"/>
      <c r="L18" s="709" t="n"/>
      <c r="M18" s="709" t="n"/>
      <c r="N18" s="709" t="n"/>
      <c r="O18" s="709" t="n"/>
      <c r="P18" s="709" t="n"/>
      <c r="Q18" s="1392" t="n"/>
    </row>
    <row r="19" ht="69" customHeight="1" thickBot="1">
      <c r="A19" s="2002" t="n"/>
      <c r="B19" s="898" t="n"/>
      <c r="C19" s="2002" t="n"/>
      <c r="D19" s="898" t="inlineStr">
        <is>
          <t>x</t>
        </is>
      </c>
      <c r="E19" s="900" t="n"/>
      <c r="F19" s="710" t="n"/>
      <c r="G19" s="730">
        <f>BIBLE!E88</f>
        <v/>
      </c>
      <c r="H19" s="1456">
        <f>BIBLE!F88</f>
        <v/>
      </c>
      <c r="I19" s="731">
        <f>BIBLE!U88</f>
        <v/>
      </c>
      <c r="J19" s="333" t="n"/>
      <c r="K19" s="333" t="n"/>
      <c r="L19" s="333" t="n"/>
      <c r="M19" s="333" t="n"/>
      <c r="N19" s="333" t="n"/>
      <c r="O19" s="1393">
        <f>BIBLE!E182</f>
        <v/>
      </c>
      <c r="P19" s="711">
        <f>BIBLE!F182</f>
        <v/>
      </c>
      <c r="Q19" s="779">
        <f>BIBLE!U182</f>
        <v/>
      </c>
    </row>
    <row r="20" ht="17" customHeight="1" thickBot="1">
      <c r="A20" s="2002" t="n"/>
      <c r="B20" s="898" t="n"/>
      <c r="C20" s="2002" t="n"/>
      <c r="D20" s="898" t="n"/>
      <c r="G20" s="2073" t="n"/>
      <c r="H20" s="2066" t="n"/>
      <c r="I20" s="683" t="n"/>
    </row>
    <row r="21" ht="68" customHeight="1">
      <c r="A21" s="2002" t="n"/>
      <c r="B21" s="898" t="inlineStr">
        <is>
          <t>x</t>
        </is>
      </c>
      <c r="C21" s="2002" t="n"/>
      <c r="D21" s="898" t="inlineStr">
        <is>
          <t>x</t>
        </is>
      </c>
      <c r="E21" s="899" t="n"/>
      <c r="F21" s="706" t="inlineStr">
        <is>
          <t>Culpabilise l'enfant de son amour envers vous</t>
        </is>
      </c>
      <c r="G21" s="694">
        <f>BIBLE!E89</f>
        <v/>
      </c>
      <c r="H21" s="1454">
        <f>BIBLE!F89</f>
        <v/>
      </c>
      <c r="I21" s="1394">
        <f>BIBLE!U89</f>
        <v/>
      </c>
      <c r="J21" s="709" t="n"/>
      <c r="K21" s="709" t="n"/>
      <c r="L21" s="709" t="n"/>
      <c r="M21" s="709" t="n"/>
      <c r="N21" s="709" t="n"/>
      <c r="O21" s="1375">
        <f>BIBLE!E161</f>
        <v/>
      </c>
      <c r="P21" s="1376">
        <f>BIBLE!F161</f>
        <v/>
      </c>
      <c r="Q21" s="1395">
        <f>BIBLE!U161</f>
        <v/>
      </c>
    </row>
    <row r="22" ht="51" customHeight="1">
      <c r="A22" s="2002" t="n"/>
      <c r="B22" s="898" t="n"/>
      <c r="C22" s="2002" t="n"/>
      <c r="D22" s="898" t="inlineStr">
        <is>
          <t>x</t>
        </is>
      </c>
      <c r="E22" s="899" t="n"/>
      <c r="F22" s="765" t="n"/>
      <c r="G22" s="555">
        <f>BIBLE!E90</f>
        <v/>
      </c>
      <c r="H22" s="799">
        <f>BIBLE!F90</f>
        <v/>
      </c>
      <c r="I22" s="1396">
        <f>BIBLE!U90</f>
        <v/>
      </c>
      <c r="O22" s="545" t="n"/>
      <c r="P22" s="2059" t="n"/>
      <c r="Q22" s="1397" t="n"/>
    </row>
    <row r="23" ht="46" customHeight="1" thickBot="1">
      <c r="A23" s="2002" t="n"/>
      <c r="B23" s="898" t="n"/>
      <c r="C23" s="2002" t="n"/>
      <c r="D23" s="898" t="inlineStr">
        <is>
          <t>x</t>
        </is>
      </c>
      <c r="E23" s="899" t="n"/>
      <c r="F23" s="710" t="n"/>
      <c r="G23" s="730">
        <f>BIBLE!E91</f>
        <v/>
      </c>
      <c r="H23" s="1456">
        <f>BIBLE!F91</f>
        <v/>
      </c>
      <c r="I23" s="1398">
        <f>BIBLE!U91</f>
        <v/>
      </c>
      <c r="J23" s="333" t="n"/>
      <c r="K23" s="333" t="n"/>
      <c r="L23" s="333" t="n"/>
      <c r="M23" s="333" t="n"/>
      <c r="N23" s="333" t="n"/>
      <c r="O23" s="720" t="n"/>
      <c r="P23" s="1378" t="n"/>
      <c r="Q23" s="1399" t="n"/>
    </row>
    <row r="24" ht="17" customHeight="1" thickBot="1">
      <c r="A24" s="2002" t="n"/>
      <c r="B24" s="898" t="n"/>
      <c r="C24" s="2002" t="n"/>
      <c r="D24" s="898" t="n"/>
      <c r="G24" s="2073" t="n"/>
      <c r="H24" s="2066" t="n"/>
      <c r="I24" s="1381" t="n"/>
    </row>
    <row r="25" ht="68" customHeight="1">
      <c r="A25" s="2002" t="n"/>
      <c r="B25" s="898" t="n"/>
      <c r="C25" s="2002" t="inlineStr">
        <is>
          <t>x</t>
        </is>
      </c>
      <c r="D25" s="898" t="n"/>
      <c r="E25" s="899" t="n"/>
      <c r="F25" s="706" t="inlineStr">
        <is>
          <t>Intervention à la suite d'un retour de garde</t>
        </is>
      </c>
      <c r="G25" s="694">
        <f>BIBLE!E92</f>
        <v/>
      </c>
      <c r="H25" s="1454">
        <f>BIBLE!F92</f>
        <v/>
      </c>
      <c r="I25" s="1394">
        <f>BIBLE!U92</f>
        <v/>
      </c>
      <c r="J25" s="709" t="n"/>
      <c r="K25" s="709" t="n"/>
      <c r="L25" s="709" t="n"/>
      <c r="M25" s="709" t="n"/>
      <c r="N25" s="709" t="n"/>
      <c r="O25" s="1375">
        <f>BIBLE!E188</f>
        <v/>
      </c>
      <c r="P25" s="1376">
        <f>BIBLE!F188</f>
        <v/>
      </c>
      <c r="Q25" s="1400">
        <f>BIBLE!U188</f>
        <v/>
      </c>
      <c r="R25" s="709" t="n"/>
      <c r="S25" s="905">
        <f>BIBLE!E56</f>
        <v/>
      </c>
      <c r="T25" s="1467">
        <f>BIBLE!F56</f>
        <v/>
      </c>
      <c r="U25" s="719">
        <f>BIBLE!U56</f>
        <v/>
      </c>
    </row>
    <row r="26" ht="52" customHeight="1" thickBot="1">
      <c r="A26" s="2002" t="n"/>
      <c r="B26" s="898" t="inlineStr">
        <is>
          <t>x</t>
        </is>
      </c>
      <c r="C26" s="2002" t="inlineStr">
        <is>
          <t>x</t>
        </is>
      </c>
      <c r="D26" s="898" t="inlineStr">
        <is>
          <t>x</t>
        </is>
      </c>
      <c r="E26" s="899" t="n"/>
      <c r="F26" s="710" t="n"/>
      <c r="G26" s="696" t="n"/>
      <c r="H26" s="1455" t="n"/>
      <c r="I26" s="1401" t="n"/>
      <c r="J26" s="333" t="n"/>
      <c r="K26" s="333" t="n"/>
      <c r="L26" s="333" t="n"/>
      <c r="M26" s="333" t="n"/>
      <c r="N26" s="333" t="n"/>
      <c r="O26" s="1379">
        <f>BIBLE!E190</f>
        <v/>
      </c>
      <c r="P26" s="711">
        <f>BIBLE!F190</f>
        <v/>
      </c>
      <c r="Q26" s="1402">
        <f>BIBLE!U190</f>
        <v/>
      </c>
      <c r="R26" s="333" t="n"/>
      <c r="S26" s="333" t="n"/>
      <c r="T26" s="333" t="n"/>
      <c r="U26" s="334" t="n"/>
    </row>
    <row r="27" ht="17" customHeight="1" thickBot="1">
      <c r="A27" s="2002" t="n"/>
      <c r="B27" s="898" t="n"/>
      <c r="C27" s="2002" t="n"/>
      <c r="D27" s="898" t="n"/>
      <c r="G27" s="2073" t="n"/>
      <c r="H27" s="2066" t="n"/>
      <c r="I27" s="1381" t="n"/>
      <c r="K27" s="2073" t="n"/>
      <c r="L27" s="2059" t="n"/>
      <c r="M27" s="1381" t="n"/>
      <c r="O27" s="545" t="n"/>
      <c r="P27" s="2059" t="n"/>
      <c r="Q27" s="1381" t="n"/>
    </row>
    <row r="28" ht="51" customHeight="1">
      <c r="A28" s="2002" t="n"/>
      <c r="B28" s="898" t="inlineStr">
        <is>
          <t>x</t>
        </is>
      </c>
      <c r="C28" s="2002" t="inlineStr">
        <is>
          <t>x</t>
        </is>
      </c>
      <c r="D28" s="898" t="n"/>
      <c r="E28" s="899" t="n"/>
      <c r="F28" s="706" t="inlineStr">
        <is>
          <t>Réaction en présence des deux parents</t>
        </is>
      </c>
      <c r="G28" s="694">
        <f>BIBLE!E94</f>
        <v/>
      </c>
      <c r="H28" s="1454">
        <f>BIBLE!F94</f>
        <v/>
      </c>
      <c r="I28" s="1394">
        <f>BIBLE!U94</f>
        <v/>
      </c>
      <c r="J28" s="709" t="n"/>
      <c r="K28" s="1403">
        <f>BIBLE!E218</f>
        <v/>
      </c>
      <c r="L28" s="1404" t="inlineStr">
        <is>
          <t>Dans quelle mesure le nouveau ou nouvelle conjoint·e vous ignore lorsqu’il vous croise à l’école, lors des changements de garde ou lors d'événements sportifs?</t>
        </is>
      </c>
      <c r="M28" s="1394" t="inlineStr">
        <is>
          <t>C: Chantage affectif, loyauté, manipulation</t>
        </is>
      </c>
      <c r="N28" s="709" t="n"/>
      <c r="O28" s="1375">
        <f>BIBLE!E164</f>
        <v/>
      </c>
      <c r="P28" s="1376">
        <f>BIBLE!F164</f>
        <v/>
      </c>
      <c r="Q28" s="1394">
        <f>BIBLE!U164</f>
        <v/>
      </c>
      <c r="R28" s="709" t="n"/>
      <c r="S28" s="1405">
        <f>BIBLE!E54</f>
        <v/>
      </c>
      <c r="T28" s="1467">
        <f>BIBLE!F54</f>
        <v/>
      </c>
      <c r="U28" s="754">
        <f>BIBLE!U54</f>
        <v/>
      </c>
    </row>
    <row r="29" ht="56" customHeight="1" thickBot="1">
      <c r="A29" s="2002" t="n"/>
      <c r="B29" s="898" t="inlineStr">
        <is>
          <t>x</t>
        </is>
      </c>
      <c r="C29" s="2002" t="n"/>
      <c r="D29" s="898" t="n"/>
      <c r="E29" s="899" t="n"/>
      <c r="F29" s="710" t="n"/>
      <c r="G29" s="696" t="n"/>
      <c r="H29" s="1455" t="n"/>
      <c r="I29" s="1401" t="n"/>
      <c r="J29" s="333" t="n"/>
      <c r="K29" s="696" t="n"/>
      <c r="L29" s="1378" t="n"/>
      <c r="M29" s="1401" t="n"/>
      <c r="N29" s="333" t="n"/>
      <c r="O29" s="1406">
        <f>BIBLE!E187</f>
        <v/>
      </c>
      <c r="P29" s="1407">
        <f>BIBLE!F187</f>
        <v/>
      </c>
      <c r="Q29" s="1402">
        <f>BIBLE!U187</f>
        <v/>
      </c>
      <c r="R29" s="333" t="n"/>
      <c r="S29" s="720" t="n"/>
      <c r="T29" s="1455" t="n"/>
      <c r="U29" s="721" t="n"/>
    </row>
    <row r="30" ht="17" customHeight="1" thickBot="1">
      <c r="A30" s="2002" t="n"/>
      <c r="B30" s="898" t="n"/>
      <c r="C30" s="2002" t="n"/>
      <c r="D30" s="898" t="n"/>
    </row>
    <row r="31" ht="51" customHeight="1">
      <c r="A31" s="2002" t="n"/>
      <c r="B31" s="898" t="n"/>
      <c r="C31" s="2002" t="inlineStr">
        <is>
          <t>x</t>
        </is>
      </c>
      <c r="D31" s="898" t="inlineStr">
        <is>
          <t>x</t>
        </is>
      </c>
      <c r="E31" s="899" t="n"/>
      <c r="F31" s="706" t="inlineStr">
        <is>
          <t>Dénigre l'autre</t>
        </is>
      </c>
      <c r="G31" s="694">
        <f>BIBLE!E98</f>
        <v/>
      </c>
      <c r="H31" s="1454">
        <f>BIBLE!F98</f>
        <v/>
      </c>
      <c r="I31" s="717">
        <f>BIBLE!U98</f>
        <v/>
      </c>
      <c r="J31" s="709" t="n"/>
      <c r="K31" s="1403">
        <f>BIBLE!E221</f>
        <v/>
      </c>
      <c r="L31" s="1465">
        <f>BIBLE!F221</f>
        <v/>
      </c>
      <c r="M31" s="1408">
        <f>BIBLE!U221</f>
        <v/>
      </c>
      <c r="N31" s="709" t="n"/>
      <c r="O31" s="1375">
        <f>BIBLE!E165</f>
        <v/>
      </c>
      <c r="P31" s="1376">
        <f>BIBLE!F165</f>
        <v/>
      </c>
      <c r="Q31" s="1408">
        <f>BIBLE!U165</f>
        <v/>
      </c>
      <c r="R31" s="709" t="n"/>
      <c r="S31" s="1405">
        <f>BIBLE!E58</f>
        <v/>
      </c>
      <c r="T31" s="1467">
        <f>BIBLE!F58</f>
        <v/>
      </c>
      <c r="U31" s="719">
        <f>BIBLE!U58</f>
        <v/>
      </c>
    </row>
    <row r="32" ht="52" customHeight="1" thickBot="1">
      <c r="A32" s="2002" t="n"/>
      <c r="B32" s="898" t="n"/>
      <c r="C32" s="2002" t="n"/>
      <c r="D32" s="898" t="inlineStr">
        <is>
          <t>x</t>
        </is>
      </c>
      <c r="E32" s="899" t="n"/>
      <c r="F32" s="710" t="n"/>
      <c r="G32" s="696" t="n"/>
      <c r="H32" s="1455" t="n"/>
      <c r="I32" s="695" t="n"/>
      <c r="J32" s="333" t="n"/>
      <c r="K32" s="1409">
        <f>BIBLE!E220</f>
        <v/>
      </c>
      <c r="L32" s="1466">
        <f>BIBLE!F220</f>
        <v/>
      </c>
      <c r="M32" s="1411">
        <f>BIBLE!U220</f>
        <v/>
      </c>
      <c r="N32" s="333" t="n"/>
      <c r="O32" s="720" t="n"/>
      <c r="P32" s="1378" t="n"/>
      <c r="Q32" s="1401" t="n"/>
      <c r="R32" s="333" t="n"/>
      <c r="S32" s="720" t="n"/>
      <c r="T32" s="1455" t="n"/>
      <c r="U32" s="721" t="n"/>
    </row>
    <row r="33" ht="18" customHeight="1" thickBot="1">
      <c r="A33" s="2002" t="n"/>
      <c r="B33" s="898" t="n"/>
      <c r="C33" s="2002" t="n"/>
      <c r="D33" s="898" t="n"/>
      <c r="G33" s="2073" t="n"/>
      <c r="H33" s="2066" t="n"/>
      <c r="I33" s="683" t="n"/>
      <c r="K33" s="2073" t="n"/>
      <c r="L33" s="2059" t="n"/>
      <c r="M33" s="1381" t="n"/>
      <c r="O33" s="545" t="n"/>
      <c r="P33" s="2059" t="n"/>
      <c r="Q33" s="1381" t="n"/>
      <c r="S33" s="545" t="n"/>
      <c r="T33" s="2066" t="n"/>
      <c r="U33" s="684" t="n"/>
    </row>
    <row r="34" ht="64" customHeight="1">
      <c r="A34" s="2002" t="n"/>
      <c r="B34" s="898" t="n"/>
      <c r="C34" s="2002" t="inlineStr">
        <is>
          <t>x</t>
        </is>
      </c>
      <c r="D34" s="898" t="inlineStr">
        <is>
          <t>x</t>
        </is>
      </c>
      <c r="E34" s="899" t="n"/>
      <c r="F34" s="706" t="inlineStr">
        <is>
          <t>Dénigre la nouvelle famille</t>
        </is>
      </c>
      <c r="G34" s="694">
        <f>BIBLE!E102</f>
        <v/>
      </c>
      <c r="H34" s="1454">
        <f>BIBLE!F102</f>
        <v/>
      </c>
      <c r="I34" s="717">
        <f>BIBLE!U102</f>
        <v/>
      </c>
      <c r="J34" s="709" t="n"/>
      <c r="K34" s="1403">
        <f>BIBLE!E222</f>
        <v/>
      </c>
      <c r="L34" s="1465">
        <f>BIBLE!F222</f>
        <v/>
      </c>
      <c r="M34" s="1408">
        <f>BIBLE!U222</f>
        <v/>
      </c>
      <c r="N34" s="709" t="n"/>
      <c r="O34" s="1375">
        <f>BIBLE!E166</f>
        <v/>
      </c>
      <c r="P34" s="1376">
        <f>BIBLE!F166</f>
        <v/>
      </c>
      <c r="Q34" s="1412">
        <f>BIBLE!U166</f>
        <v/>
      </c>
    </row>
    <row r="35" ht="64" customHeight="1" thickBot="1">
      <c r="A35" s="2002" t="n"/>
      <c r="B35" s="898" t="n"/>
      <c r="C35" s="2002" t="inlineStr">
        <is>
          <t>x</t>
        </is>
      </c>
      <c r="D35" s="898" t="inlineStr">
        <is>
          <t>x</t>
        </is>
      </c>
      <c r="E35" s="899" t="n"/>
      <c r="F35" s="710" t="n"/>
      <c r="G35" s="776">
        <f>BIBLE!E141</f>
        <v/>
      </c>
      <c r="H35" s="1459">
        <f>BIBLE!F141</f>
        <v/>
      </c>
      <c r="I35" s="777">
        <f>BIBLE!U141</f>
        <v/>
      </c>
      <c r="J35" s="333" t="n"/>
      <c r="K35" s="696" t="n"/>
      <c r="L35" s="1378" t="n"/>
      <c r="M35" s="1401" t="n"/>
      <c r="N35" s="333" t="n"/>
      <c r="O35" s="720" t="n"/>
      <c r="P35" s="1378" t="n"/>
      <c r="Q35" s="1399" t="n"/>
    </row>
    <row r="36" ht="17" customHeight="1" thickBot="1">
      <c r="A36" s="2002" t="n"/>
      <c r="B36" s="898" t="n"/>
      <c r="C36" s="2002" t="n"/>
      <c r="D36" s="898" t="n"/>
      <c r="G36" s="2073" t="n"/>
      <c r="H36" s="2066" t="n"/>
      <c r="I36" s="683" t="n"/>
      <c r="K36" s="2073" t="n"/>
      <c r="L36" s="2059" t="n"/>
      <c r="M36" s="1381" t="n"/>
      <c r="O36" s="545" t="n"/>
      <c r="P36" s="2059" t="n"/>
      <c r="Q36" s="1381" t="n"/>
    </row>
    <row r="37" ht="67" customHeight="1" thickBot="1">
      <c r="A37" s="2002" t="n"/>
      <c r="B37" s="898" t="n"/>
      <c r="C37" s="2002" t="n"/>
      <c r="D37" s="898" t="inlineStr">
        <is>
          <t>x</t>
        </is>
      </c>
      <c r="E37" s="899" t="n"/>
      <c r="F37" s="706" t="inlineStr">
        <is>
          <t>La nouvelle famille est "LA vraie"</t>
        </is>
      </c>
      <c r="G37" s="693">
        <f>BIBLE!E103</f>
        <v/>
      </c>
      <c r="H37" s="1457">
        <f>BIBLE!F103</f>
        <v/>
      </c>
      <c r="I37" s="717">
        <f>BIBLE!U103</f>
        <v/>
      </c>
      <c r="J37" s="709" t="n"/>
      <c r="K37" s="709" t="n"/>
      <c r="L37" s="709" t="n"/>
      <c r="M37" s="709" t="n"/>
      <c r="N37" s="709" t="n"/>
      <c r="O37" s="1375">
        <f>BIBLE!E167</f>
        <v/>
      </c>
      <c r="P37" s="1376">
        <f>BIBLE!F167</f>
        <v/>
      </c>
      <c r="Q37" s="1412">
        <f>BIBLE!U167</f>
        <v/>
      </c>
    </row>
    <row r="38" ht="61" customHeight="1" thickBot="1">
      <c r="A38" s="2002" t="n"/>
      <c r="B38" s="898" t="n"/>
      <c r="C38" s="2002" t="n"/>
      <c r="D38" s="898" t="inlineStr">
        <is>
          <t>x</t>
        </is>
      </c>
      <c r="E38" s="899" t="n"/>
      <c r="F38" s="710" t="n"/>
      <c r="G38" s="333" t="n"/>
      <c r="H38" s="333" t="n"/>
      <c r="I38" s="333" t="n"/>
      <c r="J38" s="333" t="n"/>
      <c r="K38" s="333" t="n"/>
      <c r="L38" s="333" t="n"/>
      <c r="M38" s="333" t="n"/>
      <c r="N38" s="333" t="n"/>
      <c r="O38" s="1393">
        <f>BIBLE!E168</f>
        <v/>
      </c>
      <c r="P38" s="711">
        <f>BIBLE!F168</f>
        <v/>
      </c>
      <c r="Q38" s="1413">
        <f>BIBLE!U168</f>
        <v/>
      </c>
    </row>
    <row r="39" ht="15" customHeight="1" thickBot="1">
      <c r="A39" s="2002" t="n"/>
      <c r="B39" s="898" t="n"/>
      <c r="C39" s="2002" t="n"/>
      <c r="D39" s="898" t="n"/>
      <c r="O39" s="545" t="n"/>
      <c r="P39" s="2059" t="n"/>
      <c r="Q39" s="1381" t="n"/>
    </row>
    <row r="40" ht="61" customHeight="1">
      <c r="A40" s="2002" t="n"/>
      <c r="B40" s="898" t="n"/>
      <c r="C40" s="2002" t="inlineStr">
        <is>
          <t>x</t>
        </is>
      </c>
      <c r="D40" s="898" t="inlineStr">
        <is>
          <t>x</t>
        </is>
      </c>
      <c r="E40" s="900" t="n"/>
      <c r="F40" s="706" t="inlineStr">
        <is>
          <t>Le nouveau ou la nouvelle conjoint.e se fait appeler "papa" ou "maman"</t>
        </is>
      </c>
      <c r="G40" s="694">
        <f>BIBLE!E104</f>
        <v/>
      </c>
      <c r="H40" s="1454">
        <f>BIBLE!F104</f>
        <v/>
      </c>
      <c r="I40" s="717">
        <f>BIBLE!U104</f>
        <v/>
      </c>
      <c r="J40" s="709" t="n"/>
      <c r="K40" s="1403">
        <f>BIBLE!E230</f>
        <v/>
      </c>
      <c r="L40" s="1404">
        <f>BIBLE!F230</f>
        <v/>
      </c>
      <c r="M40" s="1432">
        <f>BIBLE!U230</f>
        <v/>
      </c>
      <c r="N40" s="709" t="n"/>
      <c r="O40" s="1375">
        <f>BIBLE!E177</f>
        <v/>
      </c>
      <c r="P40" s="1376">
        <f>BIBLE!F177</f>
        <v/>
      </c>
      <c r="Q40" s="1812">
        <f>BIBLE!U177</f>
        <v/>
      </c>
    </row>
    <row r="41" ht="61" customHeight="1" thickBot="1">
      <c r="A41" s="2002" t="n"/>
      <c r="B41" s="898" t="n"/>
      <c r="C41" s="2002" t="n"/>
      <c r="D41" s="898" t="n"/>
      <c r="E41" s="900" t="n"/>
      <c r="F41" s="710" t="n"/>
      <c r="G41" s="776" t="n"/>
      <c r="H41" s="1459" t="n"/>
      <c r="I41" s="1813" t="n"/>
      <c r="J41" s="333" t="n"/>
      <c r="K41" s="1409" t="n"/>
      <c r="L41" s="1410" t="n"/>
      <c r="M41" s="1431" t="n"/>
      <c r="N41" s="333" t="n"/>
      <c r="O41" s="1406">
        <f>BIBLE!E178</f>
        <v/>
      </c>
      <c r="P41" s="1407">
        <f>BIBLE!F178</f>
        <v/>
      </c>
      <c r="Q41" s="1814">
        <f>BIBLE!U178</f>
        <v/>
      </c>
    </row>
    <row r="42" ht="19" customHeight="1" thickBot="1">
      <c r="A42" s="2002" t="n"/>
      <c r="B42" s="898" t="n"/>
      <c r="C42" s="2002" t="n"/>
      <c r="D42" s="898" t="n"/>
      <c r="E42" s="901" t="n"/>
      <c r="G42" s="2073" t="n"/>
      <c r="H42" s="2066" t="n"/>
      <c r="I42" s="683" t="n"/>
      <c r="K42" s="2073" t="n"/>
      <c r="L42" s="2059" t="n"/>
      <c r="M42" s="1381" t="n"/>
      <c r="O42" s="545" t="n"/>
      <c r="P42" s="2059" t="n"/>
      <c r="Q42" s="1381" t="n"/>
    </row>
    <row r="43" ht="85" customHeight="1">
      <c r="A43" s="2002" t="n"/>
      <c r="B43" s="898" t="n"/>
      <c r="C43" s="2002" t="inlineStr">
        <is>
          <t>x</t>
        </is>
      </c>
      <c r="D43" s="898" t="inlineStr">
        <is>
          <t>x</t>
        </is>
      </c>
      <c r="E43" s="899" t="n"/>
      <c r="F43" s="896" t="inlineStr">
        <is>
          <t>Changement d'horaire de l'enfant</t>
        </is>
      </c>
      <c r="G43" s="694">
        <f>BIBLE!E105</f>
        <v/>
      </c>
      <c r="H43" s="1454">
        <f>BIBLE!F105</f>
        <v/>
      </c>
      <c r="I43" s="724">
        <f>BIBLE!U105</f>
        <v/>
      </c>
      <c r="J43" s="709" t="n"/>
      <c r="K43" s="1403">
        <f>BIBLE!E223</f>
        <v/>
      </c>
      <c r="L43" s="1404">
        <f>BIBLE!F223</f>
        <v/>
      </c>
      <c r="M43" s="724">
        <f>BIBLE!U223</f>
        <v/>
      </c>
      <c r="N43" s="709" t="n"/>
      <c r="O43" s="1375">
        <f>BIBLE!E171</f>
        <v/>
      </c>
      <c r="P43" s="1376">
        <f>BIBLE!F171</f>
        <v/>
      </c>
      <c r="Q43" s="1416">
        <f>BIBLE!U171</f>
        <v/>
      </c>
      <c r="R43" s="709" t="n"/>
      <c r="S43" s="1405">
        <f>BIBLE!E64</f>
        <v/>
      </c>
      <c r="T43" s="1467">
        <f>BIBLE!F64</f>
        <v/>
      </c>
      <c r="U43" s="755">
        <f>BIBLE!U64</f>
        <v/>
      </c>
    </row>
    <row r="44" ht="52" customHeight="1" thickBot="1">
      <c r="A44" s="2002" t="n"/>
      <c r="B44" s="898" t="n"/>
      <c r="C44" s="2002" t="inlineStr">
        <is>
          <t>x</t>
        </is>
      </c>
      <c r="D44" s="898" t="inlineStr">
        <is>
          <t>x</t>
        </is>
      </c>
      <c r="E44" s="899" t="n"/>
      <c r="F44" s="332" t="n"/>
      <c r="G44" s="730">
        <f>BIBLE!E106</f>
        <v/>
      </c>
      <c r="H44" s="1456">
        <f>BIBLE!F106</f>
        <v/>
      </c>
      <c r="I44" s="735">
        <f>BIBLE!U106</f>
        <v/>
      </c>
      <c r="J44" s="333" t="n"/>
      <c r="K44" s="696" t="n"/>
      <c r="L44" s="1378" t="n"/>
      <c r="M44" s="695" t="n"/>
      <c r="N44" s="333" t="n"/>
      <c r="O44" s="1379">
        <f>BIBLE!E173</f>
        <v/>
      </c>
      <c r="P44" s="711">
        <f>BIBLE!F173</f>
        <v/>
      </c>
      <c r="Q44" s="1417">
        <f>BIBLE!U173</f>
        <v/>
      </c>
      <c r="R44" s="333" t="n"/>
      <c r="S44" s="1418" t="n"/>
      <c r="T44" s="1468" t="n"/>
      <c r="U44" s="820" t="n"/>
    </row>
    <row r="45" ht="17" customHeight="1" thickBot="1">
      <c r="A45" s="2002" t="n"/>
      <c r="B45" s="898" t="n"/>
      <c r="C45" s="2002" t="n"/>
      <c r="D45" s="898" t="n"/>
    </row>
    <row r="46" ht="51" customHeight="1">
      <c r="A46" s="2002" t="n"/>
      <c r="B46" s="898" t="n"/>
      <c r="C46" s="2002" t="n"/>
      <c r="D46" s="898" t="n"/>
      <c r="E46" s="899" t="n"/>
      <c r="F46" s="896" t="inlineStr">
        <is>
          <t>Organise des activités hors de sa garde</t>
        </is>
      </c>
      <c r="G46" s="736">
        <f>BIBLE!E107</f>
        <v/>
      </c>
      <c r="H46" s="1460">
        <f>BIBLE!F107</f>
        <v/>
      </c>
      <c r="I46" s="724">
        <f>BIBLE!U107</f>
        <v/>
      </c>
      <c r="J46" s="709" t="n"/>
      <c r="K46" s="1403">
        <f>BIBLE!E224</f>
        <v/>
      </c>
      <c r="L46" s="1404">
        <f>BIBLE!F224</f>
        <v/>
      </c>
      <c r="M46" s="724">
        <f>BIBLE!U224</f>
        <v/>
      </c>
      <c r="N46" s="709" t="n"/>
      <c r="O46" s="1420">
        <f>BIBLE!E174</f>
        <v/>
      </c>
      <c r="P46" s="1419">
        <f>BIBLE!F174</f>
        <v/>
      </c>
      <c r="Q46" s="1421">
        <f>BIBLE!U174</f>
        <v/>
      </c>
    </row>
    <row r="47" ht="52" customHeight="1" thickBot="1">
      <c r="A47" s="2002" t="n"/>
      <c r="B47" s="898" t="n"/>
      <c r="C47" s="2002" t="n"/>
      <c r="D47" s="898" t="n"/>
      <c r="E47" s="899" t="n"/>
      <c r="F47" s="332" t="n"/>
      <c r="G47" s="730">
        <f>BIBLE!E108</f>
        <v/>
      </c>
      <c r="H47" s="1456">
        <f>BIBLE!F108</f>
        <v/>
      </c>
      <c r="I47" s="735">
        <f>BIBLE!U108</f>
        <v/>
      </c>
      <c r="J47" s="333" t="n"/>
      <c r="K47" s="333" t="n"/>
      <c r="L47" s="333" t="n"/>
      <c r="M47" s="333" t="n"/>
      <c r="N47" s="333" t="n"/>
      <c r="O47" s="1379">
        <f>BIBLE!E175</f>
        <v/>
      </c>
      <c r="P47" s="711">
        <f>BIBLE!F175</f>
        <v/>
      </c>
      <c r="Q47" s="1422">
        <f>BIBLE!U175</f>
        <v/>
      </c>
    </row>
    <row r="48" ht="17" customHeight="1" thickBot="1">
      <c r="A48" s="2002" t="n"/>
      <c r="B48" s="898" t="n"/>
      <c r="C48" s="2002" t="n"/>
      <c r="D48" s="898" t="n"/>
      <c r="G48" s="2073" t="n"/>
      <c r="H48" s="2066" t="n"/>
      <c r="I48" s="683" t="n"/>
      <c r="K48" s="2073" t="n"/>
      <c r="L48" s="2059" t="n"/>
      <c r="M48" s="683" t="n"/>
      <c r="S48" s="2002" t="n"/>
      <c r="T48" s="2066" t="n"/>
      <c r="U48" s="684" t="n"/>
    </row>
    <row r="49" ht="69" customHeight="1" thickBot="1">
      <c r="A49" s="2002" t="n"/>
      <c r="B49" s="898" t="n"/>
      <c r="C49" s="2002" t="inlineStr">
        <is>
          <t>x</t>
        </is>
      </c>
      <c r="D49" s="898" t="inlineStr">
        <is>
          <t>x</t>
        </is>
      </c>
      <c r="E49" s="902" t="n"/>
      <c r="F49" s="712" t="inlineStr">
        <is>
          <t>Impose sa présence (appel, texto)</t>
        </is>
      </c>
      <c r="G49" s="693">
        <f>BIBLE!E110</f>
        <v/>
      </c>
      <c r="H49" s="1457">
        <f>BIBLE!F110</f>
        <v/>
      </c>
      <c r="I49" s="737">
        <f>BIBLE!U110</f>
        <v/>
      </c>
      <c r="J49" s="700" t="n"/>
      <c r="K49" s="1389">
        <f>BIBLE!E228</f>
        <v/>
      </c>
      <c r="L49" s="1390">
        <f>BIBLE!F228</f>
        <v/>
      </c>
      <c r="M49" s="737">
        <f>BIBLE!U228</f>
        <v/>
      </c>
      <c r="N49" s="700" t="n"/>
      <c r="O49" s="1414">
        <f>BIBLE!E191</f>
        <v/>
      </c>
      <c r="P49" s="1415">
        <f>BIBLE!F191</f>
        <v/>
      </c>
      <c r="Q49" s="1423">
        <f>BIBLE!U191</f>
        <v/>
      </c>
      <c r="R49" s="700" t="n"/>
      <c r="S49" s="1424">
        <f>BIBLE!E59</f>
        <v/>
      </c>
      <c r="T49" s="1469">
        <f>BIBLE!F59</f>
        <v/>
      </c>
      <c r="U49" s="756">
        <f>BIBLE!U59</f>
        <v/>
      </c>
    </row>
    <row r="50" ht="17" customHeight="1" thickBot="1">
      <c r="A50" s="2002" t="n"/>
      <c r="B50" s="898" t="n"/>
      <c r="C50" s="2002" t="n"/>
      <c r="D50" s="898" t="n"/>
      <c r="E50" s="13" t="n"/>
    </row>
    <row r="51" ht="51" customHeight="1">
      <c r="A51" s="2002" t="n"/>
      <c r="B51" s="898" t="n"/>
      <c r="C51" s="2002" t="inlineStr">
        <is>
          <t>x</t>
        </is>
      </c>
      <c r="D51" s="898" t="inlineStr">
        <is>
          <t>x</t>
        </is>
      </c>
      <c r="E51" s="903" t="n"/>
      <c r="F51" s="896" t="inlineStr">
        <is>
          <t>Contrôle des communications</t>
        </is>
      </c>
      <c r="G51" s="694">
        <f>BIBLE!E113</f>
        <v/>
      </c>
      <c r="H51" s="1454">
        <f>BIBLE!F113</f>
        <v/>
      </c>
      <c r="I51" s="724">
        <f>BIBLE!U113</f>
        <v/>
      </c>
      <c r="J51" s="709" t="n"/>
      <c r="K51" s="709" t="n"/>
      <c r="L51" s="709" t="n"/>
      <c r="M51" s="709" t="n"/>
      <c r="N51" s="709" t="n"/>
      <c r="O51" s="1375">
        <f>BIBLE!E176</f>
        <v/>
      </c>
      <c r="P51" s="1376">
        <f>BIBLE!F176</f>
        <v/>
      </c>
      <c r="Q51" s="1421">
        <f>BIBLE!U176</f>
        <v/>
      </c>
    </row>
    <row r="52" ht="69" customHeight="1" thickBot="1">
      <c r="A52" s="2002" t="n"/>
      <c r="B52" s="898" t="n"/>
      <c r="C52" s="2002" t="inlineStr">
        <is>
          <t>x</t>
        </is>
      </c>
      <c r="D52" s="898" t="inlineStr">
        <is>
          <t>x</t>
        </is>
      </c>
      <c r="E52" s="902" t="n"/>
      <c r="F52" s="332" t="n"/>
      <c r="G52" s="730">
        <f>BIBLE!E114</f>
        <v/>
      </c>
      <c r="H52" s="1456">
        <f>BIBLE!F114</f>
        <v/>
      </c>
      <c r="I52" s="735">
        <f>BIBLE!U114</f>
        <v/>
      </c>
      <c r="J52" s="333" t="n"/>
      <c r="K52" s="1409">
        <f>BIBLE!E226</f>
        <v/>
      </c>
      <c r="L52" s="1410">
        <f>BIBLE!F226</f>
        <v/>
      </c>
      <c r="M52" s="735">
        <f>BIBLE!U226</f>
        <v/>
      </c>
      <c r="N52" s="333" t="n"/>
      <c r="O52" s="1846">
        <f>BIBLE!E200</f>
        <v/>
      </c>
      <c r="P52" s="1847">
        <f>BIBLE!F200</f>
        <v/>
      </c>
      <c r="Q52" s="334" t="n"/>
    </row>
    <row r="53" ht="17" customHeight="1" thickBot="1">
      <c r="A53" s="2002" t="n"/>
      <c r="B53" s="898" t="n"/>
      <c r="C53" s="2002" t="n"/>
      <c r="D53" s="898" t="n"/>
      <c r="G53" s="2073" t="n"/>
      <c r="H53" s="2066" t="n"/>
      <c r="I53" s="683" t="n"/>
      <c r="K53" s="2073" t="n"/>
      <c r="L53" s="2059" t="n"/>
      <c r="M53" s="683" t="n"/>
    </row>
    <row r="54" ht="52" customHeight="1" thickBot="1">
      <c r="A54" s="2002" t="n"/>
      <c r="B54" s="898" t="n"/>
      <c r="C54" s="2002" t="n"/>
      <c r="D54" s="898" t="inlineStr">
        <is>
          <t>x</t>
        </is>
      </c>
      <c r="E54" s="900" t="n"/>
      <c r="F54" s="712" t="inlineStr">
        <is>
          <t>Contact de l'enfant avec la famille élargie</t>
        </is>
      </c>
      <c r="G54" s="693">
        <f>BIBLE!E126</f>
        <v/>
      </c>
      <c r="H54" s="1457">
        <f>BIBLE!F126</f>
        <v/>
      </c>
      <c r="I54" s="726">
        <f>BIBLE!U126</f>
        <v/>
      </c>
      <c r="J54" s="700" t="n"/>
      <c r="K54" s="700" t="n"/>
      <c r="L54" s="700" t="n"/>
      <c r="M54" s="700" t="n"/>
      <c r="N54" s="700" t="n"/>
      <c r="O54" s="1425">
        <f>BIBLE!E201</f>
        <v/>
      </c>
      <c r="P54" s="1415">
        <f>BIBLE!F201</f>
        <v/>
      </c>
      <c r="Q54" s="1426" t="inlineStr">
        <is>
          <t>H: Rôle actif, Réponse au CC, r</t>
        </is>
      </c>
    </row>
    <row r="55" ht="17" customHeight="1" thickBot="1">
      <c r="A55" s="2002" t="n"/>
      <c r="B55" s="898" t="n"/>
      <c r="C55" s="2002" t="n"/>
      <c r="D55" s="898" t="n"/>
      <c r="G55" s="2073" t="n"/>
      <c r="H55" s="2066" t="n"/>
      <c r="I55" s="683" t="n"/>
    </row>
    <row r="56" ht="52" customHeight="1" thickBot="1">
      <c r="A56" s="2002" t="n"/>
      <c r="B56" s="898" t="inlineStr">
        <is>
          <t>x</t>
        </is>
      </c>
      <c r="C56" s="2002" t="n"/>
      <c r="D56" s="898" t="inlineStr">
        <is>
          <t>x</t>
        </is>
      </c>
      <c r="E56" s="899" t="n"/>
      <c r="F56" s="712" t="inlineStr">
        <is>
          <t>Sujet personnel|intime partagé à l'enfant</t>
        </is>
      </c>
      <c r="G56" s="714">
        <f>BIBLE!E139</f>
        <v/>
      </c>
      <c r="H56" s="1458">
        <f>BIBLE!F139</f>
        <v/>
      </c>
      <c r="I56" s="727">
        <f>BIBLE!U139</f>
        <v/>
      </c>
      <c r="J56" s="700" t="n"/>
      <c r="K56" s="700" t="n"/>
      <c r="L56" s="700" t="n"/>
      <c r="M56" s="700" t="n"/>
      <c r="N56" s="700" t="n"/>
      <c r="O56" s="1414">
        <f>BIBLE!E181</f>
        <v/>
      </c>
      <c r="P56" s="1415">
        <f>BIBLE!F181</f>
        <v/>
      </c>
      <c r="Q56" s="1427">
        <f>BIBLE!U181</f>
        <v/>
      </c>
    </row>
    <row r="57">
      <c r="A57" s="2002" t="n"/>
      <c r="B57" s="898" t="n"/>
      <c r="C57" s="2002" t="n"/>
      <c r="D57" s="898" t="n"/>
      <c r="E57" s="899" t="n"/>
      <c r="G57" s="555" t="n"/>
      <c r="H57" s="799" t="n"/>
      <c r="I57" s="1817" t="n"/>
      <c r="O57" s="1811" t="n"/>
      <c r="P57" s="101" t="n"/>
      <c r="Q57" s="1845" t="n"/>
    </row>
    <row r="58" ht="17" customHeight="1" thickBot="1">
      <c r="A58" s="2002" t="n"/>
      <c r="B58" s="898" t="n"/>
      <c r="C58" s="2002" t="n"/>
      <c r="D58" s="898" t="n"/>
      <c r="G58" s="2073" t="n"/>
      <c r="H58" s="2066" t="n"/>
      <c r="I58" s="683" t="n"/>
      <c r="O58" s="545" t="n"/>
      <c r="P58" s="2059" t="n"/>
      <c r="Q58" s="1381" t="n"/>
      <c r="S58" s="545" t="n"/>
      <c r="T58" s="2066" t="n"/>
      <c r="U58" s="684" t="n"/>
    </row>
    <row r="59" ht="68" customHeight="1">
      <c r="A59" s="2002" t="n"/>
      <c r="B59" s="898" t="inlineStr">
        <is>
          <t>x</t>
        </is>
      </c>
      <c r="C59" s="2002" t="inlineStr">
        <is>
          <t>x</t>
        </is>
      </c>
      <c r="D59" s="898" t="inlineStr">
        <is>
          <t>x</t>
        </is>
      </c>
      <c r="E59" s="899" t="n"/>
      <c r="F59" s="706" t="inlineStr">
        <is>
          <t>Fait lire les communications à l'enfant</t>
        </is>
      </c>
      <c r="G59" s="694">
        <f>BIBLE!E140</f>
        <v/>
      </c>
      <c r="H59" s="1454">
        <f>BIBLE!F140</f>
        <v/>
      </c>
      <c r="I59" s="757">
        <f>BIBLE!U140</f>
        <v/>
      </c>
      <c r="J59" s="709" t="n"/>
      <c r="K59" s="709" t="n"/>
      <c r="L59" s="709" t="n"/>
      <c r="M59" s="709" t="n"/>
      <c r="N59" s="709" t="n"/>
      <c r="O59" s="1375">
        <f>BIBLE!E185</f>
        <v/>
      </c>
      <c r="P59" s="1376">
        <f>BIBLE!F185</f>
        <v/>
      </c>
      <c r="Q59" s="1858">
        <f>BIBLE!U185</f>
        <v/>
      </c>
      <c r="R59" s="709" t="n"/>
      <c r="S59" s="1405">
        <f>BIBLE!E68</f>
        <v/>
      </c>
      <c r="T59" s="1467">
        <f>BIBLE!F68</f>
        <v/>
      </c>
      <c r="U59" s="758">
        <f>BIBLE!U68</f>
        <v/>
      </c>
    </row>
    <row r="60" ht="58" customHeight="1" thickBot="1">
      <c r="A60" s="2002" t="n"/>
      <c r="B60" s="898" t="n"/>
      <c r="C60" s="2002" t="n"/>
      <c r="D60" s="898" t="n"/>
      <c r="E60" s="899" t="n"/>
      <c r="F60" s="765" t="n"/>
      <c r="G60" s="2073" t="n"/>
      <c r="H60" s="2066" t="n"/>
      <c r="I60" s="683" t="n"/>
      <c r="O60" s="562">
        <f>BIBLE!E170</f>
        <v/>
      </c>
      <c r="P60" s="1860">
        <f>BIBLE!F170</f>
        <v/>
      </c>
      <c r="Q60" s="1322" t="inlineStr">
        <is>
          <t>D: Dénigrement</t>
        </is>
      </c>
      <c r="S60" s="545" t="n"/>
      <c r="T60" s="2066" t="n"/>
      <c r="U60" s="1859" t="n"/>
    </row>
    <row r="61" ht="55" customHeight="1" thickBot="1">
      <c r="A61" s="2002" t="n"/>
      <c r="B61" s="898" t="n"/>
      <c r="C61" s="2002" t="n"/>
      <c r="D61" s="898" t="n"/>
      <c r="E61" s="899" t="n"/>
      <c r="F61" s="710" t="n"/>
      <c r="G61" s="696" t="n"/>
      <c r="H61" s="1455" t="n"/>
      <c r="I61" s="695" t="n"/>
      <c r="J61" s="333" t="n"/>
      <c r="K61" s="333" t="n"/>
      <c r="L61" s="333" t="n"/>
      <c r="M61" s="333" t="n"/>
      <c r="N61" s="333" t="n"/>
      <c r="O61" s="1861">
        <f>BIBLE!E196</f>
        <v/>
      </c>
      <c r="P61" s="1407">
        <f>BIBLE!F196</f>
        <v/>
      </c>
      <c r="Q61" s="1426">
        <f>BIBLE!U208</f>
        <v/>
      </c>
      <c r="R61" s="333" t="n"/>
      <c r="S61" s="720" t="n"/>
      <c r="T61" s="1455" t="n"/>
      <c r="U61" s="721" t="n"/>
    </row>
    <row r="62" ht="17" customHeight="1" thickBot="1">
      <c r="A62" s="2002" t="n"/>
      <c r="B62" s="898" t="n"/>
      <c r="C62" s="2002" t="n"/>
      <c r="D62" s="898" t="n"/>
      <c r="E62" s="901" t="n"/>
      <c r="G62" s="2073" t="n"/>
      <c r="H62" s="2066" t="n"/>
      <c r="I62" s="683" t="n"/>
      <c r="O62" s="545" t="n"/>
      <c r="P62" s="2059" t="n"/>
      <c r="Q62" s="683" t="n"/>
      <c r="S62" s="545" t="n"/>
      <c r="T62" s="2066" t="n"/>
      <c r="U62" s="683" t="n"/>
    </row>
    <row r="63" ht="68" customHeight="1">
      <c r="A63" s="2002" t="n"/>
      <c r="B63" s="898" t="inlineStr">
        <is>
          <t>x</t>
        </is>
      </c>
      <c r="C63" s="2002" t="inlineStr">
        <is>
          <t>x</t>
        </is>
      </c>
      <c r="D63" s="898" t="inlineStr">
        <is>
          <t>x</t>
        </is>
      </c>
      <c r="E63" s="900" t="n"/>
      <c r="F63" s="706" t="inlineStr">
        <is>
          <t>L'enfant est messager de la logistique</t>
        </is>
      </c>
      <c r="G63" s="694">
        <f>BIBLE!E142</f>
        <v/>
      </c>
      <c r="H63" s="1454">
        <f>BIBLE!F142</f>
        <v/>
      </c>
      <c r="I63" s="759">
        <f>BIBLE!U142</f>
        <v/>
      </c>
      <c r="J63" s="709" t="n"/>
      <c r="K63" s="1403">
        <f>BIBLE!E227</f>
        <v/>
      </c>
      <c r="L63" s="1404">
        <f>BIBLE!F227</f>
        <v/>
      </c>
      <c r="M63" s="724">
        <f>BIBLE!U227</f>
        <v/>
      </c>
      <c r="N63" s="709" t="n"/>
      <c r="O63" s="1375">
        <f>BIBLE!E183</f>
        <v/>
      </c>
      <c r="P63" s="1376">
        <f>BIBLE!F183</f>
        <v/>
      </c>
      <c r="Q63" s="757">
        <f>BIBLE!U183</f>
        <v/>
      </c>
      <c r="R63" s="709" t="n"/>
      <c r="S63" s="1405">
        <f>BIBLE!E66</f>
        <v/>
      </c>
      <c r="T63" s="1467">
        <f>BIBLE!F66</f>
        <v/>
      </c>
      <c r="U63" s="760">
        <f>BIBLE!U66</f>
        <v/>
      </c>
    </row>
    <row r="64" ht="62" customHeight="1">
      <c r="A64" s="2002" t="n"/>
      <c r="B64" s="898" t="n"/>
      <c r="C64" s="2002" t="n"/>
      <c r="D64" s="898" t="n"/>
      <c r="E64" s="900" t="n"/>
      <c r="F64" s="765" t="n"/>
      <c r="G64" s="428" t="n"/>
      <c r="H64" s="814" t="n"/>
      <c r="I64" s="1816" t="n"/>
      <c r="K64" s="563">
        <f>BIBLE!E221</f>
        <v/>
      </c>
      <c r="L64" s="563">
        <f>BIBLE!F221</f>
        <v/>
      </c>
      <c r="M64" s="688">
        <f>BIBLE!U221</f>
        <v/>
      </c>
      <c r="O64" s="1811" t="n"/>
      <c r="P64" s="101" t="n"/>
      <c r="Q64" s="1817" t="n"/>
      <c r="S64" s="1818" t="n"/>
      <c r="T64" s="1191" t="n"/>
      <c r="U64" s="1823" t="n"/>
    </row>
    <row r="65" ht="64" customHeight="1" thickBot="1">
      <c r="A65" s="2002" t="n"/>
      <c r="B65" s="898" t="n"/>
      <c r="C65" s="2002" t="n"/>
      <c r="D65" s="898" t="n"/>
      <c r="E65" s="900" t="n"/>
      <c r="F65" s="710" t="n"/>
      <c r="G65" s="776" t="n"/>
      <c r="H65" s="1459" t="n"/>
      <c r="I65" s="777" t="n"/>
      <c r="J65" s="333" t="n"/>
      <c r="K65" s="1409">
        <f>BIBLE!E220</f>
        <v/>
      </c>
      <c r="L65" s="1409">
        <f>BIBLE!F220</f>
        <v/>
      </c>
      <c r="M65" s="735">
        <f>BIBLE!U220</f>
        <v/>
      </c>
      <c r="N65" s="333" t="n"/>
      <c r="O65" s="1406" t="n"/>
      <c r="P65" s="1407" t="n"/>
      <c r="Q65" s="733" t="n"/>
      <c r="R65" s="333" t="n"/>
      <c r="S65" s="1819" t="n"/>
      <c r="T65" s="1820" t="n"/>
      <c r="U65" s="764" t="n"/>
    </row>
    <row r="66" ht="19" customHeight="1" thickBot="1">
      <c r="A66" s="2002" t="n"/>
      <c r="B66" s="898" t="n"/>
      <c r="C66" s="2002" t="n"/>
      <c r="D66" s="898" t="n"/>
      <c r="O66" s="545" t="n"/>
      <c r="P66" s="2059" t="n"/>
      <c r="Q66" s="1381" t="n"/>
    </row>
    <row r="67" ht="59" customHeight="1">
      <c r="A67" s="1767" t="n"/>
      <c r="B67" s="1767" t="inlineStr">
        <is>
          <t>x</t>
        </is>
      </c>
      <c r="C67" s="1767" t="n"/>
      <c r="D67" s="1767" t="inlineStr">
        <is>
          <t>x</t>
        </is>
      </c>
      <c r="E67" s="981" t="n"/>
      <c r="F67" s="706" t="inlineStr">
        <is>
          <t>Liberté du choix de l'enfant</t>
        </is>
      </c>
      <c r="G67" s="694">
        <f>BIBLE!E143</f>
        <v/>
      </c>
      <c r="H67" s="1454">
        <f>BIBLE!F143</f>
        <v/>
      </c>
      <c r="I67" s="759">
        <f>BIBLE!U143</f>
        <v/>
      </c>
      <c r="J67" s="709" t="n"/>
      <c r="K67" s="709" t="n"/>
      <c r="L67" s="709" t="n"/>
      <c r="M67" s="709" t="n"/>
      <c r="N67" s="709" t="n"/>
      <c r="O67" s="1420">
        <f>BIBLE!E198</f>
        <v/>
      </c>
      <c r="P67" s="1419">
        <f>BIBLE!F198</f>
        <v/>
      </c>
      <c r="Q67" s="1400">
        <f>BIBLE!U198</f>
        <v/>
      </c>
      <c r="R67" s="709" t="n"/>
      <c r="S67" s="1428">
        <f>BIBLE!E60</f>
        <v/>
      </c>
      <c r="T67" s="1467">
        <f>BIBLE!F60</f>
        <v/>
      </c>
      <c r="U67" s="725">
        <f>BIBLE!U60</f>
        <v/>
      </c>
    </row>
    <row r="68" ht="59" customHeight="1" thickBot="1">
      <c r="A68" s="1767" t="n"/>
      <c r="B68" s="1767" t="n"/>
      <c r="C68" s="1767" t="n"/>
      <c r="D68" s="1767" t="inlineStr">
        <is>
          <t>x</t>
        </is>
      </c>
      <c r="E68" s="981" t="n"/>
      <c r="F68" s="710" t="n"/>
      <c r="G68" s="762" t="n"/>
      <c r="H68" s="1461" t="n"/>
      <c r="I68" s="695" t="n"/>
      <c r="J68" s="333" t="n"/>
      <c r="K68" s="333" t="n"/>
      <c r="L68" s="333" t="n"/>
      <c r="M68" s="333" t="n"/>
      <c r="N68" s="333" t="n"/>
      <c r="O68" s="333" t="n"/>
      <c r="P68" s="333" t="n"/>
      <c r="Q68" s="333" t="n"/>
      <c r="R68" s="333" t="n"/>
      <c r="S68" s="1429" t="n"/>
      <c r="T68" s="1455" t="n"/>
      <c r="U68" s="721" t="n"/>
    </row>
    <row r="69" ht="14" customHeight="1" thickBot="1">
      <c r="A69" s="1767" t="n"/>
      <c r="B69" s="1767" t="n"/>
      <c r="C69" s="1767" t="n"/>
      <c r="D69" s="1767" t="n"/>
      <c r="E69" s="981" t="n"/>
      <c r="O69" s="545" t="n"/>
      <c r="P69" s="2059" t="n"/>
      <c r="Q69" s="1381" t="n"/>
    </row>
    <row r="70" ht="59" customHeight="1">
      <c r="A70" s="1767" t="n"/>
      <c r="B70" s="1767" t="n"/>
      <c r="C70" s="1767" t="n"/>
      <c r="D70" s="1767" t="inlineStr">
        <is>
          <t>x</t>
        </is>
      </c>
      <c r="E70" s="981" t="n"/>
      <c r="F70" s="706" t="inlineStr">
        <is>
          <t>Maturité de l'enfant de choisir</t>
        </is>
      </c>
      <c r="G70" s="694">
        <f>BIBLE!E95</f>
        <v/>
      </c>
      <c r="H70" s="1454">
        <f>BIBLE!F95</f>
        <v/>
      </c>
      <c r="I70" s="1394">
        <f>BIBLE!U95</f>
        <v/>
      </c>
      <c r="J70" s="709" t="n"/>
      <c r="K70" s="1430" t="n"/>
      <c r="L70" s="709" t="n"/>
      <c r="M70" s="709" t="n"/>
      <c r="N70" s="709" t="n"/>
      <c r="O70" s="1420" t="inlineStr">
        <is>
          <t>E33b</t>
        </is>
      </c>
      <c r="P70" s="1419">
        <f>BIBLE!F199</f>
        <v/>
      </c>
      <c r="Q70" s="1400">
        <f>BIBLE!U194</f>
        <v/>
      </c>
      <c r="R70" s="709" t="n"/>
      <c r="S70" s="1405">
        <f>BIBLE!E67</f>
        <v/>
      </c>
      <c r="T70" s="1467">
        <f>BIBLE!F67</f>
        <v/>
      </c>
      <c r="U70" s="760">
        <f>BIBLE!U67</f>
        <v/>
      </c>
    </row>
    <row r="71" ht="55" customHeight="1" thickBot="1">
      <c r="A71" s="1767" t="n"/>
      <c r="B71" s="1767" t="n"/>
      <c r="C71" s="1767" t="n"/>
      <c r="D71" s="1767" t="inlineStr">
        <is>
          <t>x</t>
        </is>
      </c>
      <c r="E71" s="981" t="n"/>
      <c r="F71" s="710" t="n"/>
      <c r="G71" s="761">
        <f>BIBLE!E129</f>
        <v/>
      </c>
      <c r="H71" s="1462">
        <f>BIBLE!F129</f>
        <v/>
      </c>
      <c r="I71" s="1431">
        <f>BIBLE!U129</f>
        <v/>
      </c>
      <c r="J71" s="333" t="n"/>
      <c r="K71" s="333" t="n"/>
      <c r="L71" s="333" t="n"/>
      <c r="M71" s="333" t="n"/>
      <c r="N71" s="333" t="n"/>
      <c r="O71" s="720" t="n"/>
      <c r="P71" s="1378" t="n"/>
      <c r="Q71" s="1401" t="n"/>
      <c r="R71" s="333" t="n"/>
      <c r="S71" s="333" t="n"/>
      <c r="T71" s="333" t="n"/>
      <c r="U71" s="334" t="n"/>
    </row>
    <row r="72" ht="18" customHeight="1" thickBot="1">
      <c r="A72" s="1767" t="n"/>
      <c r="B72" s="1767" t="n"/>
      <c r="C72" s="1767" t="n"/>
      <c r="D72" s="1767" t="n"/>
      <c r="E72" s="981" t="n"/>
      <c r="G72" s="2073" t="n"/>
      <c r="H72" s="2066" t="n"/>
      <c r="I72" s="683" t="n"/>
      <c r="O72" s="545" t="n"/>
      <c r="P72" s="2059" t="n"/>
      <c r="Q72" s="1381" t="n"/>
      <c r="S72" s="545" t="n"/>
      <c r="T72" s="2066" t="n"/>
      <c r="U72" s="683" t="n"/>
    </row>
    <row r="73" ht="69" customHeight="1" thickBot="1">
      <c r="A73" s="1767" t="n"/>
      <c r="B73" s="1767" t="n"/>
      <c r="C73" s="1767" t="n"/>
      <c r="D73" s="1767" t="inlineStr">
        <is>
          <t>x</t>
        </is>
      </c>
      <c r="E73" s="981" t="n"/>
      <c r="F73" s="712" t="inlineStr">
        <is>
          <t>Respecter les désirs de l'enfant</t>
        </is>
      </c>
      <c r="G73" s="714">
        <f>BIBLE!E96</f>
        <v/>
      </c>
      <c r="H73" s="1458">
        <f>BIBLE!F96</f>
        <v/>
      </c>
      <c r="I73" s="728">
        <f>BIBLE!U96</f>
        <v/>
      </c>
      <c r="J73" s="700" t="n"/>
      <c r="K73" s="1389">
        <f>BIBLE!E232</f>
        <v/>
      </c>
      <c r="L73" s="1390">
        <f>BIBLE!F232</f>
        <v/>
      </c>
      <c r="M73" s="728">
        <f>BIBLE!U232</f>
        <v/>
      </c>
      <c r="N73" s="700" t="n"/>
      <c r="O73" s="1425">
        <f>BIBLE!E197</f>
        <v/>
      </c>
      <c r="P73" s="1415" t="inlineStr">
        <is>
          <t>Dans quelle mesure cet énoncé s'applique à votre situation ? Votre enfant vous reproche de ne pas le respecter (choix, besoins, désirs, rythme, etc.)</t>
        </is>
      </c>
      <c r="Q73" s="1426" t="inlineStr">
        <is>
          <t>H: Rôle actif, Réponse au CC, r</t>
        </is>
      </c>
      <c r="S73" s="545" t="n"/>
      <c r="T73" s="2066" t="n"/>
      <c r="U73" s="683" t="n"/>
    </row>
    <row r="74" ht="16" customHeight="1" thickBot="1">
      <c r="A74" s="1767" t="n"/>
      <c r="B74" s="1767" t="n"/>
      <c r="C74" s="1767" t="n"/>
      <c r="D74" s="1767" t="n"/>
      <c r="E74" s="981" t="n"/>
      <c r="G74" s="2073" t="n"/>
      <c r="H74" s="2066" t="n"/>
      <c r="I74" s="683" t="n"/>
      <c r="K74" s="2073" t="n"/>
      <c r="L74" s="2059" t="n"/>
      <c r="M74" s="683" t="n"/>
      <c r="O74" s="545" t="n"/>
      <c r="P74" s="2059" t="n"/>
      <c r="Q74" s="1381" t="n"/>
      <c r="S74" s="545" t="n"/>
      <c r="T74" s="2066" t="n"/>
      <c r="U74" s="683" t="n"/>
    </row>
    <row r="75" ht="51" customHeight="1">
      <c r="A75" s="1767" t="n"/>
      <c r="B75" s="1767" t="n"/>
      <c r="C75" s="1767" t="n"/>
      <c r="D75" s="1767" t="inlineStr">
        <is>
          <t>x</t>
        </is>
      </c>
      <c r="E75" s="981" t="n"/>
      <c r="F75" s="896" t="inlineStr">
        <is>
          <t>Demande / force l'enfant à choisir</t>
        </is>
      </c>
      <c r="G75" s="694">
        <f>BIBLE!E144</f>
        <v/>
      </c>
      <c r="H75" s="1454">
        <f>BIBLE!F144</f>
        <v/>
      </c>
      <c r="I75" s="759">
        <f>BIBLE!U144</f>
        <v/>
      </c>
      <c r="J75" s="709" t="n"/>
      <c r="K75" s="732" t="n"/>
      <c r="L75" s="1391" t="n"/>
      <c r="M75" s="732" t="n"/>
      <c r="N75" s="709" t="n"/>
      <c r="O75" s="1821">
        <f>BIBLE!E194</f>
        <v/>
      </c>
      <c r="P75" s="1376">
        <f>BIBLE!F194</f>
        <v/>
      </c>
      <c r="Q75" s="1822">
        <f>BIBLE!U199</f>
        <v/>
      </c>
      <c r="S75" s="545" t="n"/>
      <c r="T75" s="2066" t="n"/>
      <c r="U75" s="683" t="n"/>
      <c r="V75" s="981" t="inlineStr">
        <is>
          <t>Combinaison à revoir</t>
        </is>
      </c>
    </row>
    <row r="76" ht="57" customHeight="1" thickBot="1">
      <c r="A76" s="1767" t="n"/>
      <c r="B76" s="1767" t="inlineStr">
        <is>
          <t>x</t>
        </is>
      </c>
      <c r="C76" s="1767" t="n"/>
      <c r="D76" s="1767" t="n"/>
      <c r="E76" s="981" t="n"/>
      <c r="F76" s="332" t="n"/>
      <c r="G76" s="774">
        <f>BIBLE!E133</f>
        <v/>
      </c>
      <c r="H76" s="1463">
        <f>BIBLE!F133</f>
        <v/>
      </c>
      <c r="I76" s="773">
        <f>BIBLE!U133</f>
        <v/>
      </c>
      <c r="J76" s="333" t="n"/>
      <c r="K76" s="696" t="n"/>
      <c r="L76" s="1378" t="n"/>
      <c r="M76" s="695" t="n"/>
      <c r="N76" s="333" t="n"/>
      <c r="O76" s="720" t="n"/>
      <c r="P76" s="1378" t="n"/>
      <c r="Q76" s="1399" t="n"/>
      <c r="S76" s="545" t="n"/>
      <c r="T76" s="2066" t="n"/>
      <c r="U76" s="683" t="n"/>
      <c r="V76" s="981" t="n"/>
    </row>
    <row r="77" ht="28" customHeight="1" thickBot="1">
      <c r="A77" s="2002" t="n"/>
      <c r="B77" s="898" t="n"/>
      <c r="C77" s="2002" t="n"/>
      <c r="D77" s="898" t="n"/>
      <c r="F77" s="2059" t="n"/>
      <c r="G77" s="691" t="n"/>
      <c r="H77" s="1464" t="n"/>
      <c r="I77" s="683" t="n"/>
      <c r="K77" s="2073" t="n"/>
      <c r="L77" s="2059" t="n"/>
      <c r="M77" s="683" t="n"/>
      <c r="O77" s="545" t="n"/>
      <c r="P77" s="2059" t="n"/>
      <c r="Q77" s="1381" t="n"/>
      <c r="S77" s="545" t="n"/>
      <c r="T77" s="2066" t="n"/>
      <c r="U77" s="683" t="n"/>
    </row>
    <row r="78" ht="83" customHeight="1">
      <c r="A78" s="2002" t="n"/>
      <c r="B78" s="898" t="inlineStr">
        <is>
          <t>x</t>
        </is>
      </c>
      <c r="C78" s="2002" t="inlineStr">
        <is>
          <t>x</t>
        </is>
      </c>
      <c r="D78" s="898" t="n"/>
      <c r="E78" s="899" t="n"/>
      <c r="F78" s="706" t="inlineStr">
        <is>
          <t>Transport d'objets d'un domicile à l'autre</t>
        </is>
      </c>
      <c r="G78" s="694">
        <f>BIBLE!E127</f>
        <v/>
      </c>
      <c r="H78" s="1454">
        <f>BIBLE!F127</f>
        <v/>
      </c>
      <c r="I78" s="772">
        <f>BIBLE!U127</f>
        <v/>
      </c>
      <c r="J78" s="709" t="n"/>
      <c r="K78" s="709" t="n"/>
      <c r="L78" s="709" t="n"/>
      <c r="M78" s="709" t="n"/>
      <c r="N78" s="709" t="n"/>
      <c r="O78" s="1375">
        <f>BIBLE!E179</f>
        <v/>
      </c>
      <c r="P78" s="1376">
        <f>BIBLE!F179</f>
        <v/>
      </c>
      <c r="Q78" s="1432">
        <f>BIBLE!U179</f>
        <v/>
      </c>
      <c r="R78" s="709" t="n"/>
      <c r="S78" s="1428">
        <f>BIBLE!E63</f>
        <v/>
      </c>
      <c r="T78" s="1467">
        <f>BIBLE!F63</f>
        <v/>
      </c>
      <c r="U78" s="755">
        <f>BIBLE!U63</f>
        <v/>
      </c>
    </row>
    <row r="79" ht="53" customHeight="1" thickBot="1">
      <c r="A79" s="2002" t="n"/>
      <c r="B79" s="898" t="inlineStr">
        <is>
          <t>x</t>
        </is>
      </c>
      <c r="C79" s="2002" t="n"/>
      <c r="D79" s="898" t="n"/>
      <c r="E79" s="899" t="n"/>
      <c r="F79" s="2038" t="n"/>
      <c r="G79" s="697" t="n"/>
      <c r="H79" s="1378" t="n"/>
      <c r="I79" s="695" t="n"/>
      <c r="J79" s="333" t="n"/>
      <c r="K79" s="696" t="n"/>
      <c r="L79" s="1378" t="n"/>
      <c r="M79" s="695" t="n"/>
      <c r="N79" s="333" t="n"/>
      <c r="O79" s="1393">
        <f>BIBLE!E180</f>
        <v/>
      </c>
      <c r="P79" s="711">
        <f>BIBLE!F180</f>
        <v/>
      </c>
      <c r="Q79" s="1431">
        <f>BIBLE!U180</f>
        <v/>
      </c>
      <c r="R79" s="333" t="n"/>
      <c r="S79" s="720" t="n"/>
      <c r="T79" s="1378" t="n"/>
      <c r="U79" s="781" t="n"/>
    </row>
    <row r="80" ht="25" customHeight="1" thickBot="1">
      <c r="G80" s="2073" t="n"/>
      <c r="H80" s="2059" t="n"/>
      <c r="I80" s="683" t="n"/>
      <c r="K80" s="2073" t="n"/>
      <c r="L80" s="2059" t="n"/>
      <c r="M80" s="683" t="n"/>
      <c r="O80" s="691" t="n"/>
      <c r="P80" s="2059" t="n"/>
      <c r="Q80" s="684" t="n"/>
      <c r="S80" s="691" t="n"/>
      <c r="T80" s="2059" t="n"/>
      <c r="U80" s="683" t="n"/>
    </row>
    <row r="81" ht="59" customHeight="1" thickBot="1">
      <c r="F81" s="706" t="inlineStr">
        <is>
          <t>Sérénité et confidence face à la séparation</t>
        </is>
      </c>
      <c r="G81" s="694" t="inlineStr">
        <is>
          <t>PFA31</t>
        </is>
      </c>
      <c r="H81" s="707" t="inlineStr">
        <is>
          <t>Dans quelle mesure diriez-vous que l'autre parent accepte ou vit bien avec la séparation (séparation de couple ou familiale) ?</t>
        </is>
      </c>
      <c r="I81" s="757" t="inlineStr">
        <is>
          <t>G: Parentification</t>
        </is>
      </c>
      <c r="J81" s="709" t="n"/>
      <c r="K81" s="732" t="n"/>
      <c r="L81" s="709" t="n"/>
      <c r="M81" s="709" t="n"/>
      <c r="N81" s="709" t="n"/>
      <c r="O81" s="1761">
        <f>BIBLE!E162</f>
        <v/>
      </c>
      <c r="P81" s="1376">
        <f>BIBLE!F162</f>
        <v/>
      </c>
      <c r="Q81" s="1762">
        <f>BIBLE!U162</f>
        <v/>
      </c>
      <c r="R81" s="709" t="n"/>
      <c r="S81" s="763" t="inlineStr">
        <is>
          <t>PCR16</t>
        </is>
      </c>
      <c r="T81" s="718" t="inlineStr">
        <is>
          <t>Au-delà des conflits, dans quelle mesure acceptez-vous et êtes-vous serein avec la séparation (séparation de couple ou familiale) ?</t>
        </is>
      </c>
      <c r="U81" s="758" t="inlineStr">
        <is>
          <t>G: Parentification</t>
        </is>
      </c>
    </row>
    <row r="82" ht="73" customHeight="1">
      <c r="F82" s="765" t="n"/>
      <c r="G82" s="555" t="inlineStr">
        <is>
          <t>PFA31a</t>
        </is>
      </c>
      <c r="H82" s="302" t="inlineStr">
        <is>
          <t>Dans quelle mesure diriez-vous que l’autre parent confie à votre enfant sa peine concernant la séparation ?</t>
        </is>
      </c>
      <c r="I82" s="1817" t="inlineStr">
        <is>
          <t>G: Parentification</t>
        </is>
      </c>
      <c r="K82" s="683" t="n"/>
      <c r="O82" s="170">
        <f>BIBLE!E184</f>
        <v/>
      </c>
      <c r="P82" s="1856">
        <f>BIBLE!F184</f>
        <v/>
      </c>
      <c r="Q82" s="757" t="inlineStr">
        <is>
          <t>G: Parentification</t>
        </is>
      </c>
      <c r="S82" s="555" t="inlineStr">
        <is>
          <t>PCR16a</t>
        </is>
      </c>
      <c r="T82" s="302" t="inlineStr">
        <is>
          <t>Dans quelle mesure diriez-vous que vous confiez à votre enfant votre peine concernant la séparation ?</t>
        </is>
      </c>
      <c r="U82" s="1823" t="inlineStr">
        <is>
          <t>G: Parentification</t>
        </is>
      </c>
    </row>
    <row r="83" ht="63" customHeight="1" thickBot="1">
      <c r="F83" s="332" t="n"/>
      <c r="G83" s="333" t="n"/>
      <c r="H83" s="333" t="n"/>
      <c r="I83" s="333" t="n"/>
      <c r="J83" s="333" t="n"/>
      <c r="K83" s="333" t="n"/>
      <c r="L83" s="333" t="n"/>
      <c r="M83" s="333" t="n"/>
      <c r="N83" s="333" t="n"/>
      <c r="O83" s="1857">
        <f>BIBLE!E186</f>
        <v/>
      </c>
      <c r="P83" s="1407">
        <f>BIBLE!F186</f>
        <v/>
      </c>
      <c r="Q83" s="1817" t="inlineStr">
        <is>
          <t>G: Parentification</t>
        </is>
      </c>
      <c r="R83" s="333" t="n"/>
      <c r="S83" s="333" t="n"/>
      <c r="T83" s="1378" t="n"/>
      <c r="U83" s="781" t="n"/>
    </row>
    <row r="84" ht="49" customHeight="1">
      <c r="T84" s="2059" t="n"/>
      <c r="U84" s="683" t="n"/>
    </row>
    <row r="85" ht="49" customHeight="1">
      <c r="T85" s="2059" t="n"/>
      <c r="U85" s="683" t="n"/>
    </row>
    <row r="86" ht="53" customHeight="1">
      <c r="T86" s="2059" t="n"/>
      <c r="U86" s="683" t="n"/>
    </row>
    <row r="87" ht="13" customHeight="1">
      <c r="T87" s="2059" t="n"/>
      <c r="U87" s="683" t="n"/>
    </row>
    <row r="88" ht="49" customHeight="1">
      <c r="T88" s="2059" t="n"/>
      <c r="U88" s="683" t="n"/>
    </row>
    <row r="89" ht="12" customHeight="1">
      <c r="T89" s="2059" t="n"/>
      <c r="U89" s="683" t="n"/>
    </row>
    <row r="90" ht="50" customHeight="1">
      <c r="T90" s="2059" t="n"/>
      <c r="U90" s="683" t="n"/>
    </row>
    <row r="91" ht="12" customHeight="1">
      <c r="T91" s="2059" t="n"/>
      <c r="U91" s="683" t="n"/>
    </row>
    <row r="92" ht="44" customHeight="1">
      <c r="T92" s="2059" t="n"/>
      <c r="U92" s="683" t="n"/>
    </row>
    <row r="93" ht="17" customHeight="1">
      <c r="T93" s="2059" t="n"/>
      <c r="U93" s="683" t="n"/>
    </row>
    <row r="94" ht="52" customHeight="1">
      <c r="T94" s="2059" t="n"/>
      <c r="U94" s="683" t="n"/>
    </row>
    <row r="95" ht="26" customHeight="1">
      <c r="T95" s="2059" t="n"/>
      <c r="U95" s="683" t="n"/>
    </row>
    <row r="96" ht="57" customHeight="1">
      <c r="T96" s="2059" t="n"/>
      <c r="U96" s="683" t="n"/>
    </row>
    <row r="97" ht="46" customHeight="1"/>
    <row r="102"/>
    <row r="106" ht="43" customHeight="1"/>
    <row r="107" ht="43" customHeight="1"/>
    <row r="108" ht="43" customHeight="1"/>
    <row r="112" ht="53" customHeight="1"/>
    <row r="113" ht="49" customHeight="1"/>
    <row r="114" ht="16" customHeight="1"/>
    <row r="115" ht="52" customHeight="1"/>
    <row r="116" ht="59" customHeight="1"/>
  </sheetData>
  <mergeCells count="5">
    <mergeCell ref="F51:F52"/>
    <mergeCell ref="F43:F44"/>
    <mergeCell ref="F75:F76"/>
    <mergeCell ref="F46:F47"/>
    <mergeCell ref="F11:F12"/>
  </mergeCells>
  <pageMargins left="0.7" right="0.7" top="0.75" bottom="0.75" header="0.3" footer="0.3"/>
  <pageSetup orientation="landscape" scale="30" fitToHeight="4" horizontalDpi="0" verticalDpi="0"/>
</worksheet>
</file>

<file path=xl/worksheets/sheet12.xml><?xml version="1.0" encoding="utf-8"?>
<worksheet xmlns:r="http://schemas.openxmlformats.org/officeDocument/2006/relationships" xmlns="http://schemas.openxmlformats.org/spreadsheetml/2006/main">
  <sheetPr>
    <outlinePr summaryBelow="1" summaryRight="1"/>
    <pageSetUpPr fitToPage="1"/>
  </sheetPr>
  <dimension ref="A1:CK635"/>
  <sheetViews>
    <sheetView topLeftCell="A111" zoomScale="86" zoomScaleNormal="86" workbookViewId="0">
      <selection activeCell="J132" sqref="J132"/>
    </sheetView>
  </sheetViews>
  <sheetFormatPr baseColWidth="10" defaultColWidth="11" defaultRowHeight="26"/>
  <cols>
    <col width="15" customWidth="1" style="686" min="1" max="1"/>
    <col width="12" customWidth="1" min="2" max="2"/>
    <col width="59" customWidth="1" min="3" max="3"/>
    <col hidden="1" width="25.83203125" customWidth="1" min="4" max="4"/>
    <col width="10.6640625" customWidth="1" min="5" max="5"/>
    <col width="11.33203125" customWidth="1" min="6" max="6"/>
    <col width="4.6640625" bestFit="1" customWidth="1" min="7" max="7"/>
    <col width="14.1640625" bestFit="1" customWidth="1" min="8" max="8"/>
    <col width="16.1640625" customWidth="1" min="9" max="9"/>
    <col width="26.33203125" customWidth="1" min="10" max="10"/>
    <col hidden="1" width="26.33203125" customWidth="1" min="11" max="14"/>
    <col width="26.33203125" customWidth="1" min="15" max="15"/>
    <col width="16.1640625" customWidth="1" min="16" max="20"/>
    <col hidden="1" width="6.6640625" customWidth="1" min="21" max="28"/>
    <col width="6.6640625" customWidth="1" min="29" max="29"/>
    <col width="5.83203125" customWidth="1" min="30" max="34"/>
    <col width="6.83203125" customWidth="1" min="35" max="39"/>
    <col width="12.1640625" customWidth="1" min="40" max="42"/>
    <col width="37.83203125" customWidth="1" min="43" max="43"/>
    <col width="38" customWidth="1" min="44" max="44"/>
    <col width="8" customWidth="1" min="46" max="46"/>
    <col width="77.5" customWidth="1" min="47" max="47"/>
    <col width="6.6640625" customWidth="1" min="48" max="48"/>
    <col width="78" customWidth="1" min="49" max="49"/>
    <col width="6.6640625" customWidth="1" min="50" max="50"/>
    <col width="69.5" customWidth="1" min="51" max="51"/>
    <col width="8.6640625" customWidth="1" min="52" max="52"/>
    <col hidden="1" min="62" max="63"/>
    <col hidden="1" width="14" customWidth="1" min="64" max="64"/>
    <col hidden="1" width="11" customWidth="1" min="65" max="65"/>
    <col hidden="1" width="37.6640625" customWidth="1" min="66" max="66"/>
    <col hidden="1" width="6" customWidth="1" min="67" max="67"/>
    <col hidden="1" min="68" max="68"/>
    <col hidden="1" width="39.33203125" customWidth="1" min="69" max="69"/>
    <col hidden="1" min="70" max="71"/>
    <col hidden="1" width="32.83203125" customWidth="1" min="72" max="72"/>
    <col hidden="1" min="73" max="78"/>
  </cols>
  <sheetData>
    <row r="1">
      <c r="B1" s="576" t="n"/>
      <c r="C1" s="51" t="n"/>
      <c r="D1" s="51" t="n"/>
      <c r="E1" s="51" t="n"/>
      <c r="F1" s="51" t="n"/>
      <c r="G1" s="51" t="n"/>
      <c r="H1" s="51" t="n"/>
      <c r="I1" s="51" t="n"/>
      <c r="J1" s="51" t="n"/>
      <c r="K1" s="51" t="n"/>
      <c r="L1" s="51" t="n"/>
      <c r="M1" s="64" t="n"/>
      <c r="AU1" s="64" t="inlineStr">
        <is>
          <t>Selon l'analyse de votre questionnaire,</t>
        </is>
      </c>
      <c r="AW1" s="64" t="n"/>
      <c r="AY1" s="64" t="n"/>
      <c r="BK1" s="97" t="n"/>
      <c r="BL1" s="64" t="inlineStr">
        <is>
          <t>Section pour la compréhension de la logique utilisée</t>
        </is>
      </c>
      <c r="BV1" s="519" t="n"/>
      <c r="BW1" s="519" t="n"/>
      <c r="BX1" s="519" t="n"/>
      <c r="BY1" s="519" t="n"/>
      <c r="BZ1" s="520" t="n"/>
      <c r="CA1" s="520" t="n"/>
    </row>
    <row r="2">
      <c r="B2" s="576" t="inlineStr">
        <is>
          <t>Action du PFA/NC et Réaction de l'enfant</t>
        </is>
      </c>
      <c r="C2" s="51" t="n"/>
      <c r="D2" s="51" t="n"/>
      <c r="E2" s="51" t="n"/>
      <c r="F2" s="51" t="n"/>
      <c r="G2" s="51" t="n"/>
      <c r="H2" s="51" t="n"/>
      <c r="I2" s="51" t="n"/>
      <c r="J2" s="51" t="n"/>
      <c r="K2" s="51" t="n"/>
      <c r="L2" s="51" t="n"/>
      <c r="M2" s="64" t="n"/>
      <c r="AU2" s="64" t="n"/>
      <c r="AW2" s="64" t="n"/>
      <c r="AY2" s="64" t="n"/>
      <c r="BK2" s="97" t="n"/>
      <c r="BL2" s="64" t="n"/>
      <c r="BV2" s="519" t="n"/>
      <c r="BW2" s="519" t="n"/>
      <c r="BX2" s="519" t="n"/>
      <c r="BY2" s="519" t="n"/>
      <c r="BZ2" s="520" t="n"/>
      <c r="CA2" s="520" t="n"/>
    </row>
    <row r="3" ht="40" customHeight="1">
      <c r="B3" s="51" t="inlineStr">
        <is>
          <t xml:space="preserve">On évalue s'il y a des comportements aliénants du PFA incluant le nouveau conjoint (NC) si un comportement similaire lui est attribué et si l'enfant a une réaction ou non. </t>
        </is>
      </c>
      <c r="C3" s="51" t="n"/>
      <c r="D3" s="51" t="n"/>
      <c r="E3" s="51" t="n"/>
      <c r="F3" s="51" t="n"/>
      <c r="G3" s="51" t="n"/>
      <c r="H3" s="51" t="n"/>
      <c r="I3" s="51" t="n"/>
      <c r="J3" s="51" t="n"/>
      <c r="K3" s="51" t="n"/>
      <c r="L3" s="51" t="n"/>
      <c r="M3" s="64" t="n"/>
      <c r="AR3" t="inlineStr">
        <is>
          <t>SUJET</t>
        </is>
      </c>
      <c r="AT3" s="851" t="inlineStr">
        <is>
          <t>Score A-R</t>
        </is>
      </c>
      <c r="AU3" s="490" t="inlineStr">
        <is>
          <t>Devant les comportements aliénants du PF, l'enfant répond :</t>
        </is>
      </c>
      <c r="AV3" s="7" t="n"/>
      <c r="AW3" s="850" t="inlineStr">
        <is>
          <t>L'enfant présente les comportements suivants sans signe de la participation du PFA :</t>
        </is>
      </c>
      <c r="AX3" s="849" t="n"/>
      <c r="AY3" s="478" t="inlineStr">
        <is>
          <t>L'enfant ne semble pas répondre aux comportements suivant du PFA :</t>
        </is>
      </c>
      <c r="BK3" s="98" t="n"/>
      <c r="BV3" s="519" t="n"/>
      <c r="BW3" s="519" t="n"/>
      <c r="BX3" s="519" t="n"/>
      <c r="BY3" s="519" t="n"/>
      <c r="BZ3" s="520" t="n"/>
      <c r="CA3" s="520" t="n"/>
    </row>
    <row r="4" ht="40" customHeight="1">
      <c r="B4" s="51" t="inlineStr">
        <is>
          <t>Il y a quatre états possibles :</t>
        </is>
      </c>
      <c r="L4" s="51" t="n"/>
      <c r="M4" s="64" t="n"/>
      <c r="AQ4" s="7" t="n">
        <v>1</v>
      </c>
      <c r="AR4" s="859">
        <f>C30</f>
        <v/>
      </c>
      <c r="AS4" s="860" t="inlineStr">
        <is>
          <t>🟥</t>
        </is>
      </c>
      <c r="AT4" s="861">
        <f>G42</f>
        <v/>
      </c>
      <c r="AU4" s="862">
        <f>IF(K42="","",K42)</f>
        <v/>
      </c>
      <c r="AV4" s="863" t="inlineStr">
        <is>
          <t>🔸</t>
        </is>
      </c>
      <c r="AW4" s="862">
        <f>IF(M42="","",M42)</f>
        <v/>
      </c>
      <c r="AX4" s="864" t="inlineStr">
        <is>
          <t>🟢</t>
        </is>
      </c>
      <c r="AY4" s="862">
        <f>IF(L42="","",L42)</f>
        <v/>
      </c>
      <c r="BK4" s="15" t="n"/>
      <c r="BL4" s="105" t="inlineStr">
        <is>
          <t>Exemple de la logique du 1er combo simple (Garder des secrets PFA 1 compt; Enfant 2 compts))</t>
        </is>
      </c>
      <c r="BV4" s="519" t="n"/>
      <c r="BW4" s="519" t="n"/>
      <c r="BX4" s="519" t="n"/>
      <c r="BY4" s="519" t="n"/>
      <c r="BZ4" s="520" t="n"/>
      <c r="CA4" s="520" t="n"/>
    </row>
    <row r="5" ht="36" customHeight="1">
      <c r="B5" s="51" t="n"/>
      <c r="C5" s="51" t="inlineStr">
        <is>
          <t>1) Le PFA (et ou le NC) a le comportement aliénant désigné avec intensité</t>
        </is>
      </c>
      <c r="D5" s="577" t="n"/>
      <c r="M5" s="64" t="n"/>
      <c r="AQ5" s="7" t="n">
        <v>2</v>
      </c>
      <c r="AR5" s="865">
        <f>C50</f>
        <v/>
      </c>
      <c r="AS5" s="866" t="inlineStr">
        <is>
          <t>🟥</t>
        </is>
      </c>
      <c r="AT5" s="867">
        <f>G62</f>
        <v/>
      </c>
      <c r="AU5" s="868">
        <f>IF(K62="","",K62)</f>
        <v/>
      </c>
      <c r="AV5" s="869" t="inlineStr">
        <is>
          <t>🔸</t>
        </is>
      </c>
      <c r="AW5" s="868">
        <f>IF(M62="","",M62)</f>
        <v/>
      </c>
      <c r="AX5" s="870" t="inlineStr">
        <is>
          <t>🟢</t>
        </is>
      </c>
      <c r="AY5" s="868">
        <f>IF(L62="","",L62)</f>
        <v/>
      </c>
      <c r="AZ5" s="73" t="n"/>
      <c r="BK5" s="100" t="inlineStr">
        <is>
          <t>Modèle A de calcul
(1 PFA-2 ENF)</t>
        </is>
      </c>
      <c r="BL5" s="96" t="inlineStr">
        <is>
          <t>ACTION</t>
        </is>
      </c>
      <c r="BM5" s="10" t="n"/>
      <c r="BN5" s="96" t="inlineStr">
        <is>
          <t>RÉACTION</t>
        </is>
      </c>
      <c r="BO5" s="10" t="n"/>
      <c r="BP5" s="10" t="n"/>
      <c r="BQ5" s="96" t="inlineStr">
        <is>
          <t>Résultat</t>
        </is>
      </c>
      <c r="BR5" s="10" t="n"/>
    </row>
    <row r="6" ht="30" customHeight="1">
      <c r="B6" s="51" t="n"/>
      <c r="C6" s="51" t="n"/>
      <c r="D6" s="51" t="n"/>
      <c r="E6" s="51" t="inlineStr">
        <is>
          <t>1.1) L'enfant réagit à ce comportement par une intensité significative</t>
        </is>
      </c>
      <c r="F6" s="51" t="n"/>
      <c r="G6" s="51" t="n"/>
      <c r="H6" s="51" t="n"/>
      <c r="I6" s="51" t="n"/>
      <c r="J6" s="51" t="n"/>
      <c r="K6" s="51" t="inlineStr">
        <is>
          <t xml:space="preserve">VRAI | VRAI </t>
        </is>
      </c>
      <c r="L6" s="51" t="inlineStr">
        <is>
          <t>Ce comportement sera retenu dans le baromètre pour démontrer l'impact de la réponse de l'enfant face aux actes du parent et/ou NC.</t>
        </is>
      </c>
      <c r="M6" s="64" t="n"/>
      <c r="AQ6" s="7" t="n">
        <v>3</v>
      </c>
      <c r="AR6" s="865">
        <f>C69</f>
        <v/>
      </c>
      <c r="AS6" s="866" t="inlineStr">
        <is>
          <t>🟥</t>
        </is>
      </c>
      <c r="AT6" s="867">
        <f>G81</f>
        <v/>
      </c>
      <c r="AU6" s="868">
        <f>IF(K81="","",K81)</f>
        <v/>
      </c>
      <c r="AV6" s="869" t="inlineStr">
        <is>
          <t>🔸</t>
        </is>
      </c>
      <c r="AW6" s="868">
        <f>IF(M81="","",M81)</f>
        <v/>
      </c>
      <c r="AX6" s="870" t="inlineStr">
        <is>
          <t>🟢</t>
        </is>
      </c>
      <c r="AY6" s="868">
        <f>IF(L81="","",L81)</f>
        <v/>
      </c>
      <c r="AZ6" s="73" t="n"/>
      <c r="BK6" s="99" t="n"/>
      <c r="BL6" s="2073" t="inlineStr">
        <is>
          <t>1) Si le parent fait l'action (secret) selon les conditions (VRAI)</t>
        </is>
      </c>
      <c r="BM6" s="7" t="n"/>
      <c r="BN6" s="92" t="inlineStr">
        <is>
          <t>L'enfant réagit -compt A (VRAI)</t>
        </is>
      </c>
      <c r="BO6" s="7" t="n"/>
      <c r="BP6" s="7" t="n"/>
      <c r="BQ6" s="7" t="inlineStr">
        <is>
          <t>Accél.</t>
        </is>
      </c>
      <c r="BR6" s="7" t="n"/>
      <c r="BS6" s="7" t="n"/>
      <c r="BT6" s="2057" t="inlineStr">
        <is>
          <t>On prend l'accél. maximum et non pas l'addition des deux</t>
        </is>
      </c>
      <c r="BU6" s="2002" t="b">
        <v>1</v>
      </c>
    </row>
    <row r="7" ht="40" customHeight="1">
      <c r="B7" s="51" t="n"/>
      <c r="E7" s="51" t="inlineStr">
        <is>
          <t>1.2) L'enfant ne réagit pas à ce comportement</t>
        </is>
      </c>
      <c r="F7" s="51" t="n"/>
      <c r="G7" s="51" t="n"/>
      <c r="H7" s="51" t="n"/>
      <c r="I7" s="51" t="n"/>
      <c r="J7" s="51" t="n"/>
      <c r="K7" s="51" t="inlineStr">
        <is>
          <t>VRAI | FAUX</t>
        </is>
      </c>
      <c r="L7" s="51" t="inlineStr">
        <is>
          <t>Malgré des comportements aliénants, l'enfant ne semble pas répondre…(pas besoin de le considérer, des test futurs dévoileront s'il y a des changements)</t>
        </is>
      </c>
      <c r="M7" s="64" t="n"/>
      <c r="AQ7" s="7" t="n">
        <v>4</v>
      </c>
      <c r="AR7" s="865">
        <f>C88</f>
        <v/>
      </c>
      <c r="AS7" s="866" t="inlineStr">
        <is>
          <t>🟥</t>
        </is>
      </c>
      <c r="AT7" s="867">
        <f>G100</f>
        <v/>
      </c>
      <c r="AU7" s="868">
        <f>IF(K100="","",K100)</f>
        <v/>
      </c>
      <c r="AV7" s="869" t="inlineStr">
        <is>
          <t>🔸</t>
        </is>
      </c>
      <c r="AW7" s="868">
        <f>IF(M100="","",M100)</f>
        <v/>
      </c>
      <c r="AX7" s="870" t="inlineStr">
        <is>
          <t>🟢</t>
        </is>
      </c>
      <c r="AY7" s="868">
        <f>IF(L100="","",L100)</f>
        <v/>
      </c>
      <c r="AZ7" s="73" t="n"/>
      <c r="BK7" s="7" t="n"/>
      <c r="BN7" s="92" t="inlineStr">
        <is>
          <t>L'enfant réagit -compt B (VRAI)</t>
        </is>
      </c>
      <c r="BO7" s="7" t="n"/>
      <c r="BP7" s="7" t="n"/>
      <c r="BQ7" s="7" t="inlineStr">
        <is>
          <t>Accél. ++</t>
        </is>
      </c>
      <c r="BR7" s="7" t="inlineStr">
        <is>
          <t>compt plus sévère</t>
        </is>
      </c>
    </row>
    <row r="8">
      <c r="B8" s="51" t="n"/>
      <c r="C8" s="51" t="inlineStr">
        <is>
          <t>2) Le PFA (et ou le NC) ne démontre pas ce comportement aliénant avec intensité</t>
        </is>
      </c>
      <c r="M8" s="64" t="n"/>
      <c r="AE8" s="116" t="n"/>
      <c r="AQ8" s="7" t="n">
        <v>5</v>
      </c>
      <c r="AR8" s="865">
        <f>C107</f>
        <v/>
      </c>
      <c r="AS8" s="866" t="inlineStr">
        <is>
          <t>🟥</t>
        </is>
      </c>
      <c r="AT8" s="867">
        <f>G119</f>
        <v/>
      </c>
      <c r="AU8" s="868">
        <f>IF(K119="","",K119)</f>
        <v/>
      </c>
      <c r="AV8" s="869" t="inlineStr">
        <is>
          <t>🔸</t>
        </is>
      </c>
      <c r="AW8" s="868">
        <f>IF(M119="","",M119)</f>
        <v/>
      </c>
      <c r="AX8" s="870" t="inlineStr">
        <is>
          <t>🟢</t>
        </is>
      </c>
      <c r="AY8" s="868">
        <f>IF(L119="","",L119)</f>
        <v/>
      </c>
      <c r="AZ8" s="73" t="n"/>
      <c r="BK8" s="99" t="n"/>
      <c r="BN8" s="53" t="inlineStr">
        <is>
          <t>L'enfant ne réagit pas -compt A (FAUX)</t>
        </is>
      </c>
      <c r="BQ8" s="7" t="inlineStr">
        <is>
          <t>condition non-respectée (0%)</t>
        </is>
      </c>
      <c r="BR8" s="7" t="n"/>
      <c r="BS8" s="7" t="n"/>
      <c r="BT8" s="2058" t="inlineStr">
        <is>
          <t>Malgré l'ordre reçu, l'enfant n'agit pas. Donc, aucun accel.</t>
        </is>
      </c>
      <c r="BU8" s="2002" t="b">
        <v>0</v>
      </c>
      <c r="BV8" s="7" t="n"/>
    </row>
    <row r="9" ht="40" customHeight="1">
      <c r="B9" s="51" t="n"/>
      <c r="D9" s="51" t="n"/>
      <c r="E9" s="51" t="inlineStr">
        <is>
          <t>1.1) L'enfant a tout de même un comportement (conlfit de loyauté !!!)</t>
        </is>
      </c>
      <c r="F9" s="51" t="n"/>
      <c r="G9" s="51" t="n"/>
      <c r="H9" s="51" t="n"/>
      <c r="I9" s="51" t="n"/>
      <c r="J9" s="51" t="n"/>
      <c r="K9" s="51" t="inlineStr">
        <is>
          <t>FAUX | VRAI</t>
        </is>
      </c>
      <c r="L9" s="51" t="inlineStr">
        <is>
          <t>Il ne semble pas y avoir de comportements aliénants du PFA ou NC, mais l'enfant a des symptômes =&gt;&gt; surveiller anxiété de séparation ou autres facteurs; à moins que le PFA soit très subtile et que rien ne paraisse</t>
        </is>
      </c>
      <c r="M9" s="64" t="n"/>
      <c r="AE9" s="116" t="n"/>
      <c r="AQ9" s="7" t="n">
        <v>6</v>
      </c>
      <c r="AR9" s="865">
        <f>C126</f>
        <v/>
      </c>
      <c r="AS9" s="866" t="inlineStr">
        <is>
          <t>🟥</t>
        </is>
      </c>
      <c r="AT9" s="867">
        <f>G139</f>
        <v/>
      </c>
      <c r="AU9" s="868">
        <f>IF(K140="","",K140)</f>
        <v/>
      </c>
      <c r="AV9" s="869" t="inlineStr">
        <is>
          <t>🔸</t>
        </is>
      </c>
      <c r="AW9" s="868">
        <f>IF(M140="","",M140)</f>
        <v/>
      </c>
      <c r="AX9" s="870" t="inlineStr">
        <is>
          <t>🟢</t>
        </is>
      </c>
      <c r="AY9" s="868">
        <f>IF(L140="","",L140)</f>
        <v/>
      </c>
      <c r="AZ9" s="73" t="n"/>
      <c r="BK9" s="6" t="n"/>
      <c r="BL9" s="2119" t="n"/>
      <c r="BN9" s="53" t="inlineStr">
        <is>
          <t>L'enfant réagit -compt B (VRAI)</t>
        </is>
      </c>
      <c r="BQ9" s="2059" t="inlineStr">
        <is>
          <t>Même si l'enfant a reçu l'ordre, il ne garde pas de secrets.</t>
        </is>
      </c>
      <c r="BV9" s="7" t="n"/>
    </row>
    <row r="10" ht="40" customHeight="1">
      <c r="B10" s="51" t="n"/>
      <c r="C10" s="51" t="n"/>
      <c r="D10" s="51" t="n"/>
      <c r="E10" s="51" t="inlineStr">
        <is>
          <t>1.2) L'enfant n'a pas non plus ce comportement.</t>
        </is>
      </c>
      <c r="F10" s="51" t="n"/>
      <c r="G10" s="51" t="n"/>
      <c r="H10" s="51" t="n"/>
      <c r="I10" s="51" t="n"/>
      <c r="J10" s="51" t="n"/>
      <c r="K10" s="51" t="inlineStr">
        <is>
          <t>FAUX | FAUX</t>
        </is>
      </c>
      <c r="L10" s="51" t="inlineStr">
        <is>
          <t>Ce comportement n'a pas lieu d'une part et d'Autre.</t>
        </is>
      </c>
      <c r="M10" s="64" t="n"/>
      <c r="AQ10" s="7" t="n">
        <v>7</v>
      </c>
      <c r="AR10" s="865">
        <f>C146</f>
        <v/>
      </c>
      <c r="AS10" s="866" t="inlineStr">
        <is>
          <t>🟥</t>
        </is>
      </c>
      <c r="AT10" s="867">
        <f>G158</f>
        <v/>
      </c>
      <c r="AU10" s="868">
        <f>IF(K158="","",K158)</f>
        <v/>
      </c>
      <c r="AV10" s="869" t="inlineStr">
        <is>
          <t>🔸</t>
        </is>
      </c>
      <c r="AW10" s="868">
        <f>IF(M158="","",M158)</f>
        <v/>
      </c>
      <c r="AX10" s="870" t="inlineStr">
        <is>
          <t>🟢</t>
        </is>
      </c>
      <c r="AY10" s="868">
        <f>IF(L158="","",L158)</f>
        <v/>
      </c>
      <c r="BL10" s="2073" t="n"/>
      <c r="BN10" s="92" t="inlineStr">
        <is>
          <t>L'enfant réagit -compt A (VRAI)</t>
        </is>
      </c>
      <c r="BQ10" s="7" t="inlineStr">
        <is>
          <t>Accél.</t>
        </is>
      </c>
      <c r="BT10" s="2057" t="inlineStr">
        <is>
          <t>Il y a accélération de la réaction A, même sans B.</t>
        </is>
      </c>
      <c r="BU10" s="2002" t="b">
        <v>1</v>
      </c>
    </row>
    <row r="11" ht="40" customHeight="1">
      <c r="B11" s="51" t="n"/>
      <c r="C11" s="51" t="n"/>
      <c r="D11" s="51" t="n"/>
      <c r="E11" s="51" t="n"/>
      <c r="F11" s="51" t="n"/>
      <c r="G11" s="51" t="n"/>
      <c r="H11" s="51" t="n"/>
      <c r="I11" s="51" t="n"/>
      <c r="J11" s="51" t="n"/>
      <c r="K11" s="51" t="n"/>
      <c r="L11" s="51" t="n"/>
      <c r="M11" s="64" t="n"/>
      <c r="AQ11" s="7" t="n">
        <v>8</v>
      </c>
      <c r="AR11" s="865">
        <f>C165</f>
        <v/>
      </c>
      <c r="AS11" s="866" t="inlineStr">
        <is>
          <t>🟥</t>
        </is>
      </c>
      <c r="AT11" s="867">
        <f>G177</f>
        <v/>
      </c>
      <c r="AU11" s="868">
        <f>IF(K177="","",K177)</f>
        <v/>
      </c>
      <c r="AV11" s="869" t="inlineStr">
        <is>
          <t>🔸</t>
        </is>
      </c>
      <c r="AW11" s="868">
        <f>IF(M177="","",M177)</f>
        <v/>
      </c>
      <c r="AX11" s="870" t="inlineStr">
        <is>
          <t>🟢</t>
        </is>
      </c>
      <c r="AY11" s="868">
        <f>IF(L177="","",L177)</f>
        <v/>
      </c>
      <c r="BK11" s="15" t="n"/>
      <c r="BN11" s="93" t="inlineStr">
        <is>
          <t>L'enfant ne réagit pas -compt B (FAUX)</t>
        </is>
      </c>
      <c r="BQ11" s="7" t="inlineStr">
        <is>
          <t>condition non-respectée (0%)</t>
        </is>
      </c>
    </row>
    <row r="12" ht="40" customHeight="1">
      <c r="B12" s="51" t="inlineStr">
        <is>
          <t>S'il y a des sous-questions, prendre toujours le comportement le plus sévère entre la Q et la/les SQ pour le calcul final quantitatif et qualitatif</t>
        </is>
      </c>
      <c r="C12" s="51" t="n"/>
      <c r="D12" s="51" t="n"/>
      <c r="E12" s="51" t="n"/>
      <c r="F12" s="51" t="n"/>
      <c r="G12" s="51" t="n"/>
      <c r="H12" s="51" t="n"/>
      <c r="I12" s="51" t="n"/>
      <c r="J12" s="51" t="n"/>
      <c r="K12" s="51" t="n"/>
      <c r="L12" s="51" t="n"/>
      <c r="M12" s="64" t="n"/>
      <c r="AQ12" s="7" t="n">
        <v>9</v>
      </c>
      <c r="AR12" s="865">
        <f>C184</f>
        <v/>
      </c>
      <c r="AS12" s="866" t="inlineStr">
        <is>
          <t>🟥</t>
        </is>
      </c>
      <c r="AT12" s="867">
        <f>G196</f>
        <v/>
      </c>
      <c r="AU12" s="868">
        <f>IF(K196="","",K196)</f>
        <v/>
      </c>
      <c r="AV12" s="869" t="inlineStr">
        <is>
          <t>🔸</t>
        </is>
      </c>
      <c r="AW12" s="868">
        <f>IF(M196="","",M196)</f>
        <v/>
      </c>
      <c r="AX12" s="870" t="inlineStr">
        <is>
          <t>🟢</t>
        </is>
      </c>
      <c r="AY12" s="868">
        <f>IF(L196="","",L196)</f>
        <v/>
      </c>
      <c r="BK12" s="1992" t="n"/>
      <c r="BL12" s="1984" t="n"/>
      <c r="BN12" s="53" t="inlineStr">
        <is>
          <t>L'enfant ne réagit pas -compt A (FAUX)</t>
        </is>
      </c>
      <c r="BQ12" s="7" t="inlineStr">
        <is>
          <t>condition non-respectée (0%)</t>
        </is>
      </c>
      <c r="BT12" s="2058" t="inlineStr">
        <is>
          <t>Conditions non-respectées par l'enfant. Aucun accel.</t>
        </is>
      </c>
      <c r="BU12" s="2002" t="b">
        <v>0</v>
      </c>
    </row>
    <row r="13">
      <c r="B13" s="51" t="n"/>
      <c r="C13" s="51" t="n"/>
      <c r="D13" s="51" t="n"/>
      <c r="E13" s="51" t="n"/>
      <c r="F13" s="51" t="n"/>
      <c r="G13" s="51" t="n"/>
      <c r="H13" s="51" t="n"/>
      <c r="I13" s="51" t="n"/>
      <c r="J13" s="51" t="n"/>
      <c r="K13" s="51" t="n"/>
      <c r="L13" s="51" t="n"/>
      <c r="M13" s="64" t="n"/>
      <c r="AQ13" s="7" t="n">
        <v>10</v>
      </c>
      <c r="AR13" s="865">
        <f>C203</f>
        <v/>
      </c>
      <c r="AS13" s="866" t="inlineStr">
        <is>
          <t>🟥</t>
        </is>
      </c>
      <c r="AT13" s="867">
        <f>G215</f>
        <v/>
      </c>
      <c r="AU13" s="868">
        <f>IF(K215="","",K215)</f>
        <v/>
      </c>
      <c r="AV13" s="869" t="inlineStr">
        <is>
          <t>🔸</t>
        </is>
      </c>
      <c r="AW13" s="868">
        <f>IF(M215="","",M215)</f>
        <v/>
      </c>
      <c r="AX13" s="870" t="inlineStr">
        <is>
          <t>🟢</t>
        </is>
      </c>
      <c r="AY13" s="868">
        <f>IF(L215="","",L215)</f>
        <v/>
      </c>
      <c r="BK13" s="99" t="n"/>
      <c r="BN13" s="53" t="inlineStr">
        <is>
          <t>L'enfant ne réagit pas -compt B (FAUX)</t>
        </is>
      </c>
      <c r="BQ13" s="7" t="inlineStr">
        <is>
          <t>condition non-respectée (0%)</t>
        </is>
      </c>
    </row>
    <row r="14" ht="85" customHeight="1">
      <c r="B14" s="576" t="inlineStr">
        <is>
          <t>Action du PFA/NC et Réaction du PCR</t>
        </is>
      </c>
      <c r="C14" s="51" t="n"/>
      <c r="D14" s="51" t="n"/>
      <c r="E14" s="51" t="n"/>
      <c r="F14" s="51" t="n"/>
      <c r="G14" s="51" t="n"/>
      <c r="H14" s="51" t="n"/>
      <c r="I14" s="51" t="n"/>
      <c r="J14" s="51" t="n"/>
      <c r="K14" s="51" t="n"/>
      <c r="L14" s="51" t="n"/>
      <c r="M14" s="64" t="n"/>
      <c r="AQ14" s="7" t="n">
        <v>11</v>
      </c>
      <c r="AR14" s="865">
        <f>C222</f>
        <v/>
      </c>
      <c r="AS14" s="866" t="inlineStr">
        <is>
          <t>🟥</t>
        </is>
      </c>
      <c r="AT14" s="867">
        <f>G234</f>
        <v/>
      </c>
      <c r="AU14" s="868">
        <f>IF(K234="","",K234)</f>
        <v/>
      </c>
      <c r="AV14" s="869" t="inlineStr">
        <is>
          <t>🔸</t>
        </is>
      </c>
      <c r="AW14" s="868">
        <f>IF(M234="","",M234)</f>
        <v/>
      </c>
      <c r="AX14" s="870" t="inlineStr">
        <is>
          <t>🟢</t>
        </is>
      </c>
      <c r="AY14" s="868">
        <f>IF(L234="","",L234)</f>
        <v/>
      </c>
      <c r="BK14" s="99" t="n"/>
      <c r="BL14" s="94" t="inlineStr">
        <is>
          <t>2) Si le parent n'agit pas selon les conditions (FAUX)</t>
        </is>
      </c>
      <c r="BM14" s="80" t="n"/>
      <c r="BN14" s="95" t="inlineStr">
        <is>
          <t>RÉACTION</t>
        </is>
      </c>
      <c r="BO14" s="80" t="n"/>
      <c r="BP14" s="80" t="n"/>
      <c r="BQ14" s="95" t="inlineStr">
        <is>
          <t>Résultat</t>
        </is>
      </c>
      <c r="BR14" s="80" t="n"/>
      <c r="BS14" s="80" t="n"/>
      <c r="BT14" s="95" t="inlineStr">
        <is>
          <t>Calcul</t>
        </is>
      </c>
      <c r="BU14" s="7" t="inlineStr">
        <is>
          <t>Si le parent ne semble pas demande à l'enfant de garder des secrets, mais l'enfant le fait ! C'est autre chose qui l'incite. Je dirais que cela ne doit pas paraître dans ce combo. Il sera pris en considération ailleurs dans les autres analysés. Penser mettre un Warning incitant à mieux comorendre la réaction  l'enfant.</t>
        </is>
      </c>
    </row>
    <row r="15" ht="60" customHeight="1">
      <c r="B15" s="51" t="inlineStr">
        <is>
          <t>On veut voir si le PCR réagit aux actions du PFA, si oui, cela met l'enfant en conflit de loyauté. Donner des conseils au PCR sur ses réactions les plus sévères.</t>
        </is>
      </c>
      <c r="C15" s="51" t="n"/>
      <c r="D15" s="51" t="n"/>
      <c r="E15" s="51" t="n"/>
      <c r="F15" s="51" t="n"/>
      <c r="G15" s="51" t="n"/>
      <c r="H15" s="51" t="n"/>
      <c r="I15" s="51" t="n"/>
      <c r="J15" s="51" t="n"/>
      <c r="K15" s="51" t="n"/>
      <c r="L15" s="51" t="n"/>
      <c r="M15" s="64" t="n"/>
      <c r="AQ15" s="7" t="n">
        <v>12</v>
      </c>
      <c r="AR15" s="865">
        <f>C241</f>
        <v/>
      </c>
      <c r="AS15" s="866" t="inlineStr">
        <is>
          <t>🟥</t>
        </is>
      </c>
      <c r="AT15" s="867">
        <f>G253</f>
        <v/>
      </c>
      <c r="AU15" s="868">
        <f>IF(K253="","",K253)</f>
        <v/>
      </c>
      <c r="AV15" s="869" t="inlineStr">
        <is>
          <t>🔸</t>
        </is>
      </c>
      <c r="AW15" s="868">
        <f>IF(M253="","",M253)</f>
        <v/>
      </c>
      <c r="AX15" s="870" t="inlineStr">
        <is>
          <t>🟢</t>
        </is>
      </c>
      <c r="AY15" s="868">
        <f>IF(L253="","",L253)</f>
        <v/>
      </c>
      <c r="BK15" s="99" t="n"/>
      <c r="BL15" s="2119" t="n"/>
      <c r="BN15" s="92" t="inlineStr">
        <is>
          <t>L'enfant réagit -compt A (VRAI)</t>
        </is>
      </c>
      <c r="BO15" s="7" t="n"/>
      <c r="BP15" s="7" t="n"/>
      <c r="BQ15" s="7" t="inlineStr">
        <is>
          <t>L'enfant agit de son propre chef.</t>
        </is>
      </c>
      <c r="BR15" s="7" t="n"/>
      <c r="BS15" s="7" t="n"/>
      <c r="BT15" s="2057" t="inlineStr">
        <is>
          <t>Même si l'enfant réagit, c'est autre chose qui cause son action et pas le compt du parent = 0%</t>
        </is>
      </c>
      <c r="BU15" s="2002" t="b">
        <v>0</v>
      </c>
    </row>
    <row r="16" ht="60" customHeight="1">
      <c r="B16" s="64" t="n"/>
      <c r="C16" s="64" t="n"/>
      <c r="D16" s="64" t="n"/>
      <c r="E16" s="64" t="n"/>
      <c r="F16" s="64" t="n"/>
      <c r="G16" s="64" t="n"/>
      <c r="H16" s="64" t="n"/>
      <c r="I16" s="64" t="n"/>
      <c r="J16" s="64" t="n"/>
      <c r="K16" s="64" t="n"/>
      <c r="L16" s="64" t="n"/>
      <c r="M16" s="64" t="n"/>
      <c r="AQ16" s="7" t="n">
        <v>13</v>
      </c>
      <c r="AR16" s="865">
        <f>C260</f>
        <v/>
      </c>
      <c r="AS16" s="866" t="inlineStr">
        <is>
          <t>🟥</t>
        </is>
      </c>
      <c r="AT16" s="867">
        <f>G272</f>
        <v/>
      </c>
      <c r="AU16" s="868">
        <f>IF(K272="","",K272)</f>
        <v/>
      </c>
      <c r="AV16" s="869" t="inlineStr">
        <is>
          <t>🔸</t>
        </is>
      </c>
      <c r="AW16" s="868">
        <f>IF(M272="","",M272)</f>
        <v/>
      </c>
      <c r="AX16" s="870" t="inlineStr">
        <is>
          <t>🟢</t>
        </is>
      </c>
      <c r="AY16" s="868">
        <f>IF(L272="","",L272)</f>
        <v/>
      </c>
      <c r="BK16" s="6" t="n"/>
      <c r="BN16" s="92" t="inlineStr">
        <is>
          <t>L'enfant réagit -compt B (VRAI)</t>
        </is>
      </c>
      <c r="BO16" s="7" t="n"/>
      <c r="BP16" s="7" t="n"/>
      <c r="BQ16" s="7" t="inlineStr">
        <is>
          <t>Peu réaliste si le parent n'agit pas.</t>
        </is>
      </c>
      <c r="BR16" s="7" t="n"/>
    </row>
    <row r="17" ht="40" customHeight="1">
      <c r="B17" s="64" t="n"/>
      <c r="C17" s="64" t="n"/>
      <c r="D17" s="64" t="n"/>
      <c r="E17" s="64" t="n"/>
      <c r="F17" s="64" t="n"/>
      <c r="G17" s="64" t="n"/>
      <c r="H17" s="64" t="n"/>
      <c r="I17" s="64" t="n"/>
      <c r="J17" s="64" t="n"/>
      <c r="K17" s="64" t="n"/>
      <c r="L17" s="64" t="n"/>
      <c r="M17" s="64" t="n"/>
      <c r="AQ17" s="7" t="n">
        <v>14</v>
      </c>
      <c r="AR17" s="865">
        <f>C279</f>
        <v/>
      </c>
      <c r="AS17" s="866" t="inlineStr">
        <is>
          <t>🟥</t>
        </is>
      </c>
      <c r="AT17" s="867">
        <f>G291</f>
        <v/>
      </c>
      <c r="AU17" s="868">
        <f>IF(K291="","",K291)</f>
        <v/>
      </c>
      <c r="AV17" s="869" t="inlineStr">
        <is>
          <t>🔸</t>
        </is>
      </c>
      <c r="AW17" s="868">
        <f>IF(M291="","",M291)</f>
        <v/>
      </c>
      <c r="AX17" s="870" t="inlineStr">
        <is>
          <t>🟢</t>
        </is>
      </c>
      <c r="AY17" s="868">
        <f>IF(L291="","",L291)</f>
        <v/>
      </c>
      <c r="BN17" s="53" t="inlineStr">
        <is>
          <t>L'enfant ne réagit pas -compt A (FAUX)</t>
        </is>
      </c>
      <c r="BQ17" s="7" t="inlineStr">
        <is>
          <t>condition non-respectée (0%)</t>
        </is>
      </c>
      <c r="BR17" s="7" t="n"/>
      <c r="BS17" s="7" t="n"/>
      <c r="BT17" s="2058" t="inlineStr">
        <is>
          <t>Condition peu réaliste - inconsistence des résultats</t>
        </is>
      </c>
      <c r="BU17" s="2002" t="b">
        <v>0</v>
      </c>
    </row>
    <row r="18" ht="60" customHeight="1">
      <c r="A18" s="852" t="n"/>
      <c r="B18" s="112" t="n"/>
      <c r="C18" s="113" t="inlineStr">
        <is>
          <t>Zone COMBO SIMPLE</t>
        </is>
      </c>
      <c r="D18" s="113" t="n"/>
      <c r="E18" s="112" t="n"/>
      <c r="F18" s="821" t="inlineStr">
        <is>
          <t>Condition par défaut</t>
        </is>
      </c>
      <c r="G18" s="821" t="n"/>
      <c r="H18" s="112" t="n">
        <v>4</v>
      </c>
      <c r="I18" s="112" t="n">
        <v>10</v>
      </c>
      <c r="J18" s="112" t="n"/>
      <c r="K18" s="112" t="n"/>
      <c r="L18" s="112" t="n"/>
      <c r="M18" s="112" t="n"/>
      <c r="N18" s="112" t="n"/>
      <c r="O18" s="112" t="n"/>
      <c r="P18" s="112" t="n"/>
      <c r="Q18" s="112" t="n"/>
      <c r="R18" s="112" t="n"/>
      <c r="S18" s="112" t="n"/>
      <c r="T18" s="112" t="n"/>
      <c r="AQ18" s="7" t="n">
        <v>15</v>
      </c>
      <c r="AR18" s="865">
        <f>C298</f>
        <v/>
      </c>
      <c r="AS18" s="866" t="inlineStr">
        <is>
          <t>🟥</t>
        </is>
      </c>
      <c r="AT18" s="867">
        <f>G310</f>
        <v/>
      </c>
      <c r="AU18" s="868">
        <f>IF(K310="","",K310)</f>
        <v/>
      </c>
      <c r="AV18" s="869" t="inlineStr">
        <is>
          <t>🔸</t>
        </is>
      </c>
      <c r="AW18" s="868">
        <f>IF(M310="","",M310)</f>
        <v/>
      </c>
      <c r="AX18" s="870" t="inlineStr">
        <is>
          <t>🟢</t>
        </is>
      </c>
      <c r="AY18" s="868">
        <f>IF(L310="","",L310)</f>
        <v/>
      </c>
      <c r="BK18" s="15" t="n"/>
      <c r="BN18" s="53" t="inlineStr">
        <is>
          <t>L'enfant réagit -compt B (VRAI)</t>
        </is>
      </c>
      <c r="BQ18" s="2059" t="inlineStr">
        <is>
          <t>Même si l'enfant a reçu l'ordre, il ne garde pas de secrets.</t>
        </is>
      </c>
    </row>
    <row r="19" ht="40" customHeight="1">
      <c r="A19" s="852" t="n"/>
      <c r="B19" s="112" t="n"/>
      <c r="C19" s="112" t="n"/>
      <c r="D19" s="112" t="n"/>
      <c r="E19" s="112" t="n"/>
      <c r="F19" s="112" t="n"/>
      <c r="G19" s="112" t="n"/>
      <c r="H19" s="112" t="n"/>
      <c r="I19" s="112" t="n"/>
      <c r="J19" s="112" t="n"/>
      <c r="K19" s="112" t="n"/>
      <c r="L19" s="112" t="n"/>
      <c r="M19" s="112" t="n"/>
      <c r="N19" s="112" t="n"/>
      <c r="O19" s="112" t="n"/>
      <c r="P19" s="112" t="n"/>
      <c r="Q19" s="112" t="n"/>
      <c r="R19" s="112" t="n"/>
      <c r="S19" s="112" t="n"/>
      <c r="T19" s="112" t="n"/>
      <c r="AJ19" s="2045" t="inlineStr">
        <is>
          <t>Thème générateur de</t>
        </is>
      </c>
      <c r="AQ19" s="7" t="n">
        <v>16</v>
      </c>
      <c r="AR19" s="865">
        <f>C317</f>
        <v/>
      </c>
      <c r="AS19" s="866" t="inlineStr">
        <is>
          <t>🟥</t>
        </is>
      </c>
      <c r="AT19" s="867">
        <f>G329</f>
        <v/>
      </c>
      <c r="AU19" s="868">
        <f>IF(K329="","",K329)</f>
        <v/>
      </c>
      <c r="AV19" s="869" t="inlineStr">
        <is>
          <t>🔸</t>
        </is>
      </c>
      <c r="AW19" s="868">
        <f>IF(M329="","",M329)</f>
        <v/>
      </c>
      <c r="AX19" s="870" t="inlineStr">
        <is>
          <t>🟢</t>
        </is>
      </c>
      <c r="AY19" s="868">
        <f>IF(L329="","",L329)</f>
        <v/>
      </c>
      <c r="BK19" s="1992" t="n"/>
      <c r="BN19" s="92" t="inlineStr">
        <is>
          <t>L'enfant réagit -compt A (VRAI)</t>
        </is>
      </c>
      <c r="BQ19" s="7" t="inlineStr">
        <is>
          <t>L'enfant agit de son propre chef.</t>
        </is>
      </c>
      <c r="BT19" s="2057" t="inlineStr">
        <is>
          <t>Même si l'enfant réagit, c'est autre chose qui cause son action et pas le compt du parent = 0%</t>
        </is>
      </c>
      <c r="BU19" s="2002" t="b">
        <v>0</v>
      </c>
    </row>
    <row r="20" ht="40" customHeight="1">
      <c r="A20" s="1027" t="n"/>
      <c r="B20" s="10" t="n"/>
      <c r="C20" s="10" t="n"/>
      <c r="D20" s="10" t="n"/>
      <c r="E20" s="10" t="n"/>
      <c r="F20" s="10" t="n"/>
      <c r="G20" s="10" t="n"/>
      <c r="H20" s="10" t="n"/>
      <c r="I20" s="10" t="n"/>
      <c r="J20" s="10" t="n"/>
      <c r="K20" s="10" t="n"/>
      <c r="L20" s="10" t="n"/>
      <c r="M20" s="10" t="n"/>
      <c r="N20" s="10" t="n"/>
      <c r="O20" s="10" t="n"/>
      <c r="P20" s="10" t="n"/>
      <c r="Q20" s="10" t="n"/>
      <c r="R20" s="10" t="n"/>
      <c r="S20" s="10" t="n"/>
      <c r="T20" s="10" t="n"/>
      <c r="AB20" s="1533" t="n"/>
      <c r="AC20" s="10" t="n"/>
      <c r="AD20" s="10" t="n"/>
      <c r="AE20" s="10" t="n"/>
      <c r="AF20" s="1030" t="n"/>
      <c r="AG20" s="1030" t="inlineStr">
        <is>
          <t>AP</t>
        </is>
      </c>
      <c r="AH20" s="1030" t="inlineStr">
        <is>
          <t>CL</t>
        </is>
      </c>
      <c r="AI20" s="1030" t="inlineStr">
        <is>
          <t>CSS</t>
        </is>
      </c>
      <c r="AJ20" s="2045" t="inlineStr">
        <is>
          <t>AP</t>
        </is>
      </c>
      <c r="AK20" s="2045" t="inlineStr">
        <is>
          <t>CL</t>
        </is>
      </c>
      <c r="AL20" s="2045" t="inlineStr">
        <is>
          <t>CSS</t>
        </is>
      </c>
      <c r="AM20" s="3" t="n"/>
      <c r="AN20" s="3" t="n"/>
      <c r="AO20" s="3" t="n"/>
      <c r="AQ20" s="7" t="n">
        <v>17</v>
      </c>
      <c r="AR20" s="865">
        <f>C336</f>
        <v/>
      </c>
      <c r="AS20" s="866" t="inlineStr">
        <is>
          <t>🟥</t>
        </is>
      </c>
      <c r="AT20" s="867">
        <f>G348</f>
        <v/>
      </c>
      <c r="AU20" s="868">
        <f>IF(K348="","",K348)</f>
        <v/>
      </c>
      <c r="AV20" s="869" t="inlineStr">
        <is>
          <t>🔸</t>
        </is>
      </c>
      <c r="AW20" s="868">
        <f>IF(M348="","",M348)</f>
        <v/>
      </c>
      <c r="AX20" s="870" t="inlineStr">
        <is>
          <t>🟢</t>
        </is>
      </c>
      <c r="AY20" s="868">
        <f>IF(L348="","",L348)</f>
        <v/>
      </c>
      <c r="BK20" s="1992" t="n"/>
      <c r="BN20" s="92" t="n"/>
      <c r="BQ20" s="7" t="n"/>
    </row>
    <row r="21" ht="16" customHeight="1">
      <c r="A21" s="1027" t="n"/>
      <c r="B21" s="10" t="n"/>
      <c r="C21" s="10" t="n"/>
      <c r="D21" s="10" t="n"/>
      <c r="E21" s="10" t="n"/>
      <c r="F21" s="10" t="n"/>
      <c r="G21" s="10" t="n"/>
      <c r="H21" s="10" t="n"/>
      <c r="I21" s="10" t="n"/>
      <c r="J21" s="10" t="n"/>
      <c r="K21" s="10" t="n"/>
      <c r="L21" s="10" t="n"/>
      <c r="M21" s="10" t="n"/>
      <c r="N21" s="10" t="n"/>
      <c r="O21" s="10" t="n"/>
      <c r="P21" s="10" t="n"/>
      <c r="Q21" s="10" t="n"/>
      <c r="R21" s="10" t="n"/>
      <c r="S21" s="10" t="n"/>
      <c r="T21" s="10" t="n"/>
      <c r="AB21" s="10" t="n"/>
      <c r="AC21" s="21" t="n"/>
      <c r="AD21" s="21" t="n"/>
      <c r="AE21" s="1748" t="inlineStr">
        <is>
          <t>Action-Réaction</t>
        </is>
      </c>
      <c r="AF21" s="21" t="n"/>
      <c r="AG21" s="14">
        <f>AD47+AD67+AD86+AD105+AD124+AD144+AD163+AD182+AD201+AD220+AD239+AD258+AD277+AD296+AD315+AD334+AD353+AD372+AD392+AD412+AD431+AD450+AD469+AD488+AD507+AD528</f>
        <v/>
      </c>
      <c r="AH21" s="14">
        <f>AF47+AF67+AF86+AF105+AF124+AF144+AF163+AF182+AF201+AF220+AF239+AF258+AF277+AF296+AF315+AF334+AF353+AF372+AF392+AF412+AF431+AF450+AF469+AF488+AF507+AF528</f>
        <v/>
      </c>
      <c r="AI21" s="14">
        <f>AH47+AH67+AH86+AH105+AH124+AH144+AH163+AH182+AH201+AH220+AH239+AH258+AH277+AH296+AH315+AH334+AH353+AH372+AH392+AH412+AH431+AH450+AH469+AH488+AH507+AH528</f>
        <v/>
      </c>
      <c r="AJ21" s="10" t="n"/>
      <c r="AK21" s="10" t="n"/>
      <c r="AL21" s="10" t="n"/>
      <c r="AQ21" s="7" t="n">
        <v>18</v>
      </c>
      <c r="AR21" s="865">
        <f>C355</f>
        <v/>
      </c>
      <c r="AS21" s="866" t="inlineStr">
        <is>
          <t>🟥</t>
        </is>
      </c>
      <c r="AT21" s="867">
        <f>G367</f>
        <v/>
      </c>
      <c r="AU21" s="868">
        <f>IF(K367="","",K367)</f>
        <v/>
      </c>
      <c r="AV21" s="869" t="inlineStr">
        <is>
          <t>🔸</t>
        </is>
      </c>
      <c r="AW21" s="868">
        <f>IF(M367="","",M367)</f>
        <v/>
      </c>
      <c r="AX21" s="870" t="inlineStr">
        <is>
          <t>🟢</t>
        </is>
      </c>
      <c r="AY21" s="868">
        <f>IF(L367="","",L367)</f>
        <v/>
      </c>
      <c r="BK21" s="1992" t="n"/>
      <c r="BN21" s="92" t="n"/>
      <c r="BQ21" s="7" t="n"/>
    </row>
    <row r="22" ht="16" customHeight="1">
      <c r="A22" s="1027" t="n"/>
      <c r="B22" s="10" t="n"/>
      <c r="C22" s="10" t="n"/>
      <c r="D22" s="10" t="n"/>
      <c r="E22" s="10" t="n"/>
      <c r="F22" s="10" t="n"/>
      <c r="G22" s="10" t="n"/>
      <c r="H22" s="10" t="n"/>
      <c r="I22" s="10" t="n"/>
      <c r="J22" s="10" t="n"/>
      <c r="K22" s="10" t="n"/>
      <c r="L22" s="10" t="n"/>
      <c r="M22" s="10" t="n"/>
      <c r="N22" s="10" t="n"/>
      <c r="O22" s="10" t="n"/>
      <c r="P22" s="10" t="n"/>
      <c r="Q22" s="10" t="n"/>
      <c r="R22" s="10" t="n"/>
      <c r="S22" s="10" t="n"/>
      <c r="T22" s="10" t="n"/>
      <c r="AB22" s="10" t="n"/>
      <c r="AC22" s="21" t="n"/>
      <c r="AD22" s="21" t="n"/>
      <c r="AE22" s="1749" t="inlineStr">
        <is>
          <t># total de thèmes</t>
        </is>
      </c>
      <c r="AF22" s="1749" t="n"/>
      <c r="AG22" s="21">
        <f>SUM(AJ47:AJ528)</f>
        <v/>
      </c>
      <c r="AH22" s="21">
        <f>SUM(AK47:AK528)</f>
        <v/>
      </c>
      <c r="AI22" s="21">
        <f>SUM(AL47:AL528)</f>
        <v/>
      </c>
      <c r="AJ22" s="10" t="n"/>
      <c r="AK22" s="10" t="n"/>
      <c r="AL22" s="10" t="n"/>
      <c r="AQ22" s="7" t="n">
        <v>19</v>
      </c>
      <c r="AR22" s="865">
        <f>C374</f>
        <v/>
      </c>
      <c r="AS22" s="866" t="inlineStr">
        <is>
          <t>🟥</t>
        </is>
      </c>
      <c r="AT22" s="867">
        <f>G387</f>
        <v/>
      </c>
      <c r="AU22" s="868">
        <f>IF(K387="","",K387)</f>
        <v/>
      </c>
      <c r="AV22" s="869" t="inlineStr">
        <is>
          <t>🔸</t>
        </is>
      </c>
      <c r="AW22" s="868">
        <f>IF(M387="","",M387)</f>
        <v/>
      </c>
      <c r="AX22" s="870" t="inlineStr">
        <is>
          <t>🟢</t>
        </is>
      </c>
      <c r="AY22" s="868">
        <f>IF(L387="","",L387)</f>
        <v/>
      </c>
      <c r="BK22" s="1992" t="n"/>
      <c r="BN22" s="92" t="n"/>
      <c r="BQ22" s="7" t="n"/>
    </row>
    <row r="23" ht="16" customHeight="1">
      <c r="A23" s="1027" t="n"/>
      <c r="B23" s="10" t="n"/>
      <c r="C23" s="10" t="n"/>
      <c r="D23" s="10" t="n"/>
      <c r="E23" s="10" t="n"/>
      <c r="F23" s="10" t="n"/>
      <c r="G23" s="10" t="n"/>
      <c r="H23" s="10" t="n"/>
      <c r="I23" s="10" t="n"/>
      <c r="J23" s="10" t="n"/>
      <c r="K23" s="10" t="n"/>
      <c r="L23" s="10" t="n"/>
      <c r="M23" s="10" t="n"/>
      <c r="N23" s="10" t="n"/>
      <c r="O23" s="10" t="n"/>
      <c r="P23" s="10" t="n"/>
      <c r="Q23" s="10" t="n"/>
      <c r="R23" s="10" t="n"/>
      <c r="S23" s="10" t="n"/>
      <c r="T23" s="10" t="n"/>
      <c r="AB23" s="1533" t="n"/>
      <c r="AC23" s="10" t="n"/>
      <c r="AD23" s="10" t="n"/>
      <c r="AE23" s="10" t="n"/>
      <c r="AF23" s="10" t="n"/>
      <c r="AG23" s="10" t="n"/>
      <c r="AH23" s="10" t="n"/>
      <c r="AI23" s="10" t="n"/>
      <c r="AJ23" s="10" t="n"/>
      <c r="AK23" s="10" t="n"/>
      <c r="AL23" s="10" t="n"/>
      <c r="AQ23" s="7" t="n">
        <v>20</v>
      </c>
      <c r="AR23" s="865">
        <f>C394</f>
        <v/>
      </c>
      <c r="AS23" s="866" t="inlineStr">
        <is>
          <t>🟥</t>
        </is>
      </c>
      <c r="AT23" s="867">
        <f>G407</f>
        <v/>
      </c>
      <c r="AU23" s="868">
        <f>IF(K407="","",K407)</f>
        <v/>
      </c>
      <c r="AV23" s="869" t="inlineStr">
        <is>
          <t>🔸</t>
        </is>
      </c>
      <c r="AW23" s="868">
        <f>IF(M407="","",M407)</f>
        <v/>
      </c>
      <c r="AX23" s="870" t="inlineStr">
        <is>
          <t>🟢</t>
        </is>
      </c>
      <c r="AY23" s="868">
        <f>IF(L407="","",L407)</f>
        <v/>
      </c>
      <c r="BK23" s="1992" t="n"/>
      <c r="BN23" s="92" t="n"/>
      <c r="BQ23" s="7" t="n"/>
    </row>
    <row r="24" ht="16" customHeight="1">
      <c r="A24" s="1028" t="n"/>
      <c r="B24" s="10" t="n"/>
      <c r="C24" s="10" t="n"/>
      <c r="D24" s="10" t="n"/>
      <c r="E24" s="10" t="n"/>
      <c r="F24" s="10" t="n"/>
      <c r="G24" s="10" t="n"/>
      <c r="H24" s="10" t="n"/>
      <c r="I24" s="10" t="n"/>
      <c r="J24" s="10" t="n"/>
      <c r="K24" s="10" t="n"/>
      <c r="L24" s="10" t="n"/>
      <c r="M24" s="10" t="n"/>
      <c r="N24" s="10" t="n"/>
      <c r="O24" s="10" t="n"/>
      <c r="P24" s="10" t="n"/>
      <c r="Q24" s="10" t="n"/>
      <c r="R24" s="10" t="n"/>
      <c r="S24" s="10" t="n"/>
      <c r="T24" s="10" t="n"/>
      <c r="AB24" s="10" t="n"/>
      <c r="AC24" s="10" t="n"/>
      <c r="AD24" s="10" t="n"/>
      <c r="AE24" s="1748" t="inlineStr">
        <is>
          <t>Miroir</t>
        </is>
      </c>
      <c r="AF24" s="10" t="n"/>
      <c r="AG24" s="1029">
        <f>AD554+AD574+AD594+AD614+AD634</f>
        <v/>
      </c>
      <c r="AH24" s="1029">
        <f>AF554+AF574+AF594+AF614+AF634</f>
        <v/>
      </c>
      <c r="AI24" s="1029">
        <f>AH554+AH574+AH594+AH614+AH634</f>
        <v/>
      </c>
      <c r="AJ24" s="10" t="n"/>
      <c r="AK24" s="10" t="n"/>
      <c r="AL24" s="10" t="n"/>
      <c r="AQ24" s="7" t="n">
        <v>21</v>
      </c>
      <c r="AR24" s="865">
        <f>C414</f>
        <v/>
      </c>
      <c r="AS24" s="866" t="inlineStr">
        <is>
          <t>🟥</t>
        </is>
      </c>
      <c r="AT24" s="867">
        <f>G426</f>
        <v/>
      </c>
      <c r="AU24" s="868">
        <f>IF(K426="","",K426)</f>
        <v/>
      </c>
      <c r="AV24" s="869" t="inlineStr">
        <is>
          <t>🔸</t>
        </is>
      </c>
      <c r="AW24" s="868">
        <f>IF(M426="","",M426)</f>
        <v/>
      </c>
      <c r="AX24" s="870" t="inlineStr">
        <is>
          <t>🟢</t>
        </is>
      </c>
      <c r="AY24" s="868">
        <f>IF(L426="","",L426)</f>
        <v/>
      </c>
      <c r="BK24" s="99" t="n"/>
      <c r="BN24" s="93" t="inlineStr">
        <is>
          <t>L'enfant ne réagit pas -compt B (FAUX)</t>
        </is>
      </c>
      <c r="BQ24" s="7" t="inlineStr">
        <is>
          <t>condition non-respectée (0%)</t>
        </is>
      </c>
    </row>
    <row r="25" ht="16" customHeight="1">
      <c r="A25" s="1028" t="n"/>
      <c r="B25" s="10" t="n"/>
      <c r="C25" s="10" t="n"/>
      <c r="D25" s="10" t="n"/>
      <c r="E25" s="10" t="n"/>
      <c r="F25" s="10" t="n"/>
      <c r="G25" s="10" t="n"/>
      <c r="H25" s="10" t="n"/>
      <c r="I25" s="10" t="n"/>
      <c r="J25" s="10" t="n"/>
      <c r="K25" s="10" t="n"/>
      <c r="L25" s="10" t="n"/>
      <c r="M25" s="10" t="n"/>
      <c r="N25" s="10" t="n"/>
      <c r="O25" s="10" t="n"/>
      <c r="P25" s="10" t="n"/>
      <c r="Q25" s="10" t="n"/>
      <c r="R25" s="10" t="n"/>
      <c r="S25" s="10" t="n"/>
      <c r="T25" s="10" t="n"/>
      <c r="AB25" s="10" t="n"/>
      <c r="AC25" s="10" t="n"/>
      <c r="AD25" s="10" t="n"/>
      <c r="AE25" s="1031" t="inlineStr">
        <is>
          <t># total de thèmes</t>
        </is>
      </c>
      <c r="AF25" s="1031" t="n"/>
      <c r="AG25" s="10">
        <f>SUM(AJ536:AJ634)</f>
        <v/>
      </c>
      <c r="AH25" s="10">
        <f>SUM(AK536:AK634)</f>
        <v/>
      </c>
      <c r="AI25" s="10">
        <f>SUM(AL536:AL634)</f>
        <v/>
      </c>
      <c r="AJ25" s="10" t="n"/>
      <c r="AK25" s="10" t="n"/>
      <c r="AL25" s="10" t="n"/>
      <c r="AQ25" s="7" t="n">
        <v>22</v>
      </c>
      <c r="AR25" s="865">
        <f>C433</f>
        <v/>
      </c>
      <c r="AS25" s="866" t="inlineStr">
        <is>
          <t>🟥</t>
        </is>
      </c>
      <c r="AT25" s="867">
        <f>G445</f>
        <v/>
      </c>
      <c r="AU25" s="868">
        <f>IF(K445="","",K445)</f>
        <v/>
      </c>
      <c r="AV25" s="869" t="inlineStr">
        <is>
          <t>🔸</t>
        </is>
      </c>
      <c r="AW25" s="868">
        <f>IF(M445="","",M445)</f>
        <v/>
      </c>
      <c r="AX25" s="870" t="inlineStr">
        <is>
          <t>🟢</t>
        </is>
      </c>
      <c r="AY25" s="868">
        <f>IF(L445="","",L445)</f>
        <v/>
      </c>
      <c r="BK25" s="99" t="n"/>
      <c r="BN25" s="93" t="n"/>
      <c r="BQ25" s="7" t="n"/>
      <c r="BT25" s="2057" t="n"/>
      <c r="BU25" s="2002" t="n"/>
    </row>
    <row r="26" ht="16" customHeight="1">
      <c r="A26" s="1028" t="n"/>
      <c r="B26" s="10" t="n"/>
      <c r="C26" s="10" t="n"/>
      <c r="D26" s="10" t="n"/>
      <c r="E26" s="10" t="n"/>
      <c r="F26" s="10" t="n"/>
      <c r="G26" s="10" t="n"/>
      <c r="H26" s="10" t="n"/>
      <c r="I26" s="10" t="n"/>
      <c r="J26" s="10" t="n"/>
      <c r="K26" s="10" t="n"/>
      <c r="L26" s="10" t="n"/>
      <c r="M26" s="10" t="n"/>
      <c r="N26" s="10" t="n"/>
      <c r="O26" s="10" t="n"/>
      <c r="P26" s="10" t="n"/>
      <c r="Q26" s="10" t="n"/>
      <c r="R26" s="10" t="n"/>
      <c r="S26" s="10" t="n"/>
      <c r="T26" s="10" t="n"/>
      <c r="AB26" s="10" t="n"/>
      <c r="AC26" s="10" t="n"/>
      <c r="AD26" s="10" t="n"/>
      <c r="AE26" s="1031" t="n"/>
      <c r="AF26" s="1031" t="n"/>
      <c r="AG26" s="1029" t="n"/>
      <c r="AH26" s="1029" t="n"/>
      <c r="AI26" s="1029" t="n"/>
      <c r="AJ26" s="10" t="n"/>
      <c r="AK26" s="10" t="n"/>
      <c r="AL26" s="10" t="n"/>
      <c r="AQ26" s="7" t="n">
        <v>23</v>
      </c>
      <c r="AR26" s="865">
        <f>C452</f>
        <v/>
      </c>
      <c r="AS26" s="866" t="inlineStr">
        <is>
          <t>🟥</t>
        </is>
      </c>
      <c r="AT26" s="867">
        <f>G464</f>
        <v/>
      </c>
      <c r="AU26" s="868">
        <f>IF(K464="","",K464)</f>
        <v/>
      </c>
      <c r="AV26" s="869" t="inlineStr">
        <is>
          <t>🔸</t>
        </is>
      </c>
      <c r="AW26" s="868">
        <f>IF(M464="","",M464)</f>
        <v/>
      </c>
      <c r="AX26" s="870" t="inlineStr">
        <is>
          <t>🟢</t>
        </is>
      </c>
      <c r="AY26" s="868">
        <f>IF(L464="","",L464)</f>
        <v/>
      </c>
      <c r="BK26" s="99" t="n"/>
      <c r="BN26" s="93" t="n"/>
      <c r="BQ26" s="7" t="n"/>
      <c r="BT26" s="2057" t="n"/>
      <c r="BU26" s="2002" t="n"/>
    </row>
    <row r="27" ht="35" customHeight="1">
      <c r="D27" s="847" t="n"/>
      <c r="E27" s="97" t="n"/>
      <c r="F27" s="97" t="n"/>
      <c r="G27" s="97" t="n"/>
      <c r="H27" s="97" t="n"/>
      <c r="I27" s="97" t="n"/>
      <c r="J27" s="97" t="n"/>
      <c r="K27" s="848" t="n"/>
      <c r="L27" s="848" t="n"/>
      <c r="M27" s="848" t="n"/>
      <c r="N27" s="97" t="n"/>
      <c r="O27" s="97" t="n"/>
      <c r="P27" s="97" t="n"/>
      <c r="Q27" s="97" t="n"/>
      <c r="R27" s="97" t="n"/>
      <c r="S27" s="97" t="n"/>
      <c r="T27" s="97" t="n"/>
      <c r="U27" s="97" t="n"/>
      <c r="AC27" s="1734" t="n"/>
      <c r="AD27" s="1490" t="n"/>
      <c r="AE27" s="1490" t="n"/>
      <c r="AF27" s="1490" t="n"/>
      <c r="AG27" s="1490" t="n"/>
      <c r="AH27" s="1490" t="inlineStr">
        <is>
          <t>à</t>
        </is>
      </c>
      <c r="AJ27" s="10" t="n"/>
      <c r="AK27" s="10" t="n"/>
      <c r="AL27" s="10" t="n"/>
      <c r="AQ27" s="7" t="n">
        <v>24</v>
      </c>
      <c r="AR27" s="865">
        <f>C471</f>
        <v/>
      </c>
      <c r="AS27" s="866" t="inlineStr">
        <is>
          <t>🟥</t>
        </is>
      </c>
      <c r="AT27" s="867">
        <f>G483</f>
        <v/>
      </c>
      <c r="AU27" s="868">
        <f>IF(K483="","",K483)</f>
        <v/>
      </c>
      <c r="AV27" s="869" t="inlineStr">
        <is>
          <t>🔸</t>
        </is>
      </c>
      <c r="AW27" s="868">
        <f>IF(M483="","",M483)</f>
        <v/>
      </c>
      <c r="AX27" s="870" t="inlineStr">
        <is>
          <t>🟢</t>
        </is>
      </c>
      <c r="AY27" s="868">
        <f>IF(L483="","",L483)</f>
        <v/>
      </c>
      <c r="BK27" s="99" t="n"/>
      <c r="BN27" s="93" t="n"/>
      <c r="BQ27" s="7" t="n"/>
      <c r="BT27" s="2057" t="n"/>
      <c r="BU27" s="2002" t="n"/>
    </row>
    <row r="28" ht="32" customHeight="1" thickBot="1">
      <c r="B28" s="477" t="inlineStr">
        <is>
          <t>ACTION - RÉACTION</t>
        </is>
      </c>
      <c r="AC28" t="inlineStr">
        <is>
          <t>Indice de répartition AP - CL</t>
        </is>
      </c>
      <c r="AH28" s="167">
        <f>'Constat Final'!V15</f>
        <v/>
      </c>
      <c r="AJ28" s="10" t="n"/>
      <c r="AK28" s="10" t="n"/>
      <c r="AL28" s="10" t="n"/>
      <c r="AQ28" s="7" t="n">
        <v>25</v>
      </c>
      <c r="AR28" s="865">
        <f>C490</f>
        <v/>
      </c>
      <c r="AS28" s="866" t="inlineStr">
        <is>
          <t>🟥</t>
        </is>
      </c>
      <c r="AT28" s="867">
        <f>G502</f>
        <v/>
      </c>
      <c r="AU28" s="868">
        <f>IF(K503="","",K503)</f>
        <v/>
      </c>
      <c r="AV28" s="869" t="inlineStr">
        <is>
          <t>🔸</t>
        </is>
      </c>
      <c r="AW28" s="868">
        <f>IF(M503="","",M503)</f>
        <v/>
      </c>
      <c r="AX28" s="870" t="inlineStr">
        <is>
          <t>🟢</t>
        </is>
      </c>
      <c r="AY28" s="868">
        <f>IF(L503="","",L503)</f>
        <v/>
      </c>
      <c r="BK28" s="99" t="n"/>
      <c r="BN28" s="53" t="inlineStr">
        <is>
          <t>L'enfant ne réagit pas -compt A (FAUX)</t>
        </is>
      </c>
      <c r="BQ28" s="7" t="inlineStr">
        <is>
          <t>condition non-respectée (0%)</t>
        </is>
      </c>
      <c r="BT28" s="2058" t="inlineStr">
        <is>
          <t>Aucune condition respectée</t>
        </is>
      </c>
      <c r="BU28" s="2002" t="b">
        <v>0</v>
      </c>
      <c r="CI28" s="51" t="inlineStr">
        <is>
          <t>On donne un diagnostique à un concept selon les critères suivants :</t>
        </is>
      </c>
    </row>
    <row r="29" ht="32" customHeight="1">
      <c r="D29" s="109" t="inlineStr">
        <is>
          <t>Mots-clés</t>
        </is>
      </c>
      <c r="E29" s="1700" t="n"/>
      <c r="F29" s="1700" t="n"/>
      <c r="G29" s="1700" t="n"/>
      <c r="H29" s="2120" t="inlineStr">
        <is>
          <t xml:space="preserve">instrumentalisation de l'enfant qui rend le actif / force la prise d'otage psycho ou physique </t>
        </is>
      </c>
      <c r="I29" s="709" t="n"/>
      <c r="J29" s="1392" t="n"/>
      <c r="K29" s="2056" t="n"/>
      <c r="L29" s="709" t="n"/>
      <c r="M29" s="709" t="n"/>
      <c r="N29" s="1707" t="n"/>
      <c r="O29" s="2121" t="inlineStr">
        <is>
          <t xml:space="preserve">compt. fragilise la relation parent-enfant ou les individus, enclenche rôle de protecteur, demande de faire un choix / choisir son camp </t>
        </is>
      </c>
      <c r="P29" s="709" t="n"/>
      <c r="Q29" s="1392" t="n"/>
      <c r="R29" s="1768" t="inlineStr">
        <is>
          <t>Est-ce que cela créé un déclencheur?</t>
        </is>
      </c>
      <c r="S29" s="1706" t="n"/>
      <c r="T29" s="1707" t="n"/>
      <c r="U29" s="97" t="n"/>
      <c r="V29" s="97" t="n"/>
      <c r="AJ29" s="10" t="n"/>
      <c r="AK29" s="10" t="n"/>
      <c r="AL29" s="10" t="n"/>
      <c r="AQ29" s="7" t="n">
        <v>26</v>
      </c>
      <c r="AR29" s="865">
        <f>C510</f>
        <v/>
      </c>
      <c r="AS29" s="866" t="inlineStr">
        <is>
          <t>🟥</t>
        </is>
      </c>
      <c r="AT29" s="867">
        <f>G523</f>
        <v/>
      </c>
      <c r="AU29" s="868">
        <f>IF(K523="","",K523)</f>
        <v/>
      </c>
      <c r="AV29" s="869" t="inlineStr">
        <is>
          <t>🔸</t>
        </is>
      </c>
      <c r="AW29" s="868">
        <f>IF(M523="","",M523)</f>
        <v/>
      </c>
      <c r="AX29" s="870" t="inlineStr">
        <is>
          <t>🟢</t>
        </is>
      </c>
      <c r="AY29" s="868">
        <f>IF(L523="","",L523)</f>
        <v/>
      </c>
      <c r="BK29" s="6" t="n"/>
      <c r="BN29" s="53" t="inlineStr">
        <is>
          <t>L'enfant ne réagit pas -compt B (FAUX)</t>
        </is>
      </c>
      <c r="BQ29" s="7" t="inlineStr">
        <is>
          <t>condition non-respectée (0%)</t>
        </is>
      </c>
    </row>
    <row r="30" ht="32" customHeight="1">
      <c r="A30" s="853" t="n">
        <v>1</v>
      </c>
      <c r="C30" s="486">
        <f>'Action-Réaction finale'!F8</f>
        <v/>
      </c>
      <c r="D30" s="108" t="n"/>
      <c r="E30" s="66" t="n"/>
      <c r="F30" s="18" t="n"/>
      <c r="G30" s="18" t="n"/>
      <c r="H30" s="2052" t="inlineStr">
        <is>
          <t>AP</t>
        </is>
      </c>
      <c r="K30" s="2055" t="inlineStr">
        <is>
          <t>Dynamique d'AP</t>
        </is>
      </c>
      <c r="N30" s="330" t="n"/>
      <c r="O30" s="2122" t="inlineStr">
        <is>
          <t>CL</t>
        </is>
      </c>
      <c r="Q30" s="330" t="n"/>
      <c r="R30" s="2123" t="inlineStr">
        <is>
          <t>CSS</t>
        </is>
      </c>
      <c r="T30" s="330" t="n"/>
      <c r="U30" s="15" t="n"/>
      <c r="V30" s="15" t="n"/>
      <c r="AC30" s="1009" t="n"/>
      <c r="AD30" s="1009" t="n"/>
      <c r="AE30" s="1009" t="n"/>
      <c r="AF30" s="1009" t="n"/>
      <c r="AG30" s="1009" t="n"/>
      <c r="AH30" s="1010" t="n"/>
      <c r="AJ30" s="10" t="n"/>
      <c r="AK30" s="10" t="n"/>
      <c r="AL30" s="10" t="n"/>
      <c r="AQ30" s="7" t="n"/>
      <c r="AR30" s="849" t="n"/>
      <c r="AS30" s="111" t="n"/>
      <c r="AT30" s="487" t="n"/>
      <c r="AU30" s="114" t="n"/>
      <c r="AV30" s="491" t="n"/>
      <c r="AW30" s="114" t="n"/>
      <c r="AX30" s="492" t="n"/>
      <c r="AY30" s="488" t="n"/>
      <c r="CI30" t="inlineStr">
        <is>
          <t>AP :</t>
        </is>
      </c>
      <c r="CJ30" t="inlineStr">
        <is>
          <t>Il y a AP si :</t>
        </is>
      </c>
      <c r="CK30" t="inlineStr">
        <is>
          <t>PFA+NC OU PCR ont un comportement aliénant ET l'enfant répond à ce comportement</t>
        </is>
      </c>
    </row>
    <row r="31" ht="32" customHeight="1">
      <c r="C31" s="103" t="inlineStr">
        <is>
          <t>Questions et sous-questions</t>
        </is>
      </c>
      <c r="D31" s="1043" t="inlineStr">
        <is>
          <t>Texte écourté pour titrer dans les baromètres ou rapport</t>
        </is>
      </c>
      <c r="E31" s="33" t="inlineStr">
        <is>
          <t>Valeur de base
Fréquence (F)</t>
        </is>
      </c>
      <c r="F31" s="33" t="inlineStr">
        <is>
          <t>Valeur de base
intensité (I)</t>
        </is>
      </c>
      <c r="G31" s="33" t="inlineStr">
        <is>
          <t>F * I</t>
        </is>
      </c>
      <c r="H31" s="1708" t="inlineStr">
        <is>
          <t>Condition Fréq. 
&gt;= que</t>
        </is>
      </c>
      <c r="I31" s="44" t="inlineStr">
        <is>
          <t>Condition Fré
&lt;= que</t>
        </is>
      </c>
      <c r="J31" s="44" t="inlineStr">
        <is>
          <t>Condition respectée</t>
        </is>
      </c>
      <c r="K31" s="44" t="inlineStr">
        <is>
          <t>"VRAI" (PF&amp;NC) /  "VRAI" (Enf)</t>
        </is>
      </c>
      <c r="L31" s="44" t="inlineStr">
        <is>
          <t>Vrai (PF&amp;NC) /  Faux (Enf)</t>
        </is>
      </c>
      <c r="M31" s="44" t="inlineStr">
        <is>
          <t>Faux (PF&amp;NC) /  Vrai (Enf)</t>
        </is>
      </c>
      <c r="N31" s="1709" t="inlineStr">
        <is>
          <t>Faux (PF&amp;NC) /  Faux(Enf)</t>
        </is>
      </c>
      <c r="O31" s="1708" t="inlineStr">
        <is>
          <t>Condition Fréq. 
&gt;= que</t>
        </is>
      </c>
      <c r="P31" s="44" t="inlineStr">
        <is>
          <t>Condition Fré
&lt;= que</t>
        </is>
      </c>
      <c r="Q31" s="1709" t="inlineStr">
        <is>
          <t>Condition respectée</t>
        </is>
      </c>
      <c r="R31" s="1708" t="inlineStr">
        <is>
          <t>Condition Fréq. 
&gt;= que</t>
        </is>
      </c>
      <c r="S31" s="44" t="inlineStr">
        <is>
          <t>Condition Fré
&lt;= que</t>
        </is>
      </c>
      <c r="T31" s="1709" t="inlineStr">
        <is>
          <t>Condition respectée</t>
        </is>
      </c>
      <c r="U31" s="851" t="n"/>
      <c r="V31" s="1008" t="inlineStr">
        <is>
          <t>Condition</t>
        </is>
      </c>
      <c r="W31" s="1472" t="inlineStr">
        <is>
          <t>AP</t>
        </is>
      </c>
      <c r="X31" s="1008" t="inlineStr">
        <is>
          <t>Condition</t>
        </is>
      </c>
      <c r="Y31" s="1476" t="inlineStr">
        <is>
          <t>CL</t>
        </is>
      </c>
      <c r="Z31" s="1008" t="n"/>
      <c r="AA31" s="1480" t="inlineStr">
        <is>
          <t>CSS</t>
        </is>
      </c>
      <c r="AC31" s="1023" t="inlineStr">
        <is>
          <t>AP</t>
        </is>
      </c>
      <c r="AD31" s="1024" t="inlineStr">
        <is>
          <t>AP_F</t>
        </is>
      </c>
      <c r="AE31" s="1023" t="inlineStr">
        <is>
          <t>CL</t>
        </is>
      </c>
      <c r="AF31" s="1024" t="inlineStr">
        <is>
          <t>CL_F</t>
        </is>
      </c>
      <c r="AG31" s="1023" t="inlineStr">
        <is>
          <t>CSS</t>
        </is>
      </c>
      <c r="AH31" s="1024" t="inlineStr">
        <is>
          <t>CSS_F</t>
        </is>
      </c>
      <c r="AJ31" s="10" t="n"/>
      <c r="AK31" s="10" t="n"/>
      <c r="AL31" s="10" t="n"/>
      <c r="AQ31" s="7" t="n"/>
      <c r="AR31" s="849" t="n"/>
      <c r="AS31" s="111" t="n"/>
      <c r="AT31" s="487" t="n"/>
      <c r="AU31" s="114" t="n"/>
      <c r="AV31" s="491" t="n"/>
      <c r="AW31" s="114" t="n"/>
      <c r="AX31" s="492" t="n"/>
      <c r="AY31" s="488" t="n"/>
      <c r="CJ31" t="inlineStr">
        <is>
          <t>Il n'y a pas AP si l'enfant ne répond pas au comportement, même s'il y a comportement derrière.</t>
        </is>
      </c>
    </row>
    <row r="32" ht="32" customHeight="1">
      <c r="B32" s="421">
        <f>'Action-Réaction finale'!G8</f>
        <v/>
      </c>
      <c r="C32" s="2066">
        <f>Test_Bible!B166</f>
        <v/>
      </c>
      <c r="D32" s="102" t="inlineStr">
        <is>
          <t>demande de garder des secrets | cacher des choses</t>
        </is>
      </c>
      <c r="E32" s="823">
        <f>Test_Bible!P166</f>
        <v/>
      </c>
      <c r="F32" s="822">
        <f>Test_Bible!D166</f>
        <v/>
      </c>
      <c r="G32" s="823">
        <f>Test_Bible!Q166</f>
        <v/>
      </c>
      <c r="H32" s="1710" t="n">
        <v>4</v>
      </c>
      <c r="I32" s="1703" t="n">
        <v>10</v>
      </c>
      <c r="J32" s="46">
        <f>IF(AND(E32&gt;=H32,E32&lt;=I32),TRUE,FALSE)</f>
        <v/>
      </c>
      <c r="K32" s="46" t="n"/>
      <c r="L32" s="46" t="n"/>
      <c r="M32" s="46" t="n"/>
      <c r="N32" s="1711" t="n"/>
      <c r="O32" s="1710" t="n">
        <v>2</v>
      </c>
      <c r="P32" s="1703" t="n">
        <v>7</v>
      </c>
      <c r="Q32" s="1711">
        <f>IF(AND(E32&gt;=O32,E32&lt;=P32),TRUE,FALSE)</f>
        <v/>
      </c>
      <c r="R32" s="1735" t="n">
        <v>11</v>
      </c>
      <c r="S32" s="1736" t="n">
        <v>11</v>
      </c>
      <c r="T32" s="1711">
        <f>IF(AND(E32&gt;=R32,E32&lt;=S32),TRUE,FALSE)</f>
        <v/>
      </c>
      <c r="U32" s="978" t="n"/>
      <c r="V32" s="1484" t="n"/>
      <c r="W32" s="1485" t="n">
        <v>2</v>
      </c>
      <c r="X32" s="2029" t="n"/>
      <c r="Y32" s="1489" t="n">
        <v>2</v>
      </c>
      <c r="Z32" s="2029" t="n"/>
      <c r="AA32" s="1497" t="n">
        <v>11</v>
      </c>
      <c r="AC32" s="1011" t="n"/>
      <c r="AD32" s="1012" t="n"/>
      <c r="AE32" s="1011" t="n"/>
      <c r="AF32" s="1012" t="n"/>
      <c r="AG32" s="1011" t="n"/>
      <c r="AH32" s="1012" t="n"/>
      <c r="AJ32" s="10" t="n"/>
      <c r="AK32" s="10" t="n"/>
      <c r="AL32" s="10" t="n"/>
      <c r="AQ32" s="7" t="n"/>
      <c r="AR32" s="849" t="n"/>
      <c r="AS32" s="111" t="n"/>
      <c r="AT32" s="487" t="n"/>
      <c r="AU32" s="114" t="n"/>
      <c r="AV32" s="491" t="n"/>
      <c r="AW32" s="114" t="n"/>
      <c r="AX32" s="492" t="n"/>
      <c r="AY32" s="488" t="n"/>
      <c r="CI32" t="inlineStr">
        <is>
          <t>CL :</t>
        </is>
      </c>
    </row>
    <row r="33" ht="32" customHeight="1">
      <c r="B33" s="421" t="n"/>
      <c r="C33" s="2066" t="n"/>
      <c r="D33" s="102" t="n"/>
      <c r="E33" s="823" t="n"/>
      <c r="F33" s="822" t="n"/>
      <c r="G33" s="823" t="n"/>
      <c r="H33" s="1735" t="n">
        <v>11</v>
      </c>
      <c r="I33" s="1736" t="n">
        <v>11</v>
      </c>
      <c r="J33" s="46">
        <f>IF(AND(E33&gt;=H33,E33&lt;=I33),TRUE,FALSE)</f>
        <v/>
      </c>
      <c r="K33" s="46" t="n"/>
      <c r="L33" s="46" t="n"/>
      <c r="M33" s="46" t="n"/>
      <c r="N33" s="1711" t="n"/>
      <c r="O33" s="1735" t="n">
        <v>11</v>
      </c>
      <c r="P33" s="1736" t="n">
        <v>11</v>
      </c>
      <c r="Q33" s="1711">
        <f>IF(AND(E33&gt;=O33,E33&lt;=P33),TRUE,FALSE)</f>
        <v/>
      </c>
      <c r="R33" s="1735" t="n">
        <v>11</v>
      </c>
      <c r="S33" s="1736" t="n">
        <v>11</v>
      </c>
      <c r="T33" s="1711">
        <f>IF(AND(E33&gt;=R33,E33&lt;=S33),TRUE,FALSE)</f>
        <v/>
      </c>
      <c r="U33" s="978" t="n"/>
      <c r="V33" s="1487" t="inlineStr">
        <is>
          <t>ou</t>
        </is>
      </c>
      <c r="W33" s="1506" t="n">
        <v>11</v>
      </c>
      <c r="X33" s="1507" t="n"/>
      <c r="Y33" s="1508" t="n">
        <v>11</v>
      </c>
      <c r="Z33" s="1507" t="n"/>
      <c r="AA33" s="1502" t="n">
        <v>11</v>
      </c>
      <c r="AC33" s="1013" t="n"/>
      <c r="AD33" s="1014" t="n"/>
      <c r="AE33" s="1013" t="n"/>
      <c r="AF33" s="1014" t="n"/>
      <c r="AG33" s="1013" t="n"/>
      <c r="AH33" s="1014" t="n"/>
      <c r="AJ33" s="10" t="n"/>
      <c r="AK33" s="10" t="n"/>
      <c r="AL33" s="10" t="n"/>
      <c r="AQ33" s="7" t="n"/>
      <c r="AR33" s="849" t="n"/>
      <c r="AS33" s="111" t="n"/>
      <c r="AT33" s="487" t="n"/>
      <c r="AU33" s="114" t="n"/>
      <c r="AV33" s="491" t="n"/>
      <c r="AW33" s="114" t="n"/>
      <c r="AX33" s="492" t="n"/>
      <c r="AY33" s="488" t="n"/>
    </row>
    <row r="34" ht="32" customHeight="1">
      <c r="B34" s="825" t="inlineStr">
        <is>
          <t>Max PFA</t>
        </is>
      </c>
      <c r="C34" s="826">
        <f>_xlfn.XLOOKUP(G34,G32:G33,C32:C33)</f>
        <v/>
      </c>
      <c r="D34" s="827">
        <f>_xlfn.XLOOKUP(G34,G32:G33,D32:D33)</f>
        <v/>
      </c>
      <c r="E34" s="828" t="n"/>
      <c r="F34" s="828" t="n"/>
      <c r="G34" s="828">
        <f>IF(AND(J32=TRUE,J33=FALSE),G32,IF(AND(J32=FALSE,J33=TRUE),G33,MAX(G32,G33)))</f>
        <v/>
      </c>
      <c r="H34" s="1712" t="n"/>
      <c r="I34" s="829" t="n"/>
      <c r="J34" s="830">
        <f>IF(AND(J32=FALSE,J33=FALSE),FALSE,TRUE)</f>
        <v/>
      </c>
      <c r="K34" s="46" t="n"/>
      <c r="L34" s="46" t="n"/>
      <c r="M34" s="46" t="n"/>
      <c r="N34" s="1711" t="n"/>
      <c r="O34" s="1712" t="n"/>
      <c r="P34" s="829" t="n"/>
      <c r="Q34" s="1725">
        <f>IF(AND(Q32=FALSE,Q33=FALSE),FALSE,TRUE)</f>
        <v/>
      </c>
      <c r="R34" s="1712" t="n"/>
      <c r="S34" s="829" t="n"/>
      <c r="T34" s="1725">
        <f>IF(AND(T32=FALSE,T33=FALSE),FALSE,TRUE)</f>
        <v/>
      </c>
      <c r="U34" s="978" t="n"/>
      <c r="V34" s="978" t="inlineStr">
        <is>
          <t>ou</t>
        </is>
      </c>
      <c r="W34" s="1474" t="n"/>
      <c r="X34" s="287" t="n"/>
      <c r="Y34" s="1477" t="n"/>
      <c r="Z34" s="287" t="n"/>
      <c r="AA34" s="1482" t="n"/>
      <c r="AC34" s="1013" t="n"/>
      <c r="AD34" s="1014" t="n"/>
      <c r="AE34" s="1013" t="n"/>
      <c r="AF34" s="1014" t="n"/>
      <c r="AG34" s="1013" t="n"/>
      <c r="AH34" s="1014" t="n"/>
      <c r="AJ34" s="10" t="n"/>
      <c r="AK34" s="10" t="n"/>
      <c r="AL34" s="10" t="n"/>
      <c r="AQ34" s="7" t="n"/>
      <c r="AR34" s="849" t="n"/>
      <c r="AS34" s="111" t="n"/>
      <c r="AT34" s="487" t="n"/>
      <c r="AU34" s="114" t="n"/>
      <c r="AV34" s="491" t="n"/>
      <c r="AW34" s="114" t="n"/>
      <c r="AX34" s="492" t="n"/>
      <c r="AY34" s="488" t="n"/>
    </row>
    <row r="35" ht="32" customHeight="1">
      <c r="B35" s="53" t="n"/>
      <c r="C35" s="2066" t="n"/>
      <c r="D35" s="102" t="n"/>
      <c r="E35" s="823" t="n"/>
      <c r="F35" s="822" t="n"/>
      <c r="G35" s="823" t="n"/>
      <c r="H35" s="1735" t="n">
        <v>11</v>
      </c>
      <c r="I35" s="1736" t="n">
        <v>11</v>
      </c>
      <c r="J35" s="46">
        <f>IF(AND(E35&gt;=H35,E35&lt;=I35),TRUE,FALSE)</f>
        <v/>
      </c>
      <c r="K35" s="46" t="n"/>
      <c r="L35" s="46" t="n"/>
      <c r="M35" s="46" t="n"/>
      <c r="N35" s="1711" t="n"/>
      <c r="O35" s="1735" t="n">
        <v>11</v>
      </c>
      <c r="P35" s="1736" t="n">
        <v>11</v>
      </c>
      <c r="Q35" s="1711">
        <f>IF(AND(E35&gt;=O35,E35&lt;=P35),TRUE,FALSE)</f>
        <v/>
      </c>
      <c r="R35" s="1735" t="n">
        <v>11</v>
      </c>
      <c r="S35" s="1736" t="n">
        <v>11</v>
      </c>
      <c r="T35" s="1711">
        <f>IF(AND(E35&gt;=R35,E35&lt;=S35),TRUE,FALSE)</f>
        <v/>
      </c>
      <c r="U35" s="978" t="n"/>
      <c r="V35" s="1484" t="n"/>
      <c r="W35" s="1503" t="n">
        <v>11</v>
      </c>
      <c r="X35" s="1504" t="n"/>
      <c r="Y35" s="1505" t="n">
        <v>11</v>
      </c>
      <c r="Z35" s="1504" t="n"/>
      <c r="AA35" s="1497" t="n">
        <v>11</v>
      </c>
      <c r="AC35" s="1013" t="n"/>
      <c r="AD35" s="1014" t="n"/>
      <c r="AE35" s="1013" t="n"/>
      <c r="AF35" s="1014" t="n"/>
      <c r="AG35" s="1013" t="n"/>
      <c r="AH35" s="1014" t="n"/>
      <c r="AJ35" s="10" t="n"/>
      <c r="AK35" s="10" t="n"/>
      <c r="AL35" s="10" t="n"/>
      <c r="AQ35" s="7" t="n"/>
      <c r="AR35" s="849" t="n"/>
      <c r="AS35" s="111" t="n"/>
      <c r="AT35" s="487" t="n"/>
      <c r="AU35" s="114" t="n"/>
      <c r="AV35" s="491" t="n"/>
      <c r="AW35" s="114" t="n"/>
      <c r="AX35" s="492" t="n"/>
      <c r="AY35" s="488" t="n"/>
      <c r="CI35" t="inlineStr">
        <is>
          <t>CSS :</t>
        </is>
      </c>
    </row>
    <row r="36" ht="32" customHeight="1">
      <c r="B36" s="53" t="n"/>
      <c r="C36" s="2066" t="n"/>
      <c r="D36" s="63" t="n"/>
      <c r="E36" s="36" t="n"/>
      <c r="F36" s="36" t="n"/>
      <c r="G36" s="36" t="n"/>
      <c r="H36" s="1735" t="n">
        <v>11</v>
      </c>
      <c r="I36" s="1736" t="n">
        <v>11</v>
      </c>
      <c r="J36" s="46">
        <f>IF(AND(E36&gt;=H36,E36&lt;=I36),TRUE,FALSE)</f>
        <v/>
      </c>
      <c r="K36" s="46" t="n"/>
      <c r="L36" s="46" t="n"/>
      <c r="M36" s="46" t="n"/>
      <c r="N36" s="1711" t="n"/>
      <c r="O36" s="1735" t="n">
        <v>11</v>
      </c>
      <c r="P36" s="1736" t="n">
        <v>11</v>
      </c>
      <c r="Q36" s="1711">
        <f>IF(AND(E36&gt;=O36,E36&lt;=P36),TRUE,FALSE)</f>
        <v/>
      </c>
      <c r="R36" s="1735" t="n">
        <v>11</v>
      </c>
      <c r="S36" s="1736" t="n">
        <v>11</v>
      </c>
      <c r="T36" s="1711">
        <f>IF(AND(E36&gt;=R36,E36&lt;=S36),TRUE,FALSE)</f>
        <v/>
      </c>
      <c r="U36" s="978" t="n"/>
      <c r="V36" s="1487" t="inlineStr">
        <is>
          <t>ou</t>
        </is>
      </c>
      <c r="W36" s="1506" t="n">
        <v>11</v>
      </c>
      <c r="X36" s="1507" t="n"/>
      <c r="Y36" s="1508" t="n">
        <v>11</v>
      </c>
      <c r="Z36" s="1507" t="n"/>
      <c r="AA36" s="1502" t="n">
        <v>11</v>
      </c>
      <c r="AC36" s="1013" t="n"/>
      <c r="AD36" s="1014" t="n"/>
      <c r="AE36" s="1013" t="n"/>
      <c r="AF36" s="1014" t="n"/>
      <c r="AG36" s="1013" t="n"/>
      <c r="AH36" s="1014" t="n"/>
      <c r="AJ36" s="10" t="n"/>
      <c r="AK36" s="10" t="n"/>
      <c r="AL36" s="10" t="n"/>
      <c r="AQ36" s="7" t="n"/>
      <c r="AR36" s="849" t="n"/>
      <c r="AS36" s="111" t="n"/>
      <c r="AT36" s="487" t="n"/>
      <c r="AU36" s="114" t="n"/>
      <c r="AV36" s="491" t="n"/>
      <c r="AW36" s="114" t="n"/>
      <c r="AX36" s="492" t="n"/>
      <c r="AY36" s="488" t="n"/>
    </row>
    <row r="37" ht="32" customHeight="1" thickBot="1">
      <c r="B37" s="831" t="inlineStr">
        <is>
          <t>Max NC</t>
        </is>
      </c>
      <c r="C37" s="832">
        <f>_xlfn.XLOOKUP(G37,G35:G36,C35:C36)</f>
        <v/>
      </c>
      <c r="D37" s="833">
        <f>_xlfn.XLOOKUP(G37,G35:G36,D35:D36)</f>
        <v/>
      </c>
      <c r="E37" s="834" t="n"/>
      <c r="F37" s="834" t="n"/>
      <c r="G37" s="834">
        <f>IF(AND(J35=TRUE,J36=FALSE),G35,IF(AND(J35=FALSE,J36=TRUE),G36,MAX(G35,G36)))</f>
        <v/>
      </c>
      <c r="H37" s="1713" t="n"/>
      <c r="I37" s="835" t="n"/>
      <c r="J37" s="836">
        <f>IF(AND(J35=FALSE,J36=FALSE),FALSE,TRUE)</f>
        <v/>
      </c>
      <c r="K37" s="46" t="n"/>
      <c r="L37" s="46" t="n"/>
      <c r="M37" s="46" t="n"/>
      <c r="N37" s="1711" t="n"/>
      <c r="O37" s="1713" t="n"/>
      <c r="P37" s="835" t="n"/>
      <c r="Q37" s="1726">
        <f>IF(AND(Q35=FALSE,Q36=FALSE),FALSE,TRUE)</f>
        <v/>
      </c>
      <c r="R37" s="1713" t="n"/>
      <c r="S37" s="835" t="n"/>
      <c r="T37" s="1726">
        <f>IF(AND(T35=FALSE,T36=FALSE),FALSE,TRUE)</f>
        <v/>
      </c>
      <c r="U37" s="978" t="n"/>
      <c r="V37" s="978" t="n"/>
      <c r="W37" s="1473" t="n"/>
      <c r="X37" s="2002" t="n"/>
      <c r="Y37" s="1478" t="n"/>
      <c r="Z37" s="2002" t="n"/>
      <c r="AA37" s="1481" t="n"/>
      <c r="AC37" s="1013" t="n"/>
      <c r="AD37" s="1014" t="n"/>
      <c r="AE37" s="1013" t="n"/>
      <c r="AF37" s="1014" t="n"/>
      <c r="AG37" s="1013" t="n"/>
      <c r="AH37" s="1014" t="n"/>
      <c r="AJ37" s="10" t="n"/>
      <c r="AK37" s="10" t="n"/>
      <c r="AL37" s="10" t="n"/>
      <c r="AQ37" s="7" t="n"/>
      <c r="AR37" s="849" t="n"/>
      <c r="AS37" s="111" t="n"/>
      <c r="AT37" s="487" t="n"/>
      <c r="AU37" s="114" t="n"/>
      <c r="AV37" s="491" t="n"/>
      <c r="AW37" s="114" t="n"/>
      <c r="AX37" s="492" t="n"/>
      <c r="AY37" s="488" t="n"/>
    </row>
    <row r="38" ht="32" customHeight="1" thickBot="1">
      <c r="B38" s="837" t="inlineStr">
        <is>
          <t>Max PFA &amp; NC</t>
        </is>
      </c>
      <c r="C38" s="838" t="n"/>
      <c r="D38" s="838">
        <f>IF(G38=G34,D34,D37)</f>
        <v/>
      </c>
      <c r="E38" s="839" t="n"/>
      <c r="F38" s="839" t="n"/>
      <c r="G38" s="839">
        <f>IF(AND(J34=TRUE,J37=FALSE),G34,IF(AND(J34=FALSE,J37=TRUE),G37,IF(AND(J34=TRUE,J37=TRUE),G34+G37,MAX(G34,G37))))</f>
        <v/>
      </c>
      <c r="H38" s="1714" t="n"/>
      <c r="I38" s="840" t="n"/>
      <c r="J38" s="841">
        <f>IF(AND(J34=FALSE,J37=FALSE),FALSE,TRUE)</f>
        <v/>
      </c>
      <c r="K38" s="1698" t="n"/>
      <c r="L38" s="1698" t="n"/>
      <c r="M38" s="1698" t="n"/>
      <c r="N38" s="1715" t="n"/>
      <c r="O38" s="1714" t="n"/>
      <c r="P38" s="840" t="n"/>
      <c r="Q38" s="841">
        <f>IF(AND(Q34=FALSE,Q37=FALSE),FALSE,TRUE)</f>
        <v/>
      </c>
      <c r="R38" s="1714" t="n"/>
      <c r="S38" s="840" t="n"/>
      <c r="T38" s="841">
        <f>IF(AND(T34=FALSE,T37=FALSE),FALSE,TRUE)</f>
        <v/>
      </c>
      <c r="U38" s="978" t="n"/>
      <c r="V38" s="978" t="inlineStr">
        <is>
          <t>et</t>
        </is>
      </c>
      <c r="W38" s="1473" t="n"/>
      <c r="X38" s="2002" t="n"/>
      <c r="Y38" s="1478" t="n"/>
      <c r="Z38" s="2002" t="n"/>
      <c r="AA38" s="1481" t="n"/>
      <c r="AC38" s="1013">
        <f>IF(J38=TRUE,"V","F")</f>
        <v/>
      </c>
      <c r="AD38" s="1014" t="n"/>
      <c r="AE38" s="1013">
        <f>IF(Q38=TRUE,"V","F")</f>
        <v/>
      </c>
      <c r="AF38" s="1014" t="n"/>
      <c r="AG38" s="1013">
        <f>IF(T38=TRUE,"V","F")</f>
        <v/>
      </c>
      <c r="AH38" s="1014" t="n"/>
      <c r="AI38">
        <f>IF(OR(AC38="V",AE38="V"),IF(G37&gt;G34,"Le NC contribue plus que le coparent","Le coparent joue un plus grand rôle que le NC"),"pas de contexte significatif de la part du coparent et NC")</f>
        <v/>
      </c>
      <c r="AJ38" s="10" t="n"/>
      <c r="AK38" s="10" t="n"/>
      <c r="AL38" s="10" t="n"/>
      <c r="AQ38" s="7" t="n"/>
      <c r="AR38" s="849" t="n"/>
      <c r="AS38" s="111" t="n"/>
      <c r="AT38" s="487" t="n"/>
      <c r="AU38" s="114" t="n"/>
      <c r="AV38" s="491" t="n"/>
      <c r="AW38" s="114" t="n"/>
      <c r="AX38" s="492" t="n"/>
      <c r="AY38" s="488" t="n"/>
    </row>
    <row r="39" ht="49" customHeight="1">
      <c r="B39" s="316">
        <f>'Action-Réaction finale'!O8</f>
        <v/>
      </c>
      <c r="C39" s="2066">
        <f>Test_Bible!B263</f>
        <v/>
      </c>
      <c r="D39" s="63" t="inlineStr">
        <is>
          <t>garde des secrets et cache l'information</t>
        </is>
      </c>
      <c r="E39" s="823">
        <f>Test_Bible!P263</f>
        <v/>
      </c>
      <c r="F39" s="822">
        <f>Test_Bible!D263</f>
        <v/>
      </c>
      <c r="G39" s="823">
        <f>Test_Bible!Q263</f>
        <v/>
      </c>
      <c r="H39" s="1710" t="n">
        <v>4</v>
      </c>
      <c r="I39" s="1703">
        <f>$I$18</f>
        <v/>
      </c>
      <c r="J39" s="46">
        <f>IF(AND(E39&gt;=H39,E39&lt;=I39),TRUE,FALSE)</f>
        <v/>
      </c>
      <c r="K39" s="46" t="n"/>
      <c r="L39" s="46" t="n"/>
      <c r="M39" s="46" t="n"/>
      <c r="N39" s="1711" t="n"/>
      <c r="O39" s="1710" t="n">
        <v>2</v>
      </c>
      <c r="P39" s="1703" t="n">
        <v>7</v>
      </c>
      <c r="Q39" s="1711">
        <f>IF(AND(E39&gt;=O39,E39&lt;=P39),TRUE,FALSE)</f>
        <v/>
      </c>
      <c r="R39" s="1710" t="n"/>
      <c r="S39" s="1703" t="n"/>
      <c r="T39" s="1711" t="n"/>
      <c r="U39" s="1681" t="n"/>
      <c r="V39" s="1484" t="n"/>
      <c r="W39" s="1485" t="n">
        <v>4</v>
      </c>
      <c r="X39" s="2029" t="n"/>
      <c r="Y39" s="1489" t="n">
        <v>2</v>
      </c>
      <c r="Z39" s="2029" t="n"/>
      <c r="AA39" s="1497" t="n">
        <v>11</v>
      </c>
      <c r="AC39" s="1013" t="inlineStr">
        <is>
          <t> </t>
        </is>
      </c>
      <c r="AD39" s="1014" t="n"/>
      <c r="AE39" s="1013" t="n"/>
      <c r="AF39" s="1014" t="n"/>
      <c r="AG39" s="1013" t="n"/>
      <c r="AH39" s="1014" t="n"/>
      <c r="AJ39" s="10" t="n"/>
      <c r="AK39" s="10" t="n"/>
      <c r="AL39" s="10" t="n"/>
      <c r="AQ39" s="7" t="n"/>
      <c r="AR39" s="849" t="n"/>
      <c r="AS39" s="111" t="n"/>
      <c r="AT39" s="487" t="n"/>
      <c r="AU39" s="114" t="n"/>
      <c r="AV39" s="491" t="n"/>
      <c r="AW39" s="114" t="n"/>
      <c r="AX39" s="492" t="n"/>
      <c r="AY39" s="488" t="n"/>
    </row>
    <row r="40" ht="49" customHeight="1" thickBot="1">
      <c r="B40" s="316">
        <f>'Action-Réaction finale'!O9</f>
        <v/>
      </c>
      <c r="C40" s="799">
        <f>Test_Bible!B264</f>
        <v/>
      </c>
      <c r="D40" s="63" t="inlineStr">
        <is>
          <t>ne doit pas raconter ce qui se passe</t>
        </is>
      </c>
      <c r="E40" s="823">
        <f>Test_Bible!P264</f>
        <v/>
      </c>
      <c r="F40" s="822">
        <f>Test_Bible!D264</f>
        <v/>
      </c>
      <c r="G40" s="823">
        <f>Test_Bible!Q264</f>
        <v/>
      </c>
      <c r="H40" s="1710" t="n">
        <v>4</v>
      </c>
      <c r="I40" s="1703" t="n">
        <v>10</v>
      </c>
      <c r="J40" s="46">
        <f>IF(AND(E40&gt;=H40,E40&lt;=I40),TRUE,FALSE)</f>
        <v/>
      </c>
      <c r="K40" s="46" t="n"/>
      <c r="L40" s="46" t="n"/>
      <c r="M40" s="46" t="n"/>
      <c r="N40" s="1711" t="n"/>
      <c r="O40" s="1710" t="n">
        <v>2</v>
      </c>
      <c r="P40" s="1703" t="n">
        <v>7</v>
      </c>
      <c r="Q40" s="1711">
        <f>IF(AND(E40&gt;=O40,E40&lt;=P40),TRUE,FALSE)</f>
        <v/>
      </c>
      <c r="R40" s="1735" t="n"/>
      <c r="S40" s="1736" t="n"/>
      <c r="T40" s="1711" t="n"/>
      <c r="U40" s="978" t="n"/>
      <c r="V40" s="1487" t="inlineStr">
        <is>
          <t>ou</t>
        </is>
      </c>
      <c r="W40" s="1492" t="n">
        <v>4</v>
      </c>
      <c r="X40" s="1493" t="n"/>
      <c r="Y40" s="1494" t="n">
        <v>2</v>
      </c>
      <c r="Z40" s="1493" t="n"/>
      <c r="AA40" s="1502" t="n">
        <v>11</v>
      </c>
      <c r="AC40" s="1013" t="n"/>
      <c r="AD40" s="1014" t="n"/>
      <c r="AE40" s="1013" t="n"/>
      <c r="AF40" s="1014" t="n"/>
      <c r="AG40" s="1013" t="n"/>
      <c r="AH40" s="1014" t="n"/>
      <c r="AJ40" s="10" t="n"/>
      <c r="AK40" s="10" t="n"/>
      <c r="AL40" s="10" t="n"/>
      <c r="AQ40" s="7" t="n"/>
      <c r="AR40" s="849" t="n"/>
      <c r="AS40" s="111" t="n"/>
      <c r="AT40" s="487" t="n"/>
      <c r="AU40" s="114" t="n"/>
      <c r="AV40" s="491" t="n"/>
      <c r="AW40" s="114" t="n"/>
      <c r="AX40" s="492" t="n"/>
      <c r="AY40" s="488" t="n"/>
    </row>
    <row r="41" ht="32" customHeight="1" thickBot="1">
      <c r="B41" s="842" t="inlineStr">
        <is>
          <t>Max Enf</t>
        </is>
      </c>
      <c r="C41" s="843">
        <f>_xlfn.XLOOKUP(G41,G39:G40,C39:C40)</f>
        <v/>
      </c>
      <c r="D41" s="843">
        <f>_xlfn.XLOOKUP(G41,G39:G40,D39:D40)</f>
        <v/>
      </c>
      <c r="E41" s="844" t="n"/>
      <c r="F41" s="844" t="n"/>
      <c r="G41" s="844">
        <f>IF(AND(J39=TRUE,J40=FALSE),G39,IF(AND(J39=FALSE,J40=TRUE),G40,MAX(G39,G40)))</f>
        <v/>
      </c>
      <c r="H41" s="1716" t="n"/>
      <c r="I41" s="845" t="n"/>
      <c r="J41" s="846">
        <f>IF(AND(J39=FALSE,J40=FALSE),FALSE,TRUE)</f>
        <v/>
      </c>
      <c r="K41" s="1699" t="n"/>
      <c r="L41" s="1699" t="n"/>
      <c r="M41" s="1699" t="n"/>
      <c r="N41" s="1717" t="n"/>
      <c r="O41" s="1716" t="n"/>
      <c r="P41" s="845" t="n"/>
      <c r="Q41" s="846">
        <f>IF(AND(Q39=FALSE,Q40=FALSE),FALSE,TRUE)</f>
        <v/>
      </c>
      <c r="R41" s="1716" t="n"/>
      <c r="S41" s="845" t="n"/>
      <c r="T41" s="846" t="n"/>
      <c r="U41" s="978" t="n"/>
      <c r="V41" s="978" t="n"/>
      <c r="W41" s="1475" t="n"/>
      <c r="Y41" s="1479" t="n"/>
      <c r="AA41" s="1483" t="n"/>
      <c r="AC41" s="1013">
        <f>IF(J41=TRUE,"V","F")</f>
        <v/>
      </c>
      <c r="AD41" s="1014" t="n"/>
      <c r="AE41" s="1013">
        <f>IF(Q41=TRUE,"V","F")</f>
        <v/>
      </c>
      <c r="AF41" s="1014" t="n"/>
      <c r="AG41" s="1013" t="n"/>
      <c r="AH41" s="1014" t="n"/>
      <c r="AJ41" s="10" t="n"/>
      <c r="AK41" s="10" t="n"/>
      <c r="AL41" s="10" t="n"/>
      <c r="AQ41" s="7" t="n"/>
      <c r="AR41" s="849" t="n"/>
      <c r="AS41" s="111" t="n"/>
      <c r="AT41" s="487" t="n"/>
      <c r="AU41" s="114" t="n"/>
      <c r="AV41" s="491" t="n"/>
      <c r="AW41" s="114" t="n"/>
      <c r="AX41" s="492" t="n"/>
      <c r="AY41" s="488" t="n"/>
    </row>
    <row r="42" ht="32" customHeight="1">
      <c r="C42" s="428" t="inlineStr">
        <is>
          <t>COMPARATIF Comportement PFA-Enf</t>
        </is>
      </c>
      <c r="D42" s="2058" t="n"/>
      <c r="E42" s="484" t="inlineStr">
        <is>
          <t>Valeur =&gt;</t>
        </is>
      </c>
      <c r="F42" s="48" t="n"/>
      <c r="G42" s="48">
        <f>G34+G37+G41</f>
        <v/>
      </c>
      <c r="H42" s="1718" t="n"/>
      <c r="I42" s="485" t="n"/>
      <c r="J42" s="1701" t="n"/>
      <c r="K42" s="1702">
        <f>IF(AND(J41=TRUE,J38=TRUE),D41,"")</f>
        <v/>
      </c>
      <c r="L42" s="1702">
        <f>IF(AND(J38=TRUE,J41=FALSE),"Bien que le parent "&amp;D38&amp;" l'enfant ne semble pas s'ingérer","")</f>
        <v/>
      </c>
      <c r="M42" s="1702">
        <f>IF(AND(J38=FALSE,J41=TRUE),D41&amp;" sans signe de la participation du parent favorisé et|ou nouveau conjoint.e","")</f>
        <v/>
      </c>
      <c r="N42" s="1719">
        <f>IF(AND(J38=FALSE,J41=FALSE),"aucun comportement significatif de cette nature","")</f>
        <v/>
      </c>
      <c r="O42" s="1718" t="n"/>
      <c r="P42" s="485" t="n"/>
      <c r="Q42" s="1727" t="n"/>
      <c r="R42" s="1718" t="n"/>
      <c r="S42" s="485" t="n"/>
      <c r="T42" s="1727" t="n"/>
      <c r="U42" s="980" t="n"/>
      <c r="V42" s="980" t="n"/>
      <c r="W42" s="1475" t="n"/>
      <c r="Y42" s="1479" t="n"/>
      <c r="AA42" s="1483" t="n"/>
      <c r="AC42" s="1015" t="n"/>
      <c r="AD42" s="1016">
        <f>IF(AND(AC38="V",AC41="V"),2,IF(OR(AC38="V",AC41="V"),1,0))</f>
        <v/>
      </c>
      <c r="AE42" s="1015" t="n"/>
      <c r="AF42" s="1016">
        <f>IF(OR(AE38="V",AE41="V"),1,0)</f>
        <v/>
      </c>
      <c r="AG42" s="1015" t="n"/>
      <c r="AH42" s="1016" t="n"/>
      <c r="AJ42" s="10" t="n"/>
      <c r="AK42" s="10" t="n"/>
      <c r="AL42" s="10" t="n"/>
      <c r="AQ42" s="7" t="n"/>
      <c r="AR42" s="849" t="n"/>
      <c r="AS42" s="111" t="n"/>
      <c r="AT42" s="487" t="n"/>
      <c r="AU42" s="114" t="n"/>
      <c r="AV42" s="491" t="n"/>
      <c r="AW42" s="114" t="n"/>
      <c r="AX42" s="492" t="n"/>
      <c r="AY42" s="488" t="n"/>
    </row>
    <row r="43" ht="32" customHeight="1">
      <c r="B43" t="inlineStr">
        <is>
          <t>PCR</t>
        </is>
      </c>
      <c r="H43" s="147" t="n"/>
      <c r="K43" s="1992" t="n"/>
      <c r="L43" s="1992" t="n"/>
      <c r="M43" s="1992" t="n"/>
      <c r="N43" s="1740" t="n"/>
      <c r="O43" s="147" t="n"/>
      <c r="Q43" s="330" t="n"/>
      <c r="R43" s="147" t="n"/>
      <c r="T43" s="330" t="n"/>
      <c r="U43" s="1992" t="n"/>
      <c r="W43" s="1475" t="n"/>
      <c r="Y43" s="1479" t="n"/>
      <c r="AA43" s="1483" t="n"/>
      <c r="AC43" s="1013" t="n"/>
      <c r="AD43" s="1014" t="n"/>
      <c r="AE43" s="1013" t="n"/>
      <c r="AF43" s="1014" t="n"/>
      <c r="AG43" s="1013" t="n"/>
      <c r="AH43" s="1014" t="n"/>
      <c r="AJ43" s="10" t="n"/>
      <c r="AK43" s="10" t="n"/>
      <c r="AL43" s="10" t="n"/>
      <c r="AQ43" s="7" t="n"/>
      <c r="AR43" s="849" t="n"/>
      <c r="AS43" s="111" t="n"/>
      <c r="AT43" s="487" t="n"/>
      <c r="AU43" s="114" t="n"/>
      <c r="AV43" s="491" t="n"/>
      <c r="AW43" s="114" t="n"/>
      <c r="AX43" s="492" t="n"/>
      <c r="AY43" s="488" t="n"/>
    </row>
    <row r="44" ht="32" customHeight="1">
      <c r="B44" s="1017" t="n"/>
      <c r="C44" s="1025" t="n"/>
      <c r="D44" s="1018" t="n"/>
      <c r="E44" s="1026" t="n"/>
      <c r="F44" s="1026" t="n"/>
      <c r="G44" s="1026" t="n"/>
      <c r="H44" s="1735" t="n">
        <v>11</v>
      </c>
      <c r="I44" s="1736" t="n">
        <v>11</v>
      </c>
      <c r="J44" s="46">
        <f>IF(AND(E44&gt;=H44,E44&lt;=I44),TRUE,FALSE)</f>
        <v/>
      </c>
      <c r="K44" s="33" t="n"/>
      <c r="L44" s="33" t="n"/>
      <c r="M44" s="33" t="n"/>
      <c r="N44" s="1720" t="n"/>
      <c r="O44" s="1735" t="n">
        <v>11</v>
      </c>
      <c r="P44" s="1736" t="n">
        <v>11</v>
      </c>
      <c r="Q44" s="1711">
        <f>IF(AND(E44&gt;=O44,E44&lt;=P44),TRUE,FALSE)</f>
        <v/>
      </c>
      <c r="R44" s="1735" t="n">
        <v>11</v>
      </c>
      <c r="S44" s="1736" t="n">
        <v>11</v>
      </c>
      <c r="T44" s="1711">
        <f>IF(AND(E44&gt;=R44,E44&lt;=S44),TRUE,FALSE)</f>
        <v/>
      </c>
      <c r="U44" s="1992" t="n"/>
      <c r="V44" s="1514" t="n"/>
      <c r="W44" s="1503" t="n">
        <v>11</v>
      </c>
      <c r="X44" s="1504" t="n"/>
      <c r="Y44" s="1505" t="n">
        <v>11</v>
      </c>
      <c r="Z44" s="1504" t="n"/>
      <c r="AA44" s="1497" t="n">
        <v>11</v>
      </c>
      <c r="AC44" s="1013" t="n"/>
      <c r="AD44" s="1014" t="n"/>
      <c r="AE44" s="1013" t="n"/>
      <c r="AF44" s="1014" t="n"/>
      <c r="AG44" s="1013" t="n"/>
      <c r="AH44" s="1014" t="n"/>
      <c r="AJ44" s="10" t="n"/>
      <c r="AK44" s="10" t="n"/>
      <c r="AL44" s="10" t="n"/>
      <c r="AQ44" s="7" t="n"/>
      <c r="AR44" s="849" t="n"/>
      <c r="AS44" s="111" t="n"/>
      <c r="AT44" s="487" t="n"/>
      <c r="AU44" s="114" t="n"/>
      <c r="AV44" s="491" t="n"/>
      <c r="AW44" s="114" t="n"/>
      <c r="AX44" s="492" t="n"/>
      <c r="AY44" s="488" t="n"/>
    </row>
    <row r="45" ht="32" customHeight="1" thickBot="1">
      <c r="B45" s="1017" t="n"/>
      <c r="C45" s="1025" t="n"/>
      <c r="D45" s="1018" t="n"/>
      <c r="E45" s="1026" t="n"/>
      <c r="F45" s="1026" t="n"/>
      <c r="G45" s="1026" t="n"/>
      <c r="H45" s="1735" t="n">
        <v>11</v>
      </c>
      <c r="I45" s="1736" t="n">
        <v>11</v>
      </c>
      <c r="J45" s="46">
        <f>IF(AND(E45&gt;=H45,E45&lt;=I45),TRUE,FALSE)</f>
        <v/>
      </c>
      <c r="K45" s="33" t="n"/>
      <c r="L45" s="33" t="n"/>
      <c r="M45" s="33" t="n"/>
      <c r="N45" s="1720" t="n"/>
      <c r="O45" s="1735" t="n">
        <v>11</v>
      </c>
      <c r="P45" s="1736" t="n">
        <v>11</v>
      </c>
      <c r="Q45" s="1711">
        <f>IF(AND(E45&gt;=O45,E45&lt;=P45),TRUE,FALSE)</f>
        <v/>
      </c>
      <c r="R45" s="1735" t="n">
        <v>11</v>
      </c>
      <c r="S45" s="1736" t="n">
        <v>11</v>
      </c>
      <c r="T45" s="1711">
        <f>IF(AND(E45&gt;=R45,E45&lt;=S45),TRUE,FALSE)</f>
        <v/>
      </c>
      <c r="U45" s="1992" t="n"/>
      <c r="V45" s="1728" t="n"/>
      <c r="W45" s="1516" t="n"/>
      <c r="X45" s="1512" t="n"/>
      <c r="Y45" s="1511" t="n"/>
      <c r="Z45" s="1512" t="n"/>
      <c r="AA45" s="1513" t="n"/>
      <c r="AC45" s="1013" t="n"/>
      <c r="AD45" s="1014" t="n"/>
      <c r="AE45" s="1013" t="n"/>
      <c r="AF45" s="1014" t="n"/>
      <c r="AG45" s="1013" t="n"/>
      <c r="AH45" s="1014" t="n"/>
      <c r="AJ45" s="10" t="n"/>
      <c r="AK45" s="10" t="n"/>
      <c r="AL45" s="10" t="n"/>
      <c r="AQ45" s="7" t="n"/>
      <c r="AR45" s="849" t="n"/>
      <c r="AS45" s="111" t="n"/>
      <c r="AT45" s="487" t="n"/>
      <c r="AU45" s="114" t="n"/>
      <c r="AV45" s="491" t="n"/>
      <c r="AW45" s="114" t="n"/>
      <c r="AX45" s="492" t="n"/>
      <c r="AY45" s="488" t="n"/>
    </row>
    <row r="46" ht="32" customHeight="1" thickBot="1">
      <c r="B46" s="1729" t="n"/>
      <c r="C46" s="1730" t="n"/>
      <c r="D46" s="1731" t="n"/>
      <c r="E46" s="484" t="inlineStr">
        <is>
          <t>Valeur =&gt;</t>
        </is>
      </c>
      <c r="F46" s="48" t="n"/>
      <c r="G46" s="48" t="n"/>
      <c r="H46" s="1732" t="n"/>
      <c r="I46" s="1733" t="n"/>
      <c r="J46" s="1739">
        <f>IF(AND(J44=FALSE,J45=FALSE),FALSE,TRUE)</f>
        <v/>
      </c>
      <c r="K46" s="1721" t="n"/>
      <c r="L46" s="1722" t="n"/>
      <c r="M46" s="1722" t="n"/>
      <c r="N46" s="1723" t="n"/>
      <c r="O46" s="1732" t="n"/>
      <c r="P46" s="1733" t="n"/>
      <c r="Q46" s="1739">
        <f>IF(AND(Q44=FALSE,Q45=FALSE),FALSE,TRUE)</f>
        <v/>
      </c>
      <c r="R46" s="1744" t="n"/>
      <c r="S46" s="1745" t="n"/>
      <c r="T46" s="1746">
        <f>IF(AND(T44=FALSE,T45=FALSE),FALSE,TRUE)</f>
        <v/>
      </c>
      <c r="V46" s="1515" t="n"/>
      <c r="W46" s="1506" t="n">
        <v>2</v>
      </c>
      <c r="X46" s="1507" t="n"/>
      <c r="Y46" s="1508" t="n">
        <v>11</v>
      </c>
      <c r="Z46" s="1507" t="n"/>
      <c r="AA46" s="1502" t="n">
        <v>11</v>
      </c>
      <c r="AC46" s="1650">
        <f>IF(J46=TRUE,"V","F")</f>
        <v/>
      </c>
      <c r="AD46" s="1651" t="n"/>
      <c r="AE46" s="1650">
        <f>IF(Q46=TRUE,"V","F")</f>
        <v/>
      </c>
      <c r="AF46" s="1651" t="n"/>
      <c r="AG46" s="1650">
        <f>IF(T46=TRUE,"V","F")</f>
        <v/>
      </c>
      <c r="AH46" s="1651" t="n"/>
      <c r="AJ46" s="10" t="n"/>
      <c r="AK46" s="10" t="n"/>
      <c r="AL46" s="10" t="n"/>
      <c r="AQ46" s="7" t="n"/>
      <c r="AR46" s="849" t="n"/>
      <c r="AS46" s="111" t="n"/>
      <c r="AT46" s="487" t="n"/>
      <c r="AU46" s="114" t="n"/>
      <c r="AV46" s="491" t="n"/>
      <c r="AW46" s="114" t="n"/>
      <c r="AX46" s="492" t="n"/>
      <c r="AY46" s="488" t="n"/>
    </row>
    <row r="47" ht="32" customHeight="1">
      <c r="D47" s="847" t="n"/>
      <c r="E47" s="97" t="n"/>
      <c r="F47" s="97" t="n"/>
      <c r="G47" s="97" t="n"/>
      <c r="H47" s="97" t="n"/>
      <c r="I47" s="97" t="n"/>
      <c r="J47" s="97" t="n"/>
      <c r="K47" s="848" t="n"/>
      <c r="L47" s="848" t="n"/>
      <c r="M47" s="848" t="n"/>
      <c r="N47" s="97" t="n"/>
      <c r="O47" s="97" t="n"/>
      <c r="P47" s="97" t="n"/>
      <c r="Q47" s="97" t="n"/>
      <c r="R47" s="97" t="n"/>
      <c r="S47" s="97" t="n"/>
      <c r="T47" s="97" t="n"/>
      <c r="U47" s="97" t="n"/>
      <c r="AC47" s="1737" t="n"/>
      <c r="AD47" s="1738">
        <f>IF(AND(AC46="V",AC38="V"),AD42-1,AD42)</f>
        <v/>
      </c>
      <c r="AE47" s="1737" t="n"/>
      <c r="AF47" s="1738">
        <f>IF(OR(AE38="V",AE41="V",AE46="V"),1,0)</f>
        <v/>
      </c>
      <c r="AG47" s="1737" t="n"/>
      <c r="AH47" s="1738">
        <f>IF(AG38="V",1,IF(AG46="V",1,0))</f>
        <v/>
      </c>
      <c r="AJ47" s="10" t="n">
        <v>1</v>
      </c>
      <c r="AK47" s="10" t="n">
        <v>1</v>
      </c>
      <c r="AL47" s="10" t="n"/>
      <c r="AQ47" s="7" t="n"/>
      <c r="AR47" s="849" t="n"/>
      <c r="AS47" s="111" t="n"/>
      <c r="AT47" s="487" t="n"/>
      <c r="AU47" s="114" t="n"/>
      <c r="AV47" s="491" t="n"/>
      <c r="AW47" s="114" t="n"/>
      <c r="AX47" s="492" t="n"/>
      <c r="AY47" s="488" t="n"/>
    </row>
    <row r="48" ht="32" customHeight="1" thickBot="1">
      <c r="D48" s="847" t="n"/>
      <c r="E48" s="97" t="n"/>
      <c r="F48" s="97" t="n"/>
      <c r="G48" s="97" t="n"/>
      <c r="H48" s="97" t="n"/>
      <c r="I48" s="97" t="n"/>
      <c r="J48" s="97" t="n"/>
      <c r="K48" s="848" t="n"/>
      <c r="L48" s="848" t="n"/>
      <c r="M48" s="848" t="n"/>
      <c r="N48" s="97" t="n"/>
      <c r="O48" s="97" t="n"/>
      <c r="P48" s="97" t="n"/>
      <c r="Q48" s="97" t="n"/>
      <c r="R48" s="97" t="n"/>
      <c r="S48" s="97" t="n"/>
      <c r="T48" s="97" t="n"/>
      <c r="U48" s="97" t="n"/>
      <c r="AC48" s="1756" t="inlineStr">
        <is>
          <t>Indice boosté</t>
        </is>
      </c>
      <c r="AD48" s="1757">
        <f>IF(AF47=1,AD47*(1+$AH$28),AD47)</f>
        <v/>
      </c>
      <c r="AE48" s="1490" t="n"/>
      <c r="AF48" s="1490" t="n"/>
      <c r="AG48" s="1490" t="n"/>
      <c r="AH48" s="1490" t="n"/>
      <c r="AJ48" s="10" t="n"/>
      <c r="AK48" s="10" t="n"/>
      <c r="AL48" s="10" t="n"/>
      <c r="AQ48" s="7" t="n"/>
      <c r="AR48" s="849" t="n"/>
      <c r="AS48" s="111" t="n"/>
      <c r="AT48" s="487" t="n"/>
      <c r="AU48" s="114" t="n"/>
      <c r="AV48" s="491" t="n"/>
      <c r="AW48" s="114" t="n"/>
      <c r="AX48" s="492" t="n"/>
      <c r="AY48" s="488" t="n"/>
    </row>
    <row r="49" ht="32" customHeight="1">
      <c r="D49" s="847" t="n"/>
      <c r="E49" s="97" t="n"/>
      <c r="F49" s="97" t="n"/>
      <c r="G49" s="97" t="n"/>
      <c r="H49" s="2120" t="inlineStr">
        <is>
          <t xml:space="preserve">instrumentalisation de l'enfant qui rend le actif / force la prise d'otage psycho ou physique </t>
        </is>
      </c>
      <c r="I49" s="709" t="n"/>
      <c r="J49" s="1392" t="n"/>
      <c r="K49" s="2056" t="n"/>
      <c r="L49" s="709" t="n"/>
      <c r="M49" s="709" t="n"/>
      <c r="N49" s="1707" t="n"/>
      <c r="O49" s="2121" t="inlineStr">
        <is>
          <t xml:space="preserve">compt. fragilise la relation parent-enfant ou les individus, enclenche rôle de protecteur, demande de faire un choix / choisir son camp </t>
        </is>
      </c>
      <c r="P49" s="709" t="n"/>
      <c r="Q49" s="1392" t="n"/>
      <c r="R49" s="1768" t="inlineStr">
        <is>
          <t>Est-ce que cela créé un déclencheur?</t>
        </is>
      </c>
      <c r="S49" s="1706" t="n"/>
      <c r="T49" s="1707" t="n"/>
      <c r="U49" s="97" t="n"/>
      <c r="AC49" s="1490" t="n"/>
      <c r="AD49" s="1490" t="n"/>
      <c r="AE49" s="1490" t="n"/>
      <c r="AF49" s="1490" t="n"/>
      <c r="AG49" s="1490" t="n"/>
      <c r="AH49" s="1490" t="n"/>
      <c r="AJ49" s="10" t="n"/>
      <c r="AK49" s="10" t="n"/>
      <c r="AL49" s="10" t="n"/>
      <c r="AQ49" s="7" t="n"/>
      <c r="AR49" s="849" t="n"/>
      <c r="AS49" s="111" t="n"/>
      <c r="AT49" s="487" t="n"/>
      <c r="AU49" s="114" t="n"/>
      <c r="AV49" s="491" t="n"/>
      <c r="AW49" s="114" t="n"/>
      <c r="AX49" s="492" t="n"/>
      <c r="AY49" s="488" t="n"/>
    </row>
    <row r="50" ht="32" customHeight="1">
      <c r="A50" s="853" t="n">
        <v>2</v>
      </c>
      <c r="C50" s="486">
        <f>'Action-Réaction finale'!F11</f>
        <v/>
      </c>
      <c r="D50" s="108" t="n"/>
      <c r="E50" s="66" t="n"/>
      <c r="F50" s="18" t="n"/>
      <c r="G50" s="18" t="n"/>
      <c r="H50" s="2052" t="inlineStr">
        <is>
          <t>AP</t>
        </is>
      </c>
      <c r="K50" s="2055" t="inlineStr">
        <is>
          <t>Dynamique d'AP</t>
        </is>
      </c>
      <c r="N50" s="330" t="n"/>
      <c r="O50" s="2122" t="inlineStr">
        <is>
          <t>CL</t>
        </is>
      </c>
      <c r="Q50" s="330" t="n"/>
      <c r="R50" s="2123" t="inlineStr">
        <is>
          <t>CSS</t>
        </is>
      </c>
      <c r="T50" s="330" t="n"/>
      <c r="U50" s="15" t="n"/>
      <c r="V50" s="15" t="n"/>
      <c r="AC50" s="1009" t="n"/>
      <c r="AD50" s="1009" t="n"/>
      <c r="AE50" s="1009" t="n"/>
      <c r="AF50" s="1009" t="n"/>
      <c r="AG50" s="1009" t="n"/>
      <c r="AH50" s="1010" t="n"/>
      <c r="AJ50" s="10" t="n"/>
      <c r="AK50" s="10" t="n"/>
      <c r="AL50" s="10" t="n"/>
      <c r="AQ50" s="7" t="n"/>
      <c r="AR50" s="849" t="n"/>
      <c r="AS50" s="111" t="n"/>
      <c r="AT50" s="487" t="n"/>
      <c r="AU50" s="114" t="n"/>
      <c r="AV50" s="491" t="n"/>
      <c r="AW50" s="114" t="n"/>
      <c r="AX50" s="492" t="n"/>
      <c r="AY50" s="488" t="n"/>
    </row>
    <row r="51" ht="32" customHeight="1">
      <c r="C51" s="103" t="inlineStr">
        <is>
          <t>Questions et sous-questions</t>
        </is>
      </c>
      <c r="D51" s="1043" t="inlineStr">
        <is>
          <t>Texte écourté pour titrer dans les baromètres ou rapport</t>
        </is>
      </c>
      <c r="E51" s="33" t="inlineStr">
        <is>
          <t>Valeur de base
Fréquence (F)</t>
        </is>
      </c>
      <c r="F51" s="33" t="inlineStr">
        <is>
          <t>Valeur de base
intensité (I)</t>
        </is>
      </c>
      <c r="G51" s="33" t="inlineStr">
        <is>
          <t>F * I</t>
        </is>
      </c>
      <c r="H51" s="1708" t="inlineStr">
        <is>
          <t>Condition Fréq. 
&gt;= que</t>
        </is>
      </c>
      <c r="I51" s="44" t="inlineStr">
        <is>
          <t>Condition Fré
&lt;= que</t>
        </is>
      </c>
      <c r="J51" s="44" t="inlineStr">
        <is>
          <t>Condition respectée</t>
        </is>
      </c>
      <c r="K51" s="44" t="inlineStr">
        <is>
          <t>"VRAI" (PF&amp;NC) /  "VRAI" (Enf)</t>
        </is>
      </c>
      <c r="L51" s="44" t="inlineStr">
        <is>
          <t>Vrai (PF&amp;NC) /  Faux (Enf)</t>
        </is>
      </c>
      <c r="M51" s="44" t="inlineStr">
        <is>
          <t>Faux (PF&amp;NC) /  Vrai (Enf)</t>
        </is>
      </c>
      <c r="N51" s="1709" t="inlineStr">
        <is>
          <t>Faux (PF&amp;NC) /  Faux(Enf)</t>
        </is>
      </c>
      <c r="O51" s="1708" t="inlineStr">
        <is>
          <t>Condition Fréq. 
&gt;= que</t>
        </is>
      </c>
      <c r="P51" s="44" t="inlineStr">
        <is>
          <t>Condition Fré
&lt;= que</t>
        </is>
      </c>
      <c r="Q51" s="1709" t="inlineStr">
        <is>
          <t>Condition respectée</t>
        </is>
      </c>
      <c r="R51" s="1708" t="inlineStr">
        <is>
          <t>Condition Fréq. 
&gt;= que</t>
        </is>
      </c>
      <c r="S51" s="44" t="inlineStr">
        <is>
          <t>Condition Fré
&lt;= que</t>
        </is>
      </c>
      <c r="T51" s="1709" t="inlineStr">
        <is>
          <t>Condition respectée</t>
        </is>
      </c>
      <c r="U51" s="851" t="n"/>
      <c r="V51" s="1008" t="inlineStr">
        <is>
          <t>Condition</t>
        </is>
      </c>
      <c r="W51" s="1472" t="inlineStr">
        <is>
          <t>AP</t>
        </is>
      </c>
      <c r="X51" s="1008" t="inlineStr">
        <is>
          <t>Condition</t>
        </is>
      </c>
      <c r="Y51" s="1476" t="inlineStr">
        <is>
          <t>CL</t>
        </is>
      </c>
      <c r="Z51" s="1008" t="inlineStr">
        <is>
          <t>Condition</t>
        </is>
      </c>
      <c r="AA51" s="1480" t="inlineStr">
        <is>
          <t>CSS</t>
        </is>
      </c>
      <c r="AC51" s="1023" t="inlineStr">
        <is>
          <t>AP</t>
        </is>
      </c>
      <c r="AD51" s="1024" t="inlineStr">
        <is>
          <t>AP_F</t>
        </is>
      </c>
      <c r="AE51" s="1023" t="inlineStr">
        <is>
          <t>CL</t>
        </is>
      </c>
      <c r="AF51" s="1024" t="inlineStr">
        <is>
          <t>CL_F</t>
        </is>
      </c>
      <c r="AG51" s="1023" t="inlineStr">
        <is>
          <t>CSS</t>
        </is>
      </c>
      <c r="AH51" s="1024" t="inlineStr">
        <is>
          <t>CSS_F</t>
        </is>
      </c>
      <c r="AJ51" s="10" t="n"/>
      <c r="AK51" s="10" t="n"/>
      <c r="AL51" s="10" t="n"/>
      <c r="AR51" s="849" t="n"/>
      <c r="AS51" s="111" t="n"/>
      <c r="AT51" s="487" t="n"/>
      <c r="AU51" s="114" t="n"/>
      <c r="AV51" s="491" t="n"/>
      <c r="AW51" s="114" t="n"/>
      <c r="AX51" s="492" t="n"/>
      <c r="AY51" s="488" t="n"/>
    </row>
    <row r="52" ht="32" customHeight="1">
      <c r="A52" s="854" t="n"/>
      <c r="B52" s="421">
        <f>'Action-Réaction finale'!G11</f>
        <v/>
      </c>
      <c r="C52" s="2066">
        <f>Test_Bible!B167</f>
        <v/>
      </c>
      <c r="D52" s="102" t="inlineStr">
        <is>
          <t>laisse entendre que vous avez abandonné la famille</t>
        </is>
      </c>
      <c r="E52" s="823">
        <f>Test_Bible!P167</f>
        <v/>
      </c>
      <c r="F52" s="822">
        <f>Test_Bible!D167</f>
        <v/>
      </c>
      <c r="G52" s="823">
        <f>Test_Bible!Q167</f>
        <v/>
      </c>
      <c r="H52" s="1710" t="n">
        <v>4</v>
      </c>
      <c r="I52" s="1703" t="n">
        <v>10</v>
      </c>
      <c r="J52" s="46">
        <f>IF(AND(E52&gt;=H52,E52&lt;=I52),TRUE,FALSE)</f>
        <v/>
      </c>
      <c r="K52" s="46" t="n"/>
      <c r="L52" s="46" t="n"/>
      <c r="M52" s="46" t="n"/>
      <c r="N52" s="1711" t="n"/>
      <c r="O52" s="1710" t="n">
        <v>2</v>
      </c>
      <c r="P52" s="1703" t="n">
        <v>7</v>
      </c>
      <c r="Q52" s="1711">
        <f>IF(AND(E52&gt;=O52,E52&lt;=P52),TRUE,FALSE)</f>
        <v/>
      </c>
      <c r="R52" s="1735" t="n">
        <v>11</v>
      </c>
      <c r="S52" s="1736" t="n">
        <v>11</v>
      </c>
      <c r="T52" s="1711">
        <f>IF(AND(E52&gt;=R52,E52&lt;=S52),TRUE,FALSE)</f>
        <v/>
      </c>
      <c r="U52" s="1681" t="n"/>
      <c r="V52" s="1484" t="n"/>
      <c r="W52" s="1485" t="n">
        <v>4</v>
      </c>
      <c r="X52" s="2029" t="n"/>
      <c r="Y52" s="1489" t="n">
        <v>2</v>
      </c>
      <c r="Z52" s="2029" t="n"/>
      <c r="AA52" s="1497" t="n">
        <v>11</v>
      </c>
      <c r="AC52" s="1011" t="n"/>
      <c r="AD52" s="1012" t="n"/>
      <c r="AE52" s="1011" t="n"/>
      <c r="AF52" s="1012" t="n"/>
      <c r="AG52" s="1011" t="n"/>
      <c r="AH52" s="1012" t="n"/>
      <c r="AJ52" s="10" t="n"/>
      <c r="AK52" s="10" t="n"/>
      <c r="AL52" s="10" t="n"/>
      <c r="AR52" s="849" t="n"/>
      <c r="AS52" s="111" t="n"/>
      <c r="AT52" s="487" t="n"/>
      <c r="AU52" s="114" t="n"/>
      <c r="AV52" s="491" t="n"/>
      <c r="AW52" s="114" t="n"/>
      <c r="AX52" s="492" t="n"/>
      <c r="AY52" s="488" t="n"/>
    </row>
    <row r="53" ht="38" customHeight="1">
      <c r="A53" s="855" t="n"/>
      <c r="B53" s="421">
        <f>'Action-Réaction finale'!G12</f>
        <v/>
      </c>
      <c r="C53" s="799">
        <f>Test_Bible!B168</f>
        <v/>
      </c>
      <c r="D53" s="102" t="inlineStr">
        <is>
          <t>laisse entendre que vous ne l'aimez pas</t>
        </is>
      </c>
      <c r="E53" s="823">
        <f>Test_Bible!P168</f>
        <v/>
      </c>
      <c r="F53" s="822">
        <f>Test_Bible!D168</f>
        <v/>
      </c>
      <c r="G53" s="823">
        <f>Test_Bible!Q168</f>
        <v/>
      </c>
      <c r="H53" s="1710" t="n">
        <v>4</v>
      </c>
      <c r="I53" s="1703">
        <f>$I$18</f>
        <v/>
      </c>
      <c r="J53" s="46">
        <f>IF(AND(E53&gt;=H53,E53&lt;=I53),TRUE,FALSE)</f>
        <v/>
      </c>
      <c r="K53" s="46" t="n"/>
      <c r="L53" s="46" t="n"/>
      <c r="M53" s="46" t="n"/>
      <c r="N53" s="1711" t="n"/>
      <c r="O53" s="1735" t="n">
        <v>11</v>
      </c>
      <c r="P53" s="1736" t="n">
        <v>11</v>
      </c>
      <c r="Q53" s="1711">
        <f>IF(AND(E53&gt;=O53,E53&lt;=P53),TRUE,FALSE)</f>
        <v/>
      </c>
      <c r="R53" s="1735" t="n">
        <v>11</v>
      </c>
      <c r="S53" s="1736" t="n">
        <v>11</v>
      </c>
      <c r="T53" s="1711">
        <f>IF(AND(E53&gt;=R53,E53&lt;=S53),TRUE,FALSE)</f>
        <v/>
      </c>
      <c r="U53" s="978" t="n"/>
      <c r="V53" s="1487" t="inlineStr">
        <is>
          <t>ou</t>
        </is>
      </c>
      <c r="W53" s="1492" t="n">
        <v>4</v>
      </c>
      <c r="X53" s="1493" t="n"/>
      <c r="Y53" s="1494" t="n">
        <v>1</v>
      </c>
      <c r="Z53" s="1493" t="n"/>
      <c r="AA53" s="1502" t="n">
        <v>11</v>
      </c>
      <c r="AC53" s="1013" t="n"/>
      <c r="AD53" s="1014" t="n"/>
      <c r="AE53" s="1013" t="n"/>
      <c r="AF53" s="1014" t="n"/>
      <c r="AG53" s="1013" t="n"/>
      <c r="AH53" s="1014" t="n"/>
      <c r="AJ53" s="10" t="n"/>
      <c r="AK53" s="10" t="n"/>
      <c r="AL53" s="10" t="n"/>
      <c r="AR53" s="849" t="n"/>
      <c r="AS53" s="111" t="n"/>
      <c r="AT53" s="487" t="n"/>
      <c r="AU53" s="114" t="n"/>
      <c r="AV53" s="491" t="n"/>
      <c r="AW53" s="114" t="n"/>
      <c r="AX53" s="492" t="n"/>
      <c r="AY53" s="488" t="n"/>
    </row>
    <row r="54" ht="32" customHeight="1">
      <c r="A54" s="854" t="n"/>
      <c r="B54" s="825" t="inlineStr">
        <is>
          <t>Max PFA</t>
        </is>
      </c>
      <c r="C54" s="826">
        <f>_xlfn.XLOOKUP(G54,G52:G53,C52:C53)</f>
        <v/>
      </c>
      <c r="D54" s="827">
        <f>_xlfn.XLOOKUP(G54,G52:G53,D52:D53)</f>
        <v/>
      </c>
      <c r="E54" s="828" t="n"/>
      <c r="F54" s="828" t="n"/>
      <c r="G54" s="828">
        <f>IF(AND(J52=TRUE,J53=FALSE),G52,IF(AND(J52=FALSE,J53=TRUE),G53,MAX(G52,G53)))</f>
        <v/>
      </c>
      <c r="H54" s="1712" t="n"/>
      <c r="I54" s="829" t="n"/>
      <c r="J54" s="830">
        <f>IF(AND(J52=FALSE,J53=FALSE),FALSE,TRUE)</f>
        <v/>
      </c>
      <c r="K54" s="46" t="n"/>
      <c r="L54" s="46" t="n"/>
      <c r="M54" s="46" t="n"/>
      <c r="N54" s="1711" t="n"/>
      <c r="O54" s="1712" t="n"/>
      <c r="P54" s="829" t="n"/>
      <c r="Q54" s="1725">
        <f>IF(AND(Q52=FALSE,Q53=FALSE),FALSE,TRUE)</f>
        <v/>
      </c>
      <c r="R54" s="1712" t="n"/>
      <c r="S54" s="829" t="n"/>
      <c r="T54" s="1725">
        <f>IF(AND(T52=FALSE,T53=FALSE),FALSE,TRUE)</f>
        <v/>
      </c>
      <c r="U54" s="978" t="n"/>
      <c r="V54" s="978" t="inlineStr">
        <is>
          <t>ou</t>
        </is>
      </c>
      <c r="W54" s="1473" t="n"/>
      <c r="X54" s="2002" t="n"/>
      <c r="Y54" s="1478" t="n"/>
      <c r="Z54" s="2002" t="n"/>
      <c r="AA54" s="1482" t="n"/>
      <c r="AC54" s="1013" t="n"/>
      <c r="AD54" s="1014" t="n"/>
      <c r="AE54" s="1013" t="n"/>
      <c r="AF54" s="1014" t="n"/>
      <c r="AG54" s="1013" t="n"/>
      <c r="AH54" s="1014" t="n"/>
      <c r="AJ54" s="10" t="n"/>
      <c r="AK54" s="10" t="n"/>
      <c r="AL54" s="10" t="n"/>
      <c r="AR54" s="849" t="n"/>
      <c r="AS54" s="111" t="n"/>
      <c r="AT54" s="487" t="n"/>
      <c r="AU54" s="114" t="n"/>
      <c r="AV54" s="491" t="n"/>
      <c r="AW54" s="114" t="n"/>
      <c r="AX54" s="492" t="n"/>
      <c r="AY54" s="488" t="n"/>
    </row>
    <row r="55" ht="32" customHeight="1">
      <c r="B55" s="53" t="n"/>
      <c r="C55" s="2066" t="n"/>
      <c r="D55" s="102" t="n"/>
      <c r="E55" s="823" t="n"/>
      <c r="F55" s="822" t="n"/>
      <c r="G55" s="823" t="n"/>
      <c r="H55" s="1735" t="n">
        <v>11</v>
      </c>
      <c r="I55" s="1736" t="n">
        <v>11</v>
      </c>
      <c r="J55" s="46">
        <f>IF(AND(E55&gt;=H55,E55&lt;=I55),TRUE,FALSE)</f>
        <v/>
      </c>
      <c r="K55" s="46" t="n"/>
      <c r="L55" s="46" t="n"/>
      <c r="M55" s="46" t="n"/>
      <c r="N55" s="1711" t="n"/>
      <c r="O55" s="1735" t="n">
        <v>11</v>
      </c>
      <c r="P55" s="1736" t="n">
        <v>11</v>
      </c>
      <c r="Q55" s="1711">
        <f>IF(AND(E55&gt;=O55,E55&lt;=P55),TRUE,FALSE)</f>
        <v/>
      </c>
      <c r="R55" s="1735" t="n">
        <v>11</v>
      </c>
      <c r="S55" s="1736" t="n">
        <v>11</v>
      </c>
      <c r="T55" s="1711">
        <f>IF(AND(E55&gt;=R55,E55&lt;=S55),TRUE,FALSE)</f>
        <v/>
      </c>
      <c r="U55" s="978" t="n"/>
      <c r="V55" s="1484" t="n"/>
      <c r="W55" s="1503" t="n">
        <v>11</v>
      </c>
      <c r="X55" s="1504" t="n"/>
      <c r="Y55" s="1505" t="n">
        <v>11</v>
      </c>
      <c r="Z55" s="1504" t="n"/>
      <c r="AA55" s="1497" t="n">
        <v>11</v>
      </c>
      <c r="AC55" s="1013" t="n"/>
      <c r="AD55" s="1014" t="n"/>
      <c r="AE55" s="1013" t="n"/>
      <c r="AF55" s="1014" t="n"/>
      <c r="AG55" s="1013" t="n"/>
      <c r="AH55" s="1014" t="n"/>
      <c r="AJ55" s="10" t="n"/>
      <c r="AK55" s="10" t="n"/>
      <c r="AL55" s="10" t="n"/>
      <c r="AR55" s="849" t="n"/>
      <c r="AS55" s="111" t="n"/>
      <c r="AT55" s="487" t="n"/>
      <c r="AU55" s="114" t="n"/>
      <c r="AV55" s="491" t="n"/>
      <c r="AW55" s="114" t="n"/>
      <c r="AX55" s="492" t="n"/>
      <c r="AY55" s="488" t="n"/>
    </row>
    <row r="56" ht="32" customHeight="1">
      <c r="B56" s="53" t="n"/>
      <c r="C56" s="2066" t="n"/>
      <c r="D56" s="63" t="n"/>
      <c r="E56" s="36" t="n"/>
      <c r="F56" s="36" t="n"/>
      <c r="G56" s="36" t="n"/>
      <c r="H56" s="1735" t="n">
        <v>11</v>
      </c>
      <c r="I56" s="1736" t="n">
        <v>11</v>
      </c>
      <c r="J56" s="46">
        <f>IF(AND(E56&gt;=H56,E56&lt;=I56),TRUE,FALSE)</f>
        <v/>
      </c>
      <c r="K56" s="46" t="n"/>
      <c r="L56" s="46" t="n"/>
      <c r="M56" s="46" t="n"/>
      <c r="N56" s="1711" t="n"/>
      <c r="O56" s="1735" t="n">
        <v>11</v>
      </c>
      <c r="P56" s="1736" t="n">
        <v>11</v>
      </c>
      <c r="Q56" s="1711">
        <f>IF(AND(E56&gt;=O56,E56&lt;=P56),TRUE,FALSE)</f>
        <v/>
      </c>
      <c r="R56" s="1735" t="n">
        <v>11</v>
      </c>
      <c r="S56" s="1736" t="n">
        <v>11</v>
      </c>
      <c r="T56" s="1711">
        <f>IF(AND(E56&gt;=R56,E56&lt;=S56),TRUE,FALSE)</f>
        <v/>
      </c>
      <c r="U56" s="978" t="n"/>
      <c r="V56" s="1487" t="inlineStr">
        <is>
          <t>ou</t>
        </is>
      </c>
      <c r="W56" s="1506" t="n">
        <v>11</v>
      </c>
      <c r="X56" s="1507" t="n"/>
      <c r="Y56" s="1508" t="n">
        <v>11</v>
      </c>
      <c r="Z56" s="1507" t="n"/>
      <c r="AA56" s="1502" t="n">
        <v>11</v>
      </c>
      <c r="AC56" s="1013" t="n"/>
      <c r="AD56" s="1014" t="n"/>
      <c r="AE56" s="1013" t="n"/>
      <c r="AF56" s="1014" t="n"/>
      <c r="AG56" s="1013" t="n"/>
      <c r="AH56" s="1014" t="n"/>
      <c r="AJ56" s="10" t="n"/>
      <c r="AK56" s="10" t="n"/>
      <c r="AL56" s="10" t="n"/>
      <c r="AQ56" s="7" t="n"/>
      <c r="AR56" s="849" t="n"/>
      <c r="AS56" s="111" t="n"/>
      <c r="AT56" s="487" t="n"/>
      <c r="AU56" s="114" t="n"/>
      <c r="AV56" s="491" t="n"/>
      <c r="AW56" s="114" t="n"/>
      <c r="AX56" s="492" t="n"/>
      <c r="AY56" s="488" t="n"/>
    </row>
    <row r="57" ht="32" customHeight="1" thickBot="1">
      <c r="B57" s="831" t="inlineStr">
        <is>
          <t>Max NC</t>
        </is>
      </c>
      <c r="C57" s="832">
        <f>_xlfn.XLOOKUP(G57,G55:G56,C55:C56)</f>
        <v/>
      </c>
      <c r="D57" s="833">
        <f>_xlfn.XLOOKUP(G57,G55:G56,D55:D56)</f>
        <v/>
      </c>
      <c r="E57" s="834" t="n"/>
      <c r="F57" s="834" t="n"/>
      <c r="G57" s="834">
        <f>IF(AND(J55=TRUE,J56=FALSE),G55,IF(AND(J55=FALSE,J56=TRUE),G56,MAX(G55,G56)))</f>
        <v/>
      </c>
      <c r="H57" s="1713" t="n"/>
      <c r="I57" s="835" t="n"/>
      <c r="J57" s="836">
        <f>IF(AND(J55=FALSE,J56=FALSE),FALSE,TRUE)</f>
        <v/>
      </c>
      <c r="K57" s="46" t="n"/>
      <c r="L57" s="46" t="n"/>
      <c r="M57" s="46" t="n"/>
      <c r="N57" s="1711" t="n"/>
      <c r="O57" s="1713" t="n"/>
      <c r="P57" s="835" t="n"/>
      <c r="Q57" s="1726">
        <f>IF(AND(Q55=FALSE,Q56=FALSE),FALSE,TRUE)</f>
        <v/>
      </c>
      <c r="R57" s="1713" t="n"/>
      <c r="S57" s="835" t="n"/>
      <c r="T57" s="1726">
        <f>IF(AND(T55=FALSE,T56=FALSE),FALSE,TRUE)</f>
        <v/>
      </c>
      <c r="U57" s="978" t="n"/>
      <c r="V57" s="978" t="n"/>
      <c r="W57" s="1473" t="n"/>
      <c r="X57" s="2002" t="n"/>
      <c r="Y57" s="1478" t="n"/>
      <c r="Z57" s="2002" t="n"/>
      <c r="AA57" s="1481" t="n"/>
      <c r="AC57" s="1013" t="n"/>
      <c r="AD57" s="1014" t="n"/>
      <c r="AE57" s="1013" t="n"/>
      <c r="AF57" s="1014" t="n"/>
      <c r="AG57" s="1013" t="n"/>
      <c r="AH57" s="1014" t="n"/>
      <c r="AJ57" s="10" t="n"/>
      <c r="AK57" s="10" t="n"/>
      <c r="AL57" s="10" t="n"/>
      <c r="AQ57" s="7" t="n"/>
      <c r="AR57" s="849" t="n"/>
      <c r="AS57" s="111" t="n"/>
      <c r="AT57" s="487" t="n"/>
      <c r="AU57" s="114" t="n"/>
      <c r="AV57" s="491" t="n"/>
      <c r="AW57" s="114" t="n"/>
      <c r="AX57" s="492" t="n"/>
      <c r="AY57" s="488" t="n"/>
    </row>
    <row r="58" ht="32" customHeight="1" thickBot="1">
      <c r="B58" s="837" t="inlineStr">
        <is>
          <t>Max PFA &amp; NC</t>
        </is>
      </c>
      <c r="C58" s="838" t="n"/>
      <c r="D58" s="838">
        <f>IF(G58=G54,D54,D57)</f>
        <v/>
      </c>
      <c r="E58" s="839" t="n"/>
      <c r="F58" s="839" t="n"/>
      <c r="G58" s="839">
        <f>IF(AND(J54=TRUE,J57=FALSE),G54,IF(AND(J54=FALSE,J57=TRUE),G57,IF(AND(J54=TRUE,J57=TRUE),G54+G57,MAX(G54,G57))))</f>
        <v/>
      </c>
      <c r="H58" s="1714" t="n"/>
      <c r="I58" s="840" t="n"/>
      <c r="J58" s="841">
        <f>IF(AND(J54=FALSE,J57=FALSE),FALSE,TRUE)</f>
        <v/>
      </c>
      <c r="K58" s="1698" t="n"/>
      <c r="L58" s="1698" t="n"/>
      <c r="M58" s="1698" t="n"/>
      <c r="N58" s="1715" t="n"/>
      <c r="O58" s="1714" t="n"/>
      <c r="P58" s="840" t="n"/>
      <c r="Q58" s="841">
        <f>IF(AND(Q54=FALSE,Q57=FALSE),FALSE,TRUE)</f>
        <v/>
      </c>
      <c r="R58" s="1714" t="n"/>
      <c r="S58" s="840" t="n"/>
      <c r="T58" s="841">
        <f>IF(AND(T54=FALSE,T57=FALSE),FALSE,TRUE)</f>
        <v/>
      </c>
      <c r="U58" s="978" t="n"/>
      <c r="V58" s="978" t="inlineStr">
        <is>
          <t>et</t>
        </is>
      </c>
      <c r="W58" s="1473" t="n"/>
      <c r="X58" s="2002" t="n"/>
      <c r="Y58" s="1478" t="n"/>
      <c r="Z58" s="2002" t="n"/>
      <c r="AA58" s="1481" t="n"/>
      <c r="AC58" s="1013">
        <f>IF(J58=TRUE,"V","F")</f>
        <v/>
      </c>
      <c r="AD58" s="1014" t="n"/>
      <c r="AE58" s="1013">
        <f>IF(Q58=TRUE,"V","F")</f>
        <v/>
      </c>
      <c r="AF58" s="1014" t="n"/>
      <c r="AG58" s="1013">
        <f>IF(T58=TRUE,"V","F")</f>
        <v/>
      </c>
      <c r="AH58" s="1014" t="n"/>
      <c r="AI58">
        <f>IF(OR(AC58="V",AE58="V"),IF(G57&gt;G54,"Le NC contribue plus que le coparent","Le coparent joue un plus grand rôle que le NC"),"pas de contexte significatif de la part du coparent et NC")</f>
        <v/>
      </c>
      <c r="AJ58" s="10" t="n"/>
      <c r="AK58" s="10" t="n"/>
      <c r="AL58" s="10" t="n"/>
      <c r="AQ58" s="7" t="n"/>
      <c r="AR58" s="849" t="n"/>
      <c r="AS58" s="111" t="n"/>
      <c r="AT58" s="487" t="n"/>
      <c r="AU58" s="114" t="n"/>
      <c r="AV58" s="491" t="n"/>
      <c r="AW58" s="114" t="n"/>
      <c r="AX58" s="492" t="n"/>
      <c r="AY58" s="488" t="n"/>
    </row>
    <row r="59" ht="32" customHeight="1">
      <c r="B59" s="316">
        <f>'Action-Réaction finale'!O11</f>
        <v/>
      </c>
      <c r="C59" s="2066">
        <f>Test_Bible!B273</f>
        <v/>
      </c>
      <c r="D59" s="102" t="inlineStr">
        <is>
          <t>vous reproche d'avoir abandonné la famille</t>
        </is>
      </c>
      <c r="E59" s="823">
        <f>Test_Bible!P273</f>
        <v/>
      </c>
      <c r="F59" s="822">
        <f>Test_Bible!D273</f>
        <v/>
      </c>
      <c r="G59" s="823">
        <f>Test_Bible!Q273</f>
        <v/>
      </c>
      <c r="H59" s="1710" t="n">
        <v>4</v>
      </c>
      <c r="I59" s="1703">
        <f>$I$18</f>
        <v/>
      </c>
      <c r="J59" s="46">
        <f>IF(AND(E59&gt;=H59,E59&lt;=I59),TRUE,FALSE)</f>
        <v/>
      </c>
      <c r="K59" s="46" t="n"/>
      <c r="L59" s="46" t="n"/>
      <c r="M59" s="46" t="n"/>
      <c r="N59" s="1711" t="n"/>
      <c r="O59" s="1710" t="n">
        <v>2</v>
      </c>
      <c r="P59" s="1703" t="n">
        <v>7</v>
      </c>
      <c r="Q59" s="1711">
        <f>IF(AND(E59&gt;=O59,E59&lt;=P59),TRUE,FALSE)</f>
        <v/>
      </c>
      <c r="R59" s="1710" t="n"/>
      <c r="S59" s="1703" t="n"/>
      <c r="T59" s="1711" t="n"/>
      <c r="U59" s="978" t="n"/>
      <c r="V59" s="1484" t="n"/>
      <c r="W59" s="1485" t="n">
        <v>4</v>
      </c>
      <c r="X59" s="2029" t="n"/>
      <c r="Y59" s="1489" t="n">
        <v>2</v>
      </c>
      <c r="Z59" s="2029" t="n"/>
      <c r="AA59" s="1497" t="n">
        <v>11</v>
      </c>
      <c r="AC59" s="1013" t="inlineStr">
        <is>
          <t> </t>
        </is>
      </c>
      <c r="AD59" s="1014" t="n"/>
      <c r="AE59" s="1013" t="n"/>
      <c r="AF59" s="1014" t="n"/>
      <c r="AG59" s="1013" t="n"/>
      <c r="AH59" s="1014" t="n"/>
      <c r="AJ59" s="10" t="n"/>
      <c r="AK59" s="10" t="n"/>
      <c r="AL59" s="10" t="n"/>
      <c r="AR59" s="849" t="n"/>
      <c r="AS59" s="111" t="n"/>
      <c r="AT59" s="487" t="n"/>
      <c r="AU59" s="114" t="n"/>
      <c r="AV59" s="491" t="n"/>
      <c r="AW59" s="114" t="n"/>
      <c r="AX59" s="492" t="n"/>
      <c r="AY59" s="488" t="n"/>
    </row>
    <row r="60" ht="32" customHeight="1" thickBot="1">
      <c r="B60" s="316" t="n"/>
      <c r="C60" s="2066" t="n"/>
      <c r="D60" s="102" t="n"/>
      <c r="E60" s="823" t="n"/>
      <c r="F60" s="822" t="n"/>
      <c r="G60" s="823" t="n"/>
      <c r="H60" s="1735" t="n">
        <v>11</v>
      </c>
      <c r="I60" s="1736" t="n">
        <v>11</v>
      </c>
      <c r="J60" s="46">
        <f>IF(AND(E60&gt;=H60,E60&lt;=I60),TRUE,FALSE)</f>
        <v/>
      </c>
      <c r="K60" s="46" t="n"/>
      <c r="L60" s="46" t="n"/>
      <c r="M60" s="46" t="n"/>
      <c r="N60" s="1711" t="n"/>
      <c r="O60" s="1735" t="n">
        <v>11</v>
      </c>
      <c r="P60" s="1736" t="n">
        <v>11</v>
      </c>
      <c r="Q60" s="1711">
        <f>IF(AND(E60&gt;=O60,E60&lt;=P60),TRUE,FALSE)</f>
        <v/>
      </c>
      <c r="R60" s="1735" t="n"/>
      <c r="S60" s="1736" t="n"/>
      <c r="T60" s="1711" t="n"/>
      <c r="U60" s="978" t="n"/>
      <c r="V60" s="1487" t="inlineStr">
        <is>
          <t>ou</t>
        </is>
      </c>
      <c r="W60" s="1506" t="n">
        <v>11</v>
      </c>
      <c r="X60" s="1507" t="n"/>
      <c r="Y60" s="1508" t="n">
        <v>11</v>
      </c>
      <c r="Z60" s="1507" t="n"/>
      <c r="AA60" s="1502" t="n">
        <v>11</v>
      </c>
      <c r="AC60" s="1013" t="n"/>
      <c r="AD60" s="1014" t="n"/>
      <c r="AE60" s="1013" t="n"/>
      <c r="AF60" s="1014" t="n"/>
      <c r="AG60" s="1013" t="n"/>
      <c r="AH60" s="1014" t="n"/>
      <c r="AJ60" s="10" t="n"/>
      <c r="AK60" s="10" t="n"/>
      <c r="AL60" s="10" t="n"/>
      <c r="AR60" s="849" t="n"/>
      <c r="AS60" s="111" t="n"/>
      <c r="AT60" s="487" t="n"/>
      <c r="AU60" s="114" t="n"/>
      <c r="AV60" s="491" t="n"/>
      <c r="AW60" s="114" t="n"/>
      <c r="AX60" s="492" t="n"/>
      <c r="AY60" s="488" t="n"/>
    </row>
    <row r="61" ht="32" customHeight="1" thickBot="1">
      <c r="B61" s="842" t="inlineStr">
        <is>
          <t>Max Enf</t>
        </is>
      </c>
      <c r="C61" s="843">
        <f>_xlfn.XLOOKUP(G61,G59:G60,C59:C60)</f>
        <v/>
      </c>
      <c r="D61" s="843">
        <f>_xlfn.XLOOKUP(G61,G59:G60,D59:D60)</f>
        <v/>
      </c>
      <c r="E61" s="844" t="n"/>
      <c r="F61" s="844" t="n"/>
      <c r="G61" s="844">
        <f>IF(AND(J59=TRUE,J60=FALSE),G59,IF(AND(J59=FALSE,J60=TRUE),G60,MAX(G59,G60)))</f>
        <v/>
      </c>
      <c r="H61" s="1716" t="n"/>
      <c r="I61" s="845" t="n"/>
      <c r="J61" s="846">
        <f>IF(AND(J59=FALSE,J60=FALSE),FALSE,TRUE)</f>
        <v/>
      </c>
      <c r="K61" s="1699" t="n"/>
      <c r="L61" s="1699" t="n"/>
      <c r="M61" s="1699" t="n"/>
      <c r="N61" s="1717" t="n"/>
      <c r="O61" s="1716" t="n"/>
      <c r="P61" s="845" t="n"/>
      <c r="Q61" s="846">
        <f>IF(AND(Q59=FALSE,Q60=FALSE),FALSE,TRUE)</f>
        <v/>
      </c>
      <c r="R61" s="1716" t="n"/>
      <c r="S61" s="845" t="n"/>
      <c r="T61" s="846" t="n"/>
      <c r="U61" s="978" t="n"/>
      <c r="V61" s="978" t="n"/>
      <c r="W61" s="1475" t="n"/>
      <c r="Y61" s="1479" t="n"/>
      <c r="AA61" s="1483" t="n"/>
      <c r="AC61" s="1013">
        <f>IF(J61=TRUE,"V","F")</f>
        <v/>
      </c>
      <c r="AD61" s="1014" t="n"/>
      <c r="AE61" s="1013">
        <f>IF(Q61=TRUE,"V","F")</f>
        <v/>
      </c>
      <c r="AF61" s="1014" t="n"/>
      <c r="AG61" s="1013" t="n"/>
      <c r="AH61" s="1014" t="n"/>
      <c r="AJ61" s="10" t="n"/>
      <c r="AK61" s="10" t="n"/>
      <c r="AL61" s="10" t="n"/>
      <c r="AR61" s="849" t="n"/>
      <c r="AS61" s="111" t="n"/>
      <c r="AT61" s="487" t="n"/>
      <c r="AU61" s="114" t="n"/>
      <c r="AV61" s="491" t="n"/>
      <c r="AW61" s="114" t="n"/>
      <c r="AX61" s="492" t="n"/>
      <c r="AY61" s="488" t="n"/>
    </row>
    <row r="62" ht="32" customHeight="1">
      <c r="C62" s="428" t="inlineStr">
        <is>
          <t>COMPARATIF Comportement PFA-Enf</t>
        </is>
      </c>
      <c r="D62" s="2058" t="n"/>
      <c r="E62" s="484" t="inlineStr">
        <is>
          <t>Valeur =&gt;</t>
        </is>
      </c>
      <c r="F62" s="48" t="n"/>
      <c r="G62" s="48">
        <f>G54+G57+G61</f>
        <v/>
      </c>
      <c r="H62" s="1718" t="n"/>
      <c r="I62" s="485" t="n"/>
      <c r="J62" s="1701" t="n"/>
      <c r="K62" s="1702">
        <f>IF(AND(J61=TRUE,J58=TRUE),D61,"")</f>
        <v/>
      </c>
      <c r="L62" s="1702">
        <f>IF(AND(J58=TRUE,J61=FALSE),"Bien que le parent "&amp;D58&amp;" l'enfant ne semble pas s'ingérer","")</f>
        <v/>
      </c>
      <c r="M62" s="1702">
        <f>IF(AND(J58=FALSE,J61=TRUE),D61&amp;" sans signe de la participation du parent favorisé et|ou nouveau conjoint.e","")</f>
        <v/>
      </c>
      <c r="N62" s="1719">
        <f>IF(AND(J58=FALSE,J61=FALSE),"aucun comportement significatif de cette nature","")</f>
        <v/>
      </c>
      <c r="O62" s="1718" t="n"/>
      <c r="P62" s="485" t="n"/>
      <c r="Q62" s="1727" t="n"/>
      <c r="R62" s="1718" t="n"/>
      <c r="S62" s="485" t="n"/>
      <c r="T62" s="1727" t="n"/>
      <c r="U62" s="980" t="n"/>
      <c r="V62" s="980" t="n"/>
      <c r="W62" s="1475" t="n"/>
      <c r="Y62" s="1479" t="n"/>
      <c r="AA62" s="1483" t="n"/>
      <c r="AC62" s="1015" t="n"/>
      <c r="AD62" s="1016">
        <f>IF(AND(AC58="V",AC61="V"),2,IF(OR(AC58="V",AC61="V"),1,0))</f>
        <v/>
      </c>
      <c r="AE62" s="1015" t="n"/>
      <c r="AF62" s="1016">
        <f>IF(OR(AE58="V",AE61="V"),1,0)</f>
        <v/>
      </c>
      <c r="AG62" s="1015" t="n"/>
      <c r="AH62" s="1016" t="n"/>
      <c r="AJ62" s="10" t="n"/>
      <c r="AK62" s="10" t="n"/>
      <c r="AL62" s="10" t="n"/>
      <c r="AR62" s="849" t="n"/>
      <c r="AS62" s="111" t="n"/>
      <c r="AT62" s="487" t="n"/>
      <c r="AU62" s="114" t="n"/>
      <c r="AV62" s="491" t="n"/>
      <c r="AW62" s="114" t="n"/>
      <c r="AX62" s="492" t="n"/>
      <c r="AY62" s="488" t="n"/>
    </row>
    <row r="63" ht="32" customHeight="1">
      <c r="B63" t="inlineStr">
        <is>
          <t>PCR</t>
        </is>
      </c>
      <c r="H63" s="147" t="n"/>
      <c r="K63" s="1992" t="n"/>
      <c r="L63" s="1992" t="n"/>
      <c r="M63" s="1992" t="n"/>
      <c r="N63" s="1740" t="n"/>
      <c r="O63" s="147" t="n"/>
      <c r="Q63" s="330" t="n"/>
      <c r="R63" s="147" t="n"/>
      <c r="T63" s="330" t="n"/>
      <c r="U63" s="1992" t="n"/>
      <c r="W63" s="1475" t="n"/>
      <c r="Y63" s="1479" t="n"/>
      <c r="AA63" s="1483" t="n"/>
      <c r="AC63" s="1013" t="n"/>
      <c r="AD63" s="1014" t="n"/>
      <c r="AE63" s="1013" t="n"/>
      <c r="AF63" s="1014" t="n"/>
      <c r="AG63" s="1013" t="n"/>
      <c r="AH63" s="1014" t="n"/>
      <c r="AJ63" s="10" t="n"/>
      <c r="AK63" s="10" t="n"/>
      <c r="AL63" s="10" t="n"/>
      <c r="AR63" s="849" t="n"/>
      <c r="AS63" s="111" t="n"/>
      <c r="AT63" s="487" t="n"/>
      <c r="AU63" s="114" t="n"/>
      <c r="AV63" s="491" t="n"/>
      <c r="AW63" s="114" t="n"/>
      <c r="AX63" s="492" t="n"/>
      <c r="AY63" s="488" t="n"/>
    </row>
    <row r="64" ht="32" customHeight="1">
      <c r="B64" s="1017" t="n"/>
      <c r="C64" s="1025" t="n"/>
      <c r="D64" s="1018" t="n"/>
      <c r="E64" s="1026" t="n"/>
      <c r="F64" s="1026" t="n"/>
      <c r="G64" s="1026" t="n"/>
      <c r="H64" s="1735" t="n">
        <v>11</v>
      </c>
      <c r="I64" s="1736" t="n">
        <v>11</v>
      </c>
      <c r="J64" s="46">
        <f>IF(AND(E64&gt;=H64,E64&lt;=I64),TRUE,FALSE)</f>
        <v/>
      </c>
      <c r="K64" s="33" t="n"/>
      <c r="L64" s="33" t="n"/>
      <c r="M64" s="33" t="n"/>
      <c r="N64" s="1720" t="n"/>
      <c r="O64" s="1735" t="n">
        <v>11</v>
      </c>
      <c r="P64" s="1736" t="n">
        <v>11</v>
      </c>
      <c r="Q64" s="1711">
        <f>IF(AND(E64&gt;=O64,E64&lt;=P64),TRUE,FALSE)</f>
        <v/>
      </c>
      <c r="R64" s="1735" t="n">
        <v>11</v>
      </c>
      <c r="S64" s="1736" t="n">
        <v>11</v>
      </c>
      <c r="T64" s="1711">
        <f>IF(AND(E64&gt;=R64,E64&lt;=S64),TRUE,FALSE)</f>
        <v/>
      </c>
      <c r="U64" s="1992" t="n"/>
      <c r="V64" s="1509" t="n"/>
      <c r="W64" s="1503" t="n">
        <v>11</v>
      </c>
      <c r="X64" s="1504" t="n"/>
      <c r="Y64" s="1505" t="n">
        <v>11</v>
      </c>
      <c r="Z64" s="1504" t="n"/>
      <c r="AA64" s="1497" t="n">
        <v>11</v>
      </c>
      <c r="AC64" s="1013" t="n"/>
      <c r="AD64" s="1014" t="n"/>
      <c r="AE64" s="1013" t="n"/>
      <c r="AF64" s="1014" t="n"/>
      <c r="AG64" s="1013" t="n"/>
      <c r="AH64" s="1014" t="n"/>
      <c r="AJ64" s="10" t="n"/>
      <c r="AK64" s="10" t="n"/>
      <c r="AL64" s="10" t="n"/>
      <c r="AR64" s="849" t="n"/>
      <c r="AS64" s="111" t="n"/>
      <c r="AT64" s="487" t="n"/>
      <c r="AU64" s="114" t="n"/>
      <c r="AV64" s="491" t="n"/>
      <c r="AW64" s="114" t="n"/>
      <c r="AX64" s="492" t="n"/>
      <c r="AY64" s="488" t="n"/>
    </row>
    <row r="65" ht="32" customHeight="1" thickBot="1">
      <c r="B65" s="1017" t="n"/>
      <c r="C65" s="1025" t="n"/>
      <c r="D65" s="1018" t="n"/>
      <c r="E65" s="1026" t="n"/>
      <c r="F65" s="1026" t="n"/>
      <c r="G65" s="1026" t="n"/>
      <c r="H65" s="1735" t="n">
        <v>11</v>
      </c>
      <c r="I65" s="1736" t="n">
        <v>11</v>
      </c>
      <c r="J65" s="46">
        <f>IF(AND(E65&gt;=H65,E65&lt;=I65),TRUE,FALSE)</f>
        <v/>
      </c>
      <c r="K65" s="33" t="n"/>
      <c r="L65" s="33" t="n"/>
      <c r="M65" s="33" t="n"/>
      <c r="N65" s="1720" t="n"/>
      <c r="O65" s="1735" t="n">
        <v>11</v>
      </c>
      <c r="P65" s="1736" t="n">
        <v>11</v>
      </c>
      <c r="Q65" s="1711">
        <f>IF(AND(E65&gt;=O65,E65&lt;=P65),TRUE,FALSE)</f>
        <v/>
      </c>
      <c r="R65" s="1735" t="n">
        <v>11</v>
      </c>
      <c r="S65" s="1736" t="n">
        <v>11</v>
      </c>
      <c r="T65" s="1711">
        <f>IF(AND(E65&gt;=R65,E65&lt;=S65),TRUE,FALSE)</f>
        <v/>
      </c>
      <c r="V65" s="1510" t="n"/>
      <c r="W65" s="1506" t="n">
        <v>11</v>
      </c>
      <c r="X65" s="1507" t="n"/>
      <c r="Y65" s="1508" t="n">
        <v>11</v>
      </c>
      <c r="Z65" s="1507" t="n"/>
      <c r="AA65" s="1502" t="n">
        <v>11</v>
      </c>
      <c r="AC65" s="1013" t="n"/>
      <c r="AD65" s="1014" t="n"/>
      <c r="AE65" s="1013" t="n"/>
      <c r="AF65" s="1014" t="n"/>
      <c r="AG65" s="1013" t="n"/>
      <c r="AH65" s="1014" t="n"/>
      <c r="AJ65" s="10" t="n"/>
      <c r="AK65" s="10" t="n"/>
      <c r="AL65" s="10" t="n"/>
      <c r="AR65" s="849" t="n"/>
      <c r="AS65" s="111" t="n"/>
      <c r="AT65" s="487" t="n"/>
      <c r="AU65" s="114" t="n"/>
      <c r="AV65" s="491" t="n"/>
      <c r="AW65" s="114" t="n"/>
      <c r="AX65" s="492" t="n"/>
      <c r="AY65" s="488" t="n"/>
    </row>
    <row r="66" ht="32" customHeight="1" thickBot="1">
      <c r="D66" s="847" t="n"/>
      <c r="E66" s="97" t="n"/>
      <c r="F66" s="97" t="n"/>
      <c r="G66" s="97" t="n"/>
      <c r="H66" s="1732" t="n"/>
      <c r="I66" s="1733" t="n"/>
      <c r="J66" s="1739">
        <f>IF(AND(J64=FALSE,J65=FALSE),FALSE,TRUE)</f>
        <v/>
      </c>
      <c r="K66" s="1721" t="n"/>
      <c r="L66" s="1722" t="n"/>
      <c r="M66" s="1722" t="n"/>
      <c r="N66" s="1723" t="n"/>
      <c r="O66" s="1732" t="n"/>
      <c r="P66" s="1733" t="n"/>
      <c r="Q66" s="1739">
        <f>IF(AND(Q64=FALSE,Q65=FALSE),FALSE,TRUE)</f>
        <v/>
      </c>
      <c r="R66" s="1744" t="n"/>
      <c r="S66" s="1745" t="n"/>
      <c r="T66" s="1746">
        <f>IF(AND(T64=FALSE,T65=FALSE),FALSE,TRUE)</f>
        <v/>
      </c>
      <c r="U66" s="97" t="n"/>
      <c r="AC66" s="1650">
        <f>IF(J66=TRUE,"V","F")</f>
        <v/>
      </c>
      <c r="AD66" s="1651" t="n"/>
      <c r="AE66" s="1650">
        <f>IF(Q66=TRUE,"V","F")</f>
        <v/>
      </c>
      <c r="AF66" s="1651" t="n"/>
      <c r="AG66" s="1650">
        <f>IF(T66=TRUE,"V","F")</f>
        <v/>
      </c>
      <c r="AH66" s="1651" t="n"/>
      <c r="AJ66" s="10" t="n"/>
      <c r="AK66" s="10" t="n"/>
      <c r="AL66" s="10" t="n"/>
      <c r="AR66" s="849" t="n"/>
      <c r="AS66" s="111" t="n"/>
      <c r="AT66" s="487" t="n"/>
      <c r="AU66" s="114" t="n"/>
      <c r="AV66" s="491" t="n"/>
      <c r="AW66" s="114" t="n"/>
      <c r="AX66" s="492" t="n"/>
      <c r="AY66" s="488" t="n"/>
    </row>
    <row r="67" ht="32" customHeight="1" thickBot="1">
      <c r="D67" s="847" t="n"/>
      <c r="E67" s="97" t="n"/>
      <c r="F67" s="97" t="n"/>
      <c r="G67" s="97" t="n"/>
      <c r="H67" s="97" t="n"/>
      <c r="I67" s="97" t="n"/>
      <c r="J67" s="97" t="n"/>
      <c r="K67" s="848" t="n"/>
      <c r="L67" s="848" t="n"/>
      <c r="M67" s="848" t="n"/>
      <c r="N67" s="97" t="n"/>
      <c r="O67" s="97" t="n"/>
      <c r="P67" s="97" t="n"/>
      <c r="Q67" s="97" t="n"/>
      <c r="R67" s="97" t="n"/>
      <c r="S67" s="97" t="n"/>
      <c r="T67" s="97" t="n"/>
      <c r="U67" s="97" t="n"/>
      <c r="AC67" s="1737" t="n"/>
      <c r="AD67" s="1738">
        <f>IF(AND(AC66="V",AC58="V"),AD62-1,AD62)</f>
        <v/>
      </c>
      <c r="AE67" s="1737" t="n"/>
      <c r="AF67" s="1738">
        <f>IF(OR(AE58="V",AE61="V",AE66="V"),1,0)</f>
        <v/>
      </c>
      <c r="AG67" s="1737" t="n"/>
      <c r="AH67" s="1738">
        <f>IF(AG58="V",1,IF(AG66="V",1,0))</f>
        <v/>
      </c>
      <c r="AJ67" s="10" t="n">
        <v>1</v>
      </c>
      <c r="AK67" s="10" t="n">
        <v>1</v>
      </c>
      <c r="AL67" s="10" t="n"/>
      <c r="AR67" s="849" t="n"/>
      <c r="AS67" s="111" t="n"/>
      <c r="AT67" s="487" t="n"/>
      <c r="AU67" s="114" t="n"/>
      <c r="AV67" s="491" t="n"/>
      <c r="AW67" s="114" t="n"/>
      <c r="AX67" s="492" t="n"/>
      <c r="AY67" s="488" t="n"/>
    </row>
    <row r="68" ht="32" customHeight="1">
      <c r="D68" s="847" t="n"/>
      <c r="E68" s="97" t="n"/>
      <c r="F68" s="97" t="n"/>
      <c r="G68" s="97" t="n"/>
      <c r="H68" s="2120" t="inlineStr">
        <is>
          <t xml:space="preserve">instrumentalisation de l'enfant qui rend le actif / force la prise d'otage psycho ou physique </t>
        </is>
      </c>
      <c r="I68" s="709" t="n"/>
      <c r="J68" s="1392" t="n"/>
      <c r="K68" s="2056" t="n"/>
      <c r="L68" s="709" t="n"/>
      <c r="M68" s="709" t="n"/>
      <c r="N68" s="1707" t="n"/>
      <c r="O68" s="2121" t="inlineStr">
        <is>
          <t xml:space="preserve">compt. fragilise la relation parent-enfant ou les individus, enclenche rôle de protecteur, demande de faire un choix / choisir son camp </t>
        </is>
      </c>
      <c r="P68" s="709" t="n"/>
      <c r="Q68" s="1392" t="n"/>
      <c r="R68" s="1768" t="inlineStr">
        <is>
          <t>Est-ce que cela créé un déclencheur?</t>
        </is>
      </c>
      <c r="S68" s="1706" t="n"/>
      <c r="T68" s="1707" t="n"/>
      <c r="U68" s="97" t="n"/>
      <c r="AC68" s="1756" t="inlineStr">
        <is>
          <t>Indice boosté</t>
        </is>
      </c>
      <c r="AD68" s="1757">
        <f>IF(AF67=1,AD67*(1+$AH$28),AD67)</f>
        <v/>
      </c>
      <c r="AE68" s="1490" t="n"/>
      <c r="AF68" s="1490" t="n"/>
      <c r="AG68" s="1490" t="n"/>
      <c r="AH68" s="1490" t="n"/>
      <c r="AJ68" s="10" t="n"/>
      <c r="AK68" s="10" t="n"/>
      <c r="AL68" s="10" t="n"/>
      <c r="AR68" s="849" t="n"/>
      <c r="AS68" s="111" t="n"/>
      <c r="AT68" s="487" t="n"/>
      <c r="AU68" s="114" t="n"/>
      <c r="AV68" s="491" t="n"/>
      <c r="AW68" s="114" t="n"/>
      <c r="AX68" s="492" t="n"/>
      <c r="AY68" s="488" t="n"/>
    </row>
    <row r="69" ht="32" customHeight="1">
      <c r="A69" s="853" t="n">
        <v>3</v>
      </c>
      <c r="C69" s="486">
        <f>'Action-Réaction finale'!F14</f>
        <v/>
      </c>
      <c r="D69" s="108" t="n"/>
      <c r="E69" s="66" t="n"/>
      <c r="F69" s="18" t="n"/>
      <c r="G69" s="18" t="n"/>
      <c r="H69" s="2052" t="inlineStr">
        <is>
          <t>AP</t>
        </is>
      </c>
      <c r="K69" s="2055" t="inlineStr">
        <is>
          <t>Dynamique d'AP</t>
        </is>
      </c>
      <c r="N69" s="330" t="n"/>
      <c r="O69" s="2122" t="inlineStr">
        <is>
          <t>CL</t>
        </is>
      </c>
      <c r="Q69" s="330" t="n"/>
      <c r="R69" s="2123" t="inlineStr">
        <is>
          <t>CSS</t>
        </is>
      </c>
      <c r="T69" s="330" t="n"/>
      <c r="U69" s="15" t="n"/>
      <c r="V69" s="15" t="n"/>
      <c r="AC69" s="1009" t="n"/>
      <c r="AD69" s="1009" t="n"/>
      <c r="AE69" s="1009" t="n"/>
      <c r="AF69" s="1009" t="n"/>
      <c r="AG69" s="1009" t="n"/>
      <c r="AH69" s="1010" t="n"/>
      <c r="AJ69" s="10" t="n"/>
      <c r="AK69" s="10" t="n"/>
      <c r="AL69" s="10" t="n"/>
      <c r="AR69" s="849" t="n"/>
      <c r="AS69" s="111" t="n"/>
      <c r="AT69" s="487" t="n"/>
      <c r="AU69" s="114" t="n"/>
      <c r="AV69" s="491" t="n"/>
      <c r="AW69" s="114" t="n"/>
      <c r="AX69" s="492" t="n"/>
      <c r="AY69" s="488" t="n"/>
    </row>
    <row r="70" ht="32" customHeight="1">
      <c r="C70" s="103" t="inlineStr">
        <is>
          <t>Questions et sous-questions</t>
        </is>
      </c>
      <c r="D70" s="1043" t="inlineStr">
        <is>
          <t>Texte écourté pour titrer dans les baromètres ou rapport</t>
        </is>
      </c>
      <c r="E70" s="33" t="inlineStr">
        <is>
          <t>Valeur de base
Fréquence (F)</t>
        </is>
      </c>
      <c r="F70" s="33" t="inlineStr">
        <is>
          <t>Valeur de base
intensité (I)</t>
        </is>
      </c>
      <c r="G70" s="33" t="inlineStr">
        <is>
          <t>F * I</t>
        </is>
      </c>
      <c r="H70" s="1708" t="inlineStr">
        <is>
          <t>Condition Fréq. 
&gt;= que</t>
        </is>
      </c>
      <c r="I70" s="44" t="inlineStr">
        <is>
          <t>Condition Fré
&lt;= que</t>
        </is>
      </c>
      <c r="J70" s="44" t="inlineStr">
        <is>
          <t>Condition respectée</t>
        </is>
      </c>
      <c r="K70" s="44" t="inlineStr">
        <is>
          <t>"VRAI" (PF&amp;NC) /  "VRAI" (Enf)</t>
        </is>
      </c>
      <c r="L70" s="44" t="inlineStr">
        <is>
          <t>Vrai (PF&amp;NC) /  Faux (Enf)</t>
        </is>
      </c>
      <c r="M70" s="44" t="inlineStr">
        <is>
          <t>Faux (PF&amp;NC) /  Vrai (Enf)</t>
        </is>
      </c>
      <c r="N70" s="1709" t="inlineStr">
        <is>
          <t>Faux (PF&amp;NC) /  Faux(Enf)</t>
        </is>
      </c>
      <c r="O70" s="1708" t="inlineStr">
        <is>
          <t>Condition Fréq. 
&gt;= que</t>
        </is>
      </c>
      <c r="P70" s="44" t="inlineStr">
        <is>
          <t>Condition Fré
&lt;= que</t>
        </is>
      </c>
      <c r="Q70" s="1709" t="inlineStr">
        <is>
          <t>Condition respectée</t>
        </is>
      </c>
      <c r="R70" s="1708" t="inlineStr">
        <is>
          <t>Condition Fréq. 
&gt;= que</t>
        </is>
      </c>
      <c r="S70" s="44" t="inlineStr">
        <is>
          <t>Condition Fré
&lt;= que</t>
        </is>
      </c>
      <c r="T70" s="1709" t="inlineStr">
        <is>
          <t>Condition respectée</t>
        </is>
      </c>
      <c r="U70" s="851" t="n"/>
      <c r="V70" s="1008" t="inlineStr">
        <is>
          <t>Condition</t>
        </is>
      </c>
      <c r="W70" s="1472" t="inlineStr">
        <is>
          <t>AP</t>
        </is>
      </c>
      <c r="X70" s="1008" t="inlineStr">
        <is>
          <t>Condition</t>
        </is>
      </c>
      <c r="Y70" s="1476" t="inlineStr">
        <is>
          <t>CL</t>
        </is>
      </c>
      <c r="Z70" s="1008" t="inlineStr">
        <is>
          <t>Condition</t>
        </is>
      </c>
      <c r="AA70" s="1480" t="inlineStr">
        <is>
          <t>CSS</t>
        </is>
      </c>
      <c r="AC70" s="1023" t="inlineStr">
        <is>
          <t>AP</t>
        </is>
      </c>
      <c r="AD70" s="1024" t="inlineStr">
        <is>
          <t>AP_F</t>
        </is>
      </c>
      <c r="AE70" s="1023" t="inlineStr">
        <is>
          <t>CL</t>
        </is>
      </c>
      <c r="AF70" s="1024" t="inlineStr">
        <is>
          <t>CL_F</t>
        </is>
      </c>
      <c r="AG70" s="1023" t="inlineStr">
        <is>
          <t>CSS</t>
        </is>
      </c>
      <c r="AH70" s="1024" t="inlineStr">
        <is>
          <t>CSS_F</t>
        </is>
      </c>
      <c r="AJ70" s="10" t="n"/>
      <c r="AK70" s="10" t="n"/>
      <c r="AL70" s="10" t="n"/>
      <c r="AR70" s="849" t="n"/>
      <c r="AS70" s="111" t="n"/>
      <c r="AT70" s="487" t="n"/>
      <c r="AU70" s="114" t="n"/>
      <c r="AV70" s="491" t="n"/>
      <c r="AW70" s="114" t="n"/>
      <c r="AX70" s="492" t="n"/>
      <c r="AY70" s="488" t="n"/>
    </row>
    <row r="71" ht="54" customHeight="1">
      <c r="A71" s="854" t="n"/>
      <c r="B71" s="421">
        <f>'Action-Réaction finale'!G14</f>
        <v/>
      </c>
      <c r="C71" s="2066">
        <f>Test_Bible!B169</f>
        <v/>
      </c>
      <c r="D71" s="102" t="inlineStr">
        <is>
          <t>laisse entendre que vous êtes instable psychologiquement</t>
        </is>
      </c>
      <c r="E71" s="823">
        <f>Test_Bible!P169</f>
        <v/>
      </c>
      <c r="F71" s="822">
        <f>Test_Bible!D169</f>
        <v/>
      </c>
      <c r="G71" s="823">
        <f>Test_Bible!Q169</f>
        <v/>
      </c>
      <c r="H71" s="1710" t="n">
        <v>4</v>
      </c>
      <c r="I71" s="1703" t="n">
        <v>10</v>
      </c>
      <c r="J71" s="46">
        <f>IF(AND(E71&gt;=H71,E71&lt;=I71),TRUE,FALSE)</f>
        <v/>
      </c>
      <c r="K71" s="46" t="n"/>
      <c r="L71" s="46" t="n"/>
      <c r="M71" s="46" t="n"/>
      <c r="N71" s="1711" t="n"/>
      <c r="O71" s="1735" t="n">
        <v>11</v>
      </c>
      <c r="P71" s="1736" t="n">
        <v>11</v>
      </c>
      <c r="Q71" s="1711">
        <f>IF(AND(E71&gt;=O71,E71&lt;=P71),TRUE,FALSE)</f>
        <v/>
      </c>
      <c r="R71" s="1710" t="n">
        <v>2</v>
      </c>
      <c r="S71" s="1703" t="n">
        <v>7</v>
      </c>
      <c r="T71" s="1711">
        <f>IF(AND(E71&gt;=R71,E71&lt;=S71),TRUE,FALSE)</f>
        <v/>
      </c>
      <c r="U71" s="978" t="n"/>
      <c r="V71" s="1484" t="n"/>
      <c r="W71" s="1485" t="n">
        <v>4</v>
      </c>
      <c r="X71" s="2029" t="n"/>
      <c r="Y71" s="1489" t="n">
        <v>1</v>
      </c>
      <c r="Z71" s="2029" t="n"/>
      <c r="AA71" s="1496" t="n">
        <v>2</v>
      </c>
      <c r="AC71" s="1011" t="n"/>
      <c r="AD71" s="1012" t="n"/>
      <c r="AE71" s="1011" t="n"/>
      <c r="AF71" s="1012" t="n"/>
      <c r="AG71" s="1011" t="n"/>
      <c r="AH71" s="1012" t="n"/>
      <c r="AJ71" s="10" t="n"/>
      <c r="AK71" s="10" t="n"/>
      <c r="AL71" s="10" t="n"/>
      <c r="AR71" s="849" t="n"/>
      <c r="AS71" s="111" t="n"/>
      <c r="AT71" s="487" t="n"/>
      <c r="AU71" s="114" t="n"/>
      <c r="AV71" s="491" t="n"/>
      <c r="AW71" s="114" t="n"/>
      <c r="AX71" s="492" t="n"/>
      <c r="AY71" s="488" t="n"/>
    </row>
    <row r="72" ht="32" customHeight="1">
      <c r="A72" s="854" t="n"/>
      <c r="B72" s="421" t="n"/>
      <c r="C72" s="2066" t="n"/>
      <c r="D72" s="102" t="n"/>
      <c r="E72" s="823" t="n"/>
      <c r="F72" s="822" t="n"/>
      <c r="G72" s="823" t="n"/>
      <c r="H72" s="1735" t="n">
        <v>11</v>
      </c>
      <c r="I72" s="1736" t="n">
        <v>11</v>
      </c>
      <c r="J72" s="46">
        <f>IF(AND(E72&gt;=H72,E72&lt;=I72),TRUE,FALSE)</f>
        <v/>
      </c>
      <c r="K72" s="46" t="n"/>
      <c r="L72" s="46" t="n"/>
      <c r="M72" s="46" t="n"/>
      <c r="N72" s="1711" t="n"/>
      <c r="O72" s="1735" t="n">
        <v>11</v>
      </c>
      <c r="P72" s="1736" t="n">
        <v>11</v>
      </c>
      <c r="Q72" s="1711">
        <f>IF(AND(E72&gt;=O72,E72&lt;=P72),TRUE,FALSE)</f>
        <v/>
      </c>
      <c r="R72" s="1735" t="n">
        <v>11</v>
      </c>
      <c r="S72" s="1736" t="n">
        <v>11</v>
      </c>
      <c r="T72" s="1711">
        <f>IF(AND(E72&gt;=R72,E72&lt;=S72),TRUE,FALSE)</f>
        <v/>
      </c>
      <c r="U72" s="978" t="n"/>
      <c r="V72" s="1487" t="inlineStr">
        <is>
          <t>ou</t>
        </is>
      </c>
      <c r="W72" s="1506" t="n">
        <v>11</v>
      </c>
      <c r="X72" s="1507" t="n"/>
      <c r="Y72" s="1508" t="n">
        <v>11</v>
      </c>
      <c r="Z72" s="1507" t="n"/>
      <c r="AA72" s="1502" t="n">
        <v>11</v>
      </c>
      <c r="AC72" s="1013" t="n"/>
      <c r="AD72" s="1014" t="n"/>
      <c r="AE72" s="1013" t="n"/>
      <c r="AF72" s="1014" t="n"/>
      <c r="AG72" s="1013" t="n"/>
      <c r="AH72" s="1014" t="n"/>
      <c r="AJ72" s="10" t="n"/>
      <c r="AK72" s="10" t="n"/>
      <c r="AL72" s="10" t="n"/>
      <c r="AR72" s="849" t="n"/>
      <c r="AS72" s="111" t="n"/>
      <c r="AT72" s="487" t="n"/>
      <c r="AU72" s="114" t="n"/>
      <c r="AV72" s="491" t="n"/>
      <c r="AW72" s="114" t="n"/>
      <c r="AX72" s="492" t="n"/>
      <c r="AY72" s="488" t="n"/>
    </row>
    <row r="73" ht="32" customHeight="1">
      <c r="A73" s="854" t="n"/>
      <c r="B73" s="825" t="inlineStr">
        <is>
          <t>Max PFA</t>
        </is>
      </c>
      <c r="C73" s="826">
        <f>_xlfn.XLOOKUP(G73,G71:G72,C71:C72)</f>
        <v/>
      </c>
      <c r="D73" s="827">
        <f>_xlfn.XLOOKUP(G73,G71:G72,D71:D72)</f>
        <v/>
      </c>
      <c r="E73" s="828" t="n"/>
      <c r="F73" s="828" t="n"/>
      <c r="G73" s="828">
        <f>IF(AND(J71=TRUE,J72=FALSE),G71,IF(AND(J71=FALSE,J72=TRUE),G72,MAX(G71,G72)))</f>
        <v/>
      </c>
      <c r="H73" s="1712" t="n"/>
      <c r="I73" s="829" t="n"/>
      <c r="J73" s="830">
        <f>IF(AND(J71=FALSE,J72=FALSE),FALSE,TRUE)</f>
        <v/>
      </c>
      <c r="K73" s="46" t="n"/>
      <c r="L73" s="46" t="n"/>
      <c r="M73" s="46" t="n"/>
      <c r="N73" s="1711" t="n"/>
      <c r="O73" s="1712" t="n"/>
      <c r="P73" s="829" t="n"/>
      <c r="Q73" s="1725">
        <f>IF(AND(Q71=FALSE,Q72=FALSE),FALSE,TRUE)</f>
        <v/>
      </c>
      <c r="R73" s="1712" t="n"/>
      <c r="S73" s="829" t="n"/>
      <c r="T73" s="1725">
        <f>IF(AND(T71=FALSE,T72=FALSE),FALSE,TRUE)</f>
        <v/>
      </c>
      <c r="U73" s="978" t="n"/>
      <c r="V73" s="978" t="inlineStr">
        <is>
          <t>ou</t>
        </is>
      </c>
      <c r="W73" s="1473" t="n"/>
      <c r="X73" s="2002" t="n"/>
      <c r="Y73" s="1478" t="n"/>
      <c r="Z73" s="2002" t="n"/>
      <c r="AA73" s="1481" t="n"/>
      <c r="AC73" s="1013" t="n"/>
      <c r="AD73" s="1014" t="n"/>
      <c r="AE73" s="1013" t="n"/>
      <c r="AF73" s="1014" t="n"/>
      <c r="AG73" s="1013" t="n"/>
      <c r="AH73" s="1014" t="n"/>
      <c r="AJ73" s="10" t="n"/>
      <c r="AK73" s="10" t="n"/>
      <c r="AL73" s="10" t="n"/>
      <c r="AR73" s="849" t="n"/>
      <c r="AS73" s="111" t="n"/>
      <c r="AT73" s="487" t="n"/>
      <c r="AU73" s="114" t="n"/>
      <c r="AV73" s="491" t="n"/>
      <c r="AW73" s="114" t="n"/>
      <c r="AX73" s="492" t="n"/>
      <c r="AY73" s="488" t="n"/>
    </row>
    <row r="74" ht="32" customHeight="1">
      <c r="B74" s="53" t="n"/>
      <c r="C74" s="2066" t="n"/>
      <c r="D74" s="102" t="n"/>
      <c r="E74" s="823" t="n"/>
      <c r="F74" s="822" t="n"/>
      <c r="G74" s="823" t="n"/>
      <c r="H74" s="1735" t="n">
        <v>11</v>
      </c>
      <c r="I74" s="1736" t="n">
        <v>11</v>
      </c>
      <c r="J74" s="46">
        <f>IF(AND(E74&gt;=H74,E74&lt;=I74),TRUE,FALSE)</f>
        <v/>
      </c>
      <c r="K74" s="46" t="n"/>
      <c r="L74" s="46" t="n"/>
      <c r="M74" s="46" t="n"/>
      <c r="N74" s="1711" t="n"/>
      <c r="O74" s="1735" t="n">
        <v>11</v>
      </c>
      <c r="P74" s="1736" t="n">
        <v>11</v>
      </c>
      <c r="Q74" s="1711">
        <f>IF(AND(E74&gt;=O74,E74&lt;=P74),TRUE,FALSE)</f>
        <v/>
      </c>
      <c r="R74" s="1735" t="n">
        <v>11</v>
      </c>
      <c r="S74" s="1736" t="n">
        <v>11</v>
      </c>
      <c r="T74" s="1711">
        <f>IF(AND(E74&gt;=R74,E74&lt;=S74),TRUE,FALSE)</f>
        <v/>
      </c>
      <c r="U74" s="978" t="n"/>
      <c r="V74" s="1484" t="n"/>
      <c r="W74" s="1503" t="n">
        <v>11</v>
      </c>
      <c r="X74" s="1504" t="n"/>
      <c r="Y74" s="1505" t="n">
        <v>11</v>
      </c>
      <c r="Z74" s="1504" t="n"/>
      <c r="AA74" s="1497" t="n">
        <v>11</v>
      </c>
      <c r="AC74" s="1013" t="n"/>
      <c r="AD74" s="1014" t="n"/>
      <c r="AE74" s="1013" t="n"/>
      <c r="AF74" s="1014" t="n"/>
      <c r="AG74" s="1013" t="n"/>
      <c r="AH74" s="1014" t="n"/>
      <c r="AJ74" s="10" t="n"/>
      <c r="AK74" s="10" t="n"/>
      <c r="AL74" s="10" t="n"/>
      <c r="AR74" s="849" t="n"/>
      <c r="AS74" s="111" t="n"/>
      <c r="AT74" s="487" t="n"/>
      <c r="AU74" s="114" t="n"/>
      <c r="AV74" s="491" t="n"/>
      <c r="AW74" s="114" t="n"/>
      <c r="AX74" s="492" t="n"/>
      <c r="AY74" s="488" t="n"/>
    </row>
    <row r="75" ht="32" customHeight="1">
      <c r="B75" s="53" t="n"/>
      <c r="C75" s="2066" t="n"/>
      <c r="D75" s="63" t="n"/>
      <c r="E75" s="36" t="n"/>
      <c r="F75" s="36" t="n"/>
      <c r="G75" s="36" t="n"/>
      <c r="H75" s="1735" t="n">
        <v>11</v>
      </c>
      <c r="I75" s="1736" t="n">
        <v>11</v>
      </c>
      <c r="J75" s="46">
        <f>IF(AND(E75&gt;=H75,E75&lt;=I75),TRUE,FALSE)</f>
        <v/>
      </c>
      <c r="K75" s="46" t="n"/>
      <c r="L75" s="46" t="n"/>
      <c r="M75" s="46" t="n"/>
      <c r="N75" s="1711" t="n"/>
      <c r="O75" s="1735" t="n">
        <v>11</v>
      </c>
      <c r="P75" s="1736" t="n">
        <v>11</v>
      </c>
      <c r="Q75" s="1711">
        <f>IF(AND(E75&gt;=O75,E75&lt;=P75),TRUE,FALSE)</f>
        <v/>
      </c>
      <c r="R75" s="1735" t="n">
        <v>11</v>
      </c>
      <c r="S75" s="1736" t="n">
        <v>11</v>
      </c>
      <c r="T75" s="1711">
        <f>IF(AND(E75&gt;=R75,E75&lt;=S75),TRUE,FALSE)</f>
        <v/>
      </c>
      <c r="U75" s="978" t="n"/>
      <c r="V75" s="1487" t="inlineStr">
        <is>
          <t>ou</t>
        </is>
      </c>
      <c r="W75" s="1506" t="n">
        <v>11</v>
      </c>
      <c r="X75" s="1507" t="n"/>
      <c r="Y75" s="1508" t="n">
        <v>11</v>
      </c>
      <c r="Z75" s="1507" t="n"/>
      <c r="AA75" s="1502" t="n">
        <v>11</v>
      </c>
      <c r="AC75" s="1013" t="n"/>
      <c r="AD75" s="1014" t="n"/>
      <c r="AE75" s="1013" t="n"/>
      <c r="AF75" s="1014" t="n"/>
      <c r="AG75" s="1013" t="n"/>
      <c r="AH75" s="1014" t="n"/>
      <c r="AJ75" s="10" t="n"/>
      <c r="AK75" s="10" t="n"/>
      <c r="AL75" s="10" t="n"/>
      <c r="AQ75" s="7" t="n"/>
      <c r="AR75" s="849" t="n"/>
      <c r="AS75" s="111" t="n"/>
      <c r="AT75" s="487" t="n"/>
      <c r="AU75" s="114" t="n"/>
      <c r="AV75" s="491" t="n"/>
      <c r="AW75" s="114" t="n"/>
      <c r="AX75" s="492" t="n"/>
      <c r="AY75" s="488" t="n"/>
    </row>
    <row r="76" ht="32" customHeight="1" thickBot="1">
      <c r="B76" s="831" t="inlineStr">
        <is>
          <t>Max NC</t>
        </is>
      </c>
      <c r="C76" s="832">
        <f>_xlfn.XLOOKUP(G76,G74:G75,C74:C75)</f>
        <v/>
      </c>
      <c r="D76" s="833">
        <f>_xlfn.XLOOKUP(G76,G74:G75,D74:D75)</f>
        <v/>
      </c>
      <c r="E76" s="834" t="n"/>
      <c r="F76" s="834" t="n"/>
      <c r="G76" s="834">
        <f>IF(AND(J74=TRUE,J75=FALSE),G74,IF(AND(J74=FALSE,J75=TRUE),G75,MAX(G74,G75)))</f>
        <v/>
      </c>
      <c r="H76" s="1713" t="n"/>
      <c r="I76" s="835" t="n"/>
      <c r="J76" s="836">
        <f>IF(AND(J74=FALSE,J75=FALSE),FALSE,TRUE)</f>
        <v/>
      </c>
      <c r="K76" s="46" t="n"/>
      <c r="L76" s="46" t="n"/>
      <c r="M76" s="46" t="n"/>
      <c r="N76" s="1711" t="n"/>
      <c r="O76" s="1713" t="n"/>
      <c r="P76" s="835" t="n"/>
      <c r="Q76" s="1726">
        <f>IF(AND(Q74=FALSE,Q75=FALSE),FALSE,TRUE)</f>
        <v/>
      </c>
      <c r="R76" s="1713" t="n"/>
      <c r="S76" s="835" t="n"/>
      <c r="T76" s="1726">
        <f>IF(AND(T74=FALSE,T75=FALSE),FALSE,TRUE)</f>
        <v/>
      </c>
      <c r="U76" s="978" t="n"/>
      <c r="V76" s="978" t="n"/>
      <c r="W76" s="1473" t="n"/>
      <c r="X76" s="2002" t="n"/>
      <c r="Y76" s="1478" t="n"/>
      <c r="Z76" s="2002" t="n"/>
      <c r="AA76" s="1481" t="n"/>
      <c r="AC76" s="1013" t="n"/>
      <c r="AD76" s="1014" t="n"/>
      <c r="AE76" s="1013" t="n"/>
      <c r="AF76" s="1014" t="n"/>
      <c r="AG76" s="1013" t="n"/>
      <c r="AH76" s="1014" t="n"/>
      <c r="AJ76" s="10" t="n"/>
      <c r="AK76" s="10" t="n"/>
      <c r="AL76" s="10" t="n"/>
      <c r="AQ76" s="7" t="n"/>
      <c r="AR76" s="849" t="n"/>
      <c r="AS76" s="111" t="n"/>
      <c r="AT76" s="487" t="n"/>
      <c r="AU76" s="114" t="n"/>
      <c r="AV76" s="491" t="n"/>
      <c r="AW76" s="114" t="n"/>
      <c r="AX76" s="492" t="n"/>
      <c r="AY76" s="488" t="n"/>
    </row>
    <row r="77" ht="32" customHeight="1" thickBot="1">
      <c r="B77" s="837" t="inlineStr">
        <is>
          <t>Max PFA &amp; NC</t>
        </is>
      </c>
      <c r="C77" s="838" t="n"/>
      <c r="D77" s="838">
        <f>IF(G77=G73,D73,D76)</f>
        <v/>
      </c>
      <c r="E77" s="839" t="n"/>
      <c r="F77" s="839" t="n"/>
      <c r="G77" s="839">
        <f>IF(AND(J73=TRUE,J76=FALSE),G73,IF(AND(J73=FALSE,J76=TRUE),G76,IF(AND(J73=TRUE,J76=TRUE),G73+G76,MAX(G73,G76))))</f>
        <v/>
      </c>
      <c r="H77" s="1714" t="n"/>
      <c r="I77" s="840" t="n"/>
      <c r="J77" s="841">
        <f>IF(AND(J73=FALSE,J76=FALSE),FALSE,TRUE)</f>
        <v/>
      </c>
      <c r="K77" s="1698" t="n"/>
      <c r="L77" s="1698" t="n"/>
      <c r="M77" s="1698" t="n"/>
      <c r="N77" s="1715" t="n"/>
      <c r="O77" s="1714" t="n"/>
      <c r="P77" s="840" t="n"/>
      <c r="Q77" s="841">
        <f>IF(AND(Q73=FALSE,Q76=FALSE),FALSE,TRUE)</f>
        <v/>
      </c>
      <c r="R77" s="1714" t="n"/>
      <c r="S77" s="840" t="n"/>
      <c r="T77" s="841">
        <f>IF(AND(T73=FALSE,T76=FALSE),FALSE,TRUE)</f>
        <v/>
      </c>
      <c r="U77" s="978" t="n"/>
      <c r="V77" s="978" t="inlineStr">
        <is>
          <t>et</t>
        </is>
      </c>
      <c r="W77" s="1473" t="n"/>
      <c r="X77" s="2002" t="n"/>
      <c r="Y77" s="1478" t="n"/>
      <c r="Z77" s="2002" t="n"/>
      <c r="AA77" s="1481" t="n"/>
      <c r="AC77" s="1013">
        <f>IF(J77=TRUE,"V","F")</f>
        <v/>
      </c>
      <c r="AD77" s="1014" t="n"/>
      <c r="AE77" s="1013">
        <f>IF(Q77=TRUE,"V","F")</f>
        <v/>
      </c>
      <c r="AF77" s="1014" t="n"/>
      <c r="AG77" s="1013">
        <f>IF(T77=TRUE,"V","F")</f>
        <v/>
      </c>
      <c r="AH77" s="1014" t="n"/>
      <c r="AI77">
        <f>IF(OR(AC77="V",AE77="V"),IF(G76&gt;G73,"Le NC contribue plus que le coparent","Le coparent joue un plus grand rôle que le NC"),"pas de contexte significatif de la part du coparent et NC")</f>
        <v/>
      </c>
      <c r="AJ77" s="10" t="n"/>
      <c r="AK77" s="10" t="n"/>
      <c r="AL77" s="10" t="n"/>
      <c r="AQ77" s="7" t="n"/>
      <c r="AR77" s="849" t="n"/>
      <c r="AS77" s="111" t="n"/>
      <c r="AT77" s="487" t="n"/>
      <c r="AU77" s="114" t="n"/>
      <c r="AV77" s="491" t="n"/>
      <c r="AW77" s="114" t="n"/>
      <c r="AX77" s="492" t="n"/>
      <c r="AY77" s="488" t="n"/>
    </row>
    <row r="78" ht="50" customHeight="1">
      <c r="B78" s="316">
        <f>'Action-Réaction finale'!O14</f>
        <v/>
      </c>
      <c r="C78" s="2066">
        <f>Test_Bible!B274</f>
        <v/>
      </c>
      <c r="D78" s="102" t="inlineStr">
        <is>
          <t>croit que vous êtes instable psychologiquement</t>
        </is>
      </c>
      <c r="E78" s="823">
        <f>Test_Bible!P274</f>
        <v/>
      </c>
      <c r="F78" s="822">
        <f>Test_Bible!D274</f>
        <v/>
      </c>
      <c r="G78" s="823">
        <f>Test_Bible!Q274</f>
        <v/>
      </c>
      <c r="H78" s="1710" t="n">
        <v>4</v>
      </c>
      <c r="I78" s="1703">
        <f>$I$18</f>
        <v/>
      </c>
      <c r="J78" s="46">
        <f>IF(AND(E78&gt;=H78,E78&lt;=I78),TRUE,FALSE)</f>
        <v/>
      </c>
      <c r="K78" s="46" t="n"/>
      <c r="L78" s="46" t="n"/>
      <c r="M78" s="46" t="n"/>
      <c r="N78" s="1711" t="n"/>
      <c r="O78" s="1735" t="n">
        <v>11</v>
      </c>
      <c r="P78" s="1736" t="n">
        <v>11</v>
      </c>
      <c r="Q78" s="1711">
        <f>IF(AND(E78&gt;=O78,E78&lt;=P78),TRUE,FALSE)</f>
        <v/>
      </c>
      <c r="R78" s="1710" t="n"/>
      <c r="S78" s="1703" t="n"/>
      <c r="T78" s="1711" t="n"/>
      <c r="U78" s="978" t="n"/>
      <c r="V78" s="1484" t="n"/>
      <c r="W78" s="1485" t="n">
        <v>4</v>
      </c>
      <c r="X78" s="2029" t="n"/>
      <c r="Y78" s="1489" t="n">
        <v>2</v>
      </c>
      <c r="Z78" s="2029" t="n"/>
      <c r="AA78" s="1497" t="n">
        <v>11</v>
      </c>
      <c r="AC78" s="1013" t="inlineStr">
        <is>
          <t> </t>
        </is>
      </c>
      <c r="AD78" s="1014" t="n"/>
      <c r="AE78" s="1013" t="n"/>
      <c r="AF78" s="1014" t="n"/>
      <c r="AG78" s="1013" t="n"/>
      <c r="AH78" s="1014" t="n"/>
      <c r="AJ78" s="10" t="n"/>
      <c r="AK78" s="10" t="n"/>
      <c r="AL78" s="10" t="n"/>
      <c r="AR78" s="849" t="n"/>
      <c r="AS78" s="111" t="n"/>
      <c r="AT78" s="487" t="n"/>
      <c r="AU78" s="114" t="n"/>
      <c r="AV78" s="491" t="n"/>
      <c r="AW78" s="114" t="n"/>
      <c r="AX78" s="492" t="n"/>
      <c r="AY78" s="488" t="n"/>
    </row>
    <row r="79" ht="32" customHeight="1" thickBot="1">
      <c r="B79" s="316" t="n"/>
      <c r="C79" s="2066" t="n"/>
      <c r="D79" s="102" t="n"/>
      <c r="E79" s="823" t="n"/>
      <c r="F79" s="822" t="n"/>
      <c r="G79" s="823" t="n"/>
      <c r="H79" s="1735" t="n">
        <v>11</v>
      </c>
      <c r="I79" s="1736" t="n">
        <v>11</v>
      </c>
      <c r="J79" s="46">
        <f>IF(AND(E79&gt;=H79,E79&lt;=I79),TRUE,FALSE)</f>
        <v/>
      </c>
      <c r="K79" s="46" t="n"/>
      <c r="L79" s="46" t="n"/>
      <c r="M79" s="46" t="n"/>
      <c r="N79" s="1711" t="n"/>
      <c r="O79" s="1735" t="n">
        <v>11</v>
      </c>
      <c r="P79" s="1736" t="n">
        <v>11</v>
      </c>
      <c r="Q79" s="1711">
        <f>IF(AND(E79&gt;=O79,E79&lt;=P79),TRUE,FALSE)</f>
        <v/>
      </c>
      <c r="R79" s="1735" t="n"/>
      <c r="S79" s="1736" t="n"/>
      <c r="T79" s="1711" t="n"/>
      <c r="U79" s="978" t="n"/>
      <c r="V79" s="1487" t="inlineStr">
        <is>
          <t>ou</t>
        </is>
      </c>
      <c r="W79" s="1506" t="n">
        <v>11</v>
      </c>
      <c r="X79" s="1507" t="n"/>
      <c r="Y79" s="1508" t="n">
        <v>11</v>
      </c>
      <c r="Z79" s="1507" t="n"/>
      <c r="AA79" s="1502" t="n">
        <v>11</v>
      </c>
      <c r="AC79" s="1013" t="n"/>
      <c r="AD79" s="1014" t="n"/>
      <c r="AE79" s="1013" t="n"/>
      <c r="AF79" s="1014" t="n"/>
      <c r="AG79" s="1013" t="n"/>
      <c r="AH79" s="1014" t="n"/>
      <c r="AJ79" s="10" t="n"/>
      <c r="AK79" s="10" t="n"/>
      <c r="AL79" s="10" t="n"/>
      <c r="AR79" s="849" t="n"/>
      <c r="AS79" s="111" t="n"/>
      <c r="AT79" s="487" t="n"/>
      <c r="AU79" s="114" t="n"/>
      <c r="AV79" s="491" t="n"/>
      <c r="AW79" s="114" t="n"/>
      <c r="AX79" s="492" t="n"/>
      <c r="AY79" s="488" t="n"/>
    </row>
    <row r="80" ht="32" customHeight="1" thickBot="1">
      <c r="B80" s="842" t="inlineStr">
        <is>
          <t>Max Enf</t>
        </is>
      </c>
      <c r="C80" s="843">
        <f>_xlfn.XLOOKUP(G80,G78:G79,C78:C79)</f>
        <v/>
      </c>
      <c r="D80" s="843">
        <f>_xlfn.XLOOKUP(G80,G78:G79,D78:D79)</f>
        <v/>
      </c>
      <c r="E80" s="844" t="n"/>
      <c r="F80" s="844" t="n"/>
      <c r="G80" s="844">
        <f>IF(AND(J78=TRUE,J79=FALSE),G78,IF(AND(J78=FALSE,J79=TRUE),G79,MAX(G78,G79)))</f>
        <v/>
      </c>
      <c r="H80" s="1716" t="n"/>
      <c r="I80" s="845" t="n"/>
      <c r="J80" s="846">
        <f>IF(AND(J78=FALSE,J79=FALSE),FALSE,TRUE)</f>
        <v/>
      </c>
      <c r="K80" s="1699" t="n"/>
      <c r="L80" s="1699" t="n"/>
      <c r="M80" s="1699" t="n"/>
      <c r="N80" s="1717" t="n"/>
      <c r="O80" s="1716" t="n"/>
      <c r="P80" s="845" t="n"/>
      <c r="Q80" s="846">
        <f>IF(AND(Q78=FALSE,Q79=FALSE),FALSE,TRUE)</f>
        <v/>
      </c>
      <c r="R80" s="1716" t="n"/>
      <c r="S80" s="845" t="n"/>
      <c r="T80" s="846" t="n"/>
      <c r="U80" s="978" t="n"/>
      <c r="V80" s="978" t="n"/>
      <c r="W80" s="1475" t="n"/>
      <c r="Y80" s="1479" t="n"/>
      <c r="AA80" s="1483" t="n"/>
      <c r="AC80" s="1013">
        <f>IF(J80=TRUE,"V","F")</f>
        <v/>
      </c>
      <c r="AD80" s="1014" t="n"/>
      <c r="AE80" s="1013">
        <f>IF(Q80=TRUE,"V","F")</f>
        <v/>
      </c>
      <c r="AF80" s="1014" t="n"/>
      <c r="AG80" s="1013" t="n"/>
      <c r="AH80" s="1014" t="n"/>
      <c r="AJ80" s="10" t="n"/>
      <c r="AK80" s="10" t="n"/>
      <c r="AL80" s="10" t="n"/>
      <c r="AR80" s="849" t="n"/>
      <c r="AS80" s="111" t="n"/>
      <c r="AT80" s="487" t="n"/>
      <c r="AU80" s="114" t="n"/>
      <c r="AV80" s="491" t="n"/>
      <c r="AW80" s="114" t="n"/>
      <c r="AX80" s="492" t="n"/>
      <c r="AY80" s="488" t="n"/>
    </row>
    <row r="81" ht="32" customHeight="1">
      <c r="C81" s="428" t="inlineStr">
        <is>
          <t>COMPARATIF Comportement PFA-Enf</t>
        </is>
      </c>
      <c r="D81" s="2058" t="n"/>
      <c r="E81" s="484" t="inlineStr">
        <is>
          <t>Valeur =&gt;</t>
        </is>
      </c>
      <c r="F81" s="48" t="n"/>
      <c r="G81" s="48">
        <f>G73+G76+G80</f>
        <v/>
      </c>
      <c r="H81" s="1718" t="n"/>
      <c r="I81" s="485" t="n"/>
      <c r="J81" s="1701" t="n"/>
      <c r="K81" s="1702">
        <f>IF(AND(J80=TRUE,J77=TRUE),D80,"")</f>
        <v/>
      </c>
      <c r="L81" s="1702">
        <f>IF(AND(J77=TRUE,J80=FALSE),"Bien que le parent "&amp;D77&amp;" l'enfant ne semble pas s'ingérer","")</f>
        <v/>
      </c>
      <c r="M81" s="1702">
        <f>IF(AND(J77=FALSE,J80=TRUE),D80&amp;" sans signe de la participation du parent favorisé et|ou nouveau conjoint.e","")</f>
        <v/>
      </c>
      <c r="N81" s="1719">
        <f>IF(AND(J77=FALSE,J80=FALSE),"aucun comportement significatif de cette nature","")</f>
        <v/>
      </c>
      <c r="O81" s="1718" t="n"/>
      <c r="P81" s="485" t="n"/>
      <c r="Q81" s="1727" t="n"/>
      <c r="R81" s="1718" t="n"/>
      <c r="S81" s="485" t="n"/>
      <c r="T81" s="1727" t="n"/>
      <c r="U81" s="980" t="n"/>
      <c r="V81" s="980" t="n"/>
      <c r="W81" s="1475" t="n"/>
      <c r="Y81" s="1479" t="n"/>
      <c r="AA81" s="1483" t="n"/>
      <c r="AC81" s="1015" t="n"/>
      <c r="AD81" s="1016">
        <f>IF(AND(AC77="V",AC80="V"),2,IF(OR(AC77="V",AC80="V"),1,0))</f>
        <v/>
      </c>
      <c r="AE81" s="1015" t="n"/>
      <c r="AF81" s="1016">
        <f>IF(OR(AE77="V",AE80="V"),1,0)</f>
        <v/>
      </c>
      <c r="AG81" s="1015" t="n"/>
      <c r="AH81" s="1016" t="n"/>
      <c r="AJ81" s="10" t="n"/>
      <c r="AK81" s="10" t="n"/>
      <c r="AL81" s="10" t="n"/>
      <c r="AR81" s="849" t="n"/>
      <c r="AS81" s="111" t="n"/>
      <c r="AT81" s="487" t="n"/>
      <c r="AU81" s="114" t="n"/>
      <c r="AV81" s="491" t="n"/>
      <c r="AW81" s="114" t="n"/>
      <c r="AX81" s="492" t="n"/>
      <c r="AY81" s="488" t="n"/>
    </row>
    <row r="82" ht="32" customHeight="1">
      <c r="B82" t="inlineStr">
        <is>
          <t>PCR</t>
        </is>
      </c>
      <c r="H82" s="147" t="n"/>
      <c r="K82" s="1992" t="n"/>
      <c r="L82" s="1992" t="n"/>
      <c r="M82" s="1992" t="n"/>
      <c r="N82" s="1740" t="n"/>
      <c r="O82" s="147" t="n"/>
      <c r="Q82" s="330" t="n"/>
      <c r="R82" s="147" t="n"/>
      <c r="T82" s="330" t="n"/>
      <c r="U82" s="1992" t="n"/>
      <c r="W82" s="1475" t="n"/>
      <c r="Y82" s="1479" t="n"/>
      <c r="AA82" s="1483" t="n"/>
      <c r="AC82" s="1013" t="n"/>
      <c r="AD82" s="1014" t="n"/>
      <c r="AE82" s="1013" t="n"/>
      <c r="AF82" s="1014" t="n"/>
      <c r="AG82" s="1013" t="n"/>
      <c r="AH82" s="1014" t="n"/>
      <c r="AJ82" s="10" t="n"/>
      <c r="AK82" s="10" t="n"/>
      <c r="AL82" s="10" t="n"/>
      <c r="AR82" s="849" t="n"/>
      <c r="AS82" s="111" t="n"/>
      <c r="AT82" s="487" t="n"/>
      <c r="AU82" s="114" t="n"/>
      <c r="AV82" s="491" t="n"/>
      <c r="AW82" s="114" t="n"/>
      <c r="AX82" s="492" t="n"/>
      <c r="AY82" s="488" t="n"/>
    </row>
    <row r="83" ht="32" customHeight="1">
      <c r="B83" s="1017" t="n"/>
      <c r="C83" s="1025" t="n"/>
      <c r="D83" s="1018" t="n"/>
      <c r="E83" s="1026" t="n"/>
      <c r="F83" s="1026" t="n"/>
      <c r="G83" s="1026" t="n"/>
      <c r="H83" s="1735" t="n">
        <v>11</v>
      </c>
      <c r="I83" s="1736" t="n">
        <v>11</v>
      </c>
      <c r="J83" s="46">
        <f>IF(AND(E83&gt;=H83,E83&lt;=I83),TRUE,FALSE)</f>
        <v/>
      </c>
      <c r="K83" s="33" t="n"/>
      <c r="L83" s="33" t="n"/>
      <c r="M83" s="33" t="n"/>
      <c r="N83" s="1720" t="n"/>
      <c r="O83" s="1735" t="n">
        <v>11</v>
      </c>
      <c r="P83" s="1736" t="n">
        <v>11</v>
      </c>
      <c r="Q83" s="1711">
        <f>IF(AND(E83&gt;=O83,E83&lt;=P83),TRUE,FALSE)</f>
        <v/>
      </c>
      <c r="R83" s="1735" t="n">
        <v>11</v>
      </c>
      <c r="S83" s="1736" t="n">
        <v>11</v>
      </c>
      <c r="T83" s="1711">
        <f>IF(AND(E83&gt;=R83,E83&lt;=S83),TRUE,FALSE)</f>
        <v/>
      </c>
      <c r="U83" s="1992" t="n"/>
      <c r="V83" s="1509" t="n"/>
      <c r="W83" s="1503" t="n">
        <v>11</v>
      </c>
      <c r="X83" s="1504" t="n"/>
      <c r="Y83" s="1505" t="n">
        <v>11</v>
      </c>
      <c r="Z83" s="1504" t="n"/>
      <c r="AA83" s="1497" t="n">
        <v>11</v>
      </c>
      <c r="AC83" s="1013" t="n"/>
      <c r="AD83" s="1014" t="n"/>
      <c r="AE83" s="1013" t="n"/>
      <c r="AF83" s="1014" t="n"/>
      <c r="AG83" s="1013" t="n"/>
      <c r="AH83" s="1014" t="n"/>
      <c r="AJ83" s="10" t="n"/>
      <c r="AK83" s="10" t="n"/>
      <c r="AL83" s="10" t="n"/>
      <c r="AR83" s="849" t="n"/>
      <c r="AS83" s="111" t="n"/>
      <c r="AT83" s="487" t="n"/>
      <c r="AU83" s="114" t="n"/>
      <c r="AV83" s="491" t="n"/>
      <c r="AW83" s="114" t="n"/>
      <c r="AX83" s="492" t="n"/>
      <c r="AY83" s="488" t="n"/>
    </row>
    <row r="84" ht="32" customHeight="1" thickBot="1">
      <c r="B84" s="1017" t="n"/>
      <c r="C84" s="1025" t="n"/>
      <c r="D84" s="1018" t="n"/>
      <c r="E84" s="1026" t="n"/>
      <c r="F84" s="1026" t="n"/>
      <c r="G84" s="1026" t="n"/>
      <c r="H84" s="1735" t="n">
        <v>11</v>
      </c>
      <c r="I84" s="1736" t="n">
        <v>11</v>
      </c>
      <c r="J84" s="46">
        <f>IF(AND(E84&gt;=H84,E84&lt;=I84),TRUE,FALSE)</f>
        <v/>
      </c>
      <c r="K84" s="33" t="n"/>
      <c r="L84" s="33" t="n"/>
      <c r="M84" s="33" t="n"/>
      <c r="N84" s="1720" t="n"/>
      <c r="O84" s="1735" t="n">
        <v>11</v>
      </c>
      <c r="P84" s="1736" t="n">
        <v>11</v>
      </c>
      <c r="Q84" s="1711">
        <f>IF(AND(E84&gt;=O84,E84&lt;=P84),TRUE,FALSE)</f>
        <v/>
      </c>
      <c r="R84" s="1735" t="n">
        <v>11</v>
      </c>
      <c r="S84" s="1736" t="n">
        <v>11</v>
      </c>
      <c r="T84" s="1711">
        <f>IF(AND(E84&gt;=R84,E84&lt;=S84),TRUE,FALSE)</f>
        <v/>
      </c>
      <c r="V84" s="1510" t="n"/>
      <c r="W84" s="1506" t="n">
        <v>11</v>
      </c>
      <c r="X84" s="1507" t="n"/>
      <c r="Y84" s="1508" t="n">
        <v>11</v>
      </c>
      <c r="Z84" s="1507" t="n"/>
      <c r="AA84" s="1502" t="n">
        <v>11</v>
      </c>
      <c r="AC84" s="1013" t="n"/>
      <c r="AD84" s="1014" t="n"/>
      <c r="AE84" s="1013" t="n"/>
      <c r="AF84" s="1014" t="n"/>
      <c r="AG84" s="1013" t="n"/>
      <c r="AH84" s="1014" t="n"/>
      <c r="AJ84" s="10" t="n"/>
      <c r="AK84" s="10" t="n"/>
      <c r="AL84" s="10" t="n"/>
      <c r="AR84" s="849" t="n"/>
      <c r="AS84" s="111" t="n"/>
      <c r="AT84" s="487" t="n"/>
      <c r="AU84" s="114" t="n"/>
      <c r="AV84" s="491" t="n"/>
      <c r="AW84" s="114" t="n"/>
      <c r="AX84" s="492" t="n"/>
      <c r="AY84" s="488" t="n"/>
    </row>
    <row r="85" ht="32" customHeight="1" thickBot="1">
      <c r="D85" s="847" t="n"/>
      <c r="E85" s="97" t="n"/>
      <c r="F85" s="97" t="n"/>
      <c r="G85" s="97" t="n"/>
      <c r="H85" s="1732" t="n"/>
      <c r="I85" s="1733" t="n"/>
      <c r="J85" s="1739">
        <f>IF(AND(J83=FALSE,J84=FALSE),FALSE,TRUE)</f>
        <v/>
      </c>
      <c r="K85" s="1721" t="n"/>
      <c r="L85" s="1722" t="n"/>
      <c r="M85" s="1722" t="n"/>
      <c r="N85" s="1723" t="n"/>
      <c r="O85" s="1732" t="n"/>
      <c r="P85" s="1733" t="n"/>
      <c r="Q85" s="1739">
        <f>IF(AND(Q83=FALSE,Q84=FALSE),FALSE,TRUE)</f>
        <v/>
      </c>
      <c r="R85" s="1744" t="n"/>
      <c r="S85" s="1745" t="n"/>
      <c r="T85" s="1746">
        <f>IF(AND(T83=FALSE,T84=FALSE),FALSE,TRUE)</f>
        <v/>
      </c>
      <c r="U85" s="97" t="n"/>
      <c r="AC85" s="1650">
        <f>IF(J85=TRUE,"V","F")</f>
        <v/>
      </c>
      <c r="AD85" s="1651" t="n"/>
      <c r="AE85" s="1650">
        <f>IF(Q85=TRUE,"V","F")</f>
        <v/>
      </c>
      <c r="AF85" s="1651" t="n"/>
      <c r="AG85" s="1650">
        <f>IF(T85=TRUE,"V","F")</f>
        <v/>
      </c>
      <c r="AH85" s="1651" t="n"/>
      <c r="AJ85" s="10" t="n"/>
      <c r="AK85" s="10" t="n"/>
      <c r="AL85" s="10" t="n"/>
      <c r="AR85" s="849" t="n"/>
      <c r="AS85" s="111" t="n"/>
      <c r="AT85" s="487" t="n"/>
      <c r="AU85" s="114" t="n"/>
      <c r="AV85" s="491" t="n"/>
      <c r="AW85" s="114" t="n"/>
      <c r="AX85" s="492" t="n"/>
      <c r="AY85" s="488" t="n"/>
    </row>
    <row r="86" ht="32" customHeight="1" thickBot="1">
      <c r="D86" s="847" t="n"/>
      <c r="E86" s="97" t="n"/>
      <c r="F86" s="97" t="n"/>
      <c r="G86" s="97" t="n"/>
      <c r="H86" s="97" t="n"/>
      <c r="I86" s="97" t="n"/>
      <c r="J86" s="97" t="n"/>
      <c r="K86" s="848" t="n"/>
      <c r="L86" s="848" t="n"/>
      <c r="M86" s="848" t="n"/>
      <c r="N86" s="97" t="n"/>
      <c r="O86" s="97" t="n"/>
      <c r="P86" s="97" t="n"/>
      <c r="Q86" s="97" t="n"/>
      <c r="R86" s="97" t="n"/>
      <c r="S86" s="97" t="n"/>
      <c r="T86" s="97" t="n"/>
      <c r="U86" s="97" t="n"/>
      <c r="AC86" s="1737" t="n"/>
      <c r="AD86" s="1738">
        <f>IF(AND(AC85="V",AC77="V"),AD81-1,AD81)</f>
        <v/>
      </c>
      <c r="AE86" s="1737" t="n"/>
      <c r="AF86" s="1738">
        <f>IF(OR(AE77="V",AE80="V",AE85="V"),1,0)</f>
        <v/>
      </c>
      <c r="AG86" s="1737" t="n"/>
      <c r="AH86" s="1738">
        <f>IF(AG77="V",1,IF(AG85="V",1,0))</f>
        <v/>
      </c>
      <c r="AJ86" s="10" t="n">
        <v>1</v>
      </c>
      <c r="AK86" s="10" t="n"/>
      <c r="AL86" s="10" t="n">
        <v>1</v>
      </c>
      <c r="AR86" s="849" t="n"/>
      <c r="AS86" s="111" t="n"/>
      <c r="AT86" s="487" t="n"/>
      <c r="AU86" s="114" t="n"/>
      <c r="AV86" s="491" t="n"/>
      <c r="AW86" s="114" t="n"/>
      <c r="AX86" s="492" t="n"/>
      <c r="AY86" s="488" t="n"/>
    </row>
    <row r="87" ht="44" customHeight="1">
      <c r="D87" s="847" t="n"/>
      <c r="E87" s="97" t="n"/>
      <c r="F87" s="97" t="n"/>
      <c r="G87" s="97" t="n"/>
      <c r="H87" s="2120" t="inlineStr">
        <is>
          <t xml:space="preserve">instrumentalisation de l'enfant qui rend le actif / force la prise d'otage psycho ou physique </t>
        </is>
      </c>
      <c r="I87" s="709" t="n"/>
      <c r="J87" s="1392" t="n"/>
      <c r="K87" s="2056" t="n"/>
      <c r="L87" s="709" t="n"/>
      <c r="M87" s="709" t="n"/>
      <c r="N87" s="1707" t="n"/>
      <c r="O87" s="2121" t="inlineStr">
        <is>
          <t xml:space="preserve">compt. fragilise la relation parent-enfant ou les individus, enclenche rôle de protecteur, demande de faire un choix / choisir son camp </t>
        </is>
      </c>
      <c r="P87" s="709" t="n"/>
      <c r="Q87" s="1392" t="n"/>
      <c r="R87" s="1768" t="inlineStr">
        <is>
          <t>Est-ce que cela créé un déclencheur?</t>
        </is>
      </c>
      <c r="S87" s="1706" t="n"/>
      <c r="T87" s="1707" t="n"/>
      <c r="U87" s="97" t="n"/>
      <c r="AC87" s="1756" t="n"/>
      <c r="AD87" s="1757" t="n"/>
      <c r="AE87" s="1490" t="n"/>
      <c r="AF87" s="1490" t="n"/>
      <c r="AG87" s="1490" t="n"/>
      <c r="AH87" s="1490" t="n"/>
      <c r="AJ87" s="10" t="n"/>
      <c r="AK87" s="10" t="n"/>
      <c r="AL87" s="10" t="n"/>
      <c r="AR87" s="849" t="n"/>
      <c r="AS87" s="111" t="n"/>
      <c r="AT87" s="487" t="n"/>
      <c r="AU87" s="114" t="n"/>
      <c r="AV87" s="491" t="n"/>
      <c r="AW87" s="114" t="n"/>
      <c r="AX87" s="492" t="n"/>
      <c r="AY87" s="488" t="n"/>
    </row>
    <row r="88" ht="32" customHeight="1">
      <c r="A88" s="853" t="n">
        <v>4</v>
      </c>
      <c r="C88" s="486" t="inlineStr">
        <is>
          <t>Manque de sécurité</t>
        </is>
      </c>
      <c r="D88" s="108" t="n"/>
      <c r="E88" s="66" t="n"/>
      <c r="F88" s="18" t="n"/>
      <c r="G88" s="18" t="n"/>
      <c r="H88" s="2052" t="inlineStr">
        <is>
          <t>AP</t>
        </is>
      </c>
      <c r="K88" s="2055" t="inlineStr">
        <is>
          <t>Dynamique d'AP</t>
        </is>
      </c>
      <c r="N88" s="330" t="n"/>
      <c r="O88" s="2122" t="inlineStr">
        <is>
          <t>CL</t>
        </is>
      </c>
      <c r="Q88" s="330" t="n"/>
      <c r="R88" s="2123" t="inlineStr">
        <is>
          <t>CSS</t>
        </is>
      </c>
      <c r="T88" s="330" t="n"/>
      <c r="U88" s="15" t="n"/>
      <c r="V88" s="15" t="n"/>
      <c r="AC88" s="1009" t="n"/>
      <c r="AD88" s="1009" t="n"/>
      <c r="AE88" s="1009" t="n"/>
      <c r="AF88" s="1009" t="n"/>
      <c r="AG88" s="1009" t="n"/>
      <c r="AH88" s="1010" t="n"/>
      <c r="AJ88" s="10" t="n"/>
      <c r="AK88" s="10" t="n"/>
      <c r="AL88" s="10" t="n"/>
      <c r="AR88" s="849" t="n"/>
      <c r="AS88" s="111" t="n"/>
      <c r="AT88" s="487" t="n"/>
      <c r="AU88" s="114" t="n"/>
      <c r="AV88" s="491" t="n"/>
      <c r="AW88" s="114" t="n"/>
      <c r="AX88" s="492" t="n"/>
      <c r="AY88" s="488" t="n"/>
    </row>
    <row r="89" ht="32" customHeight="1">
      <c r="C89" s="103" t="inlineStr">
        <is>
          <t>Questions et sous-questions</t>
        </is>
      </c>
      <c r="D89" s="1043" t="inlineStr">
        <is>
          <t>Texte écourté pour titrer dans les baromètres ou rapport</t>
        </is>
      </c>
      <c r="E89" s="33" t="inlineStr">
        <is>
          <t>Valeur de base
Fréquence (F)</t>
        </is>
      </c>
      <c r="F89" s="33" t="inlineStr">
        <is>
          <t>Valeur de base
intensité (I)</t>
        </is>
      </c>
      <c r="G89" s="33" t="inlineStr">
        <is>
          <t>F * I</t>
        </is>
      </c>
      <c r="H89" s="1708" t="inlineStr">
        <is>
          <t>Condition Fréq. 
&gt;= que</t>
        </is>
      </c>
      <c r="I89" s="44" t="inlineStr">
        <is>
          <t>Condition Fré
&lt;= que</t>
        </is>
      </c>
      <c r="J89" s="44" t="inlineStr">
        <is>
          <t>Condition respectée</t>
        </is>
      </c>
      <c r="K89" s="44" t="inlineStr">
        <is>
          <t>"VRAI" (PF&amp;NC) /  "VRAI" (Enf)</t>
        </is>
      </c>
      <c r="L89" s="44" t="inlineStr">
        <is>
          <t>Vrai (PF&amp;NC) /  Faux (Enf)</t>
        </is>
      </c>
      <c r="M89" s="44" t="inlineStr">
        <is>
          <t>Faux (PF&amp;NC) /  Vrai (Enf)</t>
        </is>
      </c>
      <c r="N89" s="1709" t="inlineStr">
        <is>
          <t>Faux (PF&amp;NC) /  Faux(Enf)</t>
        </is>
      </c>
      <c r="O89" s="1708" t="inlineStr">
        <is>
          <t>Condition Fréq. 
&gt;= que</t>
        </is>
      </c>
      <c r="P89" s="44" t="inlineStr">
        <is>
          <t>Condition Fré
&lt;= que</t>
        </is>
      </c>
      <c r="Q89" s="1709" t="inlineStr">
        <is>
          <t>Condition respectée</t>
        </is>
      </c>
      <c r="R89" s="1708" t="inlineStr">
        <is>
          <t>Condition Fréq. 
&gt;= que</t>
        </is>
      </c>
      <c r="S89" s="44" t="inlineStr">
        <is>
          <t>Condition Fré
&lt;= que</t>
        </is>
      </c>
      <c r="T89" s="1709" t="inlineStr">
        <is>
          <t>Condition respectée</t>
        </is>
      </c>
      <c r="U89" s="851" t="n"/>
      <c r="V89" s="1008" t="inlineStr">
        <is>
          <t>Condition</t>
        </is>
      </c>
      <c r="W89" s="1472" t="inlineStr">
        <is>
          <t>AP</t>
        </is>
      </c>
      <c r="X89" s="1008" t="inlineStr">
        <is>
          <t>Condition</t>
        </is>
      </c>
      <c r="Y89" s="1476" t="inlineStr">
        <is>
          <t>CL</t>
        </is>
      </c>
      <c r="Z89" s="1008" t="inlineStr">
        <is>
          <t>Condition</t>
        </is>
      </c>
      <c r="AA89" s="1480" t="inlineStr">
        <is>
          <t>CSS</t>
        </is>
      </c>
      <c r="AC89" s="1023" t="inlineStr">
        <is>
          <t>AP</t>
        </is>
      </c>
      <c r="AD89" s="1024" t="inlineStr">
        <is>
          <t>AP_F</t>
        </is>
      </c>
      <c r="AE89" s="1023" t="inlineStr">
        <is>
          <t>CL</t>
        </is>
      </c>
      <c r="AF89" s="1024" t="inlineStr">
        <is>
          <t>CL_F</t>
        </is>
      </c>
      <c r="AG89" s="1023" t="inlineStr">
        <is>
          <t>CSS</t>
        </is>
      </c>
      <c r="AH89" s="1024" t="inlineStr">
        <is>
          <t>CSS_F</t>
        </is>
      </c>
      <c r="AJ89" s="10" t="n"/>
      <c r="AK89" s="10" t="n"/>
      <c r="AL89" s="10" t="n"/>
      <c r="AR89" s="849" t="n"/>
      <c r="AS89" s="111" t="n"/>
      <c r="AT89" s="487" t="n"/>
      <c r="AU89" s="114" t="n"/>
      <c r="AV89" s="491" t="n"/>
      <c r="AW89" s="114" t="n"/>
      <c r="AX89" s="492" t="n"/>
      <c r="AY89" s="488" t="n"/>
    </row>
    <row r="90" ht="40" customHeight="1">
      <c r="B90" s="421">
        <f>'Action-Réaction finale'!G16</f>
        <v/>
      </c>
      <c r="C90" s="2066">
        <f>Test_Bible!B170</f>
        <v/>
      </c>
      <c r="D90" s="102" t="inlineStr">
        <is>
          <t>laisse entendre que l'enfant n'est pas en sécurité</t>
        </is>
      </c>
      <c r="E90" s="823">
        <f>Test_Bible!P170</f>
        <v/>
      </c>
      <c r="F90" s="822">
        <f>Test_Bible!D170</f>
        <v/>
      </c>
      <c r="G90" s="823">
        <f>Test_Bible!Q170</f>
        <v/>
      </c>
      <c r="H90" s="1710" t="n">
        <v>4</v>
      </c>
      <c r="I90" s="1703" t="n">
        <v>10</v>
      </c>
      <c r="J90" s="46">
        <f>IF(AND(E90&gt;=H90,E90&lt;=I90),TRUE,FALSE)</f>
        <v/>
      </c>
      <c r="K90" s="46" t="n"/>
      <c r="L90" s="46" t="n"/>
      <c r="M90" s="46" t="n"/>
      <c r="N90" s="1711" t="n"/>
      <c r="O90" s="1710" t="n">
        <v>4</v>
      </c>
      <c r="P90" s="1703" t="n">
        <v>4</v>
      </c>
      <c r="Q90" s="1711">
        <f>IF(AND(E90&gt;=O90,E90&lt;=P90),TRUE,FALSE)</f>
        <v/>
      </c>
      <c r="R90" s="1710" t="n">
        <v>4</v>
      </c>
      <c r="S90" s="1703" t="n">
        <v>7</v>
      </c>
      <c r="T90" s="1711">
        <f>IF(AND(E90&gt;=R90,E90&lt;=S90),TRUE,FALSE)</f>
        <v/>
      </c>
      <c r="U90" s="978" t="n"/>
      <c r="V90" s="1484" t="n"/>
      <c r="W90" s="1485" t="n">
        <v>7</v>
      </c>
      <c r="X90" s="2029" t="n"/>
      <c r="Y90" s="1489" t="n">
        <v>4</v>
      </c>
      <c r="Z90" s="2029" t="n"/>
      <c r="AA90" s="1496" t="n">
        <v>2</v>
      </c>
      <c r="AC90" s="1011" t="n"/>
      <c r="AD90" s="1012" t="n"/>
      <c r="AE90" s="1011" t="n"/>
      <c r="AF90" s="1012" t="n"/>
      <c r="AG90" s="1011" t="n"/>
      <c r="AH90" s="1012" t="n"/>
      <c r="AJ90" s="10" t="n"/>
      <c r="AK90" s="10" t="n"/>
      <c r="AL90" s="10" t="n"/>
      <c r="AR90" s="849" t="n"/>
      <c r="AS90" s="111" t="n"/>
      <c r="AT90" s="487" t="n"/>
      <c r="AU90" s="114" t="n"/>
      <c r="AV90" s="491" t="n"/>
      <c r="AW90" s="114" t="n"/>
      <c r="AX90" s="492" t="n"/>
      <c r="AY90" s="488" t="n"/>
    </row>
    <row r="91" ht="32" customHeight="1">
      <c r="B91" s="421" t="n"/>
      <c r="C91" s="2066" t="n"/>
      <c r="D91" s="102" t="n"/>
      <c r="E91" s="823" t="n"/>
      <c r="F91" s="822" t="n"/>
      <c r="G91" s="823" t="n"/>
      <c r="H91" s="1735" t="n">
        <v>11</v>
      </c>
      <c r="I91" s="1736" t="n">
        <v>11</v>
      </c>
      <c r="J91" s="46">
        <f>IF(AND(E91&gt;=H91,E91&lt;=I91),TRUE,FALSE)</f>
        <v/>
      </c>
      <c r="K91" s="46" t="n"/>
      <c r="L91" s="46" t="n"/>
      <c r="M91" s="46" t="n"/>
      <c r="N91" s="1711" t="n"/>
      <c r="O91" s="1735" t="n">
        <v>11</v>
      </c>
      <c r="P91" s="1736" t="n">
        <v>11</v>
      </c>
      <c r="Q91" s="1711">
        <f>IF(AND(E91&gt;=O91,E91&lt;=P91),TRUE,FALSE)</f>
        <v/>
      </c>
      <c r="R91" s="1735" t="n">
        <v>11</v>
      </c>
      <c r="S91" s="1736" t="n">
        <v>11</v>
      </c>
      <c r="T91" s="1711">
        <f>IF(AND(E91&gt;=R91,E91&lt;=S91),TRUE,FALSE)</f>
        <v/>
      </c>
      <c r="U91" s="978" t="n"/>
      <c r="V91" s="1487" t="inlineStr">
        <is>
          <t>ou</t>
        </is>
      </c>
      <c r="W91" s="1506" t="n">
        <v>11</v>
      </c>
      <c r="X91" s="1507" t="n"/>
      <c r="Y91" s="1508" t="n">
        <v>11</v>
      </c>
      <c r="Z91" s="1507" t="n"/>
      <c r="AA91" s="1502" t="n">
        <v>11</v>
      </c>
      <c r="AC91" s="1013" t="n"/>
      <c r="AD91" s="1014" t="n"/>
      <c r="AE91" s="1013" t="n"/>
      <c r="AF91" s="1014" t="n"/>
      <c r="AG91" s="1013" t="n"/>
      <c r="AH91" s="1014" t="n"/>
      <c r="AJ91" s="10" t="n"/>
      <c r="AK91" s="10" t="n"/>
      <c r="AL91" s="10" t="n"/>
      <c r="AR91" s="849" t="n"/>
      <c r="AS91" s="111" t="n"/>
      <c r="AT91" s="487" t="n"/>
      <c r="AU91" s="114" t="n"/>
      <c r="AV91" s="491" t="n"/>
      <c r="AW91" s="114" t="n"/>
      <c r="AX91" s="492" t="n"/>
      <c r="AY91" s="488" t="n"/>
    </row>
    <row r="92" ht="32" customHeight="1">
      <c r="B92" s="825" t="inlineStr">
        <is>
          <t>Max PFA</t>
        </is>
      </c>
      <c r="C92" s="826">
        <f>_xlfn.XLOOKUP(G92,G90:G91,C90:C91)</f>
        <v/>
      </c>
      <c r="D92" s="827">
        <f>_xlfn.XLOOKUP(G92,G90:G91,D90:D91)</f>
        <v/>
      </c>
      <c r="E92" s="828" t="n"/>
      <c r="F92" s="828" t="n"/>
      <c r="G92" s="828">
        <f>IF(AND(J90=TRUE,J91=FALSE),G90,IF(AND(J90=FALSE,J91=TRUE),G91,MAX(G90,G91)))</f>
        <v/>
      </c>
      <c r="H92" s="1712" t="n"/>
      <c r="I92" s="829" t="n"/>
      <c r="J92" s="830">
        <f>IF(AND(J90=FALSE,J91=FALSE),FALSE,TRUE)</f>
        <v/>
      </c>
      <c r="K92" s="46" t="n"/>
      <c r="L92" s="46" t="n"/>
      <c r="M92" s="46" t="n"/>
      <c r="N92" s="1711" t="n"/>
      <c r="O92" s="1712" t="n"/>
      <c r="P92" s="829" t="n"/>
      <c r="Q92" s="1725">
        <f>IF(AND(Q90=FALSE,Q91=FALSE),FALSE,TRUE)</f>
        <v/>
      </c>
      <c r="R92" s="1712" t="n"/>
      <c r="S92" s="829" t="n"/>
      <c r="T92" s="1725">
        <f>IF(AND(T90=FALSE,T91=FALSE),FALSE,TRUE)</f>
        <v/>
      </c>
      <c r="U92" s="978" t="n"/>
      <c r="V92" s="978" t="inlineStr">
        <is>
          <t>ou</t>
        </is>
      </c>
      <c r="W92" s="1473" t="n"/>
      <c r="X92" s="2002" t="n"/>
      <c r="Y92" s="1478" t="n"/>
      <c r="Z92" s="2002" t="n"/>
      <c r="AA92" s="1481" t="n"/>
      <c r="AC92" s="1013" t="n"/>
      <c r="AD92" s="1014" t="n"/>
      <c r="AE92" s="1013" t="n"/>
      <c r="AF92" s="1014" t="n"/>
      <c r="AG92" s="1013" t="n"/>
      <c r="AH92" s="1014" t="n"/>
      <c r="AJ92" s="10" t="n"/>
      <c r="AK92" s="10" t="n"/>
      <c r="AL92" s="10" t="n"/>
      <c r="AR92" s="849" t="n"/>
      <c r="AS92" s="111" t="n"/>
      <c r="AT92" s="487" t="n"/>
      <c r="AU92" s="114" t="n"/>
      <c r="AV92" s="491" t="n"/>
      <c r="AW92" s="114" t="n"/>
      <c r="AX92" s="492" t="n"/>
      <c r="AY92" s="488" t="n"/>
    </row>
    <row r="93" ht="56" customHeight="1">
      <c r="B93" s="53">
        <f>'Action-Réaction finale'!K16</f>
        <v/>
      </c>
      <c r="C93" s="2066">
        <f>Test_Bible!B391</f>
        <v/>
      </c>
      <c r="D93" s="102" t="inlineStr">
        <is>
          <t>Le nouveau conjoint.e laisse entendre que l'enfant n'est pas en sécurité</t>
        </is>
      </c>
      <c r="E93" s="823">
        <f>Test_Bible!P391</f>
        <v/>
      </c>
      <c r="F93" s="822">
        <f>Test_Bible!D391</f>
        <v/>
      </c>
      <c r="G93" s="823">
        <f>Test_Bible!Q391</f>
        <v/>
      </c>
      <c r="H93" s="1710" t="n">
        <v>4</v>
      </c>
      <c r="I93" s="1703" t="n">
        <v>10</v>
      </c>
      <c r="J93" s="46">
        <f>IF(AND(E93&gt;=H93,E93&lt;=I93),TRUE,FALSE)</f>
        <v/>
      </c>
      <c r="K93" s="46" t="n"/>
      <c r="L93" s="46" t="n"/>
      <c r="M93" s="46" t="n"/>
      <c r="N93" s="1711" t="n"/>
      <c r="O93" s="1710" t="n">
        <v>7</v>
      </c>
      <c r="P93" s="1703" t="n">
        <v>10</v>
      </c>
      <c r="Q93" s="1711">
        <f>IF(AND(E93&gt;=O93,E93&lt;=P93),TRUE,FALSE)</f>
        <v/>
      </c>
      <c r="R93" s="1710" t="n">
        <v>4</v>
      </c>
      <c r="S93" s="1703" t="n">
        <v>10</v>
      </c>
      <c r="T93" s="1711">
        <f>IF(AND(E93&gt;=R93,E93&lt;=S93),TRUE,FALSE)</f>
        <v/>
      </c>
      <c r="U93" s="978" t="n"/>
      <c r="V93" s="1484" t="n"/>
      <c r="W93" s="1485" t="n">
        <v>4</v>
      </c>
      <c r="X93" s="2029" t="n"/>
      <c r="Y93" s="1489" t="n">
        <v>2</v>
      </c>
      <c r="Z93" s="2029" t="n"/>
      <c r="AA93" s="1497" t="n">
        <v>11</v>
      </c>
      <c r="AC93" s="1013" t="n"/>
      <c r="AD93" s="1014" t="n"/>
      <c r="AE93" s="1013" t="n"/>
      <c r="AF93" s="1014" t="n"/>
      <c r="AG93" s="1013" t="n"/>
      <c r="AH93" s="1014" t="n"/>
      <c r="AJ93" s="10" t="n"/>
      <c r="AK93" s="10" t="n"/>
      <c r="AL93" s="10" t="n"/>
      <c r="AR93" s="849" t="n"/>
      <c r="AS93" s="111" t="n"/>
      <c r="AT93" s="487" t="n"/>
      <c r="AU93" s="114" t="n"/>
      <c r="AV93" s="491" t="n"/>
      <c r="AW93" s="114" t="n"/>
      <c r="AX93" s="492" t="n"/>
      <c r="AY93" s="488" t="n"/>
    </row>
    <row r="94" ht="32" customHeight="1">
      <c r="B94" s="53" t="n"/>
      <c r="C94" s="2066" t="n"/>
      <c r="D94" s="63" t="n"/>
      <c r="E94" s="36" t="n"/>
      <c r="F94" s="36" t="n"/>
      <c r="G94" s="36" t="n"/>
      <c r="H94" s="1735" t="n">
        <v>11</v>
      </c>
      <c r="I94" s="1736" t="n">
        <v>11</v>
      </c>
      <c r="J94" s="46">
        <f>IF(AND(E94&gt;=H94,E94&lt;=I94),TRUE,FALSE)</f>
        <v/>
      </c>
      <c r="K94" s="46" t="n"/>
      <c r="L94" s="46" t="n"/>
      <c r="M94" s="46" t="n"/>
      <c r="N94" s="1711" t="n"/>
      <c r="O94" s="1735" t="n">
        <v>11</v>
      </c>
      <c r="P94" s="1736" t="n">
        <v>11</v>
      </c>
      <c r="Q94" s="1711">
        <f>IF(AND(E94&gt;=O94,E94&lt;=P94),TRUE,FALSE)</f>
        <v/>
      </c>
      <c r="R94" s="1735" t="n">
        <v>11</v>
      </c>
      <c r="S94" s="1736" t="n">
        <v>11</v>
      </c>
      <c r="T94" s="1711">
        <f>IF(AND(E94&gt;=R94,E94&lt;=S94),TRUE,FALSE)</f>
        <v/>
      </c>
      <c r="U94" s="978" t="n"/>
      <c r="V94" s="1487" t="inlineStr">
        <is>
          <t>ou</t>
        </is>
      </c>
      <c r="W94" s="1506" t="n">
        <v>11</v>
      </c>
      <c r="X94" s="1507" t="n"/>
      <c r="Y94" s="1508" t="n">
        <v>11</v>
      </c>
      <c r="Z94" s="1507" t="n"/>
      <c r="AA94" s="1502" t="n">
        <v>11</v>
      </c>
      <c r="AC94" s="1013" t="n"/>
      <c r="AD94" s="1014" t="n"/>
      <c r="AE94" s="1013" t="n"/>
      <c r="AF94" s="1014" t="n"/>
      <c r="AG94" s="1013" t="n"/>
      <c r="AH94" s="1014" t="n"/>
      <c r="AJ94" s="10" t="n"/>
      <c r="AK94" s="10" t="n"/>
      <c r="AL94" s="10" t="n"/>
      <c r="AQ94" s="7" t="n"/>
      <c r="AR94" s="849" t="n"/>
      <c r="AS94" s="111" t="n"/>
      <c r="AT94" s="487" t="n"/>
      <c r="AU94" s="114" t="n"/>
      <c r="AV94" s="491" t="n"/>
      <c r="AW94" s="114" t="n"/>
      <c r="AX94" s="492" t="n"/>
      <c r="AY94" s="488" t="n"/>
    </row>
    <row r="95" ht="32" customHeight="1" thickBot="1">
      <c r="B95" s="831" t="inlineStr">
        <is>
          <t>Max NC</t>
        </is>
      </c>
      <c r="C95" s="832">
        <f>_xlfn.XLOOKUP(G95,G93:G94,C93:C94)</f>
        <v/>
      </c>
      <c r="D95" s="833">
        <f>_xlfn.XLOOKUP(G95,G93:G94,D93:D94)</f>
        <v/>
      </c>
      <c r="E95" s="834" t="n"/>
      <c r="F95" s="834" t="n"/>
      <c r="G95" s="834">
        <f>IF(AND(J93=TRUE,J94=FALSE),G93,IF(AND(J93=FALSE,J94=TRUE),G94,MAX(G93,G94)))</f>
        <v/>
      </c>
      <c r="H95" s="1713" t="n"/>
      <c r="I95" s="835" t="n"/>
      <c r="J95" s="836">
        <f>IF(AND(J93=FALSE,J94=FALSE),FALSE,TRUE)</f>
        <v/>
      </c>
      <c r="K95" s="46" t="n"/>
      <c r="L95" s="46" t="n"/>
      <c r="M95" s="46" t="n"/>
      <c r="N95" s="1711" t="n"/>
      <c r="O95" s="1713" t="n"/>
      <c r="P95" s="835" t="n"/>
      <c r="Q95" s="1726">
        <f>IF(AND(Q93=FALSE,Q94=FALSE),FALSE,TRUE)</f>
        <v/>
      </c>
      <c r="R95" s="1713" t="n"/>
      <c r="S95" s="835" t="n"/>
      <c r="T95" s="1726">
        <f>IF(AND(T93=FALSE,T94=FALSE),FALSE,TRUE)</f>
        <v/>
      </c>
      <c r="U95" s="978" t="n"/>
      <c r="V95" s="978" t="n"/>
      <c r="W95" s="1473" t="n"/>
      <c r="X95" s="2002" t="n"/>
      <c r="Y95" s="1478" t="n"/>
      <c r="Z95" s="2002" t="n"/>
      <c r="AA95" s="1481" t="n"/>
      <c r="AC95" s="1013" t="n"/>
      <c r="AD95" s="1014" t="n"/>
      <c r="AE95" s="1013" t="n"/>
      <c r="AF95" s="1014" t="n"/>
      <c r="AG95" s="1013" t="n"/>
      <c r="AH95" s="1014" t="n"/>
      <c r="AJ95" s="10" t="n"/>
      <c r="AK95" s="10" t="n"/>
      <c r="AL95" s="10" t="n"/>
      <c r="AQ95" s="7" t="n"/>
      <c r="AR95" s="849" t="n"/>
      <c r="AS95" s="111" t="n"/>
      <c r="AT95" s="487" t="n"/>
      <c r="AU95" s="114" t="n"/>
      <c r="AV95" s="491" t="n"/>
      <c r="AW95" s="114" t="n"/>
      <c r="AX95" s="492" t="n"/>
      <c r="AY95" s="488" t="n"/>
    </row>
    <row r="96" ht="32" customHeight="1" thickBot="1">
      <c r="B96" s="837" t="inlineStr">
        <is>
          <t>Max PFA &amp; NC</t>
        </is>
      </c>
      <c r="C96" s="838" t="n"/>
      <c r="D96" s="838">
        <f>IF(G96=G92,D92,D95)</f>
        <v/>
      </c>
      <c r="E96" s="839" t="n"/>
      <c r="F96" s="839" t="n"/>
      <c r="G96" s="839">
        <f>IF(AND(J92=TRUE,J95=FALSE),G92,IF(AND(J92=FALSE,J95=TRUE),G95,IF(AND(J92=TRUE,J95=TRUE),G92+G95,MAX(G92,G95))))</f>
        <v/>
      </c>
      <c r="H96" s="1714" t="n"/>
      <c r="I96" s="840" t="n"/>
      <c r="J96" s="841">
        <f>IF(AND(J92=FALSE,J95=FALSE),FALSE,TRUE)</f>
        <v/>
      </c>
      <c r="K96" s="1698" t="n"/>
      <c r="L96" s="1698" t="n"/>
      <c r="M96" s="1698" t="n"/>
      <c r="N96" s="1715" t="n"/>
      <c r="O96" s="1714" t="n"/>
      <c r="P96" s="840" t="n"/>
      <c r="Q96" s="841">
        <f>IF(AND(Q92=FALSE,Q95=FALSE),FALSE,TRUE)</f>
        <v/>
      </c>
      <c r="R96" s="1714" t="n"/>
      <c r="S96" s="840" t="n"/>
      <c r="T96" s="841">
        <f>IF(AND(T92=FALSE,T95=FALSE),FALSE,TRUE)</f>
        <v/>
      </c>
      <c r="U96" s="978" t="n"/>
      <c r="V96" s="978" t="inlineStr">
        <is>
          <t>et</t>
        </is>
      </c>
      <c r="W96" s="1473" t="n"/>
      <c r="X96" s="2002" t="n"/>
      <c r="Y96" s="1478" t="n"/>
      <c r="Z96" s="2002" t="n"/>
      <c r="AA96" s="1481" t="n"/>
      <c r="AC96" s="1013">
        <f>IF(J96=TRUE,"V","F")</f>
        <v/>
      </c>
      <c r="AD96" s="1014" t="n"/>
      <c r="AE96" s="1013">
        <f>IF(Q96=TRUE,"V","F")</f>
        <v/>
      </c>
      <c r="AF96" s="1014" t="n"/>
      <c r="AG96" s="1013">
        <f>IF(T96=TRUE,"V","F")</f>
        <v/>
      </c>
      <c r="AH96" s="1014" t="n"/>
      <c r="AI96">
        <f>IF(OR(AC96="V",AE96="V"),IF(G95&gt;G92,"Le NC contribue plus que le coparent","Le coparent joue un plus grand rôle que le NC"),"pas de contexte significatif de la part du coparent et NC")</f>
        <v/>
      </c>
      <c r="AJ96" s="10" t="n"/>
      <c r="AK96" s="10" t="n"/>
      <c r="AL96" s="10" t="n"/>
      <c r="AQ96" s="7" t="n"/>
      <c r="AR96" s="849" t="n"/>
      <c r="AS96" s="111" t="n"/>
      <c r="AT96" s="487" t="n"/>
      <c r="AU96" s="114" t="n"/>
      <c r="AV96" s="491" t="n"/>
      <c r="AW96" s="114" t="n"/>
      <c r="AX96" s="492" t="n"/>
      <c r="AY96" s="488" t="n"/>
    </row>
    <row r="97" ht="57" customHeight="1">
      <c r="B97" s="316">
        <f>Test_Bible!A275</f>
        <v/>
      </c>
      <c r="C97" s="2066">
        <f>Test_Bible!B275</f>
        <v/>
      </c>
      <c r="D97" s="102" t="inlineStr">
        <is>
          <t>vous reproche de présenter un danger pour sa sécurité</t>
        </is>
      </c>
      <c r="E97" s="823">
        <f>Test_Bible!P275</f>
        <v/>
      </c>
      <c r="F97" s="822">
        <f>Test_Bible!D275</f>
        <v/>
      </c>
      <c r="G97" s="823">
        <f>Test_Bible!Q275</f>
        <v/>
      </c>
      <c r="H97" s="1710" t="n">
        <v>4</v>
      </c>
      <c r="I97" s="1703">
        <f>$I$18</f>
        <v/>
      </c>
      <c r="J97" s="46">
        <f>IF(AND(E97&gt;=H97,E97&lt;=I97),TRUE,FALSE)</f>
        <v/>
      </c>
      <c r="K97" s="46" t="n"/>
      <c r="L97" s="46" t="n"/>
      <c r="M97" s="46" t="n"/>
      <c r="N97" s="1711" t="n"/>
      <c r="O97" s="1710" t="n">
        <v>2</v>
      </c>
      <c r="P97" s="1703" t="n">
        <v>7</v>
      </c>
      <c r="Q97" s="1711">
        <f>IF(AND(E97&gt;=O97,E97&lt;=P97),TRUE,FALSE)</f>
        <v/>
      </c>
      <c r="R97" s="1710" t="n"/>
      <c r="S97" s="1703" t="n"/>
      <c r="T97" s="1711" t="n"/>
      <c r="U97" s="978" t="n"/>
      <c r="V97" s="1484" t="n"/>
      <c r="W97" s="1485" t="n">
        <v>4</v>
      </c>
      <c r="X97" s="2029" t="n"/>
      <c r="Y97" s="1489" t="n">
        <v>2</v>
      </c>
      <c r="Z97" s="2029" t="n"/>
      <c r="AA97" s="1497" t="n">
        <v>11</v>
      </c>
      <c r="AC97" s="1013" t="inlineStr">
        <is>
          <t> </t>
        </is>
      </c>
      <c r="AD97" s="1014" t="n"/>
      <c r="AE97" s="1013" t="n"/>
      <c r="AF97" s="1014" t="n"/>
      <c r="AG97" s="1013" t="n"/>
      <c r="AH97" s="1014" t="n"/>
      <c r="AJ97" s="10" t="n"/>
      <c r="AK97" s="10" t="n"/>
      <c r="AL97" s="10" t="n"/>
      <c r="AR97" s="849" t="n"/>
      <c r="AS97" s="111" t="n"/>
      <c r="AT97" s="487" t="n"/>
      <c r="AU97" s="114" t="n"/>
      <c r="AV97" s="491" t="n"/>
      <c r="AW97" s="114" t="n"/>
      <c r="AX97" s="492" t="n"/>
      <c r="AY97" s="488" t="n"/>
    </row>
    <row r="98" ht="32" customHeight="1" thickBot="1">
      <c r="B98" s="316" t="inlineStr">
        <is>
          <t>Enf</t>
        </is>
      </c>
      <c r="C98" s="2066" t="n"/>
      <c r="D98" s="102" t="n"/>
      <c r="E98" s="823" t="n"/>
      <c r="F98" s="822" t="n"/>
      <c r="G98" s="823" t="n"/>
      <c r="H98" s="1735" t="n">
        <v>11</v>
      </c>
      <c r="I98" s="1736" t="n">
        <v>11</v>
      </c>
      <c r="J98" s="46">
        <f>IF(AND(E98&gt;=H98,E98&lt;=I98),TRUE,FALSE)</f>
        <v/>
      </c>
      <c r="K98" s="46" t="n"/>
      <c r="L98" s="46" t="n"/>
      <c r="M98" s="46" t="n"/>
      <c r="N98" s="1711" t="n"/>
      <c r="O98" s="1735" t="n">
        <v>11</v>
      </c>
      <c r="P98" s="1736" t="n">
        <v>11</v>
      </c>
      <c r="Q98" s="1711">
        <f>IF(AND(E98&gt;=O98,E98&lt;=P98),TRUE,FALSE)</f>
        <v/>
      </c>
      <c r="R98" s="1735" t="n"/>
      <c r="S98" s="1736" t="n"/>
      <c r="T98" s="1711" t="n"/>
      <c r="U98" s="978" t="n"/>
      <c r="V98" s="1487" t="inlineStr">
        <is>
          <t>ou</t>
        </is>
      </c>
      <c r="W98" s="1506" t="n">
        <v>11</v>
      </c>
      <c r="X98" s="1507" t="n"/>
      <c r="Y98" s="1508" t="n">
        <v>11</v>
      </c>
      <c r="Z98" s="1507" t="n"/>
      <c r="AA98" s="1502" t="n">
        <v>11</v>
      </c>
      <c r="AC98" s="1013" t="n"/>
      <c r="AD98" s="1014" t="n"/>
      <c r="AE98" s="1013" t="n"/>
      <c r="AF98" s="1014" t="n"/>
      <c r="AG98" s="1013" t="n"/>
      <c r="AH98" s="1014" t="n"/>
      <c r="AJ98" s="10" t="n"/>
      <c r="AK98" s="10" t="n"/>
      <c r="AL98" s="10" t="n"/>
      <c r="AR98" s="849" t="n"/>
      <c r="AS98" s="111" t="n"/>
      <c r="AT98" s="487" t="n"/>
      <c r="AU98" s="114" t="n"/>
      <c r="AV98" s="491" t="n"/>
      <c r="AW98" s="114" t="n"/>
      <c r="AX98" s="492" t="n"/>
      <c r="AY98" s="488" t="n"/>
    </row>
    <row r="99" ht="32" customHeight="1" thickBot="1">
      <c r="B99" s="842" t="inlineStr">
        <is>
          <t>Max Enf</t>
        </is>
      </c>
      <c r="C99" s="843">
        <f>_xlfn.XLOOKUP(G99,G97:G98,C97:C98)</f>
        <v/>
      </c>
      <c r="D99" s="843">
        <f>_xlfn.XLOOKUP(G99,G97:G98,D97:D98)</f>
        <v/>
      </c>
      <c r="E99" s="844" t="n"/>
      <c r="F99" s="844" t="n"/>
      <c r="G99" s="844">
        <f>IF(AND(J97=TRUE,J98=FALSE),G97,IF(AND(J97=FALSE,J98=TRUE),G98,MAX(G97,G98)))</f>
        <v/>
      </c>
      <c r="H99" s="1716" t="n"/>
      <c r="I99" s="845" t="n"/>
      <c r="J99" s="846">
        <f>IF(AND(J97=FALSE,J98=FALSE),FALSE,TRUE)</f>
        <v/>
      </c>
      <c r="K99" s="1699" t="n"/>
      <c r="L99" s="1699" t="n"/>
      <c r="M99" s="1699" t="n"/>
      <c r="N99" s="1717" t="n"/>
      <c r="O99" s="1716" t="n"/>
      <c r="P99" s="845" t="n"/>
      <c r="Q99" s="846">
        <f>IF(AND(Q97=FALSE,Q98=FALSE),FALSE,TRUE)</f>
        <v/>
      </c>
      <c r="R99" s="1716" t="n"/>
      <c r="S99" s="845" t="n"/>
      <c r="T99" s="846" t="n"/>
      <c r="U99" s="978" t="n"/>
      <c r="V99" s="978" t="n"/>
      <c r="W99" s="1475" t="n"/>
      <c r="Y99" s="1479" t="n"/>
      <c r="AA99" s="1483" t="n"/>
      <c r="AC99" s="1013">
        <f>IF(J99=TRUE,"V","F")</f>
        <v/>
      </c>
      <c r="AD99" s="1014" t="n"/>
      <c r="AE99" s="1013">
        <f>IF(Q99=TRUE,"V","F")</f>
        <v/>
      </c>
      <c r="AF99" s="1014" t="n"/>
      <c r="AG99" s="1013" t="n"/>
      <c r="AH99" s="1014" t="n"/>
      <c r="AJ99" s="10" t="n"/>
      <c r="AK99" s="10" t="n"/>
      <c r="AL99" s="10" t="n"/>
      <c r="AR99" s="849" t="n"/>
      <c r="AS99" s="111" t="n"/>
      <c r="AT99" s="487" t="n"/>
      <c r="AU99" s="114" t="n"/>
      <c r="AV99" s="491" t="n"/>
      <c r="AW99" s="114" t="n"/>
      <c r="AX99" s="492" t="n"/>
      <c r="AY99" s="488" t="n"/>
    </row>
    <row r="100" ht="32" customHeight="1">
      <c r="C100" s="428" t="inlineStr">
        <is>
          <t>COMPARATIF Comportement PFA-Enf</t>
        </is>
      </c>
      <c r="D100" s="2058" t="n"/>
      <c r="E100" s="484" t="inlineStr">
        <is>
          <t>Valeur =&gt;</t>
        </is>
      </c>
      <c r="F100" s="48" t="n"/>
      <c r="G100" s="48">
        <f>G92+G95+G99</f>
        <v/>
      </c>
      <c r="H100" s="1718" t="n"/>
      <c r="I100" s="485" t="n"/>
      <c r="J100" s="1701" t="n"/>
      <c r="K100" s="1702">
        <f>IF(AND(J99=TRUE,J96=TRUE),D99,"")</f>
        <v/>
      </c>
      <c r="L100" s="1702">
        <f>IF(AND(J96=TRUE,J99=FALSE),"Bien que le parent "&amp;D96&amp;" l'enfant ne semble pas s'ingérer","")</f>
        <v/>
      </c>
      <c r="M100" s="1702">
        <f>IF(AND(J96=FALSE,J99=TRUE),D99&amp;" sans signe de la participation du parent favorisé et|ou nouveau conjoint.e","")</f>
        <v/>
      </c>
      <c r="N100" s="1719">
        <f>IF(AND(J96=FALSE,J99=FALSE),"aucun comportement significatif de cette nature","")</f>
        <v/>
      </c>
      <c r="O100" s="1718" t="n"/>
      <c r="P100" s="485" t="n"/>
      <c r="Q100" s="1727" t="n"/>
      <c r="R100" s="1718" t="n"/>
      <c r="S100" s="485" t="n"/>
      <c r="T100" s="1727" t="n"/>
      <c r="U100" s="980" t="n"/>
      <c r="V100" s="980" t="n"/>
      <c r="W100" s="1475" t="n"/>
      <c r="Y100" s="1479" t="n"/>
      <c r="AA100" s="1483" t="n"/>
      <c r="AC100" s="1015" t="n"/>
      <c r="AD100" s="1016">
        <f>IF(AND(AC96="V",AC99="V"),2,IF(OR(AC96="V",AC99="V"),1,0))</f>
        <v/>
      </c>
      <c r="AE100" s="1015" t="n"/>
      <c r="AF100" s="1016">
        <f>IF(OR(AE96="V",AE99="V"),1,0)</f>
        <v/>
      </c>
      <c r="AG100" s="1015" t="n"/>
      <c r="AH100" s="1016" t="n"/>
      <c r="AJ100" s="10" t="n"/>
      <c r="AK100" s="10" t="n"/>
      <c r="AL100" s="10" t="n"/>
      <c r="AR100" s="849" t="n"/>
      <c r="AS100" s="111" t="n"/>
      <c r="AT100" s="487" t="n"/>
      <c r="AU100" s="114" t="n"/>
      <c r="AV100" s="491" t="n"/>
      <c r="AW100" s="114" t="n"/>
      <c r="AX100" s="492" t="n"/>
      <c r="AY100" s="488" t="n"/>
    </row>
    <row r="101" ht="32" customHeight="1">
      <c r="B101" t="inlineStr">
        <is>
          <t>PCR</t>
        </is>
      </c>
      <c r="H101" s="147" t="n"/>
      <c r="K101" s="1992" t="n"/>
      <c r="L101" s="1992" t="n"/>
      <c r="M101" s="1992" t="n"/>
      <c r="N101" s="1740" t="n"/>
      <c r="O101" s="147" t="n"/>
      <c r="Q101" s="330" t="n"/>
      <c r="R101" s="147" t="n"/>
      <c r="T101" s="330" t="n"/>
      <c r="U101" s="1992" t="n"/>
      <c r="W101" s="1475" t="n"/>
      <c r="Y101" s="1479" t="n"/>
      <c r="AA101" s="1483" t="n"/>
      <c r="AC101" s="1013" t="n"/>
      <c r="AD101" s="1014" t="n"/>
      <c r="AE101" s="1013" t="n"/>
      <c r="AF101" s="1014" t="n"/>
      <c r="AG101" s="1013" t="n"/>
      <c r="AH101" s="1014" t="n"/>
      <c r="AJ101" s="10" t="n"/>
      <c r="AK101" s="10" t="n"/>
      <c r="AL101" s="10" t="n"/>
      <c r="AR101" s="849" t="n"/>
      <c r="AS101" s="111" t="n"/>
      <c r="AT101" s="487" t="n"/>
      <c r="AU101" s="114" t="n"/>
      <c r="AV101" s="491" t="n"/>
      <c r="AW101" s="114" t="n"/>
      <c r="AX101" s="492" t="n"/>
      <c r="AY101" s="488" t="n"/>
    </row>
    <row r="102" ht="32" customHeight="1">
      <c r="B102" s="1017" t="n"/>
      <c r="C102" s="1025" t="n"/>
      <c r="D102" s="1018" t="n"/>
      <c r="E102" s="1026" t="n"/>
      <c r="F102" s="1026" t="n"/>
      <c r="G102" s="1026" t="n"/>
      <c r="H102" s="1735" t="n">
        <v>11</v>
      </c>
      <c r="I102" s="1736" t="n">
        <v>11</v>
      </c>
      <c r="J102" s="46">
        <f>IF(AND(E102&gt;=H102,E102&lt;=I102),TRUE,FALSE)</f>
        <v/>
      </c>
      <c r="K102" s="33" t="n"/>
      <c r="L102" s="33" t="n"/>
      <c r="M102" s="33" t="n"/>
      <c r="N102" s="1720" t="n"/>
      <c r="O102" s="1735" t="n">
        <v>11</v>
      </c>
      <c r="P102" s="1736" t="n">
        <v>11</v>
      </c>
      <c r="Q102" s="1711">
        <f>IF(AND(E102&gt;=O102,E102&lt;=P102),TRUE,FALSE)</f>
        <v/>
      </c>
      <c r="R102" s="1735" t="n">
        <v>11</v>
      </c>
      <c r="S102" s="1736" t="n">
        <v>11</v>
      </c>
      <c r="T102" s="1711">
        <f>IF(AND(E102&gt;=R102,E102&lt;=S102),TRUE,FALSE)</f>
        <v/>
      </c>
      <c r="U102" s="1992" t="n"/>
      <c r="V102" s="1509" t="n"/>
      <c r="W102" s="1503" t="n">
        <v>11</v>
      </c>
      <c r="X102" s="1504" t="n"/>
      <c r="Y102" s="1505" t="n">
        <v>11</v>
      </c>
      <c r="Z102" s="1504" t="n"/>
      <c r="AA102" s="1497" t="n">
        <v>11</v>
      </c>
      <c r="AC102" s="1013" t="n"/>
      <c r="AD102" s="1014" t="n"/>
      <c r="AE102" s="1013" t="n"/>
      <c r="AF102" s="1014" t="n"/>
      <c r="AG102" s="1013" t="n"/>
      <c r="AH102" s="1014" t="n"/>
      <c r="AJ102" s="10" t="n"/>
      <c r="AK102" s="10" t="n"/>
      <c r="AL102" s="10" t="n"/>
      <c r="AR102" s="849" t="n"/>
      <c r="AS102" s="111" t="n"/>
      <c r="AT102" s="487" t="n"/>
      <c r="AU102" s="114" t="n"/>
      <c r="AV102" s="491" t="n"/>
      <c r="AW102" s="114" t="n"/>
      <c r="AX102" s="492" t="n"/>
      <c r="AY102" s="488" t="n"/>
    </row>
    <row r="103" ht="32" customHeight="1" thickBot="1">
      <c r="B103" s="1017" t="n"/>
      <c r="C103" s="1025" t="n"/>
      <c r="D103" s="1018" t="n"/>
      <c r="E103" s="1026" t="n"/>
      <c r="F103" s="1026" t="n"/>
      <c r="G103" s="1026" t="n"/>
      <c r="H103" s="1735" t="n">
        <v>11</v>
      </c>
      <c r="I103" s="1736" t="n">
        <v>11</v>
      </c>
      <c r="J103" s="46">
        <f>IF(AND(E103&gt;=H103,E103&lt;=I103),TRUE,FALSE)</f>
        <v/>
      </c>
      <c r="K103" s="33" t="n"/>
      <c r="L103" s="33" t="n"/>
      <c r="M103" s="33" t="n"/>
      <c r="N103" s="1720" t="n"/>
      <c r="O103" s="1735" t="n">
        <v>11</v>
      </c>
      <c r="P103" s="1736" t="n">
        <v>11</v>
      </c>
      <c r="Q103" s="1711">
        <f>IF(AND(E103&gt;=O103,E103&lt;=P103),TRUE,FALSE)</f>
        <v/>
      </c>
      <c r="R103" s="1735" t="n">
        <v>11</v>
      </c>
      <c r="S103" s="1736" t="n">
        <v>11</v>
      </c>
      <c r="T103" s="1711">
        <f>IF(AND(E103&gt;=R103,E103&lt;=S103),TRUE,FALSE)</f>
        <v/>
      </c>
      <c r="V103" s="1510" t="n"/>
      <c r="W103" s="1506" t="n">
        <v>11</v>
      </c>
      <c r="X103" s="1507" t="n"/>
      <c r="Y103" s="1508" t="n">
        <v>11</v>
      </c>
      <c r="Z103" s="1507" t="n"/>
      <c r="AA103" s="1502" t="n">
        <v>11</v>
      </c>
      <c r="AC103" s="1013" t="n"/>
      <c r="AD103" s="1014" t="n"/>
      <c r="AE103" s="1013" t="n"/>
      <c r="AF103" s="1014" t="n"/>
      <c r="AG103" s="1013" t="n"/>
      <c r="AH103" s="1014" t="n"/>
      <c r="AJ103" s="10" t="n"/>
      <c r="AK103" s="10" t="n"/>
      <c r="AL103" s="10" t="n"/>
      <c r="AR103" s="849" t="n"/>
      <c r="AS103" s="111" t="n"/>
      <c r="AT103" s="487" t="n"/>
      <c r="AU103" s="114" t="n"/>
      <c r="AV103" s="491" t="n"/>
      <c r="AW103" s="114" t="n"/>
      <c r="AX103" s="492" t="n"/>
      <c r="AY103" s="488" t="n"/>
    </row>
    <row r="104" ht="32" customHeight="1" thickBot="1">
      <c r="C104" s="2073" t="n"/>
      <c r="D104" s="2073" t="n"/>
      <c r="E104" s="90" t="n"/>
      <c r="F104" s="483" t="n"/>
      <c r="G104" s="483" t="n"/>
      <c r="H104" s="1732" t="n"/>
      <c r="I104" s="1733" t="n"/>
      <c r="J104" s="1739">
        <f>IF(AND(J102=FALSE,J103=FALSE),FALSE,TRUE)</f>
        <v/>
      </c>
      <c r="K104" s="1721" t="n"/>
      <c r="L104" s="1722" t="n"/>
      <c r="M104" s="1722" t="n"/>
      <c r="N104" s="1723" t="n"/>
      <c r="O104" s="1732" t="n"/>
      <c r="P104" s="1733" t="n"/>
      <c r="Q104" s="1739">
        <f>IF(AND(Q102=FALSE,Q103=FALSE),FALSE,TRUE)</f>
        <v/>
      </c>
      <c r="R104" s="1744" t="n"/>
      <c r="S104" s="1745" t="n"/>
      <c r="T104" s="1746">
        <f>IF(AND(T102=FALSE,T103=FALSE),FALSE,TRUE)</f>
        <v/>
      </c>
      <c r="U104" s="980" t="n"/>
      <c r="AC104" s="1650">
        <f>IF(J104=TRUE,"V","F")</f>
        <v/>
      </c>
      <c r="AD104" s="1651" t="n"/>
      <c r="AE104" s="1650">
        <f>IF(Q104=TRUE,"V","F")</f>
        <v/>
      </c>
      <c r="AF104" s="1651" t="n"/>
      <c r="AG104" s="1650">
        <f>IF(T104=TRUE,"V","F")</f>
        <v/>
      </c>
      <c r="AH104" s="1651" t="n"/>
      <c r="AJ104" s="10" t="n"/>
      <c r="AK104" s="10" t="n"/>
      <c r="AL104" s="10" t="n"/>
      <c r="AR104" s="849" t="n"/>
      <c r="AS104" s="111" t="n"/>
      <c r="AT104" s="487" t="n"/>
      <c r="AU104" s="114" t="n"/>
      <c r="AV104" s="491" t="n"/>
      <c r="AW104" s="114" t="n"/>
      <c r="AX104" s="492" t="n"/>
      <c r="AY104" s="488" t="n"/>
    </row>
    <row r="105" ht="32" customHeight="1" thickBot="1">
      <c r="C105" s="2073" t="n"/>
      <c r="D105" s="2073" t="n"/>
      <c r="E105" s="90" t="n"/>
      <c r="F105" s="483" t="n"/>
      <c r="G105" s="483" t="n"/>
      <c r="H105" s="2002" t="n"/>
      <c r="I105" s="2002" t="n"/>
      <c r="J105" s="979" t="n"/>
      <c r="K105" s="980" t="n"/>
      <c r="L105" s="980" t="n"/>
      <c r="M105" s="980" t="n"/>
      <c r="N105" s="980" t="n"/>
      <c r="O105" s="980" t="n"/>
      <c r="P105" s="980" t="n"/>
      <c r="Q105" s="980" t="n"/>
      <c r="R105" s="980" t="n"/>
      <c r="S105" s="980" t="n"/>
      <c r="T105" s="980" t="n"/>
      <c r="U105" s="980" t="n"/>
      <c r="AC105" s="1737" t="n"/>
      <c r="AD105" s="1738">
        <f>IF(AND(AC104="V",AC96="V"),AD100-1,AD100)</f>
        <v/>
      </c>
      <c r="AE105" s="1737" t="n"/>
      <c r="AF105" s="1738">
        <f>IF(OR(AE96="V",AE99="V",AE104="V"),1,0)</f>
        <v/>
      </c>
      <c r="AG105" s="1737" t="n"/>
      <c r="AH105" s="1738">
        <f>IF(AG96="V",1,IF(AG104="V",1,0))</f>
        <v/>
      </c>
      <c r="AJ105" s="10" t="n">
        <v>1</v>
      </c>
      <c r="AK105" s="10" t="n">
        <v>1</v>
      </c>
      <c r="AL105" s="10" t="n">
        <v>1</v>
      </c>
      <c r="AR105" s="849" t="n"/>
      <c r="AS105" s="111" t="n"/>
      <c r="AT105" s="487" t="n"/>
      <c r="AU105" s="114" t="n"/>
      <c r="AV105" s="491" t="n"/>
      <c r="AW105" s="114" t="n"/>
      <c r="AX105" s="492" t="n"/>
      <c r="AY105" s="488" t="n"/>
    </row>
    <row r="106" ht="32" customHeight="1">
      <c r="C106" s="2073" t="n"/>
      <c r="D106" s="2073" t="n"/>
      <c r="E106" s="90" t="n"/>
      <c r="F106" s="483" t="n"/>
      <c r="G106" s="483" t="n"/>
      <c r="H106" s="2120" t="inlineStr">
        <is>
          <t xml:space="preserve">instrumentalisation de l'enfant qui rend le actif / force la prise d'otage psycho ou physique </t>
        </is>
      </c>
      <c r="I106" s="709" t="n"/>
      <c r="J106" s="1392" t="n"/>
      <c r="K106" s="2056" t="n"/>
      <c r="L106" s="709" t="n"/>
      <c r="M106" s="709" t="n"/>
      <c r="N106" s="1707" t="n"/>
      <c r="O106" s="2121" t="inlineStr">
        <is>
          <t xml:space="preserve">compt. fragilise la relation parent-enfant ou les individus, enclenche rôle de protecteur, demande de faire un choix / choisir son camp </t>
        </is>
      </c>
      <c r="P106" s="709" t="n"/>
      <c r="Q106" s="1392" t="n"/>
      <c r="R106" s="1768" t="inlineStr">
        <is>
          <t>Est-ce que cela créé un déclencheur?</t>
        </is>
      </c>
      <c r="S106" s="1706" t="n"/>
      <c r="T106" s="1707" t="n"/>
      <c r="U106" s="980" t="n"/>
      <c r="AC106" s="1756" t="n"/>
      <c r="AD106" s="1757" t="n"/>
      <c r="AE106" s="1490" t="n"/>
      <c r="AF106" s="1490" t="n"/>
      <c r="AG106" s="1490" t="n"/>
      <c r="AH106" s="1490" t="n"/>
      <c r="AJ106" s="10" t="n"/>
      <c r="AK106" s="10" t="n"/>
      <c r="AL106" s="10" t="n"/>
      <c r="AR106" s="849" t="n"/>
      <c r="AS106" s="111" t="n"/>
      <c r="AT106" s="487" t="n"/>
      <c r="AU106" s="114" t="n"/>
      <c r="AV106" s="491" t="n"/>
      <c r="AW106" s="114" t="n"/>
      <c r="AX106" s="492" t="n"/>
      <c r="AY106" s="488" t="n"/>
    </row>
    <row r="107" ht="32" customHeight="1">
      <c r="A107" s="853" t="n">
        <v>5</v>
      </c>
      <c r="C107" s="486">
        <f>'Action-Réaction finale'!F18</f>
        <v/>
      </c>
      <c r="D107" s="108" t="n"/>
      <c r="E107" s="66" t="n"/>
      <c r="F107" s="18" t="n"/>
      <c r="G107" s="18" t="n"/>
      <c r="H107" s="2052" t="inlineStr">
        <is>
          <t>AP</t>
        </is>
      </c>
      <c r="K107" s="2055" t="inlineStr">
        <is>
          <t>Dynamique d'AP</t>
        </is>
      </c>
      <c r="N107" s="330" t="n"/>
      <c r="O107" s="2122" t="inlineStr">
        <is>
          <t>CL</t>
        </is>
      </c>
      <c r="Q107" s="330" t="n"/>
      <c r="R107" s="2123" t="inlineStr">
        <is>
          <t>CSS</t>
        </is>
      </c>
      <c r="T107" s="330" t="n"/>
      <c r="U107" s="15" t="n"/>
      <c r="V107" s="15" t="n"/>
      <c r="AC107" s="1009" t="n"/>
      <c r="AD107" s="1009" t="n"/>
      <c r="AE107" s="1009" t="n"/>
      <c r="AF107" s="1009" t="n"/>
      <c r="AG107" s="1009" t="n"/>
      <c r="AH107" s="1010" t="n"/>
      <c r="AJ107" s="10" t="n"/>
      <c r="AK107" s="10" t="n"/>
      <c r="AL107" s="10" t="n"/>
      <c r="AR107" s="849" t="n"/>
      <c r="AS107" s="111" t="n"/>
      <c r="AT107" s="487" t="n"/>
      <c r="AU107" s="114" t="n"/>
      <c r="AV107" s="491" t="n"/>
      <c r="AW107" s="114" t="n"/>
      <c r="AX107" s="492" t="n"/>
      <c r="AY107" s="488" t="n"/>
    </row>
    <row r="108" ht="32" customHeight="1">
      <c r="C108" s="103" t="inlineStr">
        <is>
          <t>Questions et sous-questions</t>
        </is>
      </c>
      <c r="D108" s="1043" t="inlineStr">
        <is>
          <t>Texte écourté pour titrer dans les baromètres ou rapport</t>
        </is>
      </c>
      <c r="E108" s="33" t="inlineStr">
        <is>
          <t>Valeur de base
Fréquence (F)</t>
        </is>
      </c>
      <c r="F108" s="33" t="inlineStr">
        <is>
          <t>Valeur de base
intensité (I)</t>
        </is>
      </c>
      <c r="G108" s="33" t="inlineStr">
        <is>
          <t>F * I</t>
        </is>
      </c>
      <c r="H108" s="1708" t="inlineStr">
        <is>
          <t>Condition Fréq. 
&gt;= que</t>
        </is>
      </c>
      <c r="I108" s="44" t="inlineStr">
        <is>
          <t>Condition Fré
&lt;= que</t>
        </is>
      </c>
      <c r="J108" s="44" t="inlineStr">
        <is>
          <t>Condition respectée</t>
        </is>
      </c>
      <c r="K108" s="44" t="inlineStr">
        <is>
          <t>"VRAI" (PF&amp;NC) /  "VRAI" (Enf)</t>
        </is>
      </c>
      <c r="L108" s="44" t="inlineStr">
        <is>
          <t>Vrai (PF&amp;NC) /  Faux (Enf)</t>
        </is>
      </c>
      <c r="M108" s="44" t="inlineStr">
        <is>
          <t>Faux (PF&amp;NC) /  Vrai (Enf)</t>
        </is>
      </c>
      <c r="N108" s="1709" t="inlineStr">
        <is>
          <t>Faux (PF&amp;NC) /  Faux(Enf)</t>
        </is>
      </c>
      <c r="O108" s="1708" t="inlineStr">
        <is>
          <t>Condition Fréq. 
&gt;= que</t>
        </is>
      </c>
      <c r="P108" s="44" t="inlineStr">
        <is>
          <t>Condition Fré
&lt;= que</t>
        </is>
      </c>
      <c r="Q108" s="1709" t="inlineStr">
        <is>
          <t>Condition respectée</t>
        </is>
      </c>
      <c r="R108" s="1708" t="inlineStr">
        <is>
          <t>Condition Fréq. 
&gt;= que</t>
        </is>
      </c>
      <c r="S108" s="44" t="inlineStr">
        <is>
          <t>Condition Fré
&lt;= que</t>
        </is>
      </c>
      <c r="T108" s="1709" t="inlineStr">
        <is>
          <t>Condition respectée</t>
        </is>
      </c>
      <c r="U108" s="851" t="n"/>
      <c r="V108" s="1008" t="inlineStr">
        <is>
          <t>Condition</t>
        </is>
      </c>
      <c r="W108" s="1472" t="inlineStr">
        <is>
          <t>AP</t>
        </is>
      </c>
      <c r="X108" s="1008" t="inlineStr">
        <is>
          <t>Condition</t>
        </is>
      </c>
      <c r="Y108" s="1476" t="inlineStr">
        <is>
          <t>CL</t>
        </is>
      </c>
      <c r="Z108" s="1008" t="inlineStr">
        <is>
          <t>Condition</t>
        </is>
      </c>
      <c r="AA108" s="1480" t="inlineStr">
        <is>
          <t>CSS</t>
        </is>
      </c>
      <c r="AC108" s="1023" t="inlineStr">
        <is>
          <t>AP</t>
        </is>
      </c>
      <c r="AD108" s="1024" t="inlineStr">
        <is>
          <t>AP_F</t>
        </is>
      </c>
      <c r="AE108" s="1023" t="inlineStr">
        <is>
          <t>CL</t>
        </is>
      </c>
      <c r="AF108" s="1024" t="inlineStr">
        <is>
          <t>CL_F</t>
        </is>
      </c>
      <c r="AG108" s="1023" t="inlineStr">
        <is>
          <t>CSS</t>
        </is>
      </c>
      <c r="AH108" s="1024" t="inlineStr">
        <is>
          <t>CSS_F</t>
        </is>
      </c>
      <c r="AJ108" s="10" t="n"/>
      <c r="AK108" s="10" t="n"/>
      <c r="AL108" s="10" t="n"/>
      <c r="AR108" s="849" t="n"/>
      <c r="AS108" s="111" t="n"/>
      <c r="AT108" s="487" t="n"/>
      <c r="AU108" s="114" t="n"/>
      <c r="AV108" s="491" t="n"/>
      <c r="AW108" s="114" t="n"/>
      <c r="AX108" s="492" t="n"/>
      <c r="AY108" s="488" t="n"/>
    </row>
    <row r="109" ht="57" customHeight="1">
      <c r="A109" s="854" t="n"/>
      <c r="B109" s="421">
        <f>'Action-Réaction finale'!G18</f>
        <v/>
      </c>
      <c r="C109" s="2066">
        <f>Test_Bible!B171</f>
        <v/>
      </c>
      <c r="D109" s="102" t="inlineStr">
        <is>
          <t>modifie des faits concernant votre passé</t>
        </is>
      </c>
      <c r="E109" s="823">
        <f>Test_Bible!P171</f>
        <v/>
      </c>
      <c r="F109" s="822">
        <f>Test_Bible!D171</f>
        <v/>
      </c>
      <c r="G109" s="823">
        <f>Test_Bible!Q171</f>
        <v/>
      </c>
      <c r="H109" s="1710" t="n">
        <v>4</v>
      </c>
      <c r="I109" s="1703" t="n">
        <v>10</v>
      </c>
      <c r="J109" s="46">
        <f>IF(AND(E109&gt;=H109,E109&lt;=I109),TRUE,FALSE)</f>
        <v/>
      </c>
      <c r="K109" s="46" t="n"/>
      <c r="L109" s="46" t="n"/>
      <c r="M109" s="46" t="n"/>
      <c r="N109" s="1711" t="n"/>
      <c r="O109" s="1710" t="n">
        <v>4</v>
      </c>
      <c r="P109" s="1703" t="n">
        <v>7</v>
      </c>
      <c r="Q109" s="1711">
        <f>IF(AND(E109&gt;=O109,E109&lt;=P109),TRUE,FALSE)</f>
        <v/>
      </c>
      <c r="R109" s="1735" t="n">
        <v>11</v>
      </c>
      <c r="S109" s="1736" t="n">
        <v>11</v>
      </c>
      <c r="T109" s="1711">
        <f>IF(AND(E109&gt;=R109,E109&lt;=S109),TRUE,FALSE)</f>
        <v/>
      </c>
      <c r="U109" s="1681" t="n"/>
      <c r="V109" s="1484" t="n"/>
      <c r="W109" s="1485" t="n">
        <v>4</v>
      </c>
      <c r="X109" s="2029" t="n"/>
      <c r="Y109" s="1489" t="n">
        <v>2</v>
      </c>
      <c r="Z109" s="2029" t="n"/>
      <c r="AA109" s="1497" t="n">
        <v>11</v>
      </c>
      <c r="AC109" s="1011" t="n"/>
      <c r="AD109" s="1012" t="n"/>
      <c r="AE109" s="1011" t="n"/>
      <c r="AF109" s="1012" t="n"/>
      <c r="AG109" s="1011" t="n"/>
      <c r="AH109" s="1012" t="n"/>
      <c r="AJ109" s="10" t="n"/>
      <c r="AK109" s="10" t="n"/>
      <c r="AL109" s="10" t="n"/>
      <c r="AR109" s="849" t="n"/>
      <c r="AS109" s="111" t="n"/>
      <c r="AT109" s="487" t="n"/>
      <c r="AU109" s="114" t="n"/>
      <c r="AV109" s="491" t="n"/>
      <c r="AW109" s="114" t="n"/>
      <c r="AX109" s="492" t="n"/>
      <c r="AY109" s="488" t="n"/>
    </row>
    <row r="110" ht="53" customHeight="1">
      <c r="A110" s="854" t="n"/>
      <c r="B110" s="421">
        <f>'Action-Réaction finale'!G19</f>
        <v/>
      </c>
      <c r="C110" s="799">
        <f>Test_Bible!B172</f>
        <v/>
      </c>
      <c r="D110" s="102" t="inlineStr">
        <is>
          <t>déforme les souvenirs</t>
        </is>
      </c>
      <c r="E110" s="823">
        <f>Test_Bible!P172</f>
        <v/>
      </c>
      <c r="F110" s="822">
        <f>Test_Bible!D172</f>
        <v/>
      </c>
      <c r="G110" s="823">
        <f>Test_Bible!Q172</f>
        <v/>
      </c>
      <c r="H110" s="1710" t="n">
        <v>2</v>
      </c>
      <c r="I110" s="1703" t="n">
        <v>10</v>
      </c>
      <c r="J110" s="46">
        <f>IF(AND(E110&gt;=H110,E110&lt;=I110),TRUE,FALSE)</f>
        <v/>
      </c>
      <c r="K110" s="46" t="n"/>
      <c r="L110" s="46" t="n"/>
      <c r="M110" s="46" t="n"/>
      <c r="N110" s="1711" t="n"/>
      <c r="O110" s="1735" t="n">
        <v>11</v>
      </c>
      <c r="P110" s="1736" t="n">
        <v>11</v>
      </c>
      <c r="Q110" s="1711">
        <f>IF(AND(E110&gt;=O110,E110&lt;=P110),TRUE,FALSE)</f>
        <v/>
      </c>
      <c r="R110" s="1735" t="n">
        <v>11</v>
      </c>
      <c r="S110" s="1736" t="n">
        <v>11</v>
      </c>
      <c r="T110" s="1711">
        <f>IF(AND(E110&gt;=R110,E110&lt;=S110),TRUE,FALSE)</f>
        <v/>
      </c>
      <c r="U110" s="978" t="n"/>
      <c r="V110" s="1487" t="inlineStr">
        <is>
          <t>ou</t>
        </is>
      </c>
      <c r="W110" s="1492" t="n">
        <v>2</v>
      </c>
      <c r="X110" s="1493" t="n"/>
      <c r="Y110" s="1508" t="n">
        <v>11</v>
      </c>
      <c r="Z110" s="1493" t="n"/>
      <c r="AA110" s="1502" t="n">
        <v>11</v>
      </c>
      <c r="AC110" s="1013" t="n"/>
      <c r="AD110" s="1014" t="n"/>
      <c r="AE110" s="1013" t="n"/>
      <c r="AF110" s="1014" t="n"/>
      <c r="AG110" s="1013" t="n"/>
      <c r="AH110" s="1014" t="n"/>
      <c r="AJ110" s="10" t="n"/>
      <c r="AK110" s="10" t="n"/>
      <c r="AL110" s="10" t="n"/>
      <c r="AR110" s="849" t="n"/>
      <c r="AS110" s="111" t="n"/>
      <c r="AT110" s="487" t="n"/>
      <c r="AU110" s="114" t="n"/>
      <c r="AV110" s="491" t="n"/>
      <c r="AW110" s="114" t="n"/>
      <c r="AX110" s="492" t="n"/>
      <c r="AY110" s="488" t="n"/>
    </row>
    <row r="111" ht="62" customHeight="1">
      <c r="B111" s="825" t="inlineStr">
        <is>
          <t>Max PFA</t>
        </is>
      </c>
      <c r="C111" s="826">
        <f>_xlfn.XLOOKUP(G111,G109:G110,C109:C110)</f>
        <v/>
      </c>
      <c r="D111" s="827">
        <f>_xlfn.XLOOKUP(G111,G109:G110,D109:D110)</f>
        <v/>
      </c>
      <c r="E111" s="828" t="n"/>
      <c r="F111" s="828" t="n"/>
      <c r="G111" s="828">
        <f>IF(AND(J109=TRUE,J110=FALSE),G109,IF(AND(J109=FALSE,J110=TRUE),G110,MAX(G109,G110)))</f>
        <v/>
      </c>
      <c r="H111" s="1712" t="n"/>
      <c r="I111" s="829" t="n"/>
      <c r="J111" s="830">
        <f>IF(AND(J109=FALSE,J110=FALSE),FALSE,TRUE)</f>
        <v/>
      </c>
      <c r="K111" s="46" t="n"/>
      <c r="L111" s="46" t="n"/>
      <c r="M111" s="46" t="n"/>
      <c r="N111" s="1711" t="n"/>
      <c r="O111" s="1712" t="n"/>
      <c r="P111" s="829" t="n"/>
      <c r="Q111" s="1725">
        <f>IF(AND(Q109=FALSE,Q110=FALSE),FALSE,TRUE)</f>
        <v/>
      </c>
      <c r="R111" s="1712" t="n"/>
      <c r="S111" s="829" t="n"/>
      <c r="T111" s="1725">
        <f>IF(AND(T109=FALSE,T110=FALSE),FALSE,TRUE)</f>
        <v/>
      </c>
      <c r="U111" s="978" t="n"/>
      <c r="V111" s="978" t="inlineStr">
        <is>
          <t>ou</t>
        </is>
      </c>
      <c r="W111" s="1473" t="n"/>
      <c r="X111" s="2002" t="n"/>
      <c r="Y111" s="1478" t="n"/>
      <c r="Z111" s="2002" t="n"/>
      <c r="AA111" s="1481" t="n"/>
      <c r="AC111" s="1013" t="n"/>
      <c r="AD111" s="1014" t="n"/>
      <c r="AE111" s="1013" t="n"/>
      <c r="AF111" s="1014" t="n"/>
      <c r="AG111" s="1013" t="n"/>
      <c r="AH111" s="1014" t="n"/>
      <c r="AJ111" s="10" t="n"/>
      <c r="AK111" s="10" t="n"/>
      <c r="AL111" s="10" t="n"/>
      <c r="AR111" s="849" t="n"/>
      <c r="AS111" s="111" t="n"/>
      <c r="AT111" s="487" t="n"/>
      <c r="AU111" s="114" t="n"/>
      <c r="AV111" s="491" t="n"/>
      <c r="AW111" s="114" t="n"/>
      <c r="AX111" s="492" t="n"/>
      <c r="AY111" s="488" t="n"/>
    </row>
    <row r="112" ht="32" customHeight="1">
      <c r="B112" s="53" t="n"/>
      <c r="C112" s="2066" t="n"/>
      <c r="D112" s="102" t="n"/>
      <c r="E112" s="823" t="n"/>
      <c r="F112" s="822" t="n"/>
      <c r="G112" s="823" t="n"/>
      <c r="H112" s="1735" t="n">
        <v>11</v>
      </c>
      <c r="I112" s="1736" t="n">
        <v>11</v>
      </c>
      <c r="J112" s="46">
        <f>IF(AND(E112&gt;=H112,E112&lt;=I112),TRUE,FALSE)</f>
        <v/>
      </c>
      <c r="K112" s="46" t="n"/>
      <c r="L112" s="46" t="n"/>
      <c r="M112" s="46" t="n"/>
      <c r="N112" s="1711" t="n"/>
      <c r="O112" s="1735" t="n">
        <v>11</v>
      </c>
      <c r="P112" s="1736" t="n">
        <v>11</v>
      </c>
      <c r="Q112" s="1711">
        <f>IF(AND(E112&gt;=O112,E112&lt;=P112),TRUE,FALSE)</f>
        <v/>
      </c>
      <c r="R112" s="1735" t="n">
        <v>11</v>
      </c>
      <c r="S112" s="1736" t="n">
        <v>11</v>
      </c>
      <c r="T112" s="1711">
        <f>IF(AND(E112&gt;=R112,E112&lt;=S112),TRUE,FALSE)</f>
        <v/>
      </c>
      <c r="U112" s="978" t="n"/>
      <c r="V112" s="1484" t="n"/>
      <c r="W112" s="1503" t="n">
        <v>11</v>
      </c>
      <c r="X112" s="1504" t="n"/>
      <c r="Y112" s="1505" t="n">
        <v>11</v>
      </c>
      <c r="Z112" s="1504" t="n"/>
      <c r="AA112" s="1497" t="n">
        <v>11</v>
      </c>
      <c r="AC112" s="1013" t="n"/>
      <c r="AD112" s="1014" t="n"/>
      <c r="AE112" s="1013" t="n"/>
      <c r="AF112" s="1014" t="n"/>
      <c r="AG112" s="1013" t="n"/>
      <c r="AH112" s="1014" t="n"/>
      <c r="AJ112" s="10" t="n"/>
      <c r="AK112" s="10" t="n"/>
      <c r="AL112" s="10" t="n"/>
      <c r="AR112" s="849" t="n"/>
      <c r="AS112" s="111" t="n"/>
      <c r="AT112" s="487" t="n"/>
      <c r="AU112" s="114" t="n"/>
      <c r="AV112" s="491" t="n"/>
      <c r="AW112" s="114" t="n"/>
      <c r="AX112" s="492" t="n"/>
      <c r="AY112" s="488" t="n"/>
    </row>
    <row r="113" ht="32" customHeight="1">
      <c r="B113" s="53" t="n"/>
      <c r="C113" s="2066" t="n"/>
      <c r="D113" s="63" t="n"/>
      <c r="E113" s="36" t="n"/>
      <c r="F113" s="36" t="n"/>
      <c r="G113" s="36" t="n"/>
      <c r="H113" s="1735" t="n">
        <v>11</v>
      </c>
      <c r="I113" s="1736" t="n">
        <v>11</v>
      </c>
      <c r="J113" s="46">
        <f>IF(AND(E113&gt;=H113,E113&lt;=I113),TRUE,FALSE)</f>
        <v/>
      </c>
      <c r="K113" s="46" t="n"/>
      <c r="L113" s="46" t="n"/>
      <c r="M113" s="46" t="n"/>
      <c r="N113" s="1711" t="n"/>
      <c r="O113" s="1735" t="n">
        <v>11</v>
      </c>
      <c r="P113" s="1736" t="n">
        <v>11</v>
      </c>
      <c r="Q113" s="1711">
        <f>IF(AND(E113&gt;=O113,E113&lt;=P113),TRUE,FALSE)</f>
        <v/>
      </c>
      <c r="R113" s="1735" t="n">
        <v>11</v>
      </c>
      <c r="S113" s="1736" t="n">
        <v>11</v>
      </c>
      <c r="T113" s="1711">
        <f>IF(AND(E113&gt;=R113,E113&lt;=S113),TRUE,FALSE)</f>
        <v/>
      </c>
      <c r="U113" s="978" t="n"/>
      <c r="V113" s="1487" t="inlineStr">
        <is>
          <t>ou</t>
        </is>
      </c>
      <c r="W113" s="1506" t="n">
        <v>11</v>
      </c>
      <c r="X113" s="1507" t="n"/>
      <c r="Y113" s="1508" t="n">
        <v>11</v>
      </c>
      <c r="Z113" s="1507" t="n"/>
      <c r="AA113" s="1502" t="n">
        <v>11</v>
      </c>
      <c r="AC113" s="1013" t="n"/>
      <c r="AD113" s="1014" t="n"/>
      <c r="AE113" s="1013" t="n"/>
      <c r="AF113" s="1014" t="n"/>
      <c r="AG113" s="1013" t="n"/>
      <c r="AH113" s="1014" t="n"/>
      <c r="AJ113" s="10" t="n"/>
      <c r="AK113" s="10" t="n"/>
      <c r="AL113" s="10" t="n"/>
      <c r="AQ113" s="7" t="n"/>
      <c r="AR113" s="849" t="n"/>
      <c r="AS113" s="111" t="n"/>
      <c r="AT113" s="487" t="n"/>
      <c r="AU113" s="114" t="n"/>
      <c r="AV113" s="491" t="n"/>
      <c r="AW113" s="114" t="n"/>
      <c r="AX113" s="492" t="n"/>
      <c r="AY113" s="488" t="n"/>
    </row>
    <row r="114" ht="32" customHeight="1" thickBot="1">
      <c r="B114" s="831" t="inlineStr">
        <is>
          <t>Max NC</t>
        </is>
      </c>
      <c r="C114" s="832">
        <f>_xlfn.XLOOKUP(G114,G112:G113,C112:C113)</f>
        <v/>
      </c>
      <c r="D114" s="833">
        <f>_xlfn.XLOOKUP(G114,G112:G113,D112:D113)</f>
        <v/>
      </c>
      <c r="E114" s="834" t="n"/>
      <c r="F114" s="834" t="n"/>
      <c r="G114" s="834">
        <f>IF(AND(J112=TRUE,J113=FALSE),G112,IF(AND(J112=FALSE,J113=TRUE),G113,MAX(G112,G113)))</f>
        <v/>
      </c>
      <c r="H114" s="1713" t="n"/>
      <c r="I114" s="835" t="n"/>
      <c r="J114" s="836">
        <f>IF(AND(J112=FALSE,J113=FALSE),FALSE,TRUE)</f>
        <v/>
      </c>
      <c r="K114" s="46" t="n"/>
      <c r="L114" s="46" t="n"/>
      <c r="M114" s="46" t="n"/>
      <c r="N114" s="1711" t="n"/>
      <c r="O114" s="1713" t="n"/>
      <c r="P114" s="835" t="n"/>
      <c r="Q114" s="1726">
        <f>IF(AND(Q112=FALSE,Q113=FALSE),FALSE,TRUE)</f>
        <v/>
      </c>
      <c r="R114" s="1713" t="n"/>
      <c r="S114" s="835" t="n"/>
      <c r="T114" s="1726">
        <f>IF(AND(T112=FALSE,T113=FALSE),FALSE,TRUE)</f>
        <v/>
      </c>
      <c r="U114" s="978" t="n"/>
      <c r="V114" s="978" t="n"/>
      <c r="W114" s="1473" t="n"/>
      <c r="X114" s="2002" t="n"/>
      <c r="Y114" s="1478" t="n"/>
      <c r="Z114" s="2002" t="n"/>
      <c r="AA114" s="1481" t="n"/>
      <c r="AC114" s="1013" t="n"/>
      <c r="AD114" s="1014" t="n"/>
      <c r="AE114" s="1013" t="n"/>
      <c r="AF114" s="1014" t="n"/>
      <c r="AG114" s="1013" t="n"/>
      <c r="AH114" s="1014" t="n"/>
      <c r="AJ114" s="10" t="n"/>
      <c r="AK114" s="10" t="n"/>
      <c r="AL114" s="10" t="n"/>
      <c r="AQ114" s="7" t="n"/>
      <c r="AR114" s="849" t="n"/>
      <c r="AS114" s="111" t="n"/>
      <c r="AT114" s="487" t="n"/>
      <c r="AU114" s="114" t="n"/>
      <c r="AV114" s="491" t="n"/>
      <c r="AW114" s="114" t="n"/>
      <c r="AX114" s="492" t="n"/>
      <c r="AY114" s="488" t="n"/>
    </row>
    <row r="115" ht="32" customHeight="1" thickBot="1">
      <c r="B115" s="837" t="inlineStr">
        <is>
          <t>Max PFA &amp; NC</t>
        </is>
      </c>
      <c r="C115" s="838" t="n"/>
      <c r="D115" s="838">
        <f>IF(G115=G111,D111,D114)</f>
        <v/>
      </c>
      <c r="E115" s="839" t="n"/>
      <c r="F115" s="839" t="n"/>
      <c r="G115" s="839">
        <f>IF(AND(J111=TRUE,J114=FALSE),G111,IF(AND(J111=FALSE,J114=TRUE),G114,IF(AND(J111=TRUE,J114=TRUE),G111+G114,MAX(G111,G114))))</f>
        <v/>
      </c>
      <c r="H115" s="1714" t="n"/>
      <c r="I115" s="840" t="n"/>
      <c r="J115" s="841">
        <f>IF(AND(J111=FALSE,J114=FALSE),FALSE,TRUE)</f>
        <v/>
      </c>
      <c r="K115" s="1698" t="n"/>
      <c r="L115" s="1698" t="n"/>
      <c r="M115" s="1698" t="n"/>
      <c r="N115" s="1715" t="n"/>
      <c r="O115" s="1714" t="n"/>
      <c r="P115" s="840" t="n"/>
      <c r="Q115" s="841">
        <f>IF(AND(Q111=FALSE,Q114=FALSE),FALSE,TRUE)</f>
        <v/>
      </c>
      <c r="R115" s="1714" t="n"/>
      <c r="S115" s="840" t="n"/>
      <c r="T115" s="841">
        <f>IF(AND(T111=FALSE,T114=FALSE),FALSE,TRUE)</f>
        <v/>
      </c>
      <c r="U115" s="978" t="n"/>
      <c r="V115" s="978" t="inlineStr">
        <is>
          <t>et</t>
        </is>
      </c>
      <c r="W115" s="1473" t="n"/>
      <c r="X115" s="2002" t="n"/>
      <c r="Y115" s="1478" t="n"/>
      <c r="Z115" s="2002" t="n"/>
      <c r="AA115" s="1481" t="n"/>
      <c r="AC115" s="1013">
        <f>IF(J115=TRUE,"V","F")</f>
        <v/>
      </c>
      <c r="AD115" s="1014" t="n"/>
      <c r="AE115" s="1013">
        <f>IF(Q115=TRUE,"V","F")</f>
        <v/>
      </c>
      <c r="AF115" s="1014" t="n"/>
      <c r="AG115" s="1013">
        <f>IF(T115=TRUE,"V","F")</f>
        <v/>
      </c>
      <c r="AH115" s="1014" t="n"/>
      <c r="AI115">
        <f>IF(OR(AC115="V",AE115="V"),IF(G114&gt;G111,"Le NC contribue plus que le coparent","Le coparent joue un plus grand rôle que le NC"),"pas de contexte significatif de la part du coparent et NC")</f>
        <v/>
      </c>
      <c r="AJ115" s="10" t="n"/>
      <c r="AK115" s="10" t="n"/>
      <c r="AL115" s="10" t="n"/>
      <c r="AQ115" s="7" t="n"/>
      <c r="AR115" s="849" t="n"/>
      <c r="AS115" s="111" t="n"/>
      <c r="AT115" s="487" t="n"/>
      <c r="AU115" s="114" t="n"/>
      <c r="AV115" s="491" t="n"/>
      <c r="AW115" s="114" t="n"/>
      <c r="AX115" s="492" t="n"/>
      <c r="AY115" s="488" t="n"/>
    </row>
    <row r="116" ht="51" customHeight="1">
      <c r="B116" s="316">
        <f>'Action-Réaction finale'!O19</f>
        <v/>
      </c>
      <c r="C116" s="2066">
        <f>Test_Bible!B300</f>
        <v/>
      </c>
      <c r="D116" s="102" t="inlineStr">
        <is>
          <t>déforme les souvenirs</t>
        </is>
      </c>
      <c r="E116" s="823">
        <f>Test_Bible!P300</f>
        <v/>
      </c>
      <c r="F116" s="822">
        <f>Test_Bible!D300</f>
        <v/>
      </c>
      <c r="G116" s="823">
        <f>Test_Bible!Q300</f>
        <v/>
      </c>
      <c r="H116" s="1710" t="n">
        <v>2</v>
      </c>
      <c r="I116" s="1703">
        <f>$I$18</f>
        <v/>
      </c>
      <c r="J116" s="46">
        <f>IF(AND(E116&gt;=H116,E116&lt;=I116),TRUE,FALSE)</f>
        <v/>
      </c>
      <c r="K116" s="46" t="n"/>
      <c r="L116" s="46" t="n"/>
      <c r="M116" s="46" t="n"/>
      <c r="N116" s="1711" t="n"/>
      <c r="O116" s="1735" t="n">
        <v>11</v>
      </c>
      <c r="P116" s="1736" t="n">
        <v>11</v>
      </c>
      <c r="Q116" s="1711">
        <f>IF(AND(E116&gt;=O116,E116&lt;=P116),TRUE,FALSE)</f>
        <v/>
      </c>
      <c r="R116" s="1710" t="n"/>
      <c r="S116" s="1703" t="n"/>
      <c r="T116" s="1711" t="n"/>
      <c r="U116" s="978" t="n"/>
      <c r="V116" s="1484" t="n"/>
      <c r="W116" s="1485" t="n">
        <v>4</v>
      </c>
      <c r="X116" s="2029" t="n"/>
      <c r="Y116" s="1505" t="n">
        <v>11</v>
      </c>
      <c r="Z116" s="2029" t="n"/>
      <c r="AA116" s="1497" t="n">
        <v>11</v>
      </c>
      <c r="AC116" s="1013" t="inlineStr">
        <is>
          <t> </t>
        </is>
      </c>
      <c r="AD116" s="1014" t="n"/>
      <c r="AE116" s="1013" t="n"/>
      <c r="AF116" s="1014" t="n"/>
      <c r="AG116" s="1013" t="n"/>
      <c r="AH116" s="1014" t="n"/>
      <c r="AJ116" s="10" t="n"/>
      <c r="AK116" s="10" t="n"/>
      <c r="AL116" s="10" t="n"/>
      <c r="AR116" s="849" t="n"/>
      <c r="AS116" s="111" t="n"/>
      <c r="AT116" s="487" t="n"/>
      <c r="AU116" s="114" t="n"/>
      <c r="AV116" s="491" t="n"/>
      <c r="AW116" s="114" t="n"/>
      <c r="AX116" s="492" t="n"/>
      <c r="AY116" s="488" t="n"/>
    </row>
    <row r="117" ht="32" customHeight="1" thickBot="1">
      <c r="B117" s="316" t="n"/>
      <c r="C117" s="2066" t="n"/>
      <c r="D117" s="102" t="n"/>
      <c r="E117" s="823" t="n"/>
      <c r="F117" s="822" t="n"/>
      <c r="G117" s="823" t="n"/>
      <c r="H117" s="1735" t="n">
        <v>11</v>
      </c>
      <c r="I117" s="1736" t="n">
        <v>11</v>
      </c>
      <c r="J117" s="46">
        <f>IF(AND(E117&gt;=H117,E117&lt;=I117),TRUE,FALSE)</f>
        <v/>
      </c>
      <c r="K117" s="46" t="n"/>
      <c r="L117" s="46" t="n"/>
      <c r="M117" s="46" t="n"/>
      <c r="N117" s="1711" t="n"/>
      <c r="O117" s="1735" t="n">
        <v>11</v>
      </c>
      <c r="P117" s="1736" t="n">
        <v>11</v>
      </c>
      <c r="Q117" s="1711">
        <f>IF(AND(E117&gt;=O117,E117&lt;=P117),TRUE,FALSE)</f>
        <v/>
      </c>
      <c r="R117" s="1735" t="n"/>
      <c r="S117" s="1736" t="n"/>
      <c r="T117" s="1711" t="n"/>
      <c r="U117" s="978" t="n"/>
      <c r="V117" s="1487" t="inlineStr">
        <is>
          <t>ou</t>
        </is>
      </c>
      <c r="W117" s="1506" t="n">
        <v>11</v>
      </c>
      <c r="X117" s="1507" t="n"/>
      <c r="Y117" s="1508" t="n">
        <v>11</v>
      </c>
      <c r="Z117" s="1507" t="n"/>
      <c r="AA117" s="1502" t="n">
        <v>11</v>
      </c>
      <c r="AC117" s="1013" t="n"/>
      <c r="AD117" s="1014" t="n"/>
      <c r="AE117" s="1013" t="n"/>
      <c r="AF117" s="1014" t="n"/>
      <c r="AG117" s="1013" t="n"/>
      <c r="AH117" s="1014" t="n"/>
      <c r="AJ117" s="10" t="n"/>
      <c r="AK117" s="10" t="n"/>
      <c r="AL117" s="10" t="n"/>
      <c r="AR117" s="849" t="n"/>
      <c r="AS117" s="111" t="n"/>
      <c r="AT117" s="487" t="n"/>
      <c r="AU117" s="114" t="n"/>
      <c r="AV117" s="491" t="n"/>
      <c r="AW117" s="114" t="n"/>
      <c r="AX117" s="492" t="n"/>
      <c r="AY117" s="488" t="n"/>
    </row>
    <row r="118" ht="32" customHeight="1" thickBot="1">
      <c r="B118" s="842" t="inlineStr">
        <is>
          <t>Max Enf</t>
        </is>
      </c>
      <c r="C118" s="843">
        <f>_xlfn.XLOOKUP(G118,G116:G117,C116:C117)</f>
        <v/>
      </c>
      <c r="D118" s="843">
        <f>_xlfn.XLOOKUP(G118,G116:G117,D116:D117)</f>
        <v/>
      </c>
      <c r="E118" s="844" t="n"/>
      <c r="F118" s="844" t="n"/>
      <c r="G118" s="844">
        <f>IF(AND(J116=TRUE,J117=FALSE),G116,IF(AND(J116=FALSE,J117=TRUE),G117,MAX(G116,G117)))</f>
        <v/>
      </c>
      <c r="H118" s="1716" t="n"/>
      <c r="I118" s="845" t="n"/>
      <c r="J118" s="846">
        <f>IF(AND(J116=FALSE,J117=FALSE),FALSE,TRUE)</f>
        <v/>
      </c>
      <c r="K118" s="1699" t="n"/>
      <c r="L118" s="1699" t="n"/>
      <c r="M118" s="1699" t="n"/>
      <c r="N118" s="1717" t="n"/>
      <c r="O118" s="1716" t="n"/>
      <c r="P118" s="845" t="n"/>
      <c r="Q118" s="846">
        <f>IF(AND(Q116=FALSE,Q117=FALSE),FALSE,TRUE)</f>
        <v/>
      </c>
      <c r="R118" s="1716" t="n"/>
      <c r="S118" s="845" t="n"/>
      <c r="T118" s="846" t="n"/>
      <c r="U118" s="978" t="n"/>
      <c r="V118" s="978" t="n"/>
      <c r="W118" s="1475" t="n"/>
      <c r="Y118" s="1479" t="n"/>
      <c r="AA118" s="1483" t="n"/>
      <c r="AC118" s="1013">
        <f>IF(J118=TRUE,"V","F")</f>
        <v/>
      </c>
      <c r="AD118" s="1014" t="n"/>
      <c r="AE118" s="1013">
        <f>IF(Q118=TRUE,"V","F")</f>
        <v/>
      </c>
      <c r="AF118" s="1014" t="n"/>
      <c r="AG118" s="1013" t="n"/>
      <c r="AH118" s="1014" t="n"/>
      <c r="AJ118" s="10" t="n"/>
      <c r="AK118" s="10" t="n"/>
      <c r="AL118" s="10" t="n"/>
      <c r="AR118" s="849" t="n"/>
      <c r="AS118" s="111" t="n"/>
      <c r="AT118" s="487" t="n"/>
      <c r="AU118" s="114" t="n"/>
      <c r="AV118" s="491" t="n"/>
      <c r="AW118" s="114" t="n"/>
      <c r="AX118" s="492" t="n"/>
      <c r="AY118" s="488" t="n"/>
    </row>
    <row r="119" ht="32" customHeight="1">
      <c r="C119" s="428" t="inlineStr">
        <is>
          <t>COMPARATIF Comportement PFA-Enf</t>
        </is>
      </c>
      <c r="D119" s="2058" t="n"/>
      <c r="E119" s="484" t="inlineStr">
        <is>
          <t>Valeur =&gt;</t>
        </is>
      </c>
      <c r="F119" s="48" t="n"/>
      <c r="G119" s="48">
        <f>G111+G114+G118</f>
        <v/>
      </c>
      <c r="H119" s="1718" t="n"/>
      <c r="I119" s="485" t="n"/>
      <c r="J119" s="1701" t="n"/>
      <c r="K119" s="1702">
        <f>IF(AND(J118=TRUE,J115=TRUE),D118,"")</f>
        <v/>
      </c>
      <c r="L119" s="1702">
        <f>IF(AND(J115=TRUE,J118=FALSE),"Bien que le parent "&amp;D115&amp;" l'enfant ne semble pas s'ingérer","")</f>
        <v/>
      </c>
      <c r="M119" s="1702">
        <f>IF(AND(J115=FALSE,J118=TRUE),D118&amp;" sans signe de la participation du parent favorisé et|ou nouveau conjoint.e","")</f>
        <v/>
      </c>
      <c r="N119" s="1719">
        <f>IF(AND(J115=FALSE,J118=FALSE),"aucun comportement significatif de cette nature","")</f>
        <v/>
      </c>
      <c r="O119" s="1718" t="n"/>
      <c r="P119" s="485" t="n"/>
      <c r="Q119" s="1727" t="n"/>
      <c r="R119" s="1718" t="n"/>
      <c r="S119" s="485" t="n"/>
      <c r="T119" s="1727" t="n"/>
      <c r="U119" s="980" t="n"/>
      <c r="V119" s="980" t="n"/>
      <c r="W119" s="1475" t="n"/>
      <c r="Y119" s="1479" t="n"/>
      <c r="AA119" s="1483" t="n"/>
      <c r="AC119" s="1015" t="n"/>
      <c r="AD119" s="1016">
        <f>IF(AND(AC115="V",AC118="V"),2,IF(OR(AC115="V",AC118="V"),1,0))</f>
        <v/>
      </c>
      <c r="AE119" s="1015" t="n"/>
      <c r="AF119" s="1016">
        <f>IF(OR(AE115="V",AE118="V"),1,0)</f>
        <v/>
      </c>
      <c r="AG119" s="1015" t="n"/>
      <c r="AH119" s="1016" t="n"/>
      <c r="AJ119" s="10" t="n"/>
      <c r="AK119" s="10" t="n"/>
      <c r="AL119" s="10" t="n"/>
      <c r="AR119" s="849" t="n"/>
      <c r="AS119" s="111" t="n"/>
      <c r="AT119" s="487" t="n"/>
      <c r="AU119" s="114" t="n"/>
      <c r="AV119" s="491" t="n"/>
      <c r="AW119" s="114" t="n"/>
      <c r="AX119" s="492" t="n"/>
      <c r="AY119" s="488" t="n"/>
    </row>
    <row r="120" ht="32" customHeight="1">
      <c r="B120" t="inlineStr">
        <is>
          <t>PCR</t>
        </is>
      </c>
      <c r="H120" s="147" t="n"/>
      <c r="K120" s="1992" t="n"/>
      <c r="L120" s="1992" t="n"/>
      <c r="M120" s="1992" t="n"/>
      <c r="N120" s="1740" t="n"/>
      <c r="O120" s="147" t="n"/>
      <c r="Q120" s="330" t="n"/>
      <c r="R120" s="147" t="n"/>
      <c r="T120" s="330" t="n"/>
      <c r="U120" s="1992" t="n"/>
      <c r="W120" s="1475" t="n"/>
      <c r="Y120" s="1479" t="n"/>
      <c r="AA120" s="1483" t="n"/>
      <c r="AC120" s="1013" t="n"/>
      <c r="AD120" s="1014" t="n"/>
      <c r="AE120" s="1013" t="n"/>
      <c r="AF120" s="1014" t="n"/>
      <c r="AG120" s="1013" t="n"/>
      <c r="AH120" s="1014" t="n"/>
      <c r="AJ120" s="10" t="n"/>
      <c r="AK120" s="10" t="n"/>
      <c r="AL120" s="10" t="n"/>
      <c r="AR120" s="849" t="n"/>
      <c r="AS120" s="111" t="n"/>
      <c r="AT120" s="487" t="n"/>
      <c r="AU120" s="114" t="n"/>
      <c r="AV120" s="491" t="n"/>
      <c r="AW120" s="114" t="n"/>
      <c r="AX120" s="492" t="n"/>
      <c r="AY120" s="488" t="n"/>
    </row>
    <row r="121" ht="32" customHeight="1">
      <c r="B121" s="1017" t="n"/>
      <c r="C121" s="1025" t="n"/>
      <c r="D121" s="1018" t="n"/>
      <c r="E121" s="1026" t="n"/>
      <c r="F121" s="1026" t="n"/>
      <c r="G121" s="1026" t="n"/>
      <c r="H121" s="1735" t="n">
        <v>11</v>
      </c>
      <c r="I121" s="1736" t="n">
        <v>11</v>
      </c>
      <c r="J121" s="46">
        <f>IF(AND(E121&gt;=H121,E121&lt;=I121),TRUE,FALSE)</f>
        <v/>
      </c>
      <c r="K121" s="33" t="n"/>
      <c r="L121" s="33" t="n"/>
      <c r="M121" s="33" t="n"/>
      <c r="N121" s="1720" t="n"/>
      <c r="O121" s="1735" t="n">
        <v>11</v>
      </c>
      <c r="P121" s="1736" t="n">
        <v>11</v>
      </c>
      <c r="Q121" s="1711">
        <f>IF(AND(E121&gt;=O121,E121&lt;=P121),TRUE,FALSE)</f>
        <v/>
      </c>
      <c r="R121" s="1735" t="n">
        <v>11</v>
      </c>
      <c r="S121" s="1736" t="n">
        <v>11</v>
      </c>
      <c r="T121" s="1711">
        <f>IF(AND(E121&gt;=R121,E121&lt;=S121),TRUE,FALSE)</f>
        <v/>
      </c>
      <c r="U121" s="1992" t="n"/>
      <c r="V121" s="1509" t="n"/>
      <c r="W121" s="1503" t="n">
        <v>11</v>
      </c>
      <c r="X121" s="1504" t="n"/>
      <c r="Y121" s="1505" t="n">
        <v>11</v>
      </c>
      <c r="Z121" s="1504" t="n"/>
      <c r="AA121" s="1497" t="n">
        <v>11</v>
      </c>
      <c r="AC121" s="1013" t="n"/>
      <c r="AD121" s="1014" t="n"/>
      <c r="AE121" s="1013" t="n"/>
      <c r="AF121" s="1014" t="n"/>
      <c r="AG121" s="1013" t="n"/>
      <c r="AH121" s="1014" t="n"/>
      <c r="AJ121" s="10" t="n"/>
      <c r="AK121" s="10" t="n"/>
      <c r="AL121" s="10" t="n"/>
      <c r="AR121" s="849" t="n"/>
      <c r="AS121" s="111" t="n"/>
      <c r="AT121" s="487" t="n"/>
      <c r="AU121" s="114" t="n"/>
      <c r="AV121" s="491" t="n"/>
      <c r="AW121" s="114" t="n"/>
      <c r="AX121" s="492" t="n"/>
      <c r="AY121" s="488" t="n"/>
    </row>
    <row r="122" ht="32" customHeight="1" thickBot="1">
      <c r="B122" s="1017" t="n"/>
      <c r="C122" s="1025" t="n"/>
      <c r="D122" s="1018" t="n"/>
      <c r="E122" s="1026" t="n"/>
      <c r="F122" s="1026" t="n"/>
      <c r="G122" s="1026" t="n"/>
      <c r="H122" s="1735" t="n">
        <v>11</v>
      </c>
      <c r="I122" s="1736" t="n">
        <v>11</v>
      </c>
      <c r="J122" s="46">
        <f>IF(AND(E122&gt;=H122,E122&lt;=I122),TRUE,FALSE)</f>
        <v/>
      </c>
      <c r="K122" s="33" t="n"/>
      <c r="L122" s="33" t="n"/>
      <c r="M122" s="33" t="n"/>
      <c r="N122" s="1720" t="n"/>
      <c r="O122" s="1735" t="n">
        <v>11</v>
      </c>
      <c r="P122" s="1736" t="n">
        <v>11</v>
      </c>
      <c r="Q122" s="1711">
        <f>IF(AND(E122&gt;=O122,E122&lt;=P122),TRUE,FALSE)</f>
        <v/>
      </c>
      <c r="R122" s="1735" t="n">
        <v>11</v>
      </c>
      <c r="S122" s="1736" t="n">
        <v>11</v>
      </c>
      <c r="T122" s="1711">
        <f>IF(AND(E122&gt;=R122,E122&lt;=S122),TRUE,FALSE)</f>
        <v/>
      </c>
      <c r="V122" s="1510" t="n"/>
      <c r="W122" s="1506" t="n">
        <v>11</v>
      </c>
      <c r="X122" s="1507" t="n"/>
      <c r="Y122" s="1508" t="n">
        <v>11</v>
      </c>
      <c r="Z122" s="1507" t="n"/>
      <c r="AA122" s="1502" t="n">
        <v>11</v>
      </c>
      <c r="AC122" s="1013" t="n"/>
      <c r="AD122" s="1014" t="n"/>
      <c r="AE122" s="1013" t="n"/>
      <c r="AF122" s="1014" t="n"/>
      <c r="AG122" s="1013" t="n"/>
      <c r="AH122" s="1014" t="n"/>
      <c r="AJ122" s="10" t="n"/>
      <c r="AK122" s="10" t="n"/>
      <c r="AL122" s="10" t="n"/>
      <c r="AR122" s="849" t="n"/>
      <c r="AS122" s="111" t="n"/>
      <c r="AT122" s="487" t="n"/>
      <c r="AU122" s="114" t="n"/>
      <c r="AV122" s="491" t="n"/>
      <c r="AW122" s="114" t="n"/>
      <c r="AX122" s="492" t="n"/>
      <c r="AY122" s="488" t="n"/>
    </row>
    <row r="123" ht="32" customHeight="1" thickBot="1">
      <c r="C123" s="2073" t="n"/>
      <c r="D123" s="2073" t="n"/>
      <c r="E123" s="90" t="n"/>
      <c r="F123" s="483" t="n"/>
      <c r="G123" s="483" t="n"/>
      <c r="H123" s="1732" t="n"/>
      <c r="I123" s="1733" t="n"/>
      <c r="J123" s="1739">
        <f>IF(AND(J121=FALSE,J122=FALSE),FALSE,TRUE)</f>
        <v/>
      </c>
      <c r="K123" s="1721" t="n"/>
      <c r="L123" s="1722" t="n"/>
      <c r="M123" s="1722" t="n"/>
      <c r="N123" s="1723" t="n"/>
      <c r="O123" s="1732" t="n"/>
      <c r="P123" s="1733" t="n"/>
      <c r="Q123" s="1739">
        <f>IF(AND(Q121=FALSE,Q122=FALSE),FALSE,TRUE)</f>
        <v/>
      </c>
      <c r="R123" s="1744" t="n"/>
      <c r="S123" s="1745" t="n"/>
      <c r="T123" s="1746">
        <f>IF(AND(T121=FALSE,T122=FALSE),FALSE,TRUE)</f>
        <v/>
      </c>
      <c r="U123" s="980" t="n"/>
      <c r="AC123" s="1650">
        <f>IF(J123=TRUE,"V","F")</f>
        <v/>
      </c>
      <c r="AD123" s="1651" t="n"/>
      <c r="AE123" s="1650">
        <f>IF(Q123=TRUE,"V","F")</f>
        <v/>
      </c>
      <c r="AF123" s="1651" t="n"/>
      <c r="AG123" s="1650">
        <f>IF(T123=TRUE,"V","F")</f>
        <v/>
      </c>
      <c r="AH123" s="1651" t="n"/>
      <c r="AJ123" s="10" t="n"/>
      <c r="AK123" s="10" t="n"/>
      <c r="AL123" s="10" t="n"/>
      <c r="AR123" s="849" t="n"/>
      <c r="AS123" s="111" t="n"/>
      <c r="AT123" s="487" t="n"/>
      <c r="AU123" s="114" t="n"/>
      <c r="AV123" s="491" t="n"/>
      <c r="AW123" s="114" t="n"/>
      <c r="AX123" s="492" t="n"/>
      <c r="AY123" s="488" t="n"/>
    </row>
    <row r="124" ht="32" customHeight="1" thickBot="1">
      <c r="C124" s="2073" t="n"/>
      <c r="D124" s="2073" t="n"/>
      <c r="E124" s="90" t="n"/>
      <c r="F124" s="483" t="n"/>
      <c r="G124" s="483" t="n"/>
      <c r="H124" s="2002" t="n"/>
      <c r="I124" s="2002" t="n"/>
      <c r="J124" s="979" t="n"/>
      <c r="K124" s="980" t="n"/>
      <c r="L124" s="980" t="n"/>
      <c r="M124" s="980" t="n"/>
      <c r="N124" s="980" t="n"/>
      <c r="O124" s="980" t="n"/>
      <c r="P124" s="980" t="n"/>
      <c r="Q124" s="980" t="n"/>
      <c r="R124" s="980" t="n"/>
      <c r="S124" s="980" t="n"/>
      <c r="T124" s="980" t="n"/>
      <c r="U124" s="980" t="n"/>
      <c r="AC124" s="1737" t="n"/>
      <c r="AD124" s="1738">
        <f>IF(AND(AC123="V",AC115="V"),AD119-1,AD119)</f>
        <v/>
      </c>
      <c r="AE124" s="1737" t="n"/>
      <c r="AF124" s="1738">
        <f>IF(OR(AE115="V",AE118="V",AE123="V"),1,0)</f>
        <v/>
      </c>
      <c r="AG124" s="1737" t="n"/>
      <c r="AH124" s="1738">
        <f>IF(AG115="V",1,IF(AG123="V",1,0))</f>
        <v/>
      </c>
      <c r="AJ124" s="10" t="n">
        <v>1</v>
      </c>
      <c r="AK124" s="10" t="n">
        <v>1</v>
      </c>
      <c r="AL124" s="10" t="n"/>
      <c r="AR124" s="849" t="n"/>
      <c r="AS124" s="111" t="n"/>
      <c r="AT124" s="487" t="n"/>
      <c r="AU124" s="114" t="n"/>
      <c r="AV124" s="491" t="n"/>
      <c r="AW124" s="114" t="n"/>
      <c r="AX124" s="492" t="n"/>
      <c r="AY124" s="488" t="n"/>
    </row>
    <row r="125" ht="32" customHeight="1">
      <c r="C125" s="2073" t="n"/>
      <c r="D125" s="2073" t="n"/>
      <c r="E125" s="90" t="n"/>
      <c r="F125" s="483" t="n"/>
      <c r="G125" s="483" t="n"/>
      <c r="H125" s="2120" t="inlineStr">
        <is>
          <t xml:space="preserve">instrumentalisation de l'enfant qui rend le actif / force la prise d'otage psycho ou physique </t>
        </is>
      </c>
      <c r="I125" s="709" t="n"/>
      <c r="J125" s="1392" t="n"/>
      <c r="K125" s="2056" t="n"/>
      <c r="L125" s="709" t="n"/>
      <c r="M125" s="709" t="n"/>
      <c r="N125" s="1707" t="n"/>
      <c r="O125" s="2121" t="inlineStr">
        <is>
          <t xml:space="preserve">compt. fragilise la relation parent-enfant ou les individus, enclenche rôle de protecteur, demande de faire un choix / choisir son camp </t>
        </is>
      </c>
      <c r="P125" s="709" t="n"/>
      <c r="Q125" s="1392" t="n"/>
      <c r="R125" s="1768" t="inlineStr">
        <is>
          <t>Est-ce que cela créé un déclencheur?</t>
        </is>
      </c>
      <c r="S125" s="1706" t="n"/>
      <c r="T125" s="1707" t="n"/>
      <c r="U125" s="980" t="n"/>
      <c r="AC125" s="1756" t="n"/>
      <c r="AD125" s="1757" t="n"/>
      <c r="AE125" s="1490" t="n"/>
      <c r="AF125" s="1490" t="n"/>
      <c r="AG125" s="1490" t="n"/>
      <c r="AH125" s="1490" t="n"/>
      <c r="AJ125" s="10" t="n"/>
      <c r="AK125" s="10" t="n"/>
      <c r="AL125" s="10" t="n"/>
      <c r="AR125" s="849" t="n"/>
      <c r="AS125" s="111" t="n"/>
      <c r="AT125" s="487" t="n"/>
      <c r="AU125" s="114" t="n"/>
      <c r="AV125" s="491" t="n"/>
      <c r="AW125" s="114" t="n"/>
      <c r="AX125" s="492" t="n"/>
      <c r="AY125" s="488" t="n"/>
    </row>
    <row r="126" ht="32" customHeight="1">
      <c r="A126" s="853" t="n">
        <v>6</v>
      </c>
      <c r="C126" s="486" t="inlineStr">
        <is>
          <t>Culpabilise l'enfant de son amour envers vous</t>
        </is>
      </c>
      <c r="D126" s="108" t="n"/>
      <c r="E126" s="66" t="n"/>
      <c r="F126" s="18" t="n"/>
      <c r="G126" s="18" t="n"/>
      <c r="H126" s="2052" t="inlineStr">
        <is>
          <t>AP</t>
        </is>
      </c>
      <c r="K126" s="2055" t="inlineStr">
        <is>
          <t>Dynamique d'AP</t>
        </is>
      </c>
      <c r="N126" s="330" t="n"/>
      <c r="O126" s="2122" t="inlineStr">
        <is>
          <t>CL</t>
        </is>
      </c>
      <c r="Q126" s="330" t="n"/>
      <c r="R126" s="2123" t="inlineStr">
        <is>
          <t>CSS</t>
        </is>
      </c>
      <c r="T126" s="330" t="n"/>
      <c r="U126" s="15" t="n"/>
      <c r="V126" s="15" t="n"/>
      <c r="AC126" s="1009" t="n"/>
      <c r="AD126" s="1009" t="n"/>
      <c r="AE126" s="1009" t="n"/>
      <c r="AF126" s="1009" t="n"/>
      <c r="AG126" s="1009" t="n"/>
      <c r="AH126" s="1010" t="n"/>
      <c r="AJ126" s="10" t="n"/>
      <c r="AK126" s="10" t="n"/>
      <c r="AL126" s="10" t="n"/>
      <c r="AR126" s="849" t="n"/>
      <c r="AS126" s="111" t="n"/>
      <c r="AT126" s="487" t="n"/>
      <c r="AU126" s="114" t="n"/>
      <c r="AV126" s="491" t="n"/>
      <c r="AW126" s="114" t="n"/>
      <c r="AX126" s="492" t="n"/>
      <c r="AY126" s="488" t="n"/>
    </row>
    <row r="127" ht="32" customHeight="1">
      <c r="C127" s="103" t="inlineStr">
        <is>
          <t>Questions et sous-questions</t>
        </is>
      </c>
      <c r="D127" s="1043" t="inlineStr">
        <is>
          <t>Texte écourté pour titrer dans les baromètres ou rapport</t>
        </is>
      </c>
      <c r="E127" s="33" t="inlineStr">
        <is>
          <t>Valeur de base
Fréquence (F)</t>
        </is>
      </c>
      <c r="F127" s="33" t="inlineStr">
        <is>
          <t>Valeur de base
intensité (I)</t>
        </is>
      </c>
      <c r="G127" s="33" t="inlineStr">
        <is>
          <t>F * I</t>
        </is>
      </c>
      <c r="H127" s="1708" t="inlineStr">
        <is>
          <t>Condition Fréq. 
&gt;= que</t>
        </is>
      </c>
      <c r="I127" s="44" t="inlineStr">
        <is>
          <t>Condition Fré
&lt;= que</t>
        </is>
      </c>
      <c r="J127" s="44" t="inlineStr">
        <is>
          <t>Condition respectée</t>
        </is>
      </c>
      <c r="K127" s="44" t="inlineStr">
        <is>
          <t>"VRAI" (PF&amp;NC) /  "VRAI" (Enf)</t>
        </is>
      </c>
      <c r="L127" s="44" t="inlineStr">
        <is>
          <t>Vrai (PF&amp;NC) /  Faux (Enf)</t>
        </is>
      </c>
      <c r="M127" s="44" t="inlineStr">
        <is>
          <t>Faux (PF&amp;NC) /  Vrai (Enf)</t>
        </is>
      </c>
      <c r="N127" s="1709" t="inlineStr">
        <is>
          <t>Faux (PF&amp;NC) /  Faux(Enf)</t>
        </is>
      </c>
      <c r="O127" s="1708" t="inlineStr">
        <is>
          <t>Condition Fréq. 
&gt;= que</t>
        </is>
      </c>
      <c r="P127" s="44" t="inlineStr">
        <is>
          <t>Condition Fré
&lt;= que</t>
        </is>
      </c>
      <c r="Q127" s="1709" t="inlineStr">
        <is>
          <t>Condition respectée</t>
        </is>
      </c>
      <c r="R127" s="1708" t="inlineStr">
        <is>
          <t>Condition Fréq. 
&gt;= que</t>
        </is>
      </c>
      <c r="S127" s="44" t="inlineStr">
        <is>
          <t>Condition Fré
&lt;= que</t>
        </is>
      </c>
      <c r="T127" s="1709" t="inlineStr">
        <is>
          <t>Condition respectée</t>
        </is>
      </c>
      <c r="U127" s="851" t="n"/>
      <c r="V127" s="1008" t="inlineStr">
        <is>
          <t>Condition</t>
        </is>
      </c>
      <c r="W127" s="1472" t="inlineStr">
        <is>
          <t>AP</t>
        </is>
      </c>
      <c r="X127" s="1008" t="inlineStr">
        <is>
          <t>Condition</t>
        </is>
      </c>
      <c r="Y127" s="1476" t="inlineStr">
        <is>
          <t>CL</t>
        </is>
      </c>
      <c r="Z127" s="1008" t="inlineStr">
        <is>
          <t>Condition</t>
        </is>
      </c>
      <c r="AA127" s="1480" t="inlineStr">
        <is>
          <t>CSS</t>
        </is>
      </c>
      <c r="AC127" s="1023" t="inlineStr">
        <is>
          <t>AP</t>
        </is>
      </c>
      <c r="AD127" s="1024" t="inlineStr">
        <is>
          <t>AP_F</t>
        </is>
      </c>
      <c r="AE127" s="1023" t="inlineStr">
        <is>
          <t>CL</t>
        </is>
      </c>
      <c r="AF127" s="1024" t="inlineStr">
        <is>
          <t>CL_F</t>
        </is>
      </c>
      <c r="AG127" s="1023" t="inlineStr">
        <is>
          <t>CSS</t>
        </is>
      </c>
      <c r="AH127" s="1024" t="inlineStr">
        <is>
          <t>CSS_F</t>
        </is>
      </c>
      <c r="AJ127" s="10" t="n"/>
      <c r="AK127" s="10" t="n"/>
      <c r="AL127" s="10" t="n"/>
      <c r="AR127" s="849" t="n"/>
      <c r="AS127" s="111" t="n"/>
      <c r="AT127" s="487" t="n"/>
      <c r="AU127" s="114" t="n"/>
      <c r="AV127" s="491" t="n"/>
      <c r="AW127" s="114" t="n"/>
      <c r="AX127" s="492" t="n"/>
      <c r="AY127" s="488" t="n"/>
    </row>
    <row r="128" ht="32" customHeight="1">
      <c r="B128" s="421">
        <f>'Action-Réaction finale'!G21</f>
        <v/>
      </c>
      <c r="C128" s="2066">
        <f>Test_Bible!B173</f>
        <v/>
      </c>
      <c r="D128" s="102" t="inlineStr">
        <is>
          <t>culpabilise l'enfant pour son amour pour vous</t>
        </is>
      </c>
      <c r="E128" s="823">
        <f>Test_Bible!P173</f>
        <v/>
      </c>
      <c r="F128" s="822">
        <f>Test_Bible!D173</f>
        <v/>
      </c>
      <c r="G128" s="823">
        <f>Test_Bible!Q173</f>
        <v/>
      </c>
      <c r="H128" s="1710" t="n">
        <v>4</v>
      </c>
      <c r="I128" s="1703" t="n">
        <v>10</v>
      </c>
      <c r="J128" s="46">
        <f>IF(AND(E128&gt;=H128,E128&lt;=I128),TRUE,FALSE)</f>
        <v/>
      </c>
      <c r="K128" s="46" t="n"/>
      <c r="L128" s="46" t="n"/>
      <c r="M128" s="46" t="n"/>
      <c r="N128" s="1711" t="n"/>
      <c r="O128" s="1710" t="n">
        <v>2</v>
      </c>
      <c r="P128" s="1703" t="n">
        <v>10</v>
      </c>
      <c r="Q128" s="1711">
        <f>IF(AND(E128&gt;=O128,E128&lt;=P128),TRUE,FALSE)</f>
        <v/>
      </c>
      <c r="R128" s="1735" t="n">
        <v>11</v>
      </c>
      <c r="S128" s="1736" t="n">
        <v>11</v>
      </c>
      <c r="T128" s="1711">
        <f>IF(AND(E128&gt;=R128,E128&lt;=S128),TRUE,FALSE)</f>
        <v/>
      </c>
      <c r="U128" s="1681" t="n"/>
      <c r="V128" s="1484" t="n"/>
      <c r="W128" s="1485" t="n">
        <v>4</v>
      </c>
      <c r="X128" s="2029" t="n"/>
      <c r="Y128" s="1489" t="n">
        <v>2</v>
      </c>
      <c r="Z128" s="2029" t="n"/>
      <c r="AA128" s="1497" t="n">
        <v>11</v>
      </c>
      <c r="AC128" s="1011" t="n"/>
      <c r="AD128" s="1012" t="n"/>
      <c r="AE128" s="1011" t="n"/>
      <c r="AF128" s="1012" t="n"/>
      <c r="AG128" s="1011" t="n"/>
      <c r="AH128" s="1012" t="n"/>
      <c r="AJ128" s="10" t="n"/>
      <c r="AK128" s="10" t="n"/>
      <c r="AL128" s="10" t="n"/>
      <c r="AR128" s="849" t="n"/>
      <c r="AS128" s="111" t="n"/>
      <c r="AT128" s="487" t="n"/>
      <c r="AU128" s="114" t="n"/>
      <c r="AV128" s="491" t="n"/>
      <c r="AW128" s="114" t="n"/>
      <c r="AX128" s="492" t="n"/>
      <c r="AY128" s="488" t="n"/>
    </row>
    <row r="129" ht="32" customHeight="1">
      <c r="B129" s="421">
        <f>'Action-Réaction finale'!G22</f>
        <v/>
      </c>
      <c r="C129" s="799">
        <f>Test_Bible!B174</f>
        <v/>
      </c>
      <c r="D129" s="102" t="inlineStr">
        <is>
          <t>boude ou se fâche devant l'enfant lorsqu'il est temps d'entrer chez vous</t>
        </is>
      </c>
      <c r="E129" s="823">
        <f>Test_Bible!P174</f>
        <v/>
      </c>
      <c r="F129" s="822">
        <f>Test_Bible!D174</f>
        <v/>
      </c>
      <c r="G129" s="823">
        <f>Test_Bible!Q174</f>
        <v/>
      </c>
      <c r="H129" s="1710" t="n">
        <v>4</v>
      </c>
      <c r="I129" s="1703" t="n">
        <v>10</v>
      </c>
      <c r="J129" s="46">
        <f>IF(AND(E129&gt;=H129,E129&lt;=I129),TRUE,FALSE)</f>
        <v/>
      </c>
      <c r="K129" s="46" t="n"/>
      <c r="L129" s="46" t="n"/>
      <c r="M129" s="46" t="n"/>
      <c r="N129" s="1711" t="n"/>
      <c r="O129" s="1710" t="n">
        <v>2</v>
      </c>
      <c r="P129" s="1703" t="n">
        <v>10</v>
      </c>
      <c r="Q129" s="1711">
        <f>IF(AND(E129&gt;=O129,E129&lt;=P129),TRUE,FALSE)</f>
        <v/>
      </c>
      <c r="R129" s="1735" t="n">
        <v>11</v>
      </c>
      <c r="S129" s="1736" t="n">
        <v>11</v>
      </c>
      <c r="T129" s="1711">
        <f>IF(AND(E129&gt;=R129,E129&lt;=S129),TRUE,FALSE)</f>
        <v/>
      </c>
      <c r="U129" s="978" t="n"/>
      <c r="V129" s="1491" t="n"/>
      <c r="W129" s="1473" t="n">
        <v>4</v>
      </c>
      <c r="X129" s="2002" t="n"/>
      <c r="Y129" s="1478" t="n">
        <v>2</v>
      </c>
      <c r="Z129" s="2002" t="n"/>
      <c r="AA129" s="1513" t="n">
        <v>11</v>
      </c>
      <c r="AC129" s="1013" t="n"/>
      <c r="AD129" s="1014" t="n"/>
      <c r="AE129" s="1013" t="n"/>
      <c r="AF129" s="1014" t="n"/>
      <c r="AG129" s="1013" t="n"/>
      <c r="AH129" s="1014" t="n"/>
      <c r="AJ129" s="10" t="n"/>
      <c r="AK129" s="10" t="n"/>
      <c r="AL129" s="10" t="n"/>
      <c r="AR129" s="849" t="n"/>
      <c r="AS129" s="111" t="n"/>
      <c r="AT129" s="487" t="n"/>
      <c r="AU129" s="114" t="n"/>
      <c r="AV129" s="491" t="n"/>
      <c r="AW129" s="114" t="n"/>
      <c r="AX129" s="492" t="n"/>
      <c r="AY129" s="488" t="n"/>
    </row>
    <row r="130" ht="32" customHeight="1">
      <c r="B130" s="421">
        <f>'Action-Réaction finale'!G23</f>
        <v/>
      </c>
      <c r="C130" s="799">
        <f>Test_Bible!B175</f>
        <v/>
      </c>
      <c r="D130" s="102" t="inlineStr">
        <is>
          <t>se fâche contre votre enfant s'il exprime de l'Affection pour vous</t>
        </is>
      </c>
      <c r="E130" s="823">
        <f>Test_Bible!P175</f>
        <v/>
      </c>
      <c r="F130" s="822">
        <f>Test_Bible!D175</f>
        <v/>
      </c>
      <c r="G130" s="823">
        <f>Test_Bible!Q175</f>
        <v/>
      </c>
      <c r="H130" s="1710" t="n">
        <v>2</v>
      </c>
      <c r="I130" s="1703" t="n">
        <v>10</v>
      </c>
      <c r="J130" s="46">
        <f>IF(AND(E130&gt;=H130,E130&lt;=I130),TRUE,FALSE)</f>
        <v/>
      </c>
      <c r="K130" s="46" t="n"/>
      <c r="L130" s="46" t="n"/>
      <c r="M130" s="46" t="n"/>
      <c r="N130" s="1711" t="n"/>
      <c r="O130" s="1710" t="n">
        <v>2</v>
      </c>
      <c r="P130" s="1703" t="n">
        <v>10</v>
      </c>
      <c r="Q130" s="1711">
        <f>IF(AND(E130&gt;=O130,E130&lt;=P130),TRUE,FALSE)</f>
        <v/>
      </c>
      <c r="R130" s="1735" t="n">
        <v>11</v>
      </c>
      <c r="S130" s="1736" t="n">
        <v>11</v>
      </c>
      <c r="T130" s="1711">
        <f>IF(AND(E130&gt;=R130,E130&lt;=S130),TRUE,FALSE)</f>
        <v/>
      </c>
      <c r="U130" s="978" t="n"/>
      <c r="V130" s="1487" t="inlineStr">
        <is>
          <t>ou</t>
        </is>
      </c>
      <c r="W130" s="1492" t="n">
        <v>2</v>
      </c>
      <c r="X130" s="1493" t="n"/>
      <c r="Y130" s="1508" t="n">
        <v>11</v>
      </c>
      <c r="Z130" s="1493" t="n"/>
      <c r="AA130" s="1502" t="n">
        <v>11</v>
      </c>
      <c r="AC130" s="1013" t="n"/>
      <c r="AD130" s="1014" t="n"/>
      <c r="AE130" s="1013" t="n"/>
      <c r="AF130" s="1014" t="n"/>
      <c r="AG130" s="1013" t="n"/>
      <c r="AH130" s="1014" t="n"/>
      <c r="AJ130" s="10" t="n"/>
      <c r="AK130" s="10" t="n"/>
      <c r="AL130" s="10" t="n"/>
      <c r="AR130" s="849" t="n"/>
      <c r="AS130" s="111" t="n"/>
      <c r="AT130" s="487" t="n"/>
      <c r="AU130" s="114" t="n"/>
      <c r="AV130" s="491" t="n"/>
      <c r="AW130" s="114" t="n"/>
      <c r="AX130" s="492" t="n"/>
      <c r="AY130" s="488" t="n"/>
    </row>
    <row r="131" ht="32" customHeight="1">
      <c r="B131" s="825" t="inlineStr">
        <is>
          <t>Max PFA</t>
        </is>
      </c>
      <c r="C131" s="826">
        <f>_xlfn.XLOOKUP(G131,G128:G130,C128:C130)</f>
        <v/>
      </c>
      <c r="D131" s="827">
        <f>_xlfn.XLOOKUP(G131,G128:G130,D128:D130)</f>
        <v/>
      </c>
      <c r="E131" s="828" t="n"/>
      <c r="F131" s="828" t="n"/>
      <c r="G131" s="828">
        <f>IF(AND(J128=TRUE,J129=FALSE,J130=FALSE),G128,IF(AND(J128=FALSE,J129=TRUE,J130=FALSE),G129,IF(AND(J128=FALSE,J129=FALSE,J130=TRUE),G130,MAX(G128:G130))))</f>
        <v/>
      </c>
      <c r="H131" s="829" t="n"/>
      <c r="I131" s="829" t="n"/>
      <c r="J131" s="830">
        <f>IF(AND(J128=FALSE,J129=FALSE,J130=FALSE),FALSE,TRUE)</f>
        <v/>
      </c>
      <c r="K131" s="46" t="n"/>
      <c r="L131" s="46" t="n"/>
      <c r="M131" s="46" t="n"/>
      <c r="N131" s="1711" t="n"/>
      <c r="O131" s="1712" t="n"/>
      <c r="P131" s="829" t="n"/>
      <c r="Q131" s="830">
        <f>IF(AND(Q128=FALSE,Q129=FALSE,Q130=FALSE),FALSE,TRUE)</f>
        <v/>
      </c>
      <c r="R131" s="1712" t="n"/>
      <c r="S131" s="829" t="n"/>
      <c r="T131" s="830">
        <f>IF(AND(T128=FALSE,T129=FALSE,T130=FALSE),FALSE,TRUE)</f>
        <v/>
      </c>
      <c r="U131" s="978" t="n"/>
      <c r="V131" s="978" t="inlineStr">
        <is>
          <t>ou</t>
        </is>
      </c>
      <c r="W131" s="1473" t="n"/>
      <c r="X131" s="2002" t="n"/>
      <c r="Y131" s="1478" t="n"/>
      <c r="Z131" s="2002" t="n"/>
      <c r="AA131" s="1481" t="n"/>
      <c r="AC131" s="1013" t="n"/>
      <c r="AD131" s="1014" t="n"/>
      <c r="AE131" s="1013" t="n"/>
      <c r="AF131" s="1014" t="n"/>
      <c r="AG131" s="1013" t="n"/>
      <c r="AH131" s="1014" t="n"/>
      <c r="AJ131" s="10" t="n"/>
      <c r="AK131" s="10" t="n"/>
      <c r="AL131" s="10" t="n"/>
      <c r="AR131" s="849" t="n"/>
      <c r="AS131" s="111" t="n"/>
      <c r="AT131" s="487" t="n"/>
      <c r="AU131" s="114" t="n"/>
      <c r="AV131" s="491" t="n"/>
      <c r="AW131" s="114" t="n"/>
      <c r="AX131" s="492" t="n"/>
      <c r="AY131" s="488" t="n"/>
    </row>
    <row r="132" ht="32" customHeight="1">
      <c r="B132" s="53" t="n"/>
      <c r="C132" s="2066" t="n"/>
      <c r="D132" s="102" t="n"/>
      <c r="E132" s="823" t="n"/>
      <c r="F132" s="822" t="n"/>
      <c r="G132" s="823" t="n"/>
      <c r="H132" s="1735" t="n">
        <v>11</v>
      </c>
      <c r="I132" s="1736" t="n">
        <v>11</v>
      </c>
      <c r="J132" s="46">
        <f>IF(AND(E131&gt;=H132,E131&lt;=I132),TRUE,FALSE)</f>
        <v/>
      </c>
      <c r="K132" s="46" t="n"/>
      <c r="L132" s="46" t="n"/>
      <c r="M132" s="46" t="n"/>
      <c r="N132" s="1711" t="n"/>
      <c r="O132" s="1735" t="n">
        <v>11</v>
      </c>
      <c r="P132" s="1736" t="n">
        <v>11</v>
      </c>
      <c r="Q132" s="1711">
        <f>IF(AND(E131&gt;=O132,E131&lt;=P132),TRUE,FALSE)</f>
        <v/>
      </c>
      <c r="R132" s="1735" t="n">
        <v>11</v>
      </c>
      <c r="S132" s="1736" t="n">
        <v>11</v>
      </c>
      <c r="T132" s="1711">
        <f>IF(AND(E131&gt;=R132,E131&lt;=S132),TRUE,FALSE)</f>
        <v/>
      </c>
      <c r="U132" s="978" t="n"/>
      <c r="V132" s="1484" t="n"/>
      <c r="W132" s="1503" t="n">
        <v>11</v>
      </c>
      <c r="X132" s="1504" t="n"/>
      <c r="Y132" s="1505" t="n">
        <v>11</v>
      </c>
      <c r="Z132" s="1504" t="n"/>
      <c r="AA132" s="1497" t="n">
        <v>11</v>
      </c>
      <c r="AC132" s="1013" t="n"/>
      <c r="AD132" s="1014" t="n"/>
      <c r="AE132" s="1013" t="n"/>
      <c r="AF132" s="1014" t="n"/>
      <c r="AG132" s="1013" t="n"/>
      <c r="AH132" s="1014" t="n"/>
      <c r="AJ132" s="10" t="n"/>
      <c r="AK132" s="10" t="n"/>
      <c r="AL132" s="10" t="n"/>
      <c r="AR132" s="849" t="n"/>
      <c r="AS132" s="111" t="n"/>
      <c r="AT132" s="487" t="n"/>
      <c r="AU132" s="114" t="n"/>
      <c r="AV132" s="491" t="n"/>
      <c r="AW132" s="114" t="n"/>
      <c r="AX132" s="492" t="n"/>
      <c r="AY132" s="488" t="n"/>
    </row>
    <row r="133" ht="32" customHeight="1">
      <c r="B133" s="53" t="n"/>
      <c r="C133" s="2066" t="n"/>
      <c r="D133" s="63" t="n"/>
      <c r="E133" s="36" t="n"/>
      <c r="F133" s="36" t="n"/>
      <c r="G133" s="36" t="n"/>
      <c r="H133" s="1735" t="n">
        <v>11</v>
      </c>
      <c r="I133" s="1736" t="n">
        <v>11</v>
      </c>
      <c r="J133" s="46">
        <f>IF(AND(E132&gt;=H133,E132&lt;=I133),TRUE,FALSE)</f>
        <v/>
      </c>
      <c r="K133" s="46" t="n"/>
      <c r="L133" s="46" t="n"/>
      <c r="M133" s="46" t="n"/>
      <c r="N133" s="1711" t="n"/>
      <c r="O133" s="1735" t="n">
        <v>11</v>
      </c>
      <c r="P133" s="1736" t="n">
        <v>11</v>
      </c>
      <c r="Q133" s="1711">
        <f>IF(AND(E132&gt;=O133,E132&lt;=P133),TRUE,FALSE)</f>
        <v/>
      </c>
      <c r="R133" s="1735" t="n">
        <v>11</v>
      </c>
      <c r="S133" s="1736" t="n">
        <v>11</v>
      </c>
      <c r="T133" s="1711">
        <f>IF(AND(E132&gt;=R133,E132&lt;=S133),TRUE,FALSE)</f>
        <v/>
      </c>
      <c r="U133" s="978" t="n"/>
      <c r="V133" s="1487" t="inlineStr">
        <is>
          <t>ou</t>
        </is>
      </c>
      <c r="W133" s="1506" t="n">
        <v>11</v>
      </c>
      <c r="X133" s="1507" t="n"/>
      <c r="Y133" s="1508" t="n">
        <v>11</v>
      </c>
      <c r="Z133" s="1507" t="n"/>
      <c r="AA133" s="1502" t="n">
        <v>11</v>
      </c>
      <c r="AC133" s="1013" t="n"/>
      <c r="AD133" s="1014" t="n"/>
      <c r="AE133" s="1013" t="n"/>
      <c r="AF133" s="1014" t="n"/>
      <c r="AG133" s="1013" t="n"/>
      <c r="AH133" s="1014" t="n"/>
      <c r="AJ133" s="10" t="n"/>
      <c r="AK133" s="10" t="n"/>
      <c r="AL133" s="10" t="n"/>
      <c r="AQ133" s="7" t="n"/>
      <c r="AR133" s="849" t="n"/>
      <c r="AS133" s="111" t="n"/>
      <c r="AT133" s="487" t="n"/>
      <c r="AU133" s="114" t="n"/>
      <c r="AV133" s="491" t="n"/>
      <c r="AW133" s="114" t="n"/>
      <c r="AX133" s="492" t="n"/>
      <c r="AY133" s="488" t="n"/>
    </row>
    <row r="134" ht="32" customHeight="1" thickBot="1">
      <c r="B134" s="831" t="inlineStr">
        <is>
          <t>Max NC</t>
        </is>
      </c>
      <c r="C134" s="832">
        <f>_xlfn.XLOOKUP(G134,G132:G133,C132:C133)</f>
        <v/>
      </c>
      <c r="D134" s="833">
        <f>_xlfn.XLOOKUP(G134,G132:G133,D132:D133)</f>
        <v/>
      </c>
      <c r="E134" s="834" t="n"/>
      <c r="F134" s="834" t="n"/>
      <c r="G134" s="834">
        <f>IF(AND(J133=TRUE,J134=FALSE),G132,IF(AND(J133=FALSE,J134=TRUE),G133,MAX(G132,G133)))</f>
        <v/>
      </c>
      <c r="H134" s="1713" t="n"/>
      <c r="I134" s="835" t="n"/>
      <c r="J134" s="836">
        <f>IF(AND(J132=FALSE,J133=FALSE),FALSE,TRUE)</f>
        <v/>
      </c>
      <c r="K134" s="46" t="n"/>
      <c r="L134" s="46" t="n"/>
      <c r="M134" s="46" t="n"/>
      <c r="N134" s="1711" t="n"/>
      <c r="O134" s="1713" t="n"/>
      <c r="P134" s="835" t="n"/>
      <c r="Q134" s="1726">
        <f>IF(AND(Q132=FALSE,Q133=FALSE),FALSE,TRUE)</f>
        <v/>
      </c>
      <c r="R134" s="1713" t="n"/>
      <c r="S134" s="835" t="n"/>
      <c r="T134" s="1726">
        <f>IF(AND(T132=FALSE,T133=FALSE),FALSE,TRUE)</f>
        <v/>
      </c>
      <c r="U134" s="978" t="n"/>
      <c r="V134" s="978" t="n"/>
      <c r="W134" s="1473" t="n"/>
      <c r="X134" s="2002" t="n"/>
      <c r="Y134" s="1478" t="n"/>
      <c r="Z134" s="2002" t="n"/>
      <c r="AA134" s="1481" t="n"/>
      <c r="AC134" s="1013" t="n"/>
      <c r="AD134" s="1014" t="n"/>
      <c r="AE134" s="1013" t="n"/>
      <c r="AF134" s="1014" t="n"/>
      <c r="AG134" s="1013" t="n"/>
      <c r="AH134" s="1014" t="n"/>
      <c r="AI134">
        <f>IF(OR(AC134="V",AE134="V"),IF(G133&gt;G130,"Le NC contribue plus que le coparent","Le coparent joue un plus grand rôle que le NC"),"pas de contexte significatif de la part du coparent et NC")</f>
        <v/>
      </c>
      <c r="AJ134" s="10" t="n"/>
      <c r="AK134" s="10" t="n"/>
      <c r="AL134" s="10" t="n"/>
      <c r="AQ134" s="7" t="n"/>
      <c r="AR134" s="849" t="n"/>
      <c r="AS134" s="111" t="n"/>
      <c r="AT134" s="487" t="n"/>
      <c r="AU134" s="114" t="n"/>
      <c r="AV134" s="491" t="n"/>
      <c r="AW134" s="114" t="n"/>
      <c r="AX134" s="492" t="n"/>
      <c r="AY134" s="488" t="n"/>
    </row>
    <row r="135" ht="32" customHeight="1" thickBot="1">
      <c r="B135" s="837" t="inlineStr">
        <is>
          <t>Max PFA &amp; NC</t>
        </is>
      </c>
      <c r="C135" s="838" t="n"/>
      <c r="D135" s="838">
        <f>IF(G135=G131,D131,D134)</f>
        <v/>
      </c>
      <c r="E135" s="839" t="n"/>
      <c r="F135" s="839" t="n"/>
      <c r="G135" s="839">
        <f>IF(AND(J131=TRUE,J134=FALSE),G131,IF(AND(J131=FALSE,J134=TRUE),G134,IF(AND(J131=TRUE,J134=TRUE),G131+G134,MAX(G131,G134))))</f>
        <v/>
      </c>
      <c r="H135" s="1714" t="n"/>
      <c r="I135" s="840" t="n"/>
      <c r="J135" s="841">
        <f>IF(AND(J131=FALSE,J134=FALSE),FALSE,TRUE)</f>
        <v/>
      </c>
      <c r="K135" s="1698" t="n"/>
      <c r="L135" s="1698" t="n"/>
      <c r="M135" s="1698" t="n"/>
      <c r="N135" s="1715" t="n"/>
      <c r="O135" s="1714" t="n"/>
      <c r="P135" s="840" t="n"/>
      <c r="Q135" s="841">
        <f>IF(AND(Q131=FALSE,Q134=FALSE),FALSE,TRUE)</f>
        <v/>
      </c>
      <c r="R135" s="1714" t="n"/>
      <c r="S135" s="840" t="n"/>
      <c r="T135" s="841">
        <f>IF(AND(T131=FALSE,T134=FALSE),FALSE,TRUE)</f>
        <v/>
      </c>
      <c r="U135" s="978" t="n"/>
      <c r="V135" s="978" t="inlineStr">
        <is>
          <t>et</t>
        </is>
      </c>
      <c r="W135" s="1473" t="n"/>
      <c r="X135" s="2002" t="n"/>
      <c r="Y135" s="1478" t="n"/>
      <c r="Z135" s="2002" t="n"/>
      <c r="AA135" s="1481" t="n"/>
      <c r="AC135" s="1013">
        <f>IF(J135=TRUE,"V","F")</f>
        <v/>
      </c>
      <c r="AD135" s="1014" t="n"/>
      <c r="AE135" s="1013">
        <f>IF(Q135=TRUE,"V","F")</f>
        <v/>
      </c>
      <c r="AF135" s="1014" t="n"/>
      <c r="AG135" s="1013">
        <f>IF(T135=TRUE,"V","F")</f>
        <v/>
      </c>
      <c r="AH135" s="1014" t="n"/>
      <c r="AJ135" s="10" t="n"/>
      <c r="AK135" s="10" t="n"/>
      <c r="AL135" s="10" t="n"/>
      <c r="AQ135" s="7" t="n"/>
      <c r="AR135" s="849" t="n"/>
      <c r="AS135" s="111" t="n"/>
      <c r="AT135" s="487" t="n"/>
      <c r="AU135" s="114" t="n"/>
      <c r="AV135" s="491" t="n"/>
      <c r="AW135" s="114" t="n"/>
      <c r="AX135" s="492" t="n"/>
      <c r="AY135" s="488" t="n"/>
    </row>
    <row r="136" ht="32" customHeight="1">
      <c r="B136" s="316">
        <f>'Action-Réaction finale'!O21</f>
        <v/>
      </c>
      <c r="C136" s="2066">
        <f>Test_Bible!B276</f>
        <v/>
      </c>
      <c r="D136" s="102" t="inlineStr">
        <is>
          <t>se sent coupable de passer du temps avec vous, car cela affecte l'autre parent</t>
        </is>
      </c>
      <c r="E136" s="823">
        <f>Test_Bible!P276</f>
        <v/>
      </c>
      <c r="F136" s="822">
        <f>Test_Bible!D276</f>
        <v/>
      </c>
      <c r="G136" s="823">
        <f>Test_Bible!Q276</f>
        <v/>
      </c>
      <c r="H136" s="1710" t="n">
        <v>7</v>
      </c>
      <c r="I136" s="1703">
        <f>$I$18</f>
        <v/>
      </c>
      <c r="J136" s="46">
        <f>IF(AND(E135&gt;=H136,E135&lt;=I136),TRUE,FALSE)</f>
        <v/>
      </c>
      <c r="K136" s="46" t="n"/>
      <c r="L136" s="46" t="n"/>
      <c r="M136" s="46" t="n"/>
      <c r="N136" s="1711" t="n"/>
      <c r="O136" s="1710" t="n">
        <v>2</v>
      </c>
      <c r="P136" s="1703" t="n">
        <v>10</v>
      </c>
      <c r="Q136" s="1711">
        <f>IF(AND(E135&gt;=O136,E135&lt;=P136),TRUE,FALSE)</f>
        <v/>
      </c>
      <c r="R136" s="1710" t="n"/>
      <c r="S136" s="1703" t="n"/>
      <c r="T136" s="1711" t="n"/>
      <c r="U136" s="978" t="n"/>
      <c r="V136" s="1484" t="n"/>
      <c r="W136" s="1485" t="n">
        <v>7</v>
      </c>
      <c r="X136" s="2029" t="n"/>
      <c r="Y136" s="1489" t="n">
        <v>2</v>
      </c>
      <c r="Z136" s="2029" t="n"/>
      <c r="AA136" s="1497" t="n">
        <v>11</v>
      </c>
      <c r="AC136" s="1013" t="inlineStr">
        <is>
          <t> </t>
        </is>
      </c>
      <c r="AD136" s="1014" t="n"/>
      <c r="AE136" s="1013" t="n"/>
      <c r="AF136" s="1014" t="n"/>
      <c r="AG136" s="1013" t="n"/>
      <c r="AH136" s="1014" t="n"/>
      <c r="AJ136" s="10" t="n"/>
      <c r="AK136" s="10" t="n"/>
      <c r="AL136" s="10" t="n"/>
      <c r="AQ136" s="7" t="n"/>
      <c r="AR136" s="849" t="n"/>
      <c r="AS136" s="111" t="n"/>
      <c r="AT136" s="487" t="n"/>
      <c r="AU136" s="114" t="n"/>
      <c r="AV136" s="491" t="n"/>
      <c r="AW136" s="114" t="n"/>
      <c r="AX136" s="492" t="n"/>
      <c r="AY136" s="488" t="n"/>
    </row>
    <row r="137" ht="32" customHeight="1" thickBot="1">
      <c r="B137" s="316" t="n"/>
      <c r="C137" s="2066" t="n"/>
      <c r="D137" s="102" t="n"/>
      <c r="E137" s="823" t="n"/>
      <c r="F137" s="822" t="n"/>
      <c r="G137" s="823" t="n"/>
      <c r="H137" s="1735" t="n">
        <v>11</v>
      </c>
      <c r="I137" s="1736" t="n">
        <v>11</v>
      </c>
      <c r="J137" s="46">
        <f>IF(AND(E136&gt;=H137,E136&lt;=I137),TRUE,FALSE)</f>
        <v/>
      </c>
      <c r="K137" s="46" t="n"/>
      <c r="L137" s="46" t="n"/>
      <c r="M137" s="46" t="n"/>
      <c r="N137" s="1711" t="n"/>
      <c r="O137" s="1735" t="n">
        <v>11</v>
      </c>
      <c r="P137" s="1736" t="n">
        <v>11</v>
      </c>
      <c r="Q137" s="1711">
        <f>IF(AND(E136&gt;=O137,E136&lt;=P137),TRUE,FALSE)</f>
        <v/>
      </c>
      <c r="R137" s="1735" t="n"/>
      <c r="S137" s="1736" t="n"/>
      <c r="T137" s="1711" t="n"/>
      <c r="U137" s="978" t="n"/>
      <c r="V137" s="1487" t="inlineStr">
        <is>
          <t>ou</t>
        </is>
      </c>
      <c r="W137" s="1506" t="n">
        <v>11</v>
      </c>
      <c r="X137" s="1507" t="n"/>
      <c r="Y137" s="1508" t="n">
        <v>11</v>
      </c>
      <c r="Z137" s="1507" t="n"/>
      <c r="AA137" s="1502" t="n">
        <v>11</v>
      </c>
      <c r="AC137" s="1013" t="n"/>
      <c r="AD137" s="1014" t="n"/>
      <c r="AE137" s="1013" t="n"/>
      <c r="AF137" s="1014" t="n"/>
      <c r="AG137" s="1013" t="n"/>
      <c r="AH137" s="1014" t="n"/>
      <c r="AJ137" s="10" t="n"/>
      <c r="AK137" s="10" t="n"/>
      <c r="AL137" s="10" t="n"/>
      <c r="AR137" s="849" t="n"/>
      <c r="AS137" s="111" t="n"/>
      <c r="AT137" s="487" t="n"/>
      <c r="AU137" s="114" t="n"/>
      <c r="AV137" s="491" t="n"/>
      <c r="AW137" s="114" t="n"/>
      <c r="AX137" s="492" t="n"/>
      <c r="AY137" s="488" t="n"/>
    </row>
    <row r="138" ht="32" customHeight="1" thickBot="1">
      <c r="B138" s="842" t="inlineStr">
        <is>
          <t>Max Enf</t>
        </is>
      </c>
      <c r="C138" s="843">
        <f>_xlfn.XLOOKUP(G138,G136:G137,C136:C137)</f>
        <v/>
      </c>
      <c r="D138" s="843">
        <f>_xlfn.XLOOKUP(G138,G136:G137,D136:D137)</f>
        <v/>
      </c>
      <c r="E138" s="844" t="n"/>
      <c r="F138" s="844" t="n"/>
      <c r="G138" s="844">
        <f>IF(AND(J137=TRUE,J138=FALSE),G136,IF(AND(J137=FALSE,J138=TRUE),G137,MAX(G136,G137)))</f>
        <v/>
      </c>
      <c r="H138" s="1716" t="n"/>
      <c r="I138" s="845" t="n"/>
      <c r="J138" s="846">
        <f>IF(AND(J136=FALSE,J137=FALSE),FALSE,TRUE)</f>
        <v/>
      </c>
      <c r="K138" s="1699" t="n"/>
      <c r="L138" s="1699" t="n"/>
      <c r="M138" s="1699" t="n"/>
      <c r="N138" s="1717" t="n"/>
      <c r="O138" s="1716" t="n"/>
      <c r="P138" s="845" t="n"/>
      <c r="Q138" s="846">
        <f>IF(AND(Q136=FALSE,Q137=FALSE),FALSE,TRUE)</f>
        <v/>
      </c>
      <c r="R138" s="1716" t="n"/>
      <c r="S138" s="845" t="n"/>
      <c r="T138" s="846" t="n"/>
      <c r="U138" s="978" t="n"/>
      <c r="V138" s="978" t="n"/>
      <c r="W138" s="1475" t="n"/>
      <c r="Y138" s="1479" t="n"/>
      <c r="AA138" s="1483" t="n"/>
      <c r="AC138" s="1013">
        <f>IF(J138=TRUE,"V","F")</f>
        <v/>
      </c>
      <c r="AD138" s="1014" t="n"/>
      <c r="AE138" s="1013">
        <f>IF(Q138=TRUE,"V","F")</f>
        <v/>
      </c>
      <c r="AF138" s="1014" t="n"/>
      <c r="AG138" s="1013" t="n"/>
      <c r="AH138" s="1014" t="n"/>
      <c r="AJ138" s="10" t="n"/>
      <c r="AK138" s="10" t="n"/>
      <c r="AL138" s="10" t="n"/>
      <c r="AR138" s="849" t="n"/>
      <c r="AS138" s="111" t="n"/>
      <c r="AT138" s="487" t="n"/>
      <c r="AU138" s="114" t="n"/>
      <c r="AV138" s="491" t="n"/>
      <c r="AW138" s="114" t="n"/>
      <c r="AX138" s="492" t="n"/>
      <c r="AY138" s="488" t="n"/>
    </row>
    <row r="139" ht="32" customHeight="1">
      <c r="C139" s="428" t="inlineStr">
        <is>
          <t>COMPARATIF Comportement PFA-Enf</t>
        </is>
      </c>
      <c r="D139" s="2058" t="n"/>
      <c r="E139" s="484" t="inlineStr">
        <is>
          <t>Valeur =&gt;</t>
        </is>
      </c>
      <c r="F139" s="48" t="n"/>
      <c r="G139" s="48">
        <f>G131+G134+G138</f>
        <v/>
      </c>
      <c r="H139" s="1718" t="n"/>
      <c r="I139" s="485" t="n"/>
      <c r="J139" s="1701" t="n"/>
      <c r="K139" s="1702">
        <f>IF(AND(J138=TRUE,J135=TRUE),D137,"")</f>
        <v/>
      </c>
      <c r="L139" s="1702">
        <f>IF(AND(J135=TRUE,J138=FALSE),"Bien que le parent "&amp;D134&amp;" l'enfant ne semble pas s'ingérer","")</f>
        <v/>
      </c>
      <c r="M139" s="1702">
        <f>IF(AND(J135=FALSE,J138=TRUE),D137&amp;" sans signe de la participation du parent favorisé et|ou nouveau conjoint.e","")</f>
        <v/>
      </c>
      <c r="N139" s="1719">
        <f>IF(AND(J135=FALSE,J138=FALSE),"aucun comportement significatif de cette nature","")</f>
        <v/>
      </c>
      <c r="O139" s="1718" t="n"/>
      <c r="P139" s="485" t="n"/>
      <c r="Q139" s="1727" t="n"/>
      <c r="R139" s="1718" t="n"/>
      <c r="S139" s="485" t="n"/>
      <c r="T139" s="1727" t="n"/>
      <c r="U139" s="980" t="n"/>
      <c r="V139" s="980" t="n"/>
      <c r="W139" s="1475" t="n"/>
      <c r="Y139" s="1479" t="n"/>
      <c r="AA139" s="1483" t="n"/>
      <c r="AC139" s="1015" t="n"/>
      <c r="AD139" s="1016">
        <f>IF(AND(AC135="V",AC138="V"),2,IF(OR(AC135="V",AC138="V"),1,0))</f>
        <v/>
      </c>
      <c r="AE139" s="1015" t="n"/>
      <c r="AF139" s="1016">
        <f>IF(OR(AE135="V",AE138="V"),1,0)</f>
        <v/>
      </c>
      <c r="AG139" s="1015" t="n"/>
      <c r="AH139" s="1016" t="n"/>
      <c r="AJ139" s="10" t="n"/>
      <c r="AK139" s="10" t="n"/>
      <c r="AL139" s="10" t="n"/>
      <c r="AR139" s="849" t="n"/>
      <c r="AS139" s="111" t="n"/>
      <c r="AT139" s="487" t="n"/>
      <c r="AU139" s="114" t="n"/>
      <c r="AV139" s="491" t="n"/>
      <c r="AW139" s="114" t="n"/>
      <c r="AX139" s="492" t="n"/>
      <c r="AY139" s="488" t="n"/>
    </row>
    <row r="140" ht="32" customHeight="1">
      <c r="B140" t="inlineStr">
        <is>
          <t>PCR</t>
        </is>
      </c>
      <c r="H140" s="147" t="n"/>
      <c r="K140" s="1992" t="n"/>
      <c r="L140" s="1992" t="n"/>
      <c r="M140" s="1992" t="n"/>
      <c r="N140" s="1740" t="n"/>
      <c r="O140" s="147" t="n"/>
      <c r="Q140" s="330" t="n"/>
      <c r="R140" s="147" t="n"/>
      <c r="T140" s="330" t="n"/>
      <c r="U140" s="1992" t="n"/>
      <c r="W140" s="1475" t="n"/>
      <c r="Y140" s="1479" t="n"/>
      <c r="AA140" s="1483" t="n"/>
      <c r="AC140" s="1013" t="n"/>
      <c r="AD140" s="1014" t="n"/>
      <c r="AE140" s="1013" t="n"/>
      <c r="AF140" s="1014" t="n"/>
      <c r="AG140" s="1013" t="n"/>
      <c r="AH140" s="1014" t="n"/>
      <c r="AJ140" s="10" t="n"/>
      <c r="AK140" s="10" t="n"/>
      <c r="AL140" s="10" t="n"/>
      <c r="AR140" s="849" t="n"/>
      <c r="AS140" s="111" t="n"/>
      <c r="AT140" s="487" t="n"/>
      <c r="AU140" s="114" t="n"/>
      <c r="AV140" s="491" t="n"/>
      <c r="AW140" s="114" t="n"/>
      <c r="AX140" s="492" t="n"/>
      <c r="AY140" s="488" t="n"/>
    </row>
    <row r="141" ht="32" customHeight="1">
      <c r="B141" s="1017" t="n"/>
      <c r="C141" s="1025" t="n"/>
      <c r="D141" s="1018" t="n"/>
      <c r="E141" s="1026" t="n"/>
      <c r="F141" s="1026" t="n"/>
      <c r="G141" s="1026" t="n"/>
      <c r="H141" s="1735" t="n">
        <v>11</v>
      </c>
      <c r="I141" s="1736" t="n">
        <v>11</v>
      </c>
      <c r="J141" s="46">
        <f>IF(AND(E140&gt;=H141,E140&lt;=I141),TRUE,FALSE)</f>
        <v/>
      </c>
      <c r="K141" s="33" t="n"/>
      <c r="L141" s="33" t="n"/>
      <c r="M141" s="33" t="n"/>
      <c r="N141" s="1720" t="n"/>
      <c r="O141" s="1735" t="n">
        <v>11</v>
      </c>
      <c r="P141" s="1736" t="n">
        <v>11</v>
      </c>
      <c r="Q141" s="1711">
        <f>IF(AND(E141&gt;=O141,E141&lt;=P141),TRUE,FALSE)</f>
        <v/>
      </c>
      <c r="R141" s="1735" t="n">
        <v>11</v>
      </c>
      <c r="S141" s="1736" t="n">
        <v>11</v>
      </c>
      <c r="T141" s="1711">
        <f>IF(AND(E141&gt;=R141,E141&lt;=S141),TRUE,FALSE)</f>
        <v/>
      </c>
      <c r="U141" s="1992" t="n"/>
      <c r="V141" s="1509" t="n"/>
      <c r="W141" s="1503" t="n">
        <v>11</v>
      </c>
      <c r="X141" s="1504" t="n"/>
      <c r="Y141" s="1505" t="n">
        <v>11</v>
      </c>
      <c r="Z141" s="1504" t="n"/>
      <c r="AA141" s="1497" t="n">
        <v>11</v>
      </c>
      <c r="AC141" s="1013" t="n"/>
      <c r="AD141" s="1014" t="n"/>
      <c r="AE141" s="1013" t="n"/>
      <c r="AF141" s="1014" t="n"/>
      <c r="AG141" s="1013" t="n"/>
      <c r="AH141" s="1014" t="n"/>
      <c r="AJ141" s="10" t="n"/>
      <c r="AK141" s="10" t="n"/>
      <c r="AL141" s="10" t="n"/>
      <c r="AR141" s="849" t="n"/>
      <c r="AS141" s="111" t="n"/>
      <c r="AT141" s="487" t="n"/>
      <c r="AU141" s="114" t="n"/>
      <c r="AV141" s="491" t="n"/>
      <c r="AW141" s="114" t="n"/>
      <c r="AX141" s="492" t="n"/>
      <c r="AY141" s="488" t="n"/>
    </row>
    <row r="142" ht="32" customHeight="1" thickBot="1">
      <c r="B142" s="1017" t="n"/>
      <c r="C142" s="1025" t="n"/>
      <c r="D142" s="1018" t="n"/>
      <c r="E142" s="1026" t="n"/>
      <c r="F142" s="1026" t="n"/>
      <c r="G142" s="1026" t="n"/>
      <c r="H142" s="1735" t="n">
        <v>11</v>
      </c>
      <c r="I142" s="1736" t="n">
        <v>11</v>
      </c>
      <c r="J142" s="46">
        <f>IF(AND(E141&gt;=H142,E141&lt;=I142),TRUE,FALSE)</f>
        <v/>
      </c>
      <c r="K142" s="33" t="n"/>
      <c r="L142" s="33" t="n"/>
      <c r="M142" s="33" t="n"/>
      <c r="N142" s="1720" t="n"/>
      <c r="O142" s="1735" t="n">
        <v>11</v>
      </c>
      <c r="P142" s="1736" t="n">
        <v>11</v>
      </c>
      <c r="Q142" s="1711">
        <f>IF(AND(E142&gt;=O142,E142&lt;=P142),TRUE,FALSE)</f>
        <v/>
      </c>
      <c r="R142" s="1735" t="n">
        <v>11</v>
      </c>
      <c r="S142" s="1736" t="n">
        <v>11</v>
      </c>
      <c r="T142" s="1711">
        <f>IF(AND(E142&gt;=R142,E142&lt;=S142),TRUE,FALSE)</f>
        <v/>
      </c>
      <c r="V142" s="1510" t="n"/>
      <c r="W142" s="1506" t="n">
        <v>11</v>
      </c>
      <c r="X142" s="1507" t="n"/>
      <c r="Y142" s="1508" t="n">
        <v>11</v>
      </c>
      <c r="Z142" s="1507" t="n"/>
      <c r="AA142" s="1502" t="n">
        <v>11</v>
      </c>
      <c r="AC142" s="1013" t="n"/>
      <c r="AD142" s="1014" t="n"/>
      <c r="AE142" s="1013" t="n"/>
      <c r="AF142" s="1014" t="n"/>
      <c r="AG142" s="1013" t="n"/>
      <c r="AH142" s="1014" t="n"/>
      <c r="AJ142" s="10" t="n"/>
      <c r="AK142" s="10" t="n"/>
      <c r="AL142" s="10" t="n"/>
      <c r="AR142" s="849" t="n"/>
      <c r="AS142" s="111" t="n"/>
      <c r="AT142" s="487" t="n"/>
      <c r="AU142" s="114" t="n"/>
      <c r="AV142" s="491" t="n"/>
      <c r="AW142" s="114" t="n"/>
      <c r="AX142" s="492" t="n"/>
      <c r="AY142" s="488" t="n"/>
    </row>
    <row r="143" ht="32" customHeight="1" thickBot="1">
      <c r="C143" s="2073" t="n"/>
      <c r="D143" s="2073" t="n"/>
      <c r="E143" s="90" t="n"/>
      <c r="F143" s="483" t="n"/>
      <c r="G143" s="483" t="n"/>
      <c r="H143" s="1732" t="n"/>
      <c r="I143" s="1733" t="n"/>
      <c r="J143" s="1739">
        <f>IF(AND(J141=FALSE,J142=FALSE),FALSE,TRUE)</f>
        <v/>
      </c>
      <c r="K143" s="1721" t="n"/>
      <c r="L143" s="1722" t="n"/>
      <c r="M143" s="1722" t="n"/>
      <c r="N143" s="1723" t="n"/>
      <c r="O143" s="1732" t="n"/>
      <c r="P143" s="1733" t="n"/>
      <c r="Q143" s="1739">
        <f>IF(AND(Q141=FALSE,Q142=FALSE),FALSE,TRUE)</f>
        <v/>
      </c>
      <c r="R143" s="1744" t="n"/>
      <c r="S143" s="1745" t="n"/>
      <c r="T143" s="1746">
        <f>IF(AND(T141=FALSE,T142=FALSE),FALSE,TRUE)</f>
        <v/>
      </c>
      <c r="U143" s="980" t="n"/>
      <c r="AC143" s="1650">
        <f>IF(J143=TRUE,"V","F")</f>
        <v/>
      </c>
      <c r="AD143" s="1651" t="n"/>
      <c r="AE143" s="1650">
        <f>IF(Q143=TRUE,"V","F")</f>
        <v/>
      </c>
      <c r="AF143" s="1651" t="n"/>
      <c r="AG143" s="1650">
        <f>IF(T143=TRUE,"V","F")</f>
        <v/>
      </c>
      <c r="AH143" s="1651" t="n"/>
      <c r="AJ143" s="10" t="n">
        <v>1</v>
      </c>
      <c r="AK143" s="10" t="n">
        <v>1</v>
      </c>
      <c r="AL143" s="10" t="n"/>
      <c r="AR143" s="849" t="n"/>
      <c r="AS143" s="111" t="n"/>
      <c r="AT143" s="487" t="n"/>
      <c r="AU143" s="114" t="n"/>
      <c r="AV143" s="491" t="n"/>
      <c r="AW143" s="114" t="n"/>
      <c r="AX143" s="492" t="n"/>
      <c r="AY143" s="488" t="n"/>
    </row>
    <row r="144" ht="32" customHeight="1" thickBot="1">
      <c r="C144" s="2073" t="n"/>
      <c r="D144" s="2073" t="n"/>
      <c r="E144" s="90" t="n"/>
      <c r="F144" s="483" t="n"/>
      <c r="G144" s="483" t="n"/>
      <c r="H144" s="2002" t="n"/>
      <c r="I144" s="2002" t="n"/>
      <c r="J144" s="979" t="n"/>
      <c r="K144" s="980" t="n"/>
      <c r="L144" s="980" t="n"/>
      <c r="M144" s="980" t="n"/>
      <c r="N144" s="980" t="n"/>
      <c r="O144" s="980" t="n"/>
      <c r="P144" s="980" t="n"/>
      <c r="Q144" s="980" t="n"/>
      <c r="R144" s="980" t="n"/>
      <c r="S144" s="980" t="n"/>
      <c r="T144" s="980" t="n"/>
      <c r="U144" s="980" t="n"/>
      <c r="AC144" s="1737" t="n"/>
      <c r="AD144" s="1738">
        <f>IF(AND(AC143="V",AC135="V"),AD139-1,AD139)</f>
        <v/>
      </c>
      <c r="AE144" s="1737" t="n"/>
      <c r="AF144" s="1738">
        <f>IF(OR(AE135="V",AE138="V",AE143="V"),1,0)</f>
        <v/>
      </c>
      <c r="AG144" s="1737" t="n"/>
      <c r="AH144" s="1738">
        <f>IF(AG135="V",1,IF(AG143="V",1,0))</f>
        <v/>
      </c>
      <c r="AJ144" s="10" t="n"/>
      <c r="AK144" s="10" t="n"/>
      <c r="AL144" s="10" t="n"/>
      <c r="AR144" s="849" t="n"/>
      <c r="AS144" s="111" t="n"/>
      <c r="AT144" s="487" t="n"/>
      <c r="AU144" s="114" t="n"/>
      <c r="AV144" s="491" t="n"/>
      <c r="AW144" s="114" t="n"/>
      <c r="AX144" s="492" t="n"/>
      <c r="AY144" s="488" t="n"/>
    </row>
    <row r="145" ht="32" customHeight="1">
      <c r="C145" s="2073" t="n"/>
      <c r="D145" s="2073" t="n"/>
      <c r="E145" s="90" t="n"/>
      <c r="F145" s="483" t="n"/>
      <c r="G145" s="483" t="n"/>
      <c r="H145" s="2120" t="inlineStr">
        <is>
          <t xml:space="preserve">instrumentalisation de l'enfant qui rend le actif / force la prise d'otage psycho ou physique </t>
        </is>
      </c>
      <c r="I145" s="709" t="n"/>
      <c r="J145" s="1392" t="n"/>
      <c r="K145" s="2056" t="n"/>
      <c r="L145" s="709" t="n"/>
      <c r="M145" s="709" t="n"/>
      <c r="N145" s="1707" t="n"/>
      <c r="O145" s="2121" t="inlineStr">
        <is>
          <t xml:space="preserve">compt. fragilise la relation parent-enfant ou les individus, enclenche rôle de protecteur, demande de faire un choix / choisir son camp </t>
        </is>
      </c>
      <c r="P145" s="709" t="n"/>
      <c r="Q145" s="1392" t="n"/>
      <c r="R145" s="1768" t="inlineStr">
        <is>
          <t>Est-ce que cela créé un déclencheur?</t>
        </is>
      </c>
      <c r="S145" s="1706" t="n"/>
      <c r="T145" s="1707" t="n"/>
      <c r="U145" s="980" t="n"/>
      <c r="AJ145" s="10" t="n"/>
      <c r="AK145" s="10" t="n"/>
      <c r="AL145" s="10" t="n"/>
      <c r="AR145" s="849" t="n"/>
      <c r="AS145" s="111" t="n"/>
      <c r="AT145" s="487" t="n"/>
      <c r="AU145" s="114" t="n"/>
      <c r="AV145" s="491" t="n"/>
      <c r="AW145" s="114" t="n"/>
      <c r="AX145" s="492" t="n"/>
      <c r="AY145" s="488" t="n"/>
    </row>
    <row r="146" ht="32" customHeight="1">
      <c r="A146" s="853" t="n">
        <v>7</v>
      </c>
      <c r="C146" s="486" t="inlineStr">
        <is>
          <t>Intervention à la suite d'un retour de garde</t>
        </is>
      </c>
      <c r="D146" s="108" t="n"/>
      <c r="E146" s="66" t="n"/>
      <c r="F146" s="18" t="n"/>
      <c r="G146" s="18" t="n"/>
      <c r="H146" s="2052" t="inlineStr">
        <is>
          <t>AP</t>
        </is>
      </c>
      <c r="K146" s="2055" t="inlineStr">
        <is>
          <t>Dynamique d'AP</t>
        </is>
      </c>
      <c r="N146" s="330" t="n"/>
      <c r="O146" s="2122" t="inlineStr">
        <is>
          <t>CL</t>
        </is>
      </c>
      <c r="Q146" s="330" t="n"/>
      <c r="R146" s="2123" t="inlineStr">
        <is>
          <t>CSS</t>
        </is>
      </c>
      <c r="T146" s="330" t="n"/>
      <c r="U146" s="15" t="n"/>
      <c r="V146" s="980" t="n"/>
      <c r="AC146" s="1009" t="n"/>
      <c r="AD146" s="1009" t="n"/>
      <c r="AE146" s="1009" t="n"/>
      <c r="AF146" s="1009" t="n"/>
      <c r="AG146" s="1009" t="n"/>
      <c r="AH146" s="1010" t="n"/>
      <c r="AJ146" s="10" t="n"/>
      <c r="AK146" s="10" t="n"/>
      <c r="AL146" s="10" t="n"/>
      <c r="AR146" s="849" t="n"/>
      <c r="AS146" s="111" t="n"/>
      <c r="AT146" s="487" t="n"/>
      <c r="AU146" s="114" t="n"/>
      <c r="AV146" s="491" t="n"/>
      <c r="AW146" s="114" t="n"/>
      <c r="AX146" s="492" t="n"/>
      <c r="AY146" s="488" t="n"/>
    </row>
    <row r="147" ht="32" customHeight="1">
      <c r="C147" s="103" t="inlineStr">
        <is>
          <t>Questions et sous-questions</t>
        </is>
      </c>
      <c r="D147" s="1043" t="inlineStr">
        <is>
          <t>Texte écourté pour titrer dans les baromètres ou rapport</t>
        </is>
      </c>
      <c r="E147" s="33" t="inlineStr">
        <is>
          <t>Valeur de base
Fréquence (F)</t>
        </is>
      </c>
      <c r="F147" s="33" t="inlineStr">
        <is>
          <t>Valeur de base
intensité (I)</t>
        </is>
      </c>
      <c r="G147" s="33" t="inlineStr">
        <is>
          <t>F * I</t>
        </is>
      </c>
      <c r="H147" s="1708" t="inlineStr">
        <is>
          <t>Condition Fréq. 
&gt;= que</t>
        </is>
      </c>
      <c r="I147" s="44" t="inlineStr">
        <is>
          <t>Condition Fré
&lt;= que</t>
        </is>
      </c>
      <c r="J147" s="44" t="inlineStr">
        <is>
          <t>Condition respectée</t>
        </is>
      </c>
      <c r="K147" s="44" t="inlineStr">
        <is>
          <t>"VRAI" (PF&amp;NC) /  "VRAI" (Enf)</t>
        </is>
      </c>
      <c r="L147" s="44" t="inlineStr">
        <is>
          <t>Vrai (PF&amp;NC) /  Faux (Enf)</t>
        </is>
      </c>
      <c r="M147" s="44" t="inlineStr">
        <is>
          <t>Faux (PF&amp;NC) /  Vrai (Enf)</t>
        </is>
      </c>
      <c r="N147" s="1709" t="inlineStr">
        <is>
          <t>Faux (PF&amp;NC) /  Faux(Enf)</t>
        </is>
      </c>
      <c r="O147" s="1708" t="inlineStr">
        <is>
          <t>Condition Fréq. 
&gt;= que</t>
        </is>
      </c>
      <c r="P147" s="44" t="inlineStr">
        <is>
          <t>Condition Fré
&lt;= que</t>
        </is>
      </c>
      <c r="Q147" s="1709" t="inlineStr">
        <is>
          <t>Condition respectée</t>
        </is>
      </c>
      <c r="R147" s="1708" t="inlineStr">
        <is>
          <t>Condition Fréq. 
&gt;= que</t>
        </is>
      </c>
      <c r="S147" s="44" t="inlineStr">
        <is>
          <t>Condition Fré
&lt;= que</t>
        </is>
      </c>
      <c r="T147" s="1709" t="inlineStr">
        <is>
          <t>Condition respectée</t>
        </is>
      </c>
      <c r="U147" s="851" t="n"/>
      <c r="V147" s="1008" t="inlineStr">
        <is>
          <t>Condition</t>
        </is>
      </c>
      <c r="W147" s="1472" t="inlineStr">
        <is>
          <t>AP</t>
        </is>
      </c>
      <c r="X147" s="1008" t="inlineStr">
        <is>
          <t>Condition</t>
        </is>
      </c>
      <c r="Y147" s="1476" t="inlineStr">
        <is>
          <t>CL</t>
        </is>
      </c>
      <c r="Z147" s="1008" t="inlineStr">
        <is>
          <t>Condition</t>
        </is>
      </c>
      <c r="AA147" s="1480" t="inlineStr">
        <is>
          <t>CSS</t>
        </is>
      </c>
      <c r="AC147" s="1023" t="inlineStr">
        <is>
          <t>AP</t>
        </is>
      </c>
      <c r="AD147" s="1024" t="inlineStr">
        <is>
          <t>AP_F</t>
        </is>
      </c>
      <c r="AE147" s="1023" t="inlineStr">
        <is>
          <t>CL</t>
        </is>
      </c>
      <c r="AF147" s="1024" t="inlineStr">
        <is>
          <t>CL_F</t>
        </is>
      </c>
      <c r="AG147" s="1023" t="inlineStr">
        <is>
          <t>CSS</t>
        </is>
      </c>
      <c r="AH147" s="1024" t="inlineStr">
        <is>
          <t>CSS_F</t>
        </is>
      </c>
      <c r="AJ147" s="10" t="n"/>
      <c r="AK147" s="10" t="n"/>
      <c r="AL147" s="10" t="n"/>
      <c r="AR147" s="849" t="n"/>
      <c r="AS147" s="111" t="n"/>
      <c r="AT147" s="487" t="n"/>
      <c r="AU147" s="114" t="n"/>
      <c r="AV147" s="491" t="n"/>
      <c r="AW147" s="114" t="n"/>
      <c r="AX147" s="492" t="n"/>
      <c r="AY147" s="488" t="n"/>
    </row>
    <row r="148" ht="36" customHeight="1">
      <c r="B148" s="421">
        <f>'Action-Réaction finale'!G25</f>
        <v/>
      </c>
      <c r="C148" s="2066">
        <f>Test_Bible!B176</f>
        <v/>
      </c>
      <c r="D148" s="102" t="inlineStr">
        <is>
          <t>accable de reproches par courriel ou texto au retour de garde</t>
        </is>
      </c>
      <c r="E148" s="823">
        <f>Test_Bible!P176</f>
        <v/>
      </c>
      <c r="F148" s="822">
        <f>Test_Bible!D176</f>
        <v/>
      </c>
      <c r="G148" s="823">
        <f>Test_Bible!Q176</f>
        <v/>
      </c>
      <c r="H148" s="1710" t="n">
        <v>7</v>
      </c>
      <c r="I148" s="1703" t="n">
        <v>10</v>
      </c>
      <c r="J148" s="46">
        <f>IF(AND(E148&gt;=H148,E148&lt;=I148),TRUE,FALSE)</f>
        <v/>
      </c>
      <c r="K148" s="46" t="n"/>
      <c r="L148" s="46" t="n"/>
      <c r="M148" s="46" t="n"/>
      <c r="N148" s="1711" t="n"/>
      <c r="O148" s="1735" t="n">
        <v>11</v>
      </c>
      <c r="P148" s="1736" t="n">
        <v>11</v>
      </c>
      <c r="Q148" s="1711">
        <f>IF(AND(E148&gt;=O148,E148&lt;=P148),TRUE,FALSE)</f>
        <v/>
      </c>
      <c r="R148" s="1710" t="n">
        <v>4</v>
      </c>
      <c r="S148" s="1703" t="n">
        <v>7</v>
      </c>
      <c r="T148" s="1711">
        <f>IF(AND(E148&gt;=R148,E148&lt;=S148),TRUE,FALSE)</f>
        <v/>
      </c>
      <c r="U148" s="978" t="n"/>
      <c r="V148" s="1484" t="n"/>
      <c r="W148" s="1485" t="n">
        <v>4</v>
      </c>
      <c r="X148" s="2029" t="n"/>
      <c r="Y148" s="1505" t="n">
        <v>11</v>
      </c>
      <c r="Z148" s="2029" t="n"/>
      <c r="AA148" s="1496" t="n">
        <v>2</v>
      </c>
      <c r="AC148" s="1011" t="n"/>
      <c r="AD148" s="1012" t="n"/>
      <c r="AE148" s="1011" t="n"/>
      <c r="AF148" s="1012" t="n"/>
      <c r="AG148" s="1011" t="n"/>
      <c r="AH148" s="1012" t="n"/>
      <c r="AJ148" s="10" t="n"/>
      <c r="AK148" s="10" t="n"/>
      <c r="AL148" s="10" t="n"/>
      <c r="AR148" s="849" t="n"/>
      <c r="AS148" s="111" t="n"/>
      <c r="AT148" s="487" t="n"/>
      <c r="AU148" s="114" t="n"/>
      <c r="AV148" s="491" t="n"/>
      <c r="AW148" s="114" t="n"/>
      <c r="AX148" s="492" t="n"/>
      <c r="AY148" s="488" t="n"/>
    </row>
    <row r="149" ht="32" customHeight="1">
      <c r="A149" s="854" t="n"/>
      <c r="B149" s="421" t="n"/>
      <c r="C149" s="2066" t="n"/>
      <c r="D149" s="102" t="n"/>
      <c r="E149" s="823" t="n"/>
      <c r="F149" s="822" t="n"/>
      <c r="G149" s="823" t="n"/>
      <c r="H149" s="1735" t="n">
        <v>11</v>
      </c>
      <c r="I149" s="1736" t="n">
        <v>11</v>
      </c>
      <c r="J149" s="46">
        <f>IF(AND(E149&gt;=H149,E149&lt;=I149),TRUE,FALSE)</f>
        <v/>
      </c>
      <c r="K149" s="46" t="n"/>
      <c r="L149" s="46" t="n"/>
      <c r="M149" s="46" t="n"/>
      <c r="N149" s="1711" t="n"/>
      <c r="O149" s="1735" t="n">
        <v>11</v>
      </c>
      <c r="P149" s="1736" t="n">
        <v>11</v>
      </c>
      <c r="Q149" s="1711">
        <f>IF(AND(E149&gt;=O149,E149&lt;=P149),TRUE,FALSE)</f>
        <v/>
      </c>
      <c r="R149" s="1735" t="n">
        <v>11</v>
      </c>
      <c r="S149" s="1736" t="n">
        <v>11</v>
      </c>
      <c r="T149" s="1711">
        <f>IF(AND(E149&gt;=R149,E149&lt;=S149),TRUE,FALSE)</f>
        <v/>
      </c>
      <c r="U149" s="978" t="n"/>
      <c r="V149" s="1487" t="inlineStr">
        <is>
          <t>ou</t>
        </is>
      </c>
      <c r="W149" s="1506" t="n">
        <v>11</v>
      </c>
      <c r="X149" s="1507" t="n"/>
      <c r="Y149" s="1508" t="n">
        <v>11</v>
      </c>
      <c r="Z149" s="1507" t="n"/>
      <c r="AA149" s="1502" t="n">
        <v>11</v>
      </c>
      <c r="AC149" s="1013" t="n"/>
      <c r="AD149" s="1014" t="n"/>
      <c r="AE149" s="1013" t="n"/>
      <c r="AF149" s="1014" t="n"/>
      <c r="AG149" s="1013" t="n"/>
      <c r="AH149" s="1014" t="n"/>
      <c r="AJ149" s="10" t="n"/>
      <c r="AK149" s="10" t="n"/>
      <c r="AL149" s="10" t="n"/>
      <c r="AR149" s="849" t="n"/>
      <c r="AS149" s="111" t="n"/>
      <c r="AT149" s="487" t="n"/>
      <c r="AU149" s="114" t="n"/>
      <c r="AV149" s="491" t="n"/>
      <c r="AW149" s="114" t="n"/>
      <c r="AX149" s="492" t="n"/>
      <c r="AY149" s="488" t="n"/>
    </row>
    <row r="150" ht="32" customHeight="1">
      <c r="A150" s="854" t="n"/>
      <c r="B150" s="825" t="inlineStr">
        <is>
          <t>Max PFA</t>
        </is>
      </c>
      <c r="C150" s="826">
        <f>_xlfn.XLOOKUP(G150,G148:G149,C148:C149)</f>
        <v/>
      </c>
      <c r="D150" s="827">
        <f>_xlfn.XLOOKUP(G150,G148:G149,D148:D149)</f>
        <v/>
      </c>
      <c r="E150" s="828" t="n"/>
      <c r="F150" s="828" t="n"/>
      <c r="G150" s="828">
        <f>IF(AND(J148=TRUE,J149=FALSE),G148,IF(AND(J148=FALSE,J149=TRUE),G149,MAX(G148,G149)))</f>
        <v/>
      </c>
      <c r="H150" s="1712" t="n"/>
      <c r="I150" s="829" t="n"/>
      <c r="J150" s="830">
        <f>IF(AND(J148=FALSE,J149=FALSE),FALSE,TRUE)</f>
        <v/>
      </c>
      <c r="K150" s="46" t="n"/>
      <c r="L150" s="46" t="n"/>
      <c r="M150" s="46" t="n"/>
      <c r="N150" s="1711" t="n"/>
      <c r="O150" s="1712" t="n"/>
      <c r="P150" s="829" t="n"/>
      <c r="Q150" s="1725">
        <f>IF(AND(Q148=FALSE,Q149=FALSE),FALSE,TRUE)</f>
        <v/>
      </c>
      <c r="R150" s="1712" t="n"/>
      <c r="S150" s="829" t="n"/>
      <c r="T150" s="1725">
        <f>IF(AND(T148=FALSE,T149=FALSE),FALSE,TRUE)</f>
        <v/>
      </c>
      <c r="U150" s="978" t="n"/>
      <c r="V150" s="978" t="inlineStr">
        <is>
          <t>ou</t>
        </is>
      </c>
      <c r="W150" s="1473" t="n"/>
      <c r="X150" s="2002" t="n"/>
      <c r="Y150" s="1478" t="n"/>
      <c r="Z150" s="2002" t="n"/>
      <c r="AA150" s="1481" t="n"/>
      <c r="AC150" s="1013" t="n"/>
      <c r="AD150" s="1014" t="n"/>
      <c r="AE150" s="1013" t="n"/>
      <c r="AF150" s="1014" t="n"/>
      <c r="AG150" s="1013" t="n"/>
      <c r="AH150" s="1014" t="n"/>
      <c r="AJ150" s="10" t="n"/>
      <c r="AK150" s="10" t="n"/>
      <c r="AL150" s="10" t="n"/>
      <c r="AR150" s="849" t="n"/>
      <c r="AS150" s="111" t="n"/>
      <c r="AT150" s="487" t="n"/>
      <c r="AU150" s="114" t="n"/>
      <c r="AV150" s="491" t="n"/>
      <c r="AW150" s="114" t="n"/>
      <c r="AX150" s="492" t="n"/>
      <c r="AY150" s="488" t="n"/>
    </row>
    <row r="151" ht="32" customHeight="1">
      <c r="A151" s="854" t="n"/>
      <c r="B151" s="53" t="n"/>
      <c r="C151" s="2066" t="n"/>
      <c r="D151" s="102" t="n"/>
      <c r="E151" s="823" t="n"/>
      <c r="F151" s="822" t="n"/>
      <c r="G151" s="823" t="n"/>
      <c r="H151" s="1735" t="n">
        <v>11</v>
      </c>
      <c r="I151" s="1736" t="n">
        <v>11</v>
      </c>
      <c r="J151" s="46">
        <f>IF(AND(E151&gt;=H151,E151&lt;=I151),TRUE,FALSE)</f>
        <v/>
      </c>
      <c r="K151" s="46" t="n"/>
      <c r="L151" s="46" t="n"/>
      <c r="M151" s="46" t="n"/>
      <c r="N151" s="1711" t="n"/>
      <c r="O151" s="1735" t="n">
        <v>11</v>
      </c>
      <c r="P151" s="1736" t="n">
        <v>11</v>
      </c>
      <c r="Q151" s="1711">
        <f>IF(AND(E151&gt;=O151,E151&lt;=P151),TRUE,FALSE)</f>
        <v/>
      </c>
      <c r="R151" s="1735" t="n">
        <v>11</v>
      </c>
      <c r="S151" s="1736" t="n">
        <v>11</v>
      </c>
      <c r="T151" s="1711">
        <f>IF(AND(E151&gt;=R151,E151&lt;=S151),TRUE,FALSE)</f>
        <v/>
      </c>
      <c r="U151" s="978" t="n"/>
      <c r="V151" s="1484" t="n"/>
      <c r="W151" s="1503" t="n">
        <v>11</v>
      </c>
      <c r="X151" s="1504" t="n"/>
      <c r="Y151" s="1505" t="n">
        <v>11</v>
      </c>
      <c r="Z151" s="1504" t="n"/>
      <c r="AA151" s="1497" t="n">
        <v>11</v>
      </c>
      <c r="AC151" s="1013" t="n"/>
      <c r="AD151" s="1014" t="n"/>
      <c r="AE151" s="1013" t="n"/>
      <c r="AF151" s="1014" t="n"/>
      <c r="AG151" s="1013" t="n"/>
      <c r="AH151" s="1014" t="n"/>
      <c r="AJ151" s="10" t="n"/>
      <c r="AK151" s="10" t="n"/>
      <c r="AL151" s="10" t="n"/>
      <c r="AR151" s="849" t="n"/>
      <c r="AS151" s="111" t="n"/>
      <c r="AT151" s="487" t="n"/>
      <c r="AU151" s="114" t="n"/>
      <c r="AV151" s="491" t="n"/>
      <c r="AW151" s="114" t="n"/>
      <c r="AX151" s="492" t="n"/>
      <c r="AY151" s="488" t="n"/>
    </row>
    <row r="152" ht="32" customHeight="1">
      <c r="B152" s="53" t="n"/>
      <c r="C152" s="2066" t="n"/>
      <c r="D152" s="63" t="n"/>
      <c r="E152" s="36" t="n"/>
      <c r="F152" s="36" t="n"/>
      <c r="G152" s="36" t="n"/>
      <c r="H152" s="1735" t="n">
        <v>11</v>
      </c>
      <c r="I152" s="1736" t="n">
        <v>11</v>
      </c>
      <c r="J152" s="46">
        <f>IF(AND(E152&gt;=H152,E152&lt;=I152),TRUE,FALSE)</f>
        <v/>
      </c>
      <c r="K152" s="46" t="n"/>
      <c r="L152" s="46" t="n"/>
      <c r="M152" s="46" t="n"/>
      <c r="N152" s="1711" t="n"/>
      <c r="O152" s="1735" t="n">
        <v>11</v>
      </c>
      <c r="P152" s="1736" t="n">
        <v>11</v>
      </c>
      <c r="Q152" s="1711">
        <f>IF(AND(E152&gt;=O152,E152&lt;=P152),TRUE,FALSE)</f>
        <v/>
      </c>
      <c r="R152" s="1735" t="n">
        <v>11</v>
      </c>
      <c r="S152" s="1736" t="n">
        <v>11</v>
      </c>
      <c r="T152" s="1711">
        <f>IF(AND(E152&gt;=R152,E152&lt;=S152),TRUE,FALSE)</f>
        <v/>
      </c>
      <c r="U152" s="978" t="n"/>
      <c r="V152" s="1487" t="inlineStr">
        <is>
          <t>ou</t>
        </is>
      </c>
      <c r="W152" s="1506" t="n">
        <v>11</v>
      </c>
      <c r="X152" s="1507" t="n"/>
      <c r="Y152" s="1508" t="n">
        <v>11</v>
      </c>
      <c r="Z152" s="1507" t="n"/>
      <c r="AA152" s="1502" t="n">
        <v>11</v>
      </c>
      <c r="AC152" s="1013" t="n"/>
      <c r="AD152" s="1014" t="n"/>
      <c r="AE152" s="1013" t="n"/>
      <c r="AF152" s="1014" t="n"/>
      <c r="AG152" s="1013" t="n"/>
      <c r="AH152" s="1014" t="n"/>
      <c r="AJ152" s="10" t="n"/>
      <c r="AK152" s="10" t="n"/>
      <c r="AL152" s="10" t="n"/>
      <c r="AQ152" s="849" t="n"/>
      <c r="AR152" s="111" t="n"/>
      <c r="AS152" s="487" t="n"/>
      <c r="AT152" s="114" t="n"/>
      <c r="AU152" s="491" t="n"/>
      <c r="AV152" s="114" t="n"/>
      <c r="AW152" s="492" t="n"/>
      <c r="AX152" s="488" t="n"/>
    </row>
    <row r="153" ht="32" customHeight="1" thickBot="1">
      <c r="B153" s="831" t="inlineStr">
        <is>
          <t>Max NC</t>
        </is>
      </c>
      <c r="C153" s="832">
        <f>_xlfn.XLOOKUP(G153,G151:G152,C151:C152)</f>
        <v/>
      </c>
      <c r="D153" s="833">
        <f>_xlfn.XLOOKUP(G153,G151:G152,D151:D152)</f>
        <v/>
      </c>
      <c r="E153" s="834" t="n"/>
      <c r="F153" s="834" t="n"/>
      <c r="G153" s="834">
        <f>IF(AND(J151=TRUE,J152=FALSE),G151,IF(AND(J151=FALSE,J152=TRUE),G152,MAX(G151,G152)))</f>
        <v/>
      </c>
      <c r="H153" s="1713" t="n"/>
      <c r="I153" s="835" t="n"/>
      <c r="J153" s="836">
        <f>IF(AND(J151=FALSE,J152=FALSE),FALSE,TRUE)</f>
        <v/>
      </c>
      <c r="K153" s="46" t="n"/>
      <c r="L153" s="46" t="n"/>
      <c r="M153" s="46" t="n"/>
      <c r="N153" s="1711" t="n"/>
      <c r="O153" s="1713" t="n"/>
      <c r="P153" s="835" t="n"/>
      <c r="Q153" s="1726">
        <f>IF(AND(Q151=FALSE,Q152=FALSE),FALSE,TRUE)</f>
        <v/>
      </c>
      <c r="R153" s="1713" t="n"/>
      <c r="S153" s="835" t="n"/>
      <c r="T153" s="1726">
        <f>IF(AND(T151=FALSE,T152=FALSE),FALSE,TRUE)</f>
        <v/>
      </c>
      <c r="U153" s="978" t="n"/>
      <c r="V153" s="978" t="n"/>
      <c r="W153" s="1473" t="n"/>
      <c r="X153" s="2002" t="n"/>
      <c r="Y153" s="1478" t="n"/>
      <c r="Z153" s="2002" t="n"/>
      <c r="AA153" s="1481" t="n"/>
      <c r="AC153" s="1013" t="n"/>
      <c r="AD153" s="1014" t="n"/>
      <c r="AE153" s="1013" t="n"/>
      <c r="AF153" s="1014" t="n"/>
      <c r="AG153" s="1013" t="n"/>
      <c r="AH153" s="1014" t="n"/>
      <c r="AJ153" s="10" t="n"/>
      <c r="AK153" s="10" t="n"/>
      <c r="AL153" s="10" t="n"/>
      <c r="AQ153" s="849" t="n"/>
      <c r="AR153" s="111" t="n"/>
      <c r="AS153" s="487" t="n"/>
      <c r="AT153" s="114" t="n"/>
      <c r="AU153" s="491" t="n"/>
      <c r="AV153" s="114" t="n"/>
      <c r="AW153" s="492" t="n"/>
      <c r="AX153" s="488" t="n"/>
    </row>
    <row r="154" ht="32" customHeight="1" thickBot="1">
      <c r="B154" s="837" t="inlineStr">
        <is>
          <t>Max PFA &amp; NC</t>
        </is>
      </c>
      <c r="C154" s="838" t="n"/>
      <c r="D154" s="838">
        <f>IF(G154=G150,D150,D153)</f>
        <v/>
      </c>
      <c r="E154" s="839" t="n"/>
      <c r="F154" s="839" t="n"/>
      <c r="G154" s="839">
        <f>IF(AND(J150=TRUE,J153=FALSE),G150,IF(AND(J150=FALSE,J153=TRUE),G153,IF(AND(J150=TRUE,J153=TRUE),G150+G153,MAX(G150,G153))))</f>
        <v/>
      </c>
      <c r="H154" s="1714" t="n"/>
      <c r="I154" s="840" t="n"/>
      <c r="J154" s="841">
        <f>IF(AND(J150=FALSE,J153=FALSE),FALSE,TRUE)</f>
        <v/>
      </c>
      <c r="K154" s="1698" t="n"/>
      <c r="L154" s="1698" t="n"/>
      <c r="M154" s="1698" t="n"/>
      <c r="N154" s="1715" t="n"/>
      <c r="O154" s="1714" t="n"/>
      <c r="P154" s="840" t="n"/>
      <c r="Q154" s="841">
        <f>IF(AND(Q150=FALSE,Q153=FALSE),FALSE,TRUE)</f>
        <v/>
      </c>
      <c r="R154" s="1714" t="n"/>
      <c r="S154" s="840" t="n"/>
      <c r="T154" s="841">
        <f>IF(AND(T150=FALSE,T153=FALSE),FALSE,TRUE)</f>
        <v/>
      </c>
      <c r="U154" s="978" t="n"/>
      <c r="V154" s="978" t="inlineStr">
        <is>
          <t>et</t>
        </is>
      </c>
      <c r="W154" s="1473" t="n"/>
      <c r="X154" s="2002" t="n"/>
      <c r="Y154" s="1478" t="n"/>
      <c r="Z154" s="2002" t="n"/>
      <c r="AA154" s="1481" t="n"/>
      <c r="AC154" s="1013">
        <f>IF(J154=TRUE,"V","F")</f>
        <v/>
      </c>
      <c r="AD154" s="1014" t="n"/>
      <c r="AE154" s="1013">
        <f>IF(Q154=TRUE,"V","F")</f>
        <v/>
      </c>
      <c r="AF154" s="1014" t="n"/>
      <c r="AG154" s="1013">
        <f>IF(T154=TRUE,"V","F")</f>
        <v/>
      </c>
      <c r="AH154" s="1014" t="n"/>
      <c r="AI154">
        <f>IF(OR(AC154="V",AE154="V"),IF(G153&gt;G150,"Le NC contribue plus que le coparent","Le coparent joue un plus grand rôle que le NC"),"pas de contexte significatif de la part du coparent et NC")</f>
        <v/>
      </c>
      <c r="AJ154" s="10" t="n"/>
      <c r="AK154" s="10" t="n"/>
      <c r="AL154" s="10" t="n"/>
      <c r="AQ154" s="849" t="n"/>
      <c r="AR154" s="111" t="n"/>
      <c r="AS154" s="487" t="n"/>
      <c r="AT154" s="114" t="n"/>
      <c r="AU154" s="491" t="n"/>
      <c r="AV154" s="114" t="n"/>
      <c r="AW154" s="492" t="n"/>
      <c r="AX154" s="488" t="n"/>
    </row>
    <row r="155" ht="35" customHeight="1">
      <c r="B155" s="316">
        <f>'Action-Réaction finale'!O25</f>
        <v/>
      </c>
      <c r="C155" s="2066">
        <f>Test_Bible!B306</f>
        <v/>
      </c>
      <c r="D155" s="102" t="inlineStr">
        <is>
          <t>change de comportement à son retour de garde</t>
        </is>
      </c>
      <c r="E155" s="823">
        <f>Test_Bible!P306</f>
        <v/>
      </c>
      <c r="F155" s="822">
        <f>Test_Bible!D306</f>
        <v/>
      </c>
      <c r="G155" s="823">
        <f>Test_Bible!Q306</f>
        <v/>
      </c>
      <c r="H155" s="1710" t="n">
        <v>7</v>
      </c>
      <c r="I155" s="1703">
        <f>$I$18</f>
        <v/>
      </c>
      <c r="J155" s="46">
        <f>IF(AND(E155&gt;=H155,E155&lt;=I155),TRUE,FALSE)</f>
        <v/>
      </c>
      <c r="K155" s="46" t="n"/>
      <c r="L155" s="46" t="n"/>
      <c r="M155" s="46" t="n"/>
      <c r="N155" s="1711" t="n"/>
      <c r="O155" s="1710" t="n">
        <v>4</v>
      </c>
      <c r="P155" s="1703" t="n">
        <v>7</v>
      </c>
      <c r="Q155" s="1711">
        <f>IF(AND(E155&gt;=O155,E155&lt;=P155),TRUE,FALSE)</f>
        <v/>
      </c>
      <c r="R155" s="1710" t="n"/>
      <c r="S155" s="1703" t="n"/>
      <c r="T155" s="1711" t="n"/>
      <c r="U155" s="1681" t="n"/>
      <c r="V155" s="1484" t="n"/>
      <c r="W155" s="1485" t="n">
        <v>7</v>
      </c>
      <c r="X155" s="2029" t="n"/>
      <c r="Y155" s="1489" t="n">
        <v>4</v>
      </c>
      <c r="Z155" s="2029" t="n"/>
      <c r="AA155" s="1497" t="n">
        <v>11</v>
      </c>
      <c r="AC155" s="1013" t="inlineStr">
        <is>
          <t> </t>
        </is>
      </c>
      <c r="AD155" s="1014" t="n"/>
      <c r="AE155" s="1013" t="n"/>
      <c r="AF155" s="1014" t="n"/>
      <c r="AG155" s="1013" t="n"/>
      <c r="AH155" s="1014" t="n"/>
      <c r="AJ155" s="10" t="n"/>
      <c r="AK155" s="10" t="n"/>
      <c r="AL155" s="10" t="n"/>
      <c r="AQ155" s="849" t="n"/>
      <c r="AR155" s="111" t="n"/>
      <c r="AS155" s="487" t="n"/>
      <c r="AT155" s="114" t="n"/>
      <c r="AU155" s="491" t="n"/>
      <c r="AV155" s="114" t="n"/>
      <c r="AW155" s="492" t="n"/>
      <c r="AX155" s="488" t="n"/>
    </row>
    <row r="156" ht="35" customHeight="1" thickBot="1">
      <c r="B156" s="316">
        <f>'Action-Réaction finale'!O26</f>
        <v/>
      </c>
      <c r="C156" s="799">
        <f>Test_Bible!B314</f>
        <v/>
      </c>
      <c r="D156" s="102" t="inlineStr">
        <is>
          <t>accable de reproches à son retour de garde chez l'autre</t>
        </is>
      </c>
      <c r="E156" s="823">
        <f>Test_Bible!P314</f>
        <v/>
      </c>
      <c r="F156" s="822">
        <f>Test_Bible!D314</f>
        <v/>
      </c>
      <c r="G156" s="823">
        <f>Test_Bible!Q314</f>
        <v/>
      </c>
      <c r="H156" s="1710" t="n">
        <v>4</v>
      </c>
      <c r="I156" s="1703">
        <f>$I$18</f>
        <v/>
      </c>
      <c r="J156" s="46">
        <f>IF(AND(E156&gt;=H156,E156&lt;=I156),TRUE,FALSE)</f>
        <v/>
      </c>
      <c r="K156" s="46" t="n"/>
      <c r="L156" s="46" t="n"/>
      <c r="M156" s="46" t="n"/>
      <c r="N156" s="1711" t="n"/>
      <c r="O156" s="1710" t="n">
        <v>4</v>
      </c>
      <c r="P156" s="1703" t="n">
        <v>7</v>
      </c>
      <c r="Q156" s="1711">
        <f>IF(AND(E156&gt;=O156,E156&lt;=P156),TRUE,FALSE)</f>
        <v/>
      </c>
      <c r="R156" s="1735" t="n"/>
      <c r="S156" s="1736" t="n"/>
      <c r="T156" s="1711" t="n"/>
      <c r="U156" s="978" t="n"/>
      <c r="V156" s="1487" t="inlineStr">
        <is>
          <t>ou</t>
        </is>
      </c>
      <c r="W156" s="1492" t="n">
        <v>4</v>
      </c>
      <c r="X156" s="1493" t="n"/>
      <c r="Y156" s="1508" t="n">
        <v>11</v>
      </c>
      <c r="Z156" s="1493" t="n"/>
      <c r="AA156" s="1502" t="n">
        <v>11</v>
      </c>
      <c r="AC156" s="1013" t="n"/>
      <c r="AD156" s="1014" t="n"/>
      <c r="AE156" s="1013" t="n"/>
      <c r="AF156" s="1014" t="n"/>
      <c r="AG156" s="1013" t="n"/>
      <c r="AH156" s="1014" t="n"/>
      <c r="AJ156" s="10" t="n"/>
      <c r="AK156" s="10" t="n"/>
      <c r="AL156" s="10" t="n"/>
      <c r="AQ156" s="7" t="n"/>
      <c r="AR156" s="849" t="n"/>
      <c r="AS156" s="111" t="n"/>
      <c r="AT156" s="487" t="n"/>
      <c r="AU156" s="114" t="n"/>
      <c r="AV156" s="491" t="n"/>
      <c r="AW156" s="114" t="n"/>
      <c r="AX156" s="492" t="n"/>
      <c r="AY156" s="488" t="n"/>
    </row>
    <row r="157" ht="32" customHeight="1" thickBot="1">
      <c r="B157" s="842" t="inlineStr">
        <is>
          <t>Max Enf</t>
        </is>
      </c>
      <c r="C157" s="843">
        <f>_xlfn.XLOOKUP(G157,G155:G156,C155:C156)</f>
        <v/>
      </c>
      <c r="D157" s="843">
        <f>_xlfn.XLOOKUP(G157,G155:G156,D155:D156)</f>
        <v/>
      </c>
      <c r="E157" s="844" t="n"/>
      <c r="F157" s="844" t="n"/>
      <c r="G157" s="844">
        <f>IF(AND(J155=TRUE,J156=FALSE),G155,IF(AND(J155=FALSE,J156=TRUE),G156,MAX(G155,G156)))</f>
        <v/>
      </c>
      <c r="H157" s="1716" t="n"/>
      <c r="I157" s="845" t="n"/>
      <c r="J157" s="846">
        <f>IF(AND(J155=FALSE,J156=FALSE),FALSE,TRUE)</f>
        <v/>
      </c>
      <c r="K157" s="1699" t="n"/>
      <c r="L157" s="1699" t="n"/>
      <c r="M157" s="1699" t="n"/>
      <c r="N157" s="1717" t="n"/>
      <c r="O157" s="1716" t="n"/>
      <c r="P157" s="845" t="n"/>
      <c r="Q157" s="846">
        <f>IF(AND(Q155=FALSE,Q156=FALSE),FALSE,TRUE)</f>
        <v/>
      </c>
      <c r="R157" s="1716" t="n"/>
      <c r="S157" s="845" t="n"/>
      <c r="T157" s="846" t="n"/>
      <c r="U157" s="978" t="n"/>
      <c r="V157" s="978" t="n"/>
      <c r="W157" s="1475" t="n"/>
      <c r="Y157" s="1479" t="n"/>
      <c r="AA157" s="1483" t="n"/>
      <c r="AC157" s="1013">
        <f>IF(J157=TRUE,"V","F")</f>
        <v/>
      </c>
      <c r="AD157" s="1014" t="n"/>
      <c r="AE157" s="1013">
        <f>IF(Q157=TRUE,"V","F")</f>
        <v/>
      </c>
      <c r="AF157" s="1014" t="n"/>
      <c r="AG157" s="1013" t="n"/>
      <c r="AH157" s="1014" t="n"/>
      <c r="AJ157" s="10" t="n"/>
      <c r="AK157" s="10" t="n"/>
      <c r="AL157" s="10" t="n"/>
      <c r="AR157" s="849" t="n"/>
      <c r="AS157" s="111" t="n"/>
      <c r="AT157" s="487" t="n"/>
      <c r="AU157" s="114" t="n"/>
      <c r="AV157" s="491" t="n"/>
      <c r="AW157" s="114" t="n"/>
      <c r="AX157" s="492" t="n"/>
      <c r="AY157" s="488" t="n"/>
    </row>
    <row r="158" ht="32" customHeight="1">
      <c r="C158" s="428" t="inlineStr">
        <is>
          <t>COMPARATIF Comportement PFA-Enf</t>
        </is>
      </c>
      <c r="D158" s="2058" t="n"/>
      <c r="E158" s="484" t="inlineStr">
        <is>
          <t>Valeur =&gt;</t>
        </is>
      </c>
      <c r="F158" s="48" t="n"/>
      <c r="G158" s="48">
        <f>G150+G153+G157</f>
        <v/>
      </c>
      <c r="H158" s="1718" t="n"/>
      <c r="I158" s="485" t="n"/>
      <c r="J158" s="1701" t="n"/>
      <c r="K158" s="1702">
        <f>IF(AND(J157=TRUE,J154=TRUE),D157,"")</f>
        <v/>
      </c>
      <c r="L158" s="1702">
        <f>IF(AND(J154=TRUE,J157=FALSE),"Bien que le parent "&amp;D154&amp;" l'enfant ne semble pas s'ingérer","")</f>
        <v/>
      </c>
      <c r="M158" s="1702">
        <f>IF(AND(J154=FALSE,J157=TRUE),D157&amp;" sans signe de la participation du parent favorisé et|ou nouveau conjoint.e","")</f>
        <v/>
      </c>
      <c r="N158" s="1719">
        <f>IF(AND(J154=FALSE,J157=FALSE),"aucun comportement significatif de cette nature","")</f>
        <v/>
      </c>
      <c r="O158" s="1718" t="n"/>
      <c r="P158" s="485" t="n"/>
      <c r="Q158" s="1727" t="n"/>
      <c r="R158" s="1718" t="n"/>
      <c r="S158" s="485" t="n"/>
      <c r="T158" s="1727" t="n"/>
      <c r="U158" s="980" t="n"/>
      <c r="V158" s="980" t="n"/>
      <c r="W158" s="1475" t="n"/>
      <c r="Y158" s="1479" t="n"/>
      <c r="AA158" s="1483" t="n"/>
      <c r="AC158" s="1015" t="n"/>
      <c r="AD158" s="1016">
        <f>IF(AND(AC154="V",AC157="V"),2,IF(OR(AC154="V",AC157="V"),1,0))</f>
        <v/>
      </c>
      <c r="AE158" s="1015" t="n"/>
      <c r="AF158" s="1016">
        <f>IF(OR(AE154="V",AE157="V"),1,0)</f>
        <v/>
      </c>
      <c r="AG158" s="1015" t="n"/>
      <c r="AH158" s="1016" t="n"/>
      <c r="AJ158" s="10" t="n"/>
      <c r="AK158" s="10" t="n"/>
      <c r="AL158" s="10" t="n"/>
      <c r="AR158" s="849" t="n"/>
      <c r="AS158" s="111" t="n"/>
      <c r="AT158" s="487" t="n"/>
      <c r="AU158" s="114" t="n"/>
      <c r="AV158" s="491" t="n"/>
      <c r="AW158" s="114" t="n"/>
      <c r="AX158" s="492" t="n"/>
      <c r="AY158" s="488" t="n"/>
    </row>
    <row r="159" ht="32" customHeight="1">
      <c r="B159" t="inlineStr">
        <is>
          <t>PCR</t>
        </is>
      </c>
      <c r="H159" s="147" t="n"/>
      <c r="K159" s="1992" t="n"/>
      <c r="L159" s="1992" t="n"/>
      <c r="M159" s="1992" t="n"/>
      <c r="N159" s="1740" t="n"/>
      <c r="O159" s="147" t="n"/>
      <c r="Q159" s="330" t="n"/>
      <c r="R159" s="147" t="n"/>
      <c r="T159" s="330" t="n"/>
      <c r="U159" s="1992" t="n"/>
      <c r="W159" s="1475" t="n"/>
      <c r="Y159" s="1479" t="n"/>
      <c r="AA159" s="1483" t="n"/>
      <c r="AC159" s="1013" t="n"/>
      <c r="AD159" s="1014" t="n"/>
      <c r="AE159" s="1013" t="n"/>
      <c r="AF159" s="1014" t="n"/>
      <c r="AG159" s="1013" t="n"/>
      <c r="AH159" s="1014" t="n"/>
      <c r="AJ159" s="10" t="n"/>
      <c r="AK159" s="10" t="n"/>
      <c r="AL159" s="10" t="n"/>
      <c r="AP159" s="7" t="n"/>
      <c r="AR159" s="849" t="n"/>
      <c r="AS159" s="111" t="n"/>
      <c r="AT159" s="487" t="n"/>
      <c r="AU159" s="114" t="n"/>
      <c r="AV159" s="491" t="n"/>
      <c r="AW159" s="114" t="n"/>
      <c r="AX159" s="492" t="n"/>
      <c r="AY159" s="488" t="n"/>
    </row>
    <row r="160" ht="57" customHeight="1">
      <c r="B160" s="1017">
        <f>'Action-Réaction finale'!S25</f>
        <v/>
      </c>
      <c r="C160" s="1018">
        <f>Test_Bible!B123</f>
        <v/>
      </c>
      <c r="D160" s="1018" t="n"/>
      <c r="E160" s="1026">
        <f>Test_Bible!P123</f>
        <v/>
      </c>
      <c r="F160" s="1026">
        <f>Test_Bible!D123</f>
        <v/>
      </c>
      <c r="G160" s="1026">
        <f>Test_Bible!Q123</f>
        <v/>
      </c>
      <c r="H160" s="1710" t="n">
        <v>4</v>
      </c>
      <c r="I160" s="1703" t="n">
        <v>10</v>
      </c>
      <c r="J160" s="46">
        <f>IF(AND(E160&gt;=H160,E160&lt;=I160),TRUE,FALSE)</f>
        <v/>
      </c>
      <c r="K160" s="33" t="n"/>
      <c r="L160" s="33" t="n"/>
      <c r="M160" s="33" t="n"/>
      <c r="N160" s="1720" t="n"/>
      <c r="O160" s="1735" t="n">
        <v>11</v>
      </c>
      <c r="P160" s="1736" t="n">
        <v>11</v>
      </c>
      <c r="Q160" s="1711">
        <f>IF(AND(E160&gt;=O160,E160&lt;=P160),TRUE,FALSE)</f>
        <v/>
      </c>
      <c r="R160" s="1710" t="n">
        <v>4</v>
      </c>
      <c r="S160" s="1703" t="n">
        <v>10</v>
      </c>
      <c r="T160" s="1711">
        <f>IF(AND(E160&gt;=R160,E160&lt;=S160),TRUE,FALSE)</f>
        <v/>
      </c>
      <c r="U160" s="1992" t="n"/>
      <c r="V160" s="1509" t="n"/>
      <c r="W160" s="1485" t="n">
        <v>4</v>
      </c>
      <c r="X160" s="2029" t="n"/>
      <c r="Y160" s="1505" t="n">
        <v>11</v>
      </c>
      <c r="Z160" s="2029" t="n"/>
      <c r="AA160" s="1496" t="n">
        <v>4</v>
      </c>
      <c r="AC160" s="1013" t="n"/>
      <c r="AD160" s="1014" t="n"/>
      <c r="AE160" s="1013" t="n"/>
      <c r="AF160" s="1014" t="n"/>
      <c r="AG160" s="1013" t="n"/>
      <c r="AH160" s="1014" t="n"/>
      <c r="AJ160" s="10" t="n"/>
      <c r="AK160" s="10" t="n"/>
      <c r="AL160" s="10" t="n"/>
      <c r="AP160" s="7" t="n"/>
      <c r="AR160" s="849" t="n"/>
      <c r="AS160" s="111" t="n"/>
      <c r="AT160" s="487" t="n"/>
      <c r="AU160" s="114" t="n"/>
      <c r="AV160" s="491" t="n"/>
      <c r="AW160" s="114" t="n"/>
      <c r="AX160" s="492" t="n"/>
      <c r="AY160" s="488" t="n"/>
    </row>
    <row r="161" ht="32" customHeight="1" thickBot="1">
      <c r="B161" s="1017" t="n"/>
      <c r="C161" s="1025" t="n"/>
      <c r="D161" s="1018" t="n"/>
      <c r="E161" s="1026" t="n"/>
      <c r="F161" s="1026" t="n"/>
      <c r="G161" s="1026" t="n"/>
      <c r="H161" s="1735" t="n">
        <v>11</v>
      </c>
      <c r="I161" s="1736" t="n">
        <v>11</v>
      </c>
      <c r="J161" s="46">
        <f>IF(AND(E161&gt;=H161,E161&lt;=I161),TRUE,FALSE)</f>
        <v/>
      </c>
      <c r="K161" s="33" t="n"/>
      <c r="L161" s="33" t="n"/>
      <c r="M161" s="33" t="n"/>
      <c r="N161" s="1720" t="n"/>
      <c r="O161" s="1735" t="n">
        <v>11</v>
      </c>
      <c r="P161" s="1736" t="n">
        <v>11</v>
      </c>
      <c r="Q161" s="1711">
        <f>IF(AND(E161&gt;=O161,E161&lt;=P161),TRUE,FALSE)</f>
        <v/>
      </c>
      <c r="R161" s="1735" t="n">
        <v>11</v>
      </c>
      <c r="S161" s="1736" t="n">
        <v>11</v>
      </c>
      <c r="T161" s="1711">
        <f>IF(AND(E161&gt;=R161,E161&lt;=S161),TRUE,FALSE)</f>
        <v/>
      </c>
      <c r="V161" s="1510" t="n"/>
      <c r="W161" s="1506" t="n">
        <v>11</v>
      </c>
      <c r="X161" s="1507" t="n"/>
      <c r="Y161" s="1508" t="n">
        <v>11</v>
      </c>
      <c r="Z161" s="1507" t="n"/>
      <c r="AA161" s="1502" t="n">
        <v>11</v>
      </c>
      <c r="AC161" s="1013" t="n"/>
      <c r="AD161" s="1014" t="n"/>
      <c r="AE161" s="1013" t="n"/>
      <c r="AF161" s="1014" t="n"/>
      <c r="AG161" s="1013" t="n"/>
      <c r="AH161" s="1014" t="n"/>
      <c r="AJ161" s="10" t="n"/>
      <c r="AK161" s="10" t="n"/>
      <c r="AL161" s="10" t="n"/>
      <c r="AP161" s="7" t="n"/>
      <c r="AR161" s="849" t="n"/>
      <c r="AS161" s="111" t="n"/>
      <c r="AT161" s="487" t="n"/>
      <c r="AU161" s="114" t="n"/>
      <c r="AV161" s="491" t="n"/>
      <c r="AW161" s="114" t="n"/>
      <c r="AX161" s="492" t="n"/>
      <c r="AY161" s="488" t="n"/>
    </row>
    <row r="162" ht="32" customHeight="1" thickBot="1">
      <c r="B162" s="7" t="n"/>
      <c r="C162" s="2059" t="n"/>
      <c r="D162" s="2059" t="n"/>
      <c r="E162" s="90" t="n"/>
      <c r="F162" s="2073" t="n"/>
      <c r="G162" s="90" t="n"/>
      <c r="H162" s="1732" t="n"/>
      <c r="I162" s="1733" t="n"/>
      <c r="J162" s="1739">
        <f>IF(AND(J160=FALSE,J161=FALSE),FALSE,TRUE)</f>
        <v/>
      </c>
      <c r="K162" s="1721" t="n"/>
      <c r="L162" s="1722" t="n"/>
      <c r="M162" s="1722" t="n"/>
      <c r="N162" s="1723" t="n"/>
      <c r="O162" s="1732" t="n"/>
      <c r="P162" s="1733" t="n"/>
      <c r="Q162" s="1739">
        <f>IF(AND(Q160=FALSE,Q161=FALSE),FALSE,TRUE)</f>
        <v/>
      </c>
      <c r="R162" s="1744" t="n"/>
      <c r="S162" s="1745" t="n"/>
      <c r="T162" s="1746">
        <f>IF(AND(T160=FALSE,T161=FALSE),FALSE,TRUE)</f>
        <v/>
      </c>
      <c r="AC162" s="1650">
        <f>IF(J162=TRUE,"V","F")</f>
        <v/>
      </c>
      <c r="AD162" s="1651" t="n"/>
      <c r="AE162" s="1650">
        <f>IF(Q162=TRUE,"V","F")</f>
        <v/>
      </c>
      <c r="AF162" s="1651" t="n"/>
      <c r="AG162" s="1650">
        <f>IF(T162=TRUE,"V","F")</f>
        <v/>
      </c>
      <c r="AH162" s="1651" t="n"/>
      <c r="AJ162" s="10" t="n"/>
      <c r="AK162" s="10" t="n"/>
      <c r="AL162" s="10" t="n"/>
      <c r="AP162" s="7" t="n"/>
      <c r="AR162" s="849" t="n"/>
      <c r="AS162" s="111" t="n"/>
      <c r="AT162" s="487" t="n"/>
      <c r="AU162" s="114" t="n"/>
      <c r="AV162" s="491" t="n"/>
      <c r="AW162" s="114" t="n"/>
      <c r="AX162" s="492" t="n"/>
      <c r="AY162" s="488" t="n"/>
    </row>
    <row r="163" ht="32" customHeight="1" thickBot="1">
      <c r="C163" s="2073" t="n"/>
      <c r="D163" s="2073" t="n"/>
      <c r="E163" s="90" t="n"/>
      <c r="F163" s="483" t="n"/>
      <c r="G163" s="483" t="n"/>
      <c r="H163" s="2002" t="n"/>
      <c r="I163" s="2002" t="n"/>
      <c r="J163" s="979" t="n"/>
      <c r="K163" s="980" t="n"/>
      <c r="L163" s="980" t="n"/>
      <c r="M163" s="980" t="n"/>
      <c r="N163" s="980" t="n"/>
      <c r="O163" s="980" t="n"/>
      <c r="P163" s="980" t="n"/>
      <c r="Q163" s="980" t="n"/>
      <c r="R163" s="980" t="n"/>
      <c r="S163" s="980" t="n"/>
      <c r="T163" s="980" t="n"/>
      <c r="U163" s="980" t="n"/>
      <c r="V163" s="980" t="n"/>
      <c r="AC163" s="1737" t="n"/>
      <c r="AD163" s="1738">
        <f>IF(AND(AC162="V",AC154="V"),AD158-1,AD158)</f>
        <v/>
      </c>
      <c r="AE163" s="1737" t="n"/>
      <c r="AF163" s="1738">
        <f>IF(OR(AE154="V",AE157="V",AE162="V"),1,0)</f>
        <v/>
      </c>
      <c r="AG163" s="1737" t="n"/>
      <c r="AH163" s="1738">
        <f>IF(AG154="V",1,IF(AG162="V",1,0))</f>
        <v/>
      </c>
      <c r="AJ163" s="10" t="n">
        <v>1</v>
      </c>
      <c r="AK163" s="10" t="n">
        <v>1</v>
      </c>
      <c r="AL163" s="10" t="n">
        <v>1</v>
      </c>
      <c r="AR163" s="849" t="n"/>
      <c r="AS163" s="111" t="n"/>
      <c r="AT163" s="487" t="n"/>
      <c r="AU163" s="114" t="n"/>
      <c r="AV163" s="491" t="n"/>
      <c r="AW163" s="114" t="n"/>
      <c r="AX163" s="492" t="n"/>
      <c r="AY163" s="488" t="n"/>
    </row>
    <row r="164" ht="32" customHeight="1">
      <c r="C164" s="2073" t="n"/>
      <c r="D164" s="2073" t="n"/>
      <c r="E164" s="90" t="n"/>
      <c r="F164" s="483" t="n"/>
      <c r="G164" s="483" t="n"/>
      <c r="H164" s="2120" t="inlineStr">
        <is>
          <t xml:space="preserve">instrumentalisation de l'enfant qui rend le actif / force la prise d'otage psycho ou physique </t>
        </is>
      </c>
      <c r="I164" s="709" t="n"/>
      <c r="J164" s="1392" t="n"/>
      <c r="K164" s="2056" t="n"/>
      <c r="L164" s="709" t="n"/>
      <c r="M164" s="709" t="n"/>
      <c r="N164" s="1707" t="n"/>
      <c r="O164" s="2121" t="inlineStr">
        <is>
          <t xml:space="preserve">compt. fragilise la relation parent-enfant ou les individus, enclenche rôle de protecteur, demande de faire un choix / choisir son camp </t>
        </is>
      </c>
      <c r="P164" s="709" t="n"/>
      <c r="Q164" s="1392" t="n"/>
      <c r="R164" s="1768" t="inlineStr">
        <is>
          <t>Est-ce que cela créé un déclencheur?</t>
        </is>
      </c>
      <c r="S164" s="1706" t="n"/>
      <c r="T164" s="1707" t="n"/>
      <c r="U164" s="980" t="n"/>
      <c r="AC164" s="1756" t="n"/>
      <c r="AD164" s="1757" t="n"/>
      <c r="AE164" s="1490" t="n"/>
      <c r="AF164" s="1490" t="n"/>
      <c r="AG164" s="1490" t="n"/>
      <c r="AH164" s="1490" t="n"/>
      <c r="AJ164" s="10" t="n"/>
      <c r="AK164" s="10" t="n"/>
      <c r="AL164" s="10" t="n"/>
      <c r="AR164" s="849" t="n"/>
      <c r="AS164" s="111" t="n"/>
      <c r="AT164" s="487" t="n"/>
      <c r="AU164" s="114" t="n"/>
      <c r="AV164" s="491" t="n"/>
      <c r="AW164" s="114" t="n"/>
      <c r="AX164" s="492" t="n"/>
      <c r="AY164" s="488" t="n"/>
    </row>
    <row r="165" ht="32" customHeight="1">
      <c r="A165" s="853" t="n">
        <v>8</v>
      </c>
      <c r="C165" s="486">
        <f>'Action-Réaction finale'!F28</f>
        <v/>
      </c>
      <c r="D165" s="108" t="n"/>
      <c r="E165" s="66" t="n"/>
      <c r="F165" s="18" t="n"/>
      <c r="G165" s="18" t="n"/>
      <c r="H165" s="2052" t="inlineStr">
        <is>
          <t>AP</t>
        </is>
      </c>
      <c r="K165" s="2055" t="inlineStr">
        <is>
          <t>Dynamique d'AP</t>
        </is>
      </c>
      <c r="N165" s="330" t="n"/>
      <c r="O165" s="2122" t="inlineStr">
        <is>
          <t>CL</t>
        </is>
      </c>
      <c r="Q165" s="330" t="n"/>
      <c r="R165" s="2123" t="inlineStr">
        <is>
          <t>CSS</t>
        </is>
      </c>
      <c r="T165" s="330" t="n"/>
      <c r="U165" s="15" t="n"/>
      <c r="X165" s="9" t="n"/>
      <c r="AC165" s="1009" t="n"/>
      <c r="AD165" s="1009" t="n"/>
      <c r="AE165" s="1009" t="n"/>
      <c r="AF165" s="1009" t="n"/>
      <c r="AG165" s="1009" t="n"/>
      <c r="AH165" s="1010" t="n"/>
      <c r="AI165" s="9" t="n"/>
      <c r="AJ165" s="10" t="n"/>
      <c r="AK165" s="10" t="n"/>
      <c r="AL165" s="10" t="n"/>
      <c r="AR165" s="849" t="n"/>
      <c r="AS165" s="111" t="n"/>
      <c r="AT165" s="487" t="n"/>
      <c r="AU165" s="114" t="n"/>
      <c r="AV165" s="491" t="n"/>
      <c r="AW165" s="114" t="n"/>
      <c r="AX165" s="492" t="n"/>
      <c r="AY165" s="488" t="n"/>
    </row>
    <row r="166" ht="32" customHeight="1">
      <c r="C166" s="103" t="inlineStr">
        <is>
          <t>Questions et sous-questions</t>
        </is>
      </c>
      <c r="D166" s="1043" t="inlineStr">
        <is>
          <t>Texte écourté pour titrer dans les baromètres ou rapport</t>
        </is>
      </c>
      <c r="E166" s="33" t="inlineStr">
        <is>
          <t>Valeur de base
Fréquence (F)</t>
        </is>
      </c>
      <c r="F166" s="33" t="inlineStr">
        <is>
          <t>Valeur de base
intensité (I)</t>
        </is>
      </c>
      <c r="G166" s="33" t="inlineStr">
        <is>
          <t>F * I</t>
        </is>
      </c>
      <c r="H166" s="1708" t="inlineStr">
        <is>
          <t>Condition Fréq. 
&gt;= que</t>
        </is>
      </c>
      <c r="I166" s="44" t="inlineStr">
        <is>
          <t>Condition Fré
&lt;= que</t>
        </is>
      </c>
      <c r="J166" s="44" t="inlineStr">
        <is>
          <t>Condition respectée</t>
        </is>
      </c>
      <c r="K166" s="44" t="inlineStr">
        <is>
          <t>"VRAI" (PF&amp;NC) /  "VRAI" (Enf)</t>
        </is>
      </c>
      <c r="L166" s="44" t="inlineStr">
        <is>
          <t>Vrai (PF&amp;NC) /  Faux (Enf)</t>
        </is>
      </c>
      <c r="M166" s="44" t="inlineStr">
        <is>
          <t>Faux (PF&amp;NC) /  Vrai (Enf)</t>
        </is>
      </c>
      <c r="N166" s="1709" t="inlineStr">
        <is>
          <t>Faux (PF&amp;NC) /  Faux(Enf)</t>
        </is>
      </c>
      <c r="O166" s="1708" t="inlineStr">
        <is>
          <t>Condition Fréq. 
&gt;= que</t>
        </is>
      </c>
      <c r="P166" s="44" t="inlineStr">
        <is>
          <t>Condition Fré
&lt;= que</t>
        </is>
      </c>
      <c r="Q166" s="1709" t="inlineStr">
        <is>
          <t>Condition respectée</t>
        </is>
      </c>
      <c r="R166" s="1708" t="inlineStr">
        <is>
          <t>Condition Fréq. 
&gt;= que</t>
        </is>
      </c>
      <c r="S166" s="44" t="inlineStr">
        <is>
          <t>Condition Fré
&lt;= que</t>
        </is>
      </c>
      <c r="T166" s="1709" t="inlineStr">
        <is>
          <t>Condition respectée</t>
        </is>
      </c>
      <c r="U166" s="851" t="n"/>
      <c r="V166" s="1008" t="inlineStr">
        <is>
          <t>Condition</t>
        </is>
      </c>
      <c r="W166" s="1472" t="inlineStr">
        <is>
          <t>AP</t>
        </is>
      </c>
      <c r="X166" s="1008" t="inlineStr">
        <is>
          <t>Condition</t>
        </is>
      </c>
      <c r="Y166" s="1476" t="inlineStr">
        <is>
          <t>CL</t>
        </is>
      </c>
      <c r="Z166" s="1008" t="inlineStr">
        <is>
          <t>Condition</t>
        </is>
      </c>
      <c r="AA166" s="1480" t="inlineStr">
        <is>
          <t>CSS</t>
        </is>
      </c>
      <c r="AC166" s="1023" t="inlineStr">
        <is>
          <t>AP</t>
        </is>
      </c>
      <c r="AD166" s="1024" t="inlineStr">
        <is>
          <t>AP_F</t>
        </is>
      </c>
      <c r="AE166" s="1023" t="inlineStr">
        <is>
          <t>CL</t>
        </is>
      </c>
      <c r="AF166" s="1024" t="inlineStr">
        <is>
          <t>CL_F</t>
        </is>
      </c>
      <c r="AG166" s="1023" t="inlineStr">
        <is>
          <t>CSS</t>
        </is>
      </c>
      <c r="AH166" s="1024" t="inlineStr">
        <is>
          <t>CSS_F</t>
        </is>
      </c>
      <c r="AJ166" s="10" t="n"/>
      <c r="AK166" s="10" t="n"/>
      <c r="AL166" s="10" t="n"/>
      <c r="AR166" s="849" t="n"/>
      <c r="AS166" s="111" t="n"/>
      <c r="AT166" s="487" t="n"/>
      <c r="AU166" s="114" t="n"/>
      <c r="AV166" s="491" t="n"/>
      <c r="AW166" s="114" t="n"/>
      <c r="AX166" s="492" t="n"/>
      <c r="AY166" s="488" t="n"/>
    </row>
    <row r="167" ht="55" customHeight="1">
      <c r="A167" s="854" t="n"/>
      <c r="B167" s="421">
        <f>'Action-Réaction finale'!G28</f>
        <v/>
      </c>
      <c r="C167" s="2066">
        <f>Test_Bible!B178</f>
        <v/>
      </c>
      <c r="D167" s="102" t="inlineStr">
        <is>
          <t>vous ignore lorsqu'il vous croise à l'école</t>
        </is>
      </c>
      <c r="E167" s="823">
        <f>Test_Bible!P178</f>
        <v/>
      </c>
      <c r="F167" s="822">
        <f>Test_Bible!D178</f>
        <v/>
      </c>
      <c r="G167" s="823">
        <f>Test_Bible!Q178</f>
        <v/>
      </c>
      <c r="H167" s="1710" t="n">
        <v>7</v>
      </c>
      <c r="I167" s="1703" t="n">
        <v>10</v>
      </c>
      <c r="J167" s="46">
        <f>IF(AND(E167&gt;=H167,E167&lt;=I167),TRUE,FALSE)</f>
        <v/>
      </c>
      <c r="K167" s="46" t="n"/>
      <c r="L167" s="46" t="n"/>
      <c r="M167" s="46" t="n"/>
      <c r="N167" s="1711" t="n"/>
      <c r="O167" s="1710" t="n">
        <v>2</v>
      </c>
      <c r="P167" s="1703" t="n">
        <v>10</v>
      </c>
      <c r="Q167" s="1711">
        <f>IF(AND(E167&gt;=O167,E167&lt;=P167),TRUE,FALSE)</f>
        <v/>
      </c>
      <c r="R167" s="1710" t="n">
        <v>4</v>
      </c>
      <c r="S167" s="1703" t="n">
        <v>7</v>
      </c>
      <c r="T167" s="1711">
        <f>IF(AND(E167&gt;=R167,E167&lt;=S167),TRUE,FALSE)</f>
        <v/>
      </c>
      <c r="U167" s="978" t="n"/>
      <c r="V167" s="1484" t="n"/>
      <c r="W167" s="1485" t="n">
        <v>4</v>
      </c>
      <c r="X167" s="2029" t="n"/>
      <c r="Y167" s="1489" t="n">
        <v>2</v>
      </c>
      <c r="Z167" s="2029" t="n"/>
      <c r="AA167" s="1496" t="n">
        <v>2</v>
      </c>
      <c r="AC167" s="1011" t="n"/>
      <c r="AD167" s="1012" t="n"/>
      <c r="AE167" s="1011" t="n"/>
      <c r="AF167" s="1012" t="n"/>
      <c r="AG167" s="1011" t="n"/>
      <c r="AH167" s="1012" t="n"/>
      <c r="AJ167" s="10" t="n"/>
      <c r="AK167" s="10" t="n"/>
      <c r="AL167" s="10" t="n"/>
      <c r="AR167" s="849" t="n"/>
      <c r="AS167" s="111" t="n"/>
      <c r="AT167" s="487" t="n"/>
      <c r="AU167" s="114" t="n"/>
      <c r="AV167" s="491" t="n"/>
      <c r="AW167" s="114" t="n"/>
      <c r="AX167" s="492" t="n"/>
      <c r="AY167" s="488" t="n"/>
    </row>
    <row r="168" ht="32" customHeight="1">
      <c r="A168" s="854" t="n"/>
      <c r="B168" s="421" t="inlineStr">
        <is>
          <t>PFA</t>
        </is>
      </c>
      <c r="C168" s="2066" t="n"/>
      <c r="D168" s="102" t="n"/>
      <c r="E168" s="823" t="n"/>
      <c r="F168" s="822" t="n"/>
      <c r="G168" s="823" t="n"/>
      <c r="H168" s="1735" t="n">
        <v>11</v>
      </c>
      <c r="I168" s="1736" t="n">
        <v>11</v>
      </c>
      <c r="J168" s="46">
        <f>IF(AND(E168&gt;=H168,E168&lt;=I168),TRUE,FALSE)</f>
        <v/>
      </c>
      <c r="K168" s="46" t="n"/>
      <c r="L168" s="46" t="n"/>
      <c r="M168" s="46" t="n"/>
      <c r="N168" s="1711" t="n"/>
      <c r="O168" s="1735" t="n">
        <v>11</v>
      </c>
      <c r="P168" s="1736" t="n">
        <v>11</v>
      </c>
      <c r="Q168" s="1711">
        <f>IF(AND(E168&gt;=O168,E168&lt;=P168),TRUE,FALSE)</f>
        <v/>
      </c>
      <c r="R168" s="1735" t="n">
        <v>11</v>
      </c>
      <c r="S168" s="1736" t="n">
        <v>11</v>
      </c>
      <c r="T168" s="1711">
        <f>IF(AND(E168&gt;=R168,E168&lt;=S168),TRUE,FALSE)</f>
        <v/>
      </c>
      <c r="U168" s="978" t="n"/>
      <c r="V168" s="1487" t="inlineStr">
        <is>
          <t>ou</t>
        </is>
      </c>
      <c r="W168" s="1506" t="n">
        <v>11</v>
      </c>
      <c r="X168" s="1507" t="n"/>
      <c r="Y168" s="1508" t="n">
        <v>11</v>
      </c>
      <c r="Z168" s="1507" t="n"/>
      <c r="AA168" s="1502" t="n">
        <v>11</v>
      </c>
      <c r="AC168" s="1013" t="n"/>
      <c r="AD168" s="1014" t="n"/>
      <c r="AE168" s="1013" t="n"/>
      <c r="AF168" s="1014" t="n"/>
      <c r="AG168" s="1013" t="n"/>
      <c r="AH168" s="1014" t="n"/>
      <c r="AJ168" s="10" t="n"/>
      <c r="AK168" s="10" t="n"/>
      <c r="AL168" s="10" t="n"/>
      <c r="AR168" s="849" t="n"/>
      <c r="AS168" s="111" t="n"/>
      <c r="AT168" s="487" t="n"/>
      <c r="AU168" s="114" t="n"/>
      <c r="AV168" s="491" t="n"/>
      <c r="AW168" s="114" t="n"/>
      <c r="AX168" s="492" t="n"/>
      <c r="AY168" s="488" t="n"/>
    </row>
    <row r="169" ht="32" customHeight="1">
      <c r="A169" s="854" t="n"/>
      <c r="B169" s="825" t="inlineStr">
        <is>
          <t>Max PFA</t>
        </is>
      </c>
      <c r="C169" s="826">
        <f>_xlfn.XLOOKUP(G169,G167:G168,C167:C168)</f>
        <v/>
      </c>
      <c r="D169" s="827">
        <f>_xlfn.XLOOKUP(G169,G167:G168,D167:D168)</f>
        <v/>
      </c>
      <c r="E169" s="828" t="n"/>
      <c r="F169" s="828" t="n"/>
      <c r="G169" s="828">
        <f>IF(AND(J167=TRUE,J168=FALSE),G167,IF(AND(J167=FALSE,J168=TRUE),G168,MAX(G167,G168)))</f>
        <v/>
      </c>
      <c r="H169" s="1712" t="n"/>
      <c r="I169" s="829" t="n"/>
      <c r="J169" s="830">
        <f>IF(AND(J167=FALSE,J168=FALSE),FALSE,TRUE)</f>
        <v/>
      </c>
      <c r="K169" s="46" t="n"/>
      <c r="L169" s="46" t="n"/>
      <c r="M169" s="46" t="n"/>
      <c r="N169" s="1711" t="n"/>
      <c r="O169" s="1712" t="n"/>
      <c r="P169" s="829" t="n"/>
      <c r="Q169" s="1725">
        <f>IF(AND(Q167=FALSE,Q168=FALSE),FALSE,TRUE)</f>
        <v/>
      </c>
      <c r="R169" s="1712" t="n"/>
      <c r="S169" s="829" t="n"/>
      <c r="T169" s="1725">
        <f>IF(AND(T167=FALSE,T168=FALSE),FALSE,TRUE)</f>
        <v/>
      </c>
      <c r="U169" s="978" t="n"/>
      <c r="V169" s="978" t="inlineStr">
        <is>
          <t>ou</t>
        </is>
      </c>
      <c r="W169" s="1473" t="n"/>
      <c r="X169" s="2002" t="n"/>
      <c r="Y169" s="1478" t="n"/>
      <c r="Z169" s="2002" t="n"/>
      <c r="AA169" s="1481" t="n"/>
      <c r="AC169" s="1013" t="n"/>
      <c r="AD169" s="1014" t="n"/>
      <c r="AE169" s="1013" t="n"/>
      <c r="AF169" s="1014" t="n"/>
      <c r="AG169" s="1013" t="n"/>
      <c r="AH169" s="1014" t="n"/>
      <c r="AJ169" s="10" t="n"/>
      <c r="AK169" s="10" t="n"/>
      <c r="AL169" s="10" t="n"/>
      <c r="AR169" s="849" t="n"/>
      <c r="AS169" s="111" t="n"/>
      <c r="AT169" s="487" t="n"/>
      <c r="AU169" s="114" t="n"/>
      <c r="AV169" s="491" t="n"/>
      <c r="AW169" s="114" t="n"/>
      <c r="AX169" s="492" t="n"/>
      <c r="AY169" s="488" t="n"/>
    </row>
    <row r="170" ht="57" customHeight="1">
      <c r="A170" s="856" t="n"/>
      <c r="B170" s="53">
        <f>'Action-Réaction finale'!K28</f>
        <v/>
      </c>
      <c r="C170" s="2066">
        <f>Test_Bible!B392</f>
        <v/>
      </c>
      <c r="D170" s="102" t="inlineStr">
        <is>
          <t>Le nouveau conjoint.e vous ignore lorsqu'il vous croise à l'école</t>
        </is>
      </c>
      <c r="E170" s="823">
        <f>Test_Bible!P392</f>
        <v/>
      </c>
      <c r="F170" s="822">
        <f>Test_Bible!D392</f>
        <v/>
      </c>
      <c r="G170" s="823">
        <f>Test_Bible!Q392</f>
        <v/>
      </c>
      <c r="H170" s="1710" t="n">
        <v>7</v>
      </c>
      <c r="I170" s="1703" t="n">
        <v>10</v>
      </c>
      <c r="J170" s="46">
        <f>IF(AND(E170&gt;=H170,E170&lt;=I170),TRUE,FALSE)</f>
        <v/>
      </c>
      <c r="K170" s="46" t="n"/>
      <c r="L170" s="46" t="n"/>
      <c r="M170" s="46" t="n"/>
      <c r="N170" s="1711" t="n"/>
      <c r="O170" s="1710" t="n">
        <v>4</v>
      </c>
      <c r="P170" s="1703" t="n">
        <v>10</v>
      </c>
      <c r="Q170" s="1711">
        <f>IF(AND(E170&gt;=O170,E170&lt;=P170),TRUE,FALSE)</f>
        <v/>
      </c>
      <c r="R170" s="1735" t="n">
        <v>11</v>
      </c>
      <c r="S170" s="1736" t="n">
        <v>11</v>
      </c>
      <c r="T170" s="1711">
        <f>IF(AND(E170&gt;=R170,E170&lt;=S170),TRUE,FALSE)</f>
        <v/>
      </c>
      <c r="U170" s="978" t="n"/>
      <c r="V170" s="1484" t="n"/>
      <c r="W170" s="1485" t="n">
        <v>7</v>
      </c>
      <c r="X170" s="2029" t="n"/>
      <c r="Y170" s="1489" t="n">
        <v>4</v>
      </c>
      <c r="Z170" s="2029" t="n"/>
      <c r="AA170" s="1497" t="n">
        <v>11</v>
      </c>
      <c r="AC170" s="1013" t="n"/>
      <c r="AD170" s="1014" t="n"/>
      <c r="AE170" s="1013" t="n"/>
      <c r="AF170" s="1014" t="n"/>
      <c r="AG170" s="1013" t="n"/>
      <c r="AH170" s="1014" t="n"/>
      <c r="AJ170" s="10" t="n"/>
      <c r="AK170" s="10" t="n"/>
      <c r="AL170" s="10" t="n"/>
      <c r="AR170" s="849" t="n"/>
      <c r="AS170" s="111" t="n"/>
      <c r="AT170" s="487" t="n"/>
      <c r="AU170" s="114" t="n"/>
      <c r="AV170" s="491" t="n"/>
      <c r="AW170" s="114" t="n"/>
      <c r="AX170" s="492" t="n"/>
      <c r="AY170" s="488" t="n"/>
    </row>
    <row r="171" ht="32" customHeight="1">
      <c r="A171" s="857" t="n"/>
      <c r="B171" s="53" t="inlineStr">
        <is>
          <t>NC</t>
        </is>
      </c>
      <c r="C171" s="2066" t="n"/>
      <c r="D171" s="63" t="n"/>
      <c r="E171" s="36" t="n"/>
      <c r="F171" s="36" t="n"/>
      <c r="G171" s="36" t="n"/>
      <c r="H171" s="1735" t="n">
        <v>11</v>
      </c>
      <c r="I171" s="1736" t="n">
        <v>11</v>
      </c>
      <c r="J171" s="46">
        <f>IF(AND(E171&gt;=H171,E171&lt;=I171),TRUE,FALSE)</f>
        <v/>
      </c>
      <c r="K171" s="46" t="n"/>
      <c r="L171" s="46" t="n"/>
      <c r="M171" s="46" t="n"/>
      <c r="N171" s="1711" t="n"/>
      <c r="O171" s="1735" t="n">
        <v>11</v>
      </c>
      <c r="P171" s="1736" t="n">
        <v>11</v>
      </c>
      <c r="Q171" s="1711">
        <f>IF(AND(E171&gt;=O171,E171&lt;=P171),TRUE,FALSE)</f>
        <v/>
      </c>
      <c r="R171" s="1735" t="n">
        <v>11</v>
      </c>
      <c r="S171" s="1736" t="n">
        <v>11</v>
      </c>
      <c r="T171" s="1711">
        <f>IF(AND(E171&gt;=R171,E171&lt;=S171),TRUE,FALSE)</f>
        <v/>
      </c>
      <c r="U171" s="978" t="n"/>
      <c r="V171" s="1487" t="inlineStr">
        <is>
          <t>ou</t>
        </is>
      </c>
      <c r="W171" s="1506" t="n">
        <v>11</v>
      </c>
      <c r="X171" s="1507" t="n"/>
      <c r="Y171" s="1508" t="n">
        <v>11</v>
      </c>
      <c r="Z171" s="1507" t="n"/>
      <c r="AA171" s="1502" t="n">
        <v>11</v>
      </c>
      <c r="AC171" s="1013" t="n"/>
      <c r="AD171" s="1014" t="n"/>
      <c r="AE171" s="1013" t="n"/>
      <c r="AF171" s="1014" t="n"/>
      <c r="AG171" s="1013" t="n"/>
      <c r="AH171" s="1014" t="n"/>
      <c r="AJ171" s="10" t="n"/>
      <c r="AK171" s="10" t="n"/>
      <c r="AL171" s="10" t="n"/>
      <c r="AQ171" s="7" t="n"/>
      <c r="AR171" s="849" t="n"/>
      <c r="AS171" s="111" t="n"/>
      <c r="AT171" s="487" t="n"/>
      <c r="AU171" s="114" t="n"/>
      <c r="AV171" s="491" t="n"/>
      <c r="AW171" s="114" t="n"/>
      <c r="AX171" s="492" t="n"/>
      <c r="AY171" s="488" t="n"/>
    </row>
    <row r="172" ht="37" customHeight="1" thickBot="1">
      <c r="A172" s="854" t="n"/>
      <c r="B172" s="831" t="inlineStr">
        <is>
          <t>Max NC</t>
        </is>
      </c>
      <c r="C172" s="832">
        <f>_xlfn.XLOOKUP(G172,G170:G171,C170:C171)</f>
        <v/>
      </c>
      <c r="D172" s="833">
        <f>_xlfn.XLOOKUP(G172,G170:G171,D170:D171)</f>
        <v/>
      </c>
      <c r="E172" s="834" t="n"/>
      <c r="F172" s="834" t="n"/>
      <c r="G172" s="834">
        <f>IF(AND(J170=TRUE,J171=FALSE),G170,IF(AND(J170=FALSE,J171=TRUE),G171,MAX(G170,G171)))</f>
        <v/>
      </c>
      <c r="H172" s="1713" t="n"/>
      <c r="I172" s="835" t="n"/>
      <c r="J172" s="836">
        <f>IF(AND(J170=FALSE,J171=FALSE),FALSE,TRUE)</f>
        <v/>
      </c>
      <c r="K172" s="46" t="n"/>
      <c r="L172" s="46" t="n"/>
      <c r="M172" s="46" t="n"/>
      <c r="N172" s="1711" t="n"/>
      <c r="O172" s="1713" t="n"/>
      <c r="P172" s="835" t="n"/>
      <c r="Q172" s="1726">
        <f>IF(AND(Q170=FALSE,Q171=FALSE),FALSE,TRUE)</f>
        <v/>
      </c>
      <c r="R172" s="1713" t="n"/>
      <c r="S172" s="835" t="n"/>
      <c r="T172" s="1726">
        <f>IF(AND(T170=FALSE,T171=FALSE),FALSE,TRUE)</f>
        <v/>
      </c>
      <c r="U172" s="978" t="n"/>
      <c r="V172" s="978" t="n"/>
      <c r="W172" s="1473" t="n"/>
      <c r="X172" s="2002" t="n"/>
      <c r="Y172" s="1478" t="n"/>
      <c r="Z172" s="2002" t="n"/>
      <c r="AA172" s="1481" t="n"/>
      <c r="AC172" s="1013" t="n"/>
      <c r="AD172" s="1014" t="n"/>
      <c r="AE172" s="1013" t="n"/>
      <c r="AF172" s="1014" t="n"/>
      <c r="AG172" s="1013" t="n"/>
      <c r="AH172" s="1014" t="n"/>
      <c r="AJ172" s="10" t="n"/>
      <c r="AK172" s="10" t="n"/>
      <c r="AL172" s="10" t="n"/>
      <c r="AQ172" s="7" t="n"/>
      <c r="AR172" s="849" t="n"/>
      <c r="AS172" s="111" t="n"/>
      <c r="AT172" s="487" t="n"/>
      <c r="AU172" s="114" t="n"/>
      <c r="AV172" s="491" t="n"/>
      <c r="AW172" s="114" t="n"/>
      <c r="AX172" s="492" t="n"/>
      <c r="AY172" s="488" t="n"/>
    </row>
    <row r="173" ht="32" customHeight="1" thickBot="1">
      <c r="B173" s="837" t="inlineStr">
        <is>
          <t>Max PFA &amp; NC</t>
        </is>
      </c>
      <c r="C173" s="838" t="n"/>
      <c r="D173" s="838">
        <f>IF(G173=G169,D169,D172)</f>
        <v/>
      </c>
      <c r="E173" s="839" t="n"/>
      <c r="F173" s="839" t="n"/>
      <c r="G173" s="839">
        <f>IF(AND(J169=TRUE,J172=FALSE),G169,IF(AND(J169=FALSE,J172=TRUE),G172,IF(AND(J169=TRUE,J172=TRUE),G169+G172,MAX(G169,G172))))</f>
        <v/>
      </c>
      <c r="H173" s="1714" t="n"/>
      <c r="I173" s="840" t="n"/>
      <c r="J173" s="841">
        <f>IF(AND(J169=FALSE,J172=FALSE),FALSE,TRUE)</f>
        <v/>
      </c>
      <c r="K173" s="1698" t="n"/>
      <c r="L173" s="1698" t="n"/>
      <c r="M173" s="1698" t="n"/>
      <c r="N173" s="1715" t="n"/>
      <c r="O173" s="1714" t="n"/>
      <c r="P173" s="840" t="n"/>
      <c r="Q173" s="841">
        <f>IF(AND(Q169=FALSE,Q172=FALSE),FALSE,TRUE)</f>
        <v/>
      </c>
      <c r="R173" s="1714" t="n"/>
      <c r="S173" s="840" t="n"/>
      <c r="T173" s="841">
        <f>IF(AND(T169=FALSE,T172=FALSE),FALSE,TRUE)</f>
        <v/>
      </c>
      <c r="U173" s="978" t="n"/>
      <c r="V173" s="978" t="inlineStr">
        <is>
          <t>et</t>
        </is>
      </c>
      <c r="W173" s="1473" t="n"/>
      <c r="X173" s="2002" t="n"/>
      <c r="Y173" s="1478" t="n"/>
      <c r="Z173" s="2002" t="n"/>
      <c r="AA173" s="1481" t="n"/>
      <c r="AC173" s="1013">
        <f>IF(J173=TRUE,"V","F")</f>
        <v/>
      </c>
      <c r="AD173" s="1014" t="n"/>
      <c r="AE173" s="1013">
        <f>IF(Q173=TRUE,"V","F")</f>
        <v/>
      </c>
      <c r="AF173" s="1014" t="n"/>
      <c r="AG173" s="1013">
        <f>IF(T173=TRUE,"V","F")</f>
        <v/>
      </c>
      <c r="AH173" s="1014" t="n"/>
      <c r="AI173">
        <f>IF(OR(AC173="V",AE173="V"),IF(G172&gt;G169,"Le NC contribue plus que le coparent","Le coparent joue un plus grand rôle que le NC"),"pas de contexte significatif de la part du coparent et NC")</f>
        <v/>
      </c>
      <c r="AJ173" s="10" t="n"/>
      <c r="AK173" s="10" t="n"/>
      <c r="AL173" s="10" t="n"/>
      <c r="AQ173" s="7" t="n"/>
      <c r="AR173" s="849" t="n"/>
      <c r="AS173" s="111" t="n"/>
      <c r="AT173" s="487" t="n"/>
      <c r="AU173" s="114" t="n"/>
      <c r="AV173" s="491" t="n"/>
      <c r="AW173" s="114" t="n"/>
      <c r="AX173" s="492" t="n"/>
      <c r="AY173" s="488" t="n"/>
    </row>
    <row r="174" ht="60" customHeight="1">
      <c r="B174" s="316">
        <f>'Action-Réaction finale'!O28</f>
        <v/>
      </c>
      <c r="C174" s="2066">
        <f>Test_Bible!B279</f>
        <v/>
      </c>
      <c r="D174" s="102" t="inlineStr">
        <is>
          <t>vous ignore lorsqu'il vous croise à l'école</t>
        </is>
      </c>
      <c r="E174" s="823">
        <f>Test_Bible!P279</f>
        <v/>
      </c>
      <c r="F174" s="822">
        <f>Test_Bible!D279</f>
        <v/>
      </c>
      <c r="G174" s="823">
        <f>Test_Bible!Q279</f>
        <v/>
      </c>
      <c r="H174" s="1710" t="n">
        <v>4</v>
      </c>
      <c r="I174" s="1703">
        <f>$I$18</f>
        <v/>
      </c>
      <c r="J174" s="46">
        <f>IF(AND(E174&gt;=H174,E174&lt;=I174),TRUE,FALSE)</f>
        <v/>
      </c>
      <c r="K174" s="46" t="n"/>
      <c r="L174" s="46" t="n"/>
      <c r="M174" s="46" t="n"/>
      <c r="N174" s="1711" t="n"/>
      <c r="O174" s="1710" t="n">
        <v>2</v>
      </c>
      <c r="P174" s="1703" t="n">
        <v>4</v>
      </c>
      <c r="Q174" s="1711">
        <f>IF(AND(E174&gt;=O174,E174&lt;=P174),TRUE,FALSE)</f>
        <v/>
      </c>
      <c r="R174" s="1710" t="n"/>
      <c r="S174" s="1703" t="n"/>
      <c r="T174" s="1711" t="n"/>
      <c r="U174" s="978" t="n"/>
      <c r="V174" s="1484" t="n"/>
      <c r="W174" s="1485" t="n">
        <v>4</v>
      </c>
      <c r="X174" s="2029" t="n"/>
      <c r="Y174" s="1489" t="n">
        <v>2</v>
      </c>
      <c r="Z174" s="2029" t="n"/>
      <c r="AA174" s="1497" t="n">
        <v>11</v>
      </c>
      <c r="AC174" s="1013" t="inlineStr">
        <is>
          <t> </t>
        </is>
      </c>
      <c r="AD174" s="1014" t="n"/>
      <c r="AE174" s="1013" t="n"/>
      <c r="AF174" s="1014" t="n"/>
      <c r="AG174" s="1013" t="n"/>
      <c r="AH174" s="1014" t="n"/>
      <c r="AJ174" s="10" t="n"/>
      <c r="AK174" s="10" t="n"/>
      <c r="AL174" s="10" t="n"/>
      <c r="AR174" s="849" t="n"/>
      <c r="AS174" s="111" t="n"/>
      <c r="AT174" s="487" t="n"/>
      <c r="AU174" s="114" t="n"/>
      <c r="AV174" s="491" t="n"/>
      <c r="AW174" s="114" t="n"/>
      <c r="AX174" s="492" t="n"/>
      <c r="AY174" s="488" t="n"/>
    </row>
    <row r="175" ht="60" customHeight="1" thickBot="1">
      <c r="B175" s="316">
        <f>'Action-Réaction finale'!O29</f>
        <v/>
      </c>
      <c r="C175" s="2066">
        <f>Test_Bible!B305</f>
        <v/>
      </c>
      <c r="D175" s="63" t="inlineStr">
        <is>
          <t>change d'attitude lorsqu'il est en présence des deux parents</t>
        </is>
      </c>
      <c r="E175" s="823">
        <f>Test_Bible!P305</f>
        <v/>
      </c>
      <c r="F175" s="822">
        <f>Test_Bible!D305</f>
        <v/>
      </c>
      <c r="G175" s="823">
        <f>Test_Bible!Q305</f>
        <v/>
      </c>
      <c r="H175" s="1710" t="n">
        <v>4</v>
      </c>
      <c r="I175" s="1703">
        <f>$I$18</f>
        <v/>
      </c>
      <c r="J175" s="46">
        <f>IF(AND(E175&gt;=H175,E175&lt;=I175),TRUE,FALSE)</f>
        <v/>
      </c>
      <c r="K175" s="46" t="n"/>
      <c r="L175" s="46" t="n"/>
      <c r="M175" s="46" t="n"/>
      <c r="N175" s="1711" t="n"/>
      <c r="O175" s="1710" t="n">
        <v>2</v>
      </c>
      <c r="P175" s="1703" t="n">
        <v>7</v>
      </c>
      <c r="Q175" s="1711">
        <f>IF(AND(E175&gt;=O175,E175&lt;=P175),TRUE,FALSE)</f>
        <v/>
      </c>
      <c r="R175" s="1735" t="n"/>
      <c r="S175" s="1736" t="n"/>
      <c r="T175" s="1711" t="n"/>
      <c r="U175" s="978" t="n"/>
      <c r="V175" s="1487" t="inlineStr">
        <is>
          <t>ou</t>
        </is>
      </c>
      <c r="W175" s="1492" t="n">
        <v>7</v>
      </c>
      <c r="X175" s="1493" t="n"/>
      <c r="Y175" s="1494" t="n">
        <v>4</v>
      </c>
      <c r="Z175" s="1493" t="n"/>
      <c r="AA175" s="1502" t="n">
        <v>11</v>
      </c>
      <c r="AC175" s="1013" t="n"/>
      <c r="AD175" s="1014" t="n"/>
      <c r="AE175" s="1013" t="n"/>
      <c r="AF175" s="1014" t="n"/>
      <c r="AG175" s="1013" t="n"/>
      <c r="AH175" s="1014" t="n"/>
      <c r="AJ175" s="10" t="n"/>
      <c r="AK175" s="10" t="n"/>
      <c r="AL175" s="10" t="n"/>
      <c r="AR175" s="849" t="n"/>
      <c r="AS175" s="111" t="n"/>
      <c r="AT175" s="487" t="n"/>
      <c r="AU175" s="114" t="n"/>
      <c r="AV175" s="491" t="n"/>
      <c r="AW175" s="114" t="n"/>
      <c r="AX175" s="492" t="n"/>
      <c r="AY175" s="488" t="n"/>
    </row>
    <row r="176" ht="32" customHeight="1" thickBot="1">
      <c r="B176" s="842" t="inlineStr">
        <is>
          <t>Max Enf</t>
        </is>
      </c>
      <c r="C176" s="843">
        <f>_xlfn.XLOOKUP(G176,G174:G175,C174:C175)</f>
        <v/>
      </c>
      <c r="D176" s="843">
        <f>_xlfn.XLOOKUP(G176,G174:G175,D174:D175)</f>
        <v/>
      </c>
      <c r="E176" s="844" t="n"/>
      <c r="F176" s="844" t="n"/>
      <c r="G176" s="844">
        <f>IF(AND(J174=TRUE,J175=FALSE),G174,IF(AND(J174=FALSE,J175=TRUE),G175,MAX(G174,G175)))</f>
        <v/>
      </c>
      <c r="H176" s="1716" t="n"/>
      <c r="I176" s="845" t="n"/>
      <c r="J176" s="846">
        <f>IF(AND(J174=FALSE,J175=FALSE),FALSE,TRUE)</f>
        <v/>
      </c>
      <c r="K176" s="1699" t="n"/>
      <c r="L176" s="1699" t="n"/>
      <c r="M176" s="1699" t="n"/>
      <c r="N176" s="1717" t="n"/>
      <c r="O176" s="1716" t="n"/>
      <c r="P176" s="845" t="n"/>
      <c r="Q176" s="846">
        <f>IF(AND(Q174=FALSE,Q175=FALSE),FALSE,TRUE)</f>
        <v/>
      </c>
      <c r="R176" s="1716" t="n"/>
      <c r="S176" s="845" t="n"/>
      <c r="T176" s="846" t="n"/>
      <c r="U176" s="978" t="n"/>
      <c r="V176" s="978" t="n"/>
      <c r="W176" s="1475" t="n"/>
      <c r="Y176" s="1479" t="n"/>
      <c r="AA176" s="1483" t="n"/>
      <c r="AC176" s="1013">
        <f>IF(J176=TRUE,"V","F")</f>
        <v/>
      </c>
      <c r="AD176" s="1014" t="n"/>
      <c r="AE176" s="1013">
        <f>IF(Q176=TRUE,"V","F")</f>
        <v/>
      </c>
      <c r="AF176" s="1014" t="n"/>
      <c r="AG176" s="1013" t="n"/>
      <c r="AH176" s="1014" t="n"/>
      <c r="AI176">
        <f>IF(AND(AF176=1,AF177=0),"contexte différent de l'AP!!","Contexte AP,CSS en cause")</f>
        <v/>
      </c>
      <c r="AJ176" s="10" t="n"/>
      <c r="AK176" s="10" t="n"/>
      <c r="AL176" s="10" t="n"/>
      <c r="AR176" s="849" t="n"/>
      <c r="AS176" s="111" t="n"/>
      <c r="AT176" s="487" t="n"/>
      <c r="AU176" s="114" t="n"/>
      <c r="AV176" s="491" t="n"/>
      <c r="AW176" s="114" t="n"/>
      <c r="AX176" s="492" t="n"/>
      <c r="AY176" s="488" t="n"/>
    </row>
    <row r="177" ht="32" customHeight="1">
      <c r="C177" s="428" t="inlineStr">
        <is>
          <t>COMPARATIF Comportement PFA-Enf</t>
        </is>
      </c>
      <c r="D177" s="2058" t="n"/>
      <c r="E177" s="484" t="inlineStr">
        <is>
          <t>Valeur =&gt;</t>
        </is>
      </c>
      <c r="F177" s="48" t="n"/>
      <c r="G177" s="48">
        <f>G169+G172+G176</f>
        <v/>
      </c>
      <c r="H177" s="1718" t="n"/>
      <c r="I177" s="485" t="n"/>
      <c r="J177" s="1701" t="n"/>
      <c r="K177" s="1702">
        <f>IF(AND(J176=TRUE,J173=TRUE),D176,"")</f>
        <v/>
      </c>
      <c r="L177" s="1702">
        <f>IF(AND(J173=TRUE,J176=FALSE),"Bien que le parent "&amp;D173&amp;" l'enfant ne semble pas s'ingérer","")</f>
        <v/>
      </c>
      <c r="M177" s="1702">
        <f>IF(AND(J173=FALSE,J176=TRUE),D176&amp;" sans signe de la participation du parent favorisé et|ou nouveau conjoint.e","")</f>
        <v/>
      </c>
      <c r="N177" s="1719">
        <f>IF(AND(J173=FALSE,J176=FALSE),"aucun comportement significatif de cette nature","")</f>
        <v/>
      </c>
      <c r="O177" s="1718" t="n"/>
      <c r="P177" s="485" t="n"/>
      <c r="Q177" s="1727" t="n"/>
      <c r="R177" s="1718" t="n"/>
      <c r="S177" s="485" t="n"/>
      <c r="T177" s="1727" t="n"/>
      <c r="U177" s="980" t="n"/>
      <c r="V177" s="980" t="n"/>
      <c r="W177" s="1475" t="n"/>
      <c r="Y177" s="1479" t="n"/>
      <c r="AA177" s="1483" t="n"/>
      <c r="AC177" s="1015" t="n"/>
      <c r="AD177" s="1016">
        <f>IF(AND(AC173="V",AC176="V"),2,IF(OR(AC173="V",AC176="V"),1,0))</f>
        <v/>
      </c>
      <c r="AE177" s="1015" t="n"/>
      <c r="AF177" s="1016">
        <f>IF(OR(AE173="V",AE176="V"),1,0)</f>
        <v/>
      </c>
      <c r="AG177" s="1015" t="n"/>
      <c r="AH177" s="1016" t="n"/>
      <c r="AJ177" s="10" t="n"/>
      <c r="AK177" s="10" t="n"/>
      <c r="AL177" s="10" t="n"/>
      <c r="AR177" s="849" t="n"/>
      <c r="AS177" s="111" t="n"/>
      <c r="AT177" s="487" t="n"/>
      <c r="AU177" s="114" t="n"/>
      <c r="AV177" s="491" t="n"/>
      <c r="AW177" s="114" t="n"/>
      <c r="AX177" s="492" t="n"/>
      <c r="AY177" s="488" t="n"/>
    </row>
    <row r="178" ht="32" customHeight="1">
      <c r="B178" t="inlineStr">
        <is>
          <t>PCR</t>
        </is>
      </c>
      <c r="H178" s="147" t="n"/>
      <c r="K178" s="1992" t="n"/>
      <c r="L178" s="1992" t="n"/>
      <c r="M178" s="1992" t="n"/>
      <c r="N178" s="1740" t="n"/>
      <c r="O178" s="147" t="n"/>
      <c r="Q178" s="330" t="n"/>
      <c r="R178" s="147" t="n"/>
      <c r="T178" s="330" t="n"/>
      <c r="U178" s="1992" t="n"/>
      <c r="W178" s="1475" t="n"/>
      <c r="Y178" s="1479" t="n"/>
      <c r="AA178" s="1483" t="n"/>
      <c r="AC178" s="1013" t="n"/>
      <c r="AD178" s="1014" t="n"/>
      <c r="AE178" s="1013" t="n"/>
      <c r="AF178" s="1014" t="n"/>
      <c r="AG178" s="1013" t="n"/>
      <c r="AH178" s="1014" t="n"/>
      <c r="AJ178" s="10" t="n"/>
      <c r="AK178" s="10" t="n"/>
      <c r="AL178" s="10" t="n"/>
      <c r="AR178" s="849" t="n"/>
      <c r="AS178" s="111" t="n"/>
      <c r="AT178" s="487" t="n"/>
      <c r="AU178" s="114" t="n"/>
      <c r="AV178" s="491" t="n"/>
      <c r="AW178" s="114" t="n"/>
      <c r="AX178" s="492" t="n"/>
      <c r="AY178" s="488" t="n"/>
    </row>
    <row r="179" ht="32" customHeight="1">
      <c r="B179" s="1017">
        <f>'Action-Réaction finale'!S28</f>
        <v/>
      </c>
      <c r="C179" s="1018">
        <f>Test_Bible!B121</f>
        <v/>
      </c>
      <c r="D179" s="1018" t="n"/>
      <c r="E179" s="1026">
        <f>'Modèle Miroir_divergence'!G107</f>
        <v/>
      </c>
      <c r="F179" s="1026">
        <f>Test_Bible!D121</f>
        <v/>
      </c>
      <c r="G179" s="1026">
        <f>Test_Bible!Q121</f>
        <v/>
      </c>
      <c r="H179" s="1710" t="n">
        <v>4</v>
      </c>
      <c r="I179" s="1703" t="n">
        <v>10</v>
      </c>
      <c r="J179" s="46">
        <f>IF(AND(E179&gt;=H179,E179&lt;=I179),TRUE,FALSE)</f>
        <v/>
      </c>
      <c r="K179" s="33" t="n"/>
      <c r="L179" s="33" t="n"/>
      <c r="M179" s="33" t="n"/>
      <c r="N179" s="1720" t="n"/>
      <c r="O179" s="1735" t="n">
        <v>11</v>
      </c>
      <c r="P179" s="1736" t="n">
        <v>11</v>
      </c>
      <c r="Q179" s="1711">
        <f>IF(AND(E179&gt;=O179,E179&lt;=P179),TRUE,FALSE)</f>
        <v/>
      </c>
      <c r="R179" s="1710" t="n">
        <v>4</v>
      </c>
      <c r="S179" s="1703" t="n">
        <v>10</v>
      </c>
      <c r="T179" s="1711">
        <f>IF(AND(E179&gt;=R179,E179&lt;=S179),TRUE,FALSE)</f>
        <v/>
      </c>
      <c r="U179" s="1992" t="n"/>
      <c r="V179" s="1509" t="n"/>
      <c r="W179" s="1485" t="n">
        <v>4</v>
      </c>
      <c r="X179" s="2029" t="n"/>
      <c r="Y179" s="1489" t="n"/>
      <c r="Z179" s="2029" t="n"/>
      <c r="AA179" s="1496" t="n">
        <v>4</v>
      </c>
      <c r="AC179" s="1013" t="n"/>
      <c r="AD179" s="1014" t="n"/>
      <c r="AE179" s="1013" t="n"/>
      <c r="AF179" s="1014" t="n"/>
      <c r="AG179" s="1013" t="n"/>
      <c r="AH179" s="1014" t="n"/>
      <c r="AJ179" s="10" t="n"/>
      <c r="AK179" s="10" t="n"/>
      <c r="AL179" s="10" t="n"/>
      <c r="AR179" s="849" t="n"/>
      <c r="AS179" s="111" t="n"/>
      <c r="AT179" s="487" t="n"/>
      <c r="AU179" s="114" t="n"/>
      <c r="AV179" s="491" t="n"/>
      <c r="AW179" s="114" t="n"/>
      <c r="AX179" s="492" t="n"/>
      <c r="AY179" s="488" t="n"/>
    </row>
    <row r="180" ht="32" customHeight="1" thickBot="1">
      <c r="B180" s="1017" t="n"/>
      <c r="C180" s="1025" t="n"/>
      <c r="D180" s="1018" t="n"/>
      <c r="E180" s="1026" t="n"/>
      <c r="F180" s="1026" t="n"/>
      <c r="G180" s="1026" t="n"/>
      <c r="H180" s="1735" t="n">
        <v>11</v>
      </c>
      <c r="I180" s="1736" t="n">
        <v>11</v>
      </c>
      <c r="J180" s="46">
        <f>IF(AND(E180&gt;=H180,E180&lt;=I180),TRUE,FALSE)</f>
        <v/>
      </c>
      <c r="K180" s="33" t="n"/>
      <c r="L180" s="33" t="n"/>
      <c r="M180" s="33" t="n"/>
      <c r="N180" s="1720" t="n"/>
      <c r="O180" s="1735" t="n">
        <v>11</v>
      </c>
      <c r="P180" s="1736" t="n">
        <v>11</v>
      </c>
      <c r="Q180" s="1711">
        <f>IF(AND(E180&gt;=O180,E180&lt;=P180),TRUE,FALSE)</f>
        <v/>
      </c>
      <c r="R180" s="1735" t="n">
        <v>11</v>
      </c>
      <c r="S180" s="1736" t="n">
        <v>11</v>
      </c>
      <c r="T180" s="1711">
        <f>IF(AND(E180&gt;=R180,E180&lt;=S180),TRUE,FALSE)</f>
        <v/>
      </c>
      <c r="V180" s="1510" t="n"/>
      <c r="W180" s="1506" t="n">
        <v>11</v>
      </c>
      <c r="X180" s="1507" t="n"/>
      <c r="Y180" s="1508" t="n">
        <v>11</v>
      </c>
      <c r="Z180" s="1507" t="n"/>
      <c r="AA180" s="1502" t="n">
        <v>11</v>
      </c>
      <c r="AC180" s="1013" t="n"/>
      <c r="AD180" s="1014" t="n"/>
      <c r="AE180" s="1013" t="n"/>
      <c r="AF180" s="1014" t="n"/>
      <c r="AG180" s="1013" t="n"/>
      <c r="AH180" s="1014" t="n"/>
      <c r="AJ180" s="10" t="n"/>
      <c r="AK180" s="10" t="n"/>
      <c r="AL180" s="10" t="n"/>
      <c r="AR180" s="849" t="n"/>
      <c r="AS180" s="111" t="n"/>
      <c r="AT180" s="487" t="n"/>
      <c r="AU180" s="114" t="n"/>
      <c r="AV180" s="491" t="n"/>
      <c r="AW180" s="114" t="n"/>
      <c r="AX180" s="492" t="n"/>
      <c r="AY180" s="488" t="n"/>
    </row>
    <row r="181" ht="32" customHeight="1" thickBot="1">
      <c r="C181" s="2073" t="n"/>
      <c r="D181" s="2073" t="n"/>
      <c r="E181" s="90" t="n"/>
      <c r="F181" s="483" t="n"/>
      <c r="G181" s="483" t="n"/>
      <c r="H181" s="1732" t="n"/>
      <c r="I181" s="1733" t="n"/>
      <c r="J181" s="1739">
        <f>IF(AND(J179=FALSE,J180=FALSE),FALSE,TRUE)</f>
        <v/>
      </c>
      <c r="K181" s="1721" t="n"/>
      <c r="L181" s="1722" t="n"/>
      <c r="M181" s="1722" t="n"/>
      <c r="N181" s="1723" t="n"/>
      <c r="O181" s="1732" t="n"/>
      <c r="P181" s="1733" t="n"/>
      <c r="Q181" s="1739">
        <f>IF(AND(Q179=FALSE,Q180=FALSE),FALSE,TRUE)</f>
        <v/>
      </c>
      <c r="R181" s="1744" t="n"/>
      <c r="S181" s="1745" t="n"/>
      <c r="T181" s="1746">
        <f>IF(AND(T179=FALSE,T180=FALSE),FALSE,TRUE)</f>
        <v/>
      </c>
      <c r="U181" s="980" t="n"/>
      <c r="AC181" s="1650">
        <f>IF(J181=TRUE,"V","F")</f>
        <v/>
      </c>
      <c r="AD181" s="1651" t="n"/>
      <c r="AE181" s="1650">
        <f>IF(Q181=TRUE,"V","F")</f>
        <v/>
      </c>
      <c r="AF181" s="1651" t="n"/>
      <c r="AG181" s="1650">
        <f>IF(T181=TRUE,"V","F")</f>
        <v/>
      </c>
      <c r="AH181" s="1651" t="n"/>
      <c r="AJ181" s="10" t="n"/>
      <c r="AK181" s="10" t="n"/>
      <c r="AL181" s="10" t="n"/>
      <c r="AR181" s="849" t="n"/>
      <c r="AS181" s="111" t="n"/>
      <c r="AT181" s="487" t="n"/>
      <c r="AU181" s="114" t="n"/>
      <c r="AV181" s="491" t="n"/>
      <c r="AW181" s="114" t="n"/>
      <c r="AX181" s="492" t="n"/>
      <c r="AY181" s="488" t="n"/>
    </row>
    <row r="182" ht="32" customHeight="1" thickBot="1">
      <c r="C182" s="2073" t="inlineStr">
        <is>
          <t>pas un CL quand enfant est blessé dans son ego / sécurité et fragilisé ex.: maman ne t'aime plus = direct AP pas CL</t>
        </is>
      </c>
      <c r="D182" s="2073" t="n"/>
      <c r="E182" s="90" t="n"/>
      <c r="F182" s="483" t="n"/>
      <c r="G182" s="483" t="n"/>
      <c r="H182" s="2002" t="n"/>
      <c r="I182" s="2002" t="n"/>
      <c r="J182" s="979" t="n"/>
      <c r="K182" s="980" t="n"/>
      <c r="L182" s="980" t="n"/>
      <c r="M182" s="980" t="n"/>
      <c r="N182" s="980" t="n"/>
      <c r="O182" s="980" t="n"/>
      <c r="P182" s="980" t="n"/>
      <c r="Q182" s="980" t="n"/>
      <c r="R182" s="980" t="n"/>
      <c r="S182" s="980" t="n"/>
      <c r="T182" s="980" t="n"/>
      <c r="U182" s="980" t="n"/>
      <c r="AC182" s="1737" t="n"/>
      <c r="AD182" s="1738">
        <f>IF(AND(AC181="V",AC173="V"),AD177-1,AD177)</f>
        <v/>
      </c>
      <c r="AE182" s="1737" t="n"/>
      <c r="AF182" s="1738">
        <f>IF(OR(AE173="V",AE176="V",AE181="V"),1,0)</f>
        <v/>
      </c>
      <c r="AG182" s="1737" t="n"/>
      <c r="AH182" s="1738">
        <f>IF(AG173="V",1,IF(AG181="V",1,0))</f>
        <v/>
      </c>
      <c r="AJ182" s="10" t="n">
        <v>1</v>
      </c>
      <c r="AK182" s="10" t="n">
        <v>1</v>
      </c>
      <c r="AL182" s="10" t="n">
        <v>1</v>
      </c>
      <c r="AR182" s="849" t="n"/>
      <c r="AS182" s="111" t="n"/>
      <c r="AT182" s="487" t="n"/>
      <c r="AU182" s="114" t="n"/>
      <c r="AV182" s="491" t="n"/>
      <c r="AW182" s="114" t="n"/>
      <c r="AX182" s="492" t="n"/>
      <c r="AY182" s="488" t="n"/>
    </row>
    <row r="183" ht="32" customHeight="1">
      <c r="C183" s="2073" t="inlineStr">
        <is>
          <t xml:space="preserve">traitement nveau conjoint pour l'AP : cpt actif = + / cpt passif = - </t>
        </is>
      </c>
      <c r="D183" s="2073" t="n"/>
      <c r="E183" s="90" t="n"/>
      <c r="F183" s="483" t="n"/>
      <c r="G183" s="483" t="n"/>
      <c r="H183" s="2120" t="inlineStr">
        <is>
          <t xml:space="preserve">instrumentalisation de l'enfant qui rend le actif / force la prise d'otage psycho ou physique </t>
        </is>
      </c>
      <c r="I183" s="709" t="n"/>
      <c r="J183" s="1392" t="n"/>
      <c r="K183" s="2056" t="n"/>
      <c r="L183" s="709" t="n"/>
      <c r="M183" s="709" t="n"/>
      <c r="N183" s="1707" t="n"/>
      <c r="O183" s="2121" t="inlineStr">
        <is>
          <t xml:space="preserve">compt. fragilise la relation parent-enfant ou les individus, enclenche rôle de protecteur, demande de faire un choix / choisir son camp </t>
        </is>
      </c>
      <c r="P183" s="709" t="n"/>
      <c r="Q183" s="1392" t="n"/>
      <c r="R183" s="1768" t="inlineStr">
        <is>
          <t>Est-ce que cela créé un déclencheur?</t>
        </is>
      </c>
      <c r="S183" s="1706" t="n"/>
      <c r="T183" s="1707" t="n"/>
      <c r="U183" s="980" t="n"/>
      <c r="AC183" s="1756" t="n"/>
      <c r="AD183" s="1757" t="n"/>
      <c r="AE183" s="1490" t="n"/>
      <c r="AF183" s="1490" t="n"/>
      <c r="AG183" s="1490" t="n"/>
      <c r="AH183" s="1490" t="n"/>
      <c r="AJ183" s="10" t="n"/>
      <c r="AK183" s="10" t="n"/>
      <c r="AL183" s="10" t="n"/>
      <c r="AR183" s="849" t="n"/>
      <c r="AS183" s="111" t="n"/>
      <c r="AT183" s="487" t="n"/>
      <c r="AU183" s="114" t="n"/>
      <c r="AV183" s="491" t="n"/>
      <c r="AW183" s="114" t="n"/>
      <c r="AX183" s="492" t="n"/>
      <c r="AY183" s="488" t="n"/>
    </row>
    <row r="184" ht="32" customHeight="1">
      <c r="A184" s="853" t="n">
        <v>9</v>
      </c>
      <c r="C184" s="486">
        <f>'Action-Réaction finale'!F31</f>
        <v/>
      </c>
      <c r="D184" s="108" t="n"/>
      <c r="E184" s="66" t="n"/>
      <c r="F184" s="18" t="n"/>
      <c r="G184" s="18" t="n"/>
      <c r="H184" s="2052" t="inlineStr">
        <is>
          <t>AP</t>
        </is>
      </c>
      <c r="K184" s="2055" t="inlineStr">
        <is>
          <t>Dynamique d'AP</t>
        </is>
      </c>
      <c r="N184" s="330" t="n"/>
      <c r="O184" s="2122" t="inlineStr">
        <is>
          <t>CL</t>
        </is>
      </c>
      <c r="Q184" s="330" t="n"/>
      <c r="R184" s="2123" t="inlineStr">
        <is>
          <t>CSS</t>
        </is>
      </c>
      <c r="T184" s="330" t="n"/>
      <c r="U184" s="15" t="n"/>
      <c r="V184" s="15" t="n"/>
      <c r="AC184" s="1009" t="n"/>
      <c r="AD184" s="1009" t="n"/>
      <c r="AE184" s="1009" t="n"/>
      <c r="AF184" s="1009" t="n"/>
      <c r="AG184" s="1009" t="n"/>
      <c r="AH184" s="1010" t="n"/>
      <c r="AJ184" s="10" t="n"/>
      <c r="AK184" s="10" t="n"/>
      <c r="AL184" s="10" t="n"/>
      <c r="AR184" s="849" t="n"/>
      <c r="AS184" s="111" t="n"/>
      <c r="AT184" s="487" t="n"/>
      <c r="AU184" s="114" t="n"/>
      <c r="AV184" s="491" t="n"/>
      <c r="AW184" s="114" t="n"/>
      <c r="AX184" s="492" t="n"/>
      <c r="AY184" s="488" t="n"/>
    </row>
    <row r="185" ht="32" customHeight="1">
      <c r="C185" s="103" t="inlineStr">
        <is>
          <t>Questions et sous-questions</t>
        </is>
      </c>
      <c r="D185" s="1043" t="inlineStr">
        <is>
          <t>Texte écourté pour titrer dans les baromètres ou rapport</t>
        </is>
      </c>
      <c r="E185" s="33" t="inlineStr">
        <is>
          <t>Valeur de base
Fréquence (F)</t>
        </is>
      </c>
      <c r="F185" s="33" t="inlineStr">
        <is>
          <t>Valeur de base
intensité (I)</t>
        </is>
      </c>
      <c r="G185" s="33" t="inlineStr">
        <is>
          <t>F * I</t>
        </is>
      </c>
      <c r="H185" s="1708" t="inlineStr">
        <is>
          <t>Condition Fréq. 
&gt;= que</t>
        </is>
      </c>
      <c r="I185" s="44" t="inlineStr">
        <is>
          <t>Condition Fré
&lt;= que</t>
        </is>
      </c>
      <c r="J185" s="44" t="inlineStr">
        <is>
          <t>Condition respectée</t>
        </is>
      </c>
      <c r="K185" s="44" t="inlineStr">
        <is>
          <t>"VRAI" (PF&amp;NC) /  "VRAI" (Enf)</t>
        </is>
      </c>
      <c r="L185" s="44" t="inlineStr">
        <is>
          <t>Vrai (PF&amp;NC) /  Faux (Enf)</t>
        </is>
      </c>
      <c r="M185" s="44" t="inlineStr">
        <is>
          <t>Faux (PF&amp;NC) /  Vrai (Enf)</t>
        </is>
      </c>
      <c r="N185" s="1709" t="inlineStr">
        <is>
          <t>Faux (PF&amp;NC) /  Faux(Enf)</t>
        </is>
      </c>
      <c r="O185" s="1708" t="inlineStr">
        <is>
          <t>Condition Fréq. 
&gt;= que</t>
        </is>
      </c>
      <c r="P185" s="44" t="inlineStr">
        <is>
          <t>Condition Fré
&lt;= que</t>
        </is>
      </c>
      <c r="Q185" s="1709" t="inlineStr">
        <is>
          <t>Condition respectée</t>
        </is>
      </c>
      <c r="R185" s="1708" t="inlineStr">
        <is>
          <t>Condition Fréq. 
&gt;= que</t>
        </is>
      </c>
      <c r="S185" s="44" t="inlineStr">
        <is>
          <t>Condition Fré
&lt;= que</t>
        </is>
      </c>
      <c r="T185" s="1709" t="inlineStr">
        <is>
          <t>Condition respectée</t>
        </is>
      </c>
      <c r="U185" s="851" t="n"/>
      <c r="V185" s="1008" t="inlineStr">
        <is>
          <t>Condition</t>
        </is>
      </c>
      <c r="W185" s="1472" t="inlineStr">
        <is>
          <t>AP</t>
        </is>
      </c>
      <c r="X185" s="1008" t="inlineStr">
        <is>
          <t>Condition</t>
        </is>
      </c>
      <c r="Y185" s="1476" t="inlineStr">
        <is>
          <t>CL</t>
        </is>
      </c>
      <c r="Z185" s="1008" t="n"/>
      <c r="AA185" s="1480" t="inlineStr">
        <is>
          <t>CSS</t>
        </is>
      </c>
      <c r="AC185" s="1023" t="inlineStr">
        <is>
          <t>AP</t>
        </is>
      </c>
      <c r="AD185" s="1024" t="inlineStr">
        <is>
          <t>AP_F</t>
        </is>
      </c>
      <c r="AE185" s="1023" t="inlineStr">
        <is>
          <t>CL</t>
        </is>
      </c>
      <c r="AF185" s="1024" t="inlineStr">
        <is>
          <t>CL_F</t>
        </is>
      </c>
      <c r="AG185" s="1023" t="inlineStr">
        <is>
          <t>CSS</t>
        </is>
      </c>
      <c r="AH185" s="1024" t="inlineStr">
        <is>
          <t>CSS_F</t>
        </is>
      </c>
      <c r="AJ185" s="10" t="n"/>
      <c r="AK185" s="10" t="n"/>
      <c r="AL185" s="10" t="n"/>
      <c r="AR185" s="849" t="n"/>
      <c r="AS185" s="111" t="n"/>
      <c r="AT185" s="487" t="n"/>
      <c r="AU185" s="114" t="n"/>
      <c r="AV185" s="491" t="n"/>
      <c r="AW185" s="114" t="n"/>
      <c r="AX185" s="492" t="n"/>
      <c r="AY185" s="488" t="n"/>
    </row>
    <row r="186" ht="32" customHeight="1">
      <c r="A186" s="858" t="n"/>
      <c r="B186" s="421">
        <f>'Action-Réaction finale'!G31</f>
        <v/>
      </c>
      <c r="C186" s="2066">
        <f>Test_Bible!B182</f>
        <v/>
      </c>
      <c r="D186" s="102" t="inlineStr">
        <is>
          <t>dénigre en la présence de l'enfant</t>
        </is>
      </c>
      <c r="E186" s="823">
        <f>Test_Bible!P182</f>
        <v/>
      </c>
      <c r="F186" s="822">
        <f>Test_Bible!D182</f>
        <v/>
      </c>
      <c r="G186" s="823">
        <f>Test_Bible!Q182</f>
        <v/>
      </c>
      <c r="H186" s="1710" t="n">
        <v>4</v>
      </c>
      <c r="I186" s="1703" t="n">
        <v>10</v>
      </c>
      <c r="J186" s="46">
        <f>IF(AND(E186&gt;=H186,E186&lt;=I186),TRUE,FALSE)</f>
        <v/>
      </c>
      <c r="K186" s="46" t="n"/>
      <c r="L186" s="46" t="n"/>
      <c r="M186" s="46" t="n"/>
      <c r="N186" s="1711" t="n"/>
      <c r="O186" s="1710" t="n">
        <v>1</v>
      </c>
      <c r="P186" s="1703" t="n">
        <v>10</v>
      </c>
      <c r="Q186" s="1711">
        <f>IF(AND(E186&gt;=O186,E186&lt;=P186),TRUE,FALSE)</f>
        <v/>
      </c>
      <c r="R186" s="1710" t="n">
        <v>2</v>
      </c>
      <c r="S186" s="1703" t="n">
        <v>7</v>
      </c>
      <c r="T186" s="1711">
        <f>IF(AND(E186&gt;=R186,E186&lt;=S186),TRUE,FALSE)</f>
        <v/>
      </c>
      <c r="U186" s="978" t="n"/>
      <c r="V186" s="1484" t="n"/>
      <c r="W186" s="1485" t="n">
        <v>4</v>
      </c>
      <c r="X186" s="2029" t="n"/>
      <c r="Y186" s="1489" t="n">
        <v>2</v>
      </c>
      <c r="Z186" s="2029" t="n"/>
      <c r="AA186" s="1496" t="n">
        <v>2</v>
      </c>
      <c r="AC186" s="1011" t="n"/>
      <c r="AD186" s="1012" t="n"/>
      <c r="AE186" s="1011" t="n"/>
      <c r="AF186" s="1012" t="n"/>
      <c r="AG186" s="1011" t="n"/>
      <c r="AH186" s="1012" t="n"/>
      <c r="AJ186" s="10" t="n"/>
      <c r="AK186" s="10" t="n"/>
      <c r="AL186" s="10" t="n"/>
      <c r="AR186" s="849" t="n"/>
      <c r="AS186" s="111" t="n"/>
      <c r="AT186" s="487" t="n"/>
      <c r="AU186" s="114" t="n"/>
      <c r="AV186" s="491" t="n"/>
      <c r="AW186" s="114" t="n"/>
      <c r="AX186" s="492" t="n"/>
      <c r="AY186" s="488" t="n"/>
    </row>
    <row r="187" ht="32" customHeight="1">
      <c r="B187" s="421" t="inlineStr">
        <is>
          <t>PFA</t>
        </is>
      </c>
      <c r="C187" s="2066" t="n"/>
      <c r="D187" s="102" t="n"/>
      <c r="E187" s="823" t="n"/>
      <c r="F187" s="822" t="n"/>
      <c r="G187" s="823" t="n"/>
      <c r="H187" s="1735" t="n">
        <v>11</v>
      </c>
      <c r="I187" s="1736" t="n">
        <v>11</v>
      </c>
      <c r="J187" s="46">
        <f>IF(AND(E187&gt;=H187,E187&lt;=I187),TRUE,FALSE)</f>
        <v/>
      </c>
      <c r="K187" s="46" t="n"/>
      <c r="L187" s="46" t="n"/>
      <c r="M187" s="46" t="n"/>
      <c r="N187" s="1711" t="n"/>
      <c r="O187" s="1735" t="n">
        <v>11</v>
      </c>
      <c r="P187" s="1736" t="n">
        <v>11</v>
      </c>
      <c r="Q187" s="1711">
        <f>IF(AND(E187&gt;=O187,E187&lt;=P187),TRUE,FALSE)</f>
        <v/>
      </c>
      <c r="R187" s="1735" t="n">
        <v>11</v>
      </c>
      <c r="S187" s="1736" t="n">
        <v>11</v>
      </c>
      <c r="T187" s="1711">
        <f>IF(AND(E187&gt;=R187,E187&lt;=S187),TRUE,FALSE)</f>
        <v/>
      </c>
      <c r="U187" s="978" t="n"/>
      <c r="V187" s="1487" t="inlineStr">
        <is>
          <t>ou</t>
        </is>
      </c>
      <c r="W187" s="1506" t="n">
        <v>11</v>
      </c>
      <c r="X187" s="1507" t="n"/>
      <c r="Y187" s="1508" t="n">
        <v>11</v>
      </c>
      <c r="Z187" s="1507" t="n"/>
      <c r="AA187" s="1502" t="n">
        <v>11</v>
      </c>
      <c r="AC187" s="1013" t="n"/>
      <c r="AD187" s="1014" t="n"/>
      <c r="AE187" s="1013" t="n"/>
      <c r="AF187" s="1014" t="n"/>
      <c r="AG187" s="1013" t="n"/>
      <c r="AH187" s="1014" t="n"/>
      <c r="AJ187" s="10" t="n"/>
      <c r="AK187" s="10" t="n"/>
      <c r="AL187" s="10" t="n"/>
      <c r="AR187" s="849" t="n"/>
      <c r="AS187" s="111" t="n"/>
      <c r="AT187" s="487" t="n"/>
      <c r="AU187" s="114" t="n"/>
      <c r="AV187" s="491" t="n"/>
      <c r="AW187" s="114" t="n"/>
      <c r="AX187" s="492" t="n"/>
      <c r="AY187" s="488" t="n"/>
    </row>
    <row r="188" ht="32" customHeight="1">
      <c r="B188" s="825" t="inlineStr">
        <is>
          <t>Max PFA</t>
        </is>
      </c>
      <c r="C188" s="826">
        <f>_xlfn.XLOOKUP(G188,G186:G187,C186:C187)</f>
        <v/>
      </c>
      <c r="D188" s="827">
        <f>_xlfn.XLOOKUP(G188,G186:G187,D186:D187)</f>
        <v/>
      </c>
      <c r="E188" s="828" t="n"/>
      <c r="F188" s="828" t="n"/>
      <c r="G188" s="828">
        <f>IF(AND(J186=TRUE,J187=FALSE),G186,IF(AND(J186=FALSE,J187=TRUE),G187,MAX(G186,G187)))</f>
        <v/>
      </c>
      <c r="H188" s="1712" t="n"/>
      <c r="I188" s="829" t="n"/>
      <c r="J188" s="830">
        <f>IF(AND(J186=FALSE,J187=FALSE),FALSE,TRUE)</f>
        <v/>
      </c>
      <c r="K188" s="46" t="n"/>
      <c r="L188" s="46" t="n"/>
      <c r="M188" s="46" t="n"/>
      <c r="N188" s="1711" t="n"/>
      <c r="O188" s="1712" t="n"/>
      <c r="P188" s="829" t="n"/>
      <c r="Q188" s="1725">
        <f>IF(AND(Q186=FALSE,Q187=FALSE),FALSE,TRUE)</f>
        <v/>
      </c>
      <c r="R188" s="1712" t="n"/>
      <c r="S188" s="829" t="n"/>
      <c r="T188" s="1725">
        <f>IF(AND(T186=FALSE,T187=FALSE),FALSE,TRUE)</f>
        <v/>
      </c>
      <c r="U188" s="978" t="n"/>
      <c r="V188" s="978" t="inlineStr">
        <is>
          <t>ou</t>
        </is>
      </c>
      <c r="W188" s="1473" t="n"/>
      <c r="X188" s="2002" t="n"/>
      <c r="Y188" s="1478" t="n"/>
      <c r="Z188" s="2002" t="n"/>
      <c r="AA188" s="1481" t="n"/>
      <c r="AC188" s="1013" t="n"/>
      <c r="AD188" s="1014" t="n"/>
      <c r="AE188" s="1013" t="n"/>
      <c r="AF188" s="1014" t="n"/>
      <c r="AG188" s="1013" t="n"/>
      <c r="AH188" s="1014" t="n"/>
      <c r="AJ188" s="10" t="n"/>
      <c r="AK188" s="10" t="n"/>
      <c r="AL188" s="10" t="n"/>
      <c r="AR188" s="849" t="n"/>
      <c r="AS188" s="111" t="n"/>
      <c r="AT188" s="487" t="n"/>
      <c r="AU188" s="114" t="n"/>
      <c r="AV188" s="491" t="n"/>
      <c r="AW188" s="114" t="n"/>
      <c r="AX188" s="492" t="n"/>
      <c r="AY188" s="488" t="n"/>
    </row>
    <row r="189" ht="48" customHeight="1">
      <c r="B189" s="53">
        <f>'Action-Réaction finale'!K31</f>
        <v/>
      </c>
      <c r="C189" s="2066">
        <f>Test_Bible!B399</f>
        <v/>
      </c>
      <c r="D189" s="102" t="inlineStr">
        <is>
          <t>le nouveau conjoint.e dénigre vos compétences parentales devant l'enfant</t>
        </is>
      </c>
      <c r="E189" s="823">
        <f>Test_Bible!P399</f>
        <v/>
      </c>
      <c r="F189" s="822">
        <f>Test_Bible!D399</f>
        <v/>
      </c>
      <c r="G189" s="823">
        <f>Test_Bible!Q399</f>
        <v/>
      </c>
      <c r="H189" s="1710" t="n">
        <v>4</v>
      </c>
      <c r="I189" s="1703" t="n">
        <v>10</v>
      </c>
      <c r="J189" s="46">
        <f>IF(AND(E189&gt;=H189,E189&lt;=I189),TRUE,FALSE)</f>
        <v/>
      </c>
      <c r="K189" s="46" t="n"/>
      <c r="L189" s="46" t="n"/>
      <c r="M189" s="46" t="n"/>
      <c r="N189" s="1711" t="n"/>
      <c r="O189" s="1710" t="n">
        <v>2</v>
      </c>
      <c r="P189" s="1703" t="n">
        <v>10</v>
      </c>
      <c r="Q189" s="1711">
        <f>IF(AND(E189&gt;=O189,E189&lt;=P189),TRUE,FALSE)</f>
        <v/>
      </c>
      <c r="R189" s="1710" t="n">
        <v>4</v>
      </c>
      <c r="S189" s="1703" t="n">
        <v>10</v>
      </c>
      <c r="T189" s="1711">
        <f>IF(AND(E189&gt;=R189,E189&lt;=S189),TRUE,FALSE)</f>
        <v/>
      </c>
      <c r="U189" s="978" t="n"/>
      <c r="V189" s="1484" t="n"/>
      <c r="W189" s="1485" t="n">
        <v>2</v>
      </c>
      <c r="X189" s="2029" t="n"/>
      <c r="Y189" s="1489" t="n">
        <v>4</v>
      </c>
      <c r="Z189" s="2029" t="n"/>
      <c r="AA189" s="1496" t="n">
        <v>4</v>
      </c>
      <c r="AC189" s="1013" t="n"/>
      <c r="AD189" s="1014" t="n"/>
      <c r="AE189" s="1013" t="n"/>
      <c r="AF189" s="1014" t="n"/>
      <c r="AG189" s="1013" t="n"/>
      <c r="AH189" s="1014" t="n"/>
      <c r="AJ189" s="10" t="n"/>
      <c r="AK189" s="10" t="n"/>
      <c r="AL189" s="10" t="n"/>
      <c r="AR189" s="849" t="n"/>
      <c r="AS189" s="111" t="n"/>
      <c r="AT189" s="487" t="n"/>
      <c r="AU189" s="114" t="n"/>
      <c r="AV189" s="491" t="n"/>
      <c r="AW189" s="114" t="n"/>
      <c r="AX189" s="492" t="n"/>
      <c r="AY189" s="488" t="n"/>
    </row>
    <row r="190" ht="48" customHeight="1">
      <c r="B190" s="53">
        <f>'Action-Réaction finale'!K32</f>
        <v/>
      </c>
      <c r="C190" s="2066">
        <f>Test_Bible!B400</f>
        <v/>
      </c>
      <c r="D190" s="102" t="inlineStr">
        <is>
          <t>le nouveau conjoint.e dénigre vos compétences parentales par texto, courriel, etc.</t>
        </is>
      </c>
      <c r="E190" s="823">
        <f>Test_Bible!P400</f>
        <v/>
      </c>
      <c r="F190" s="822">
        <f>Test_Bible!D400</f>
        <v/>
      </c>
      <c r="G190" s="823">
        <f>Test_Bible!Q400</f>
        <v/>
      </c>
      <c r="H190" s="1710" t="n">
        <v>4</v>
      </c>
      <c r="I190" s="1703" t="n">
        <v>10</v>
      </c>
      <c r="J190" s="46">
        <f>IF(AND(E190&gt;=H190,E190&lt;=I190),TRUE,FALSE)</f>
        <v/>
      </c>
      <c r="K190" s="46" t="n"/>
      <c r="L190" s="46" t="n"/>
      <c r="M190" s="46" t="n"/>
      <c r="N190" s="1711" t="n"/>
      <c r="O190" s="1735" t="n">
        <v>11</v>
      </c>
      <c r="P190" s="1736" t="n">
        <v>11</v>
      </c>
      <c r="Q190" s="1711">
        <f>IF(AND(E190&gt;=O190,E190&lt;=P190),TRUE,FALSE)</f>
        <v/>
      </c>
      <c r="R190" s="1710" t="n">
        <v>2</v>
      </c>
      <c r="S190" s="1703" t="n">
        <v>10</v>
      </c>
      <c r="T190" s="1711">
        <f>IF(AND(E190&gt;=R190,E190&lt;=S190),TRUE,FALSE)</f>
        <v/>
      </c>
      <c r="U190" s="978" t="n"/>
      <c r="V190" s="1487" t="inlineStr">
        <is>
          <t>ou</t>
        </is>
      </c>
      <c r="W190" s="1492" t="n">
        <v>4</v>
      </c>
      <c r="X190" s="1493" t="n"/>
      <c r="Y190" s="1508" t="n">
        <v>11</v>
      </c>
      <c r="Z190" s="1493" t="n"/>
      <c r="AA190" s="1495" t="n">
        <v>2</v>
      </c>
      <c r="AC190" s="1013" t="n"/>
      <c r="AD190" s="1014" t="n"/>
      <c r="AE190" s="1013" t="n"/>
      <c r="AF190" s="1014" t="n"/>
      <c r="AG190" s="1013" t="n"/>
      <c r="AH190" s="1014" t="n"/>
      <c r="AJ190" s="10" t="n"/>
      <c r="AK190" s="10" t="n"/>
      <c r="AL190" s="10" t="n"/>
      <c r="AQ190" s="7" t="n"/>
      <c r="AR190" s="849" t="n"/>
      <c r="AS190" s="111" t="n"/>
      <c r="AT190" s="487" t="n"/>
      <c r="AU190" s="114" t="n"/>
      <c r="AV190" s="491" t="n"/>
      <c r="AW190" s="114" t="n"/>
      <c r="AX190" s="492" t="n"/>
      <c r="AY190" s="488" t="n"/>
    </row>
    <row r="191" ht="32" customHeight="1" thickBot="1">
      <c r="B191" s="831" t="inlineStr">
        <is>
          <t>Max NC</t>
        </is>
      </c>
      <c r="C191" s="832">
        <f>_xlfn.XLOOKUP(G191,G189:G190,C189:C190)</f>
        <v/>
      </c>
      <c r="D191" s="833">
        <f>_xlfn.XLOOKUP(G191,G189:G190,D189:D190)</f>
        <v/>
      </c>
      <c r="E191" s="834" t="n"/>
      <c r="F191" s="834" t="n"/>
      <c r="G191" s="834">
        <f>IF(AND(J189=TRUE,J190=FALSE),G189,IF(AND(J189=FALSE,J190=TRUE),G190,MAX(G189,G190)))</f>
        <v/>
      </c>
      <c r="H191" s="1713" t="n"/>
      <c r="I191" s="835" t="n"/>
      <c r="J191" s="836">
        <f>IF(AND(J189=FALSE,J190=FALSE),FALSE,TRUE)</f>
        <v/>
      </c>
      <c r="K191" s="46" t="n"/>
      <c r="L191" s="46" t="n"/>
      <c r="M191" s="46" t="n"/>
      <c r="N191" s="1711" t="n"/>
      <c r="O191" s="1713" t="n"/>
      <c r="P191" s="835" t="n"/>
      <c r="Q191" s="1726">
        <f>IF(AND(Q189=FALSE,Q190=FALSE),FALSE,TRUE)</f>
        <v/>
      </c>
      <c r="R191" s="1713" t="n"/>
      <c r="S191" s="835" t="n"/>
      <c r="T191" s="1726">
        <f>IF(AND(T189=FALSE,T190=FALSE),FALSE,TRUE)</f>
        <v/>
      </c>
      <c r="U191" s="978" t="n"/>
      <c r="V191" s="978" t="n"/>
      <c r="W191" s="1473" t="n"/>
      <c r="X191" s="2002" t="n"/>
      <c r="Y191" s="1478" t="n"/>
      <c r="Z191" s="2002" t="n"/>
      <c r="AA191" s="1481" t="n"/>
      <c r="AC191" s="1013" t="n"/>
      <c r="AD191" s="1014" t="n"/>
      <c r="AE191" s="1013" t="n"/>
      <c r="AF191" s="1014" t="n"/>
      <c r="AG191" s="1013" t="n"/>
      <c r="AH191" s="1014" t="n"/>
      <c r="AJ191" s="10" t="n"/>
      <c r="AK191" s="10" t="n"/>
      <c r="AL191" s="10" t="n"/>
      <c r="AQ191" s="7" t="n"/>
      <c r="AR191" s="849" t="n"/>
      <c r="AS191" s="111" t="n"/>
      <c r="AT191" s="487" t="n"/>
      <c r="AU191" s="114" t="n"/>
      <c r="AV191" s="491" t="n"/>
      <c r="AW191" s="114" t="n"/>
      <c r="AX191" s="492" t="n"/>
      <c r="AY191" s="488" t="n"/>
    </row>
    <row r="192" ht="32" customHeight="1" thickBot="1">
      <c r="B192" s="837" t="inlineStr">
        <is>
          <t>Max PFA &amp; NC</t>
        </is>
      </c>
      <c r="C192" s="838" t="n"/>
      <c r="D192" s="838">
        <f>IF(G192=G188,D188,D191)</f>
        <v/>
      </c>
      <c r="E192" s="839" t="n"/>
      <c r="F192" s="839" t="n"/>
      <c r="G192" s="839">
        <f>IF(AND(J188=TRUE,J191=FALSE),G188,IF(AND(J188=FALSE,J191=TRUE),G191,IF(AND(J188=TRUE,J191=TRUE),G188+G191,MAX(G188,G191))))</f>
        <v/>
      </c>
      <c r="H192" s="1714" t="n"/>
      <c r="I192" s="840" t="n"/>
      <c r="J192" s="841">
        <f>IF(AND(J188=FALSE,J191=FALSE),FALSE,TRUE)</f>
        <v/>
      </c>
      <c r="K192" s="1698" t="n"/>
      <c r="L192" s="1698" t="n"/>
      <c r="M192" s="1698" t="n"/>
      <c r="N192" s="1715" t="n"/>
      <c r="O192" s="1714" t="n"/>
      <c r="P192" s="840" t="n"/>
      <c r="Q192" s="841">
        <f>IF(AND(Q188=FALSE,Q191=FALSE),FALSE,TRUE)</f>
        <v/>
      </c>
      <c r="R192" s="1714" t="n"/>
      <c r="S192" s="840" t="n"/>
      <c r="T192" s="841">
        <f>IF(AND(T188=FALSE,T191=FALSE),FALSE,TRUE)</f>
        <v/>
      </c>
      <c r="U192" s="978" t="n"/>
      <c r="V192" s="978" t="inlineStr">
        <is>
          <t>et</t>
        </is>
      </c>
      <c r="W192" s="1473" t="n"/>
      <c r="X192" s="2002" t="n"/>
      <c r="Y192" s="1478" t="n"/>
      <c r="Z192" s="2002" t="n"/>
      <c r="AA192" s="1481" t="n"/>
      <c r="AC192" s="1013">
        <f>IF(J192=TRUE,"V","F")</f>
        <v/>
      </c>
      <c r="AD192" s="1014" t="n"/>
      <c r="AE192" s="1013">
        <f>IF(Q192=TRUE,"V","F")</f>
        <v/>
      </c>
      <c r="AF192" s="1014" t="n"/>
      <c r="AG192" s="1013">
        <f>IF(T192=TRUE,"V","F")</f>
        <v/>
      </c>
      <c r="AH192" s="1014" t="n"/>
      <c r="AI192">
        <f>IF(OR(AC192="V",AE192="V"),IF(G191&gt;G188,"Le NC contribue plus que le coparent","Le coparent joue un plus grand rôle que le NC"),"pas de contexte significatif de la part du coparent et NC")</f>
        <v/>
      </c>
      <c r="AJ192" s="10" t="n"/>
      <c r="AK192" s="10" t="n"/>
      <c r="AL192" s="10" t="n"/>
      <c r="AQ192" s="7" t="n"/>
      <c r="AR192" s="849" t="n"/>
      <c r="AS192" s="111" t="n"/>
      <c r="AT192" s="487" t="n"/>
      <c r="AU192" s="114" t="n"/>
      <c r="AV192" s="491" t="n"/>
      <c r="AW192" s="114" t="n"/>
      <c r="AX192" s="492" t="n"/>
      <c r="AY192" s="488" t="n"/>
    </row>
    <row r="193" ht="37" customHeight="1">
      <c r="A193" s="858" t="n"/>
      <c r="B193" s="316">
        <f>'Action-Réaction finale'!O31</f>
        <v/>
      </c>
      <c r="C193" s="2066">
        <f>Test_Bible!B280</f>
        <v/>
      </c>
      <c r="D193" s="102" t="inlineStr">
        <is>
          <t>dénigre vos compétences parentales devant l'autre parent</t>
        </is>
      </c>
      <c r="E193" s="823">
        <f>Test_Bible!P280</f>
        <v/>
      </c>
      <c r="F193" s="822">
        <f>Test_Bible!D280</f>
        <v/>
      </c>
      <c r="G193" s="823">
        <f>Test_Bible!Q280</f>
        <v/>
      </c>
      <c r="H193" s="1710" t="n">
        <v>2</v>
      </c>
      <c r="I193" s="1703">
        <f>$I$18</f>
        <v/>
      </c>
      <c r="J193" s="46">
        <f>IF(AND(E193&gt;=H193,E193&lt;=I193),TRUE,FALSE)</f>
        <v/>
      </c>
      <c r="K193" s="46" t="n"/>
      <c r="L193" s="46" t="n"/>
      <c r="M193" s="46" t="n"/>
      <c r="N193" s="1711" t="n"/>
      <c r="O193" s="1710" t="n">
        <v>1</v>
      </c>
      <c r="P193" s="1703" t="n">
        <v>4</v>
      </c>
      <c r="Q193" s="1711">
        <f>IF(AND(E193&gt;=O193,E193&lt;=P193),TRUE,FALSE)</f>
        <v/>
      </c>
      <c r="R193" s="1710" t="n"/>
      <c r="S193" s="1703" t="n"/>
      <c r="T193" s="1711" t="n"/>
      <c r="U193" s="978" t="n"/>
      <c r="V193" s="1484" t="n"/>
      <c r="W193" s="1485" t="n">
        <v>4</v>
      </c>
      <c r="X193" s="2029" t="n"/>
      <c r="Y193" s="1489" t="n">
        <v>2</v>
      </c>
      <c r="Z193" s="2029" t="n"/>
      <c r="AA193" s="1497" t="n">
        <v>11</v>
      </c>
      <c r="AC193" s="1013" t="inlineStr">
        <is>
          <t> </t>
        </is>
      </c>
      <c r="AD193" s="1014" t="n"/>
      <c r="AE193" s="1013" t="n"/>
      <c r="AF193" s="1014" t="n"/>
      <c r="AG193" s="1013" t="n"/>
      <c r="AH193" s="1014" t="n"/>
      <c r="AJ193" s="10" t="n"/>
      <c r="AK193" s="10" t="n"/>
      <c r="AL193" s="10" t="n"/>
      <c r="AQ193" s="7" t="n"/>
      <c r="AR193" s="849" t="n"/>
      <c r="AS193" s="111" t="n"/>
      <c r="AT193" s="487" t="n"/>
      <c r="AU193" s="114" t="n"/>
      <c r="AV193" s="491" t="n"/>
      <c r="AW193" s="114" t="n"/>
      <c r="AX193" s="492" t="n"/>
      <c r="AY193" s="488" t="n"/>
    </row>
    <row r="194" ht="32" customHeight="1" thickBot="1">
      <c r="B194" s="316" t="inlineStr">
        <is>
          <t>Enf</t>
        </is>
      </c>
      <c r="C194" s="2066" t="n"/>
      <c r="D194" s="102" t="n"/>
      <c r="E194" s="823" t="n"/>
      <c r="F194" s="822" t="n"/>
      <c r="G194" s="823" t="n"/>
      <c r="H194" s="1735" t="n">
        <v>11</v>
      </c>
      <c r="I194" s="1736" t="n">
        <v>11</v>
      </c>
      <c r="J194" s="46">
        <f>IF(AND(E194&gt;=H194,E194&lt;=I194),TRUE,FALSE)</f>
        <v/>
      </c>
      <c r="K194" s="46" t="n"/>
      <c r="L194" s="46" t="n"/>
      <c r="M194" s="46" t="n"/>
      <c r="N194" s="1711" t="n"/>
      <c r="O194" s="1735" t="n">
        <v>11</v>
      </c>
      <c r="P194" s="1736" t="n">
        <v>11</v>
      </c>
      <c r="Q194" s="1711">
        <f>IF(AND(E194&gt;=O194,E194&lt;=P194),TRUE,FALSE)</f>
        <v/>
      </c>
      <c r="R194" s="1735" t="n"/>
      <c r="S194" s="1736" t="n"/>
      <c r="T194" s="1711" t="n"/>
      <c r="U194" s="978" t="n"/>
      <c r="V194" s="1487" t="inlineStr">
        <is>
          <t>ou</t>
        </is>
      </c>
      <c r="W194" s="1506" t="n">
        <v>11</v>
      </c>
      <c r="X194" s="1507" t="n"/>
      <c r="Y194" s="1508" t="n">
        <v>11</v>
      </c>
      <c r="Z194" s="1507" t="n"/>
      <c r="AA194" s="1502" t="n">
        <v>11</v>
      </c>
      <c r="AC194" s="1013" t="n"/>
      <c r="AD194" s="1014" t="n"/>
      <c r="AE194" s="1013" t="n"/>
      <c r="AF194" s="1014" t="n"/>
      <c r="AG194" s="1013" t="n"/>
      <c r="AH194" s="1014" t="n"/>
      <c r="AJ194" s="10" t="n"/>
      <c r="AK194" s="10" t="n"/>
      <c r="AL194" s="10" t="n"/>
      <c r="AQ194" s="7" t="n"/>
      <c r="AR194" s="849" t="n"/>
      <c r="AS194" s="111" t="n"/>
      <c r="AT194" s="487" t="n"/>
      <c r="AU194" s="114" t="n"/>
      <c r="AV194" s="491" t="n"/>
      <c r="AW194" s="114" t="n"/>
      <c r="AX194" s="492" t="n"/>
      <c r="AY194" s="488" t="n"/>
    </row>
    <row r="195" ht="32" customHeight="1" thickBot="1">
      <c r="B195" s="842" t="inlineStr">
        <is>
          <t>Max Enf</t>
        </is>
      </c>
      <c r="C195" s="843">
        <f>_xlfn.XLOOKUP(G195,G193:G194,C193:C194)</f>
        <v/>
      </c>
      <c r="D195" s="843">
        <f>_xlfn.XLOOKUP(G195,G193:G194,D193:D194)</f>
        <v/>
      </c>
      <c r="E195" s="844" t="n"/>
      <c r="F195" s="844" t="n"/>
      <c r="G195" s="844">
        <f>IF(AND(J193=TRUE,J194=FALSE),G193,IF(AND(J193=FALSE,J194=TRUE),G194,MAX(G193,G194)))</f>
        <v/>
      </c>
      <c r="H195" s="1716" t="n"/>
      <c r="I195" s="845" t="n"/>
      <c r="J195" s="846">
        <f>IF(AND(J193=FALSE,J194=FALSE),FALSE,TRUE)</f>
        <v/>
      </c>
      <c r="K195" s="1699" t="n"/>
      <c r="L195" s="1699" t="n"/>
      <c r="M195" s="1699" t="n"/>
      <c r="N195" s="1717" t="n"/>
      <c r="O195" s="1716" t="n"/>
      <c r="P195" s="845" t="n"/>
      <c r="Q195" s="846">
        <f>IF(AND(Q193=FALSE,Q194=FALSE),FALSE,TRUE)</f>
        <v/>
      </c>
      <c r="R195" s="1716" t="n"/>
      <c r="S195" s="845" t="n"/>
      <c r="T195" s="846" t="n"/>
      <c r="U195" s="978" t="n"/>
      <c r="V195" s="978" t="n"/>
      <c r="W195" s="1475" t="n"/>
      <c r="Y195" s="1479" t="n"/>
      <c r="AA195" s="1483" t="n"/>
      <c r="AC195" s="1013">
        <f>IF(J195=TRUE,"V","F")</f>
        <v/>
      </c>
      <c r="AD195" s="1014" t="n"/>
      <c r="AE195" s="1013">
        <f>IF(Q195=TRUE,"V","F")</f>
        <v/>
      </c>
      <c r="AF195" s="1014" t="n"/>
      <c r="AG195" s="1013" t="n"/>
      <c r="AH195" s="1014" t="n"/>
      <c r="AJ195" s="10" t="n"/>
      <c r="AK195" s="10" t="n"/>
      <c r="AL195" s="10" t="n"/>
      <c r="AR195" s="849" t="n"/>
      <c r="AS195" s="111" t="n"/>
      <c r="AT195" s="487" t="n"/>
      <c r="AU195" s="114" t="n"/>
      <c r="AV195" s="491" t="n"/>
      <c r="AW195" s="114" t="n"/>
      <c r="AX195" s="492" t="n"/>
      <c r="AY195" s="488" t="n"/>
    </row>
    <row r="196" ht="32" customHeight="1">
      <c r="C196" s="428" t="inlineStr">
        <is>
          <t>COMPARATIF Comportement PFA-Enf</t>
        </is>
      </c>
      <c r="D196" s="2058" t="n"/>
      <c r="E196" s="484" t="inlineStr">
        <is>
          <t>Valeur =&gt;</t>
        </is>
      </c>
      <c r="F196" s="48" t="n"/>
      <c r="G196" s="48">
        <f>G188+G191+G195</f>
        <v/>
      </c>
      <c r="H196" s="1718" t="n"/>
      <c r="I196" s="485" t="n"/>
      <c r="J196" s="1701" t="n"/>
      <c r="K196" s="1702">
        <f>IF(AND(J195=TRUE,J192=TRUE),D195,"")</f>
        <v/>
      </c>
      <c r="L196" s="1702">
        <f>IF(AND(J192=TRUE,J195=FALSE),"Bien que le parent "&amp;D192&amp;" l'enfant ne semble pas s'ingérer","")</f>
        <v/>
      </c>
      <c r="M196" s="1702">
        <f>IF(AND(J192=FALSE,J195=TRUE),D195&amp;" sans signe de la participation du parent favorisé et|ou nouveau conjoint.e","")</f>
        <v/>
      </c>
      <c r="N196" s="1719">
        <f>IF(AND(J192=FALSE,J195=FALSE),"aucun comportement significatif de cette nature","")</f>
        <v/>
      </c>
      <c r="O196" s="1718" t="n"/>
      <c r="P196" s="485" t="n"/>
      <c r="Q196" s="1727" t="n"/>
      <c r="R196" s="1718" t="n"/>
      <c r="S196" s="485" t="n"/>
      <c r="T196" s="1727" t="n"/>
      <c r="U196" s="980" t="n"/>
      <c r="V196" s="980" t="n"/>
      <c r="W196" s="1475" t="n"/>
      <c r="Y196" s="1479" t="n"/>
      <c r="AA196" s="1483" t="n"/>
      <c r="AC196" s="1015" t="n"/>
      <c r="AD196" s="1016">
        <f>IF(AND(AC192="V",AC195="V"),2,IF(OR(AC192="V",AC195="V"),1,0))</f>
        <v/>
      </c>
      <c r="AE196" s="1015" t="n"/>
      <c r="AF196" s="1016">
        <f>IF(OR(AE192="V",AE195="V"),1,0)</f>
        <v/>
      </c>
      <c r="AG196" s="1015" t="n"/>
      <c r="AH196" s="1016" t="n"/>
      <c r="AJ196" s="10" t="n"/>
      <c r="AK196" s="10" t="n"/>
      <c r="AL196" s="10" t="n"/>
      <c r="AR196" s="849" t="n"/>
      <c r="AS196" s="111" t="n"/>
      <c r="AT196" s="487" t="n"/>
      <c r="AU196" s="114" t="n"/>
      <c r="AV196" s="491" t="n"/>
      <c r="AW196" s="114" t="n"/>
      <c r="AX196" s="492" t="n"/>
      <c r="AY196" s="488" t="n"/>
    </row>
    <row r="197" ht="32" customHeight="1">
      <c r="B197" t="inlineStr">
        <is>
          <t>PCR</t>
        </is>
      </c>
      <c r="H197" s="147" t="n"/>
      <c r="K197" s="1992" t="n"/>
      <c r="L197" s="1992" t="n"/>
      <c r="M197" s="1992" t="n"/>
      <c r="N197" s="1740" t="n"/>
      <c r="O197" s="147" t="n"/>
      <c r="Q197" s="330" t="n"/>
      <c r="R197" s="147" t="n"/>
      <c r="T197" s="330" t="n"/>
      <c r="U197" s="1992" t="n"/>
      <c r="W197" s="1475" t="n"/>
      <c r="Y197" s="1479" t="n"/>
      <c r="AA197" s="1483" t="n"/>
      <c r="AC197" s="1013" t="n"/>
      <c r="AD197" s="1014" t="n"/>
      <c r="AE197" s="1013" t="n"/>
      <c r="AF197" s="1014" t="n"/>
      <c r="AG197" s="1013" t="n"/>
      <c r="AH197" s="1014" t="n"/>
      <c r="AJ197" s="10" t="n"/>
      <c r="AK197" s="10" t="n"/>
      <c r="AL197" s="10" t="n"/>
      <c r="AR197" s="849" t="n"/>
      <c r="AS197" s="111" t="n"/>
      <c r="AT197" s="487" t="n"/>
      <c r="AU197" s="114" t="n"/>
      <c r="AV197" s="491" t="n"/>
      <c r="AW197" s="114" t="n"/>
      <c r="AX197" s="492" t="n"/>
      <c r="AY197" s="488" t="n"/>
    </row>
    <row r="198" ht="32" customHeight="1">
      <c r="B198" s="1017">
        <f>'Action-Réaction finale'!S31</f>
        <v/>
      </c>
      <c r="C198" s="1018">
        <f>Test_Bible!B130</f>
        <v/>
      </c>
      <c r="D198" s="1018" t="n"/>
      <c r="E198" s="1026">
        <f>Test_Bible!P130</f>
        <v/>
      </c>
      <c r="F198" s="1026">
        <f>Test_Bible!D130</f>
        <v/>
      </c>
      <c r="G198" s="1026">
        <f>Test_Bible!Q130</f>
        <v/>
      </c>
      <c r="H198" s="1710" t="n">
        <v>4</v>
      </c>
      <c r="I198" s="1703" t="n">
        <v>10</v>
      </c>
      <c r="J198" s="46">
        <f>IF(AND(E198&gt;=H198,E198&lt;=I198),TRUE,FALSE)</f>
        <v/>
      </c>
      <c r="K198" s="33" t="n"/>
      <c r="L198" s="33" t="n"/>
      <c r="M198" s="33" t="n"/>
      <c r="N198" s="1720" t="n"/>
      <c r="O198" s="1735" t="n">
        <v>11</v>
      </c>
      <c r="P198" s="1736" t="n">
        <v>11</v>
      </c>
      <c r="Q198" s="1711">
        <f>IF(AND(E198&gt;=O198,E198&lt;=P198),TRUE,FALSE)</f>
        <v/>
      </c>
      <c r="R198" s="1710" t="n">
        <v>2</v>
      </c>
      <c r="S198" s="1703" t="n">
        <v>10</v>
      </c>
      <c r="T198" s="1711">
        <f>IF(AND(E198&gt;=R198,E198&lt;=S198),TRUE,FALSE)</f>
        <v/>
      </c>
      <c r="U198" s="1992" t="n"/>
      <c r="V198" s="1509" t="n"/>
      <c r="W198" s="1485" t="n">
        <v>4</v>
      </c>
      <c r="X198" s="2029" t="n"/>
      <c r="Y198" s="1489" t="n"/>
      <c r="Z198" s="2029" t="n"/>
      <c r="AA198" s="1496" t="n">
        <v>4</v>
      </c>
      <c r="AC198" s="1013" t="n"/>
      <c r="AD198" s="1014" t="n"/>
      <c r="AE198" s="1013" t="n"/>
      <c r="AF198" s="1014" t="n"/>
      <c r="AG198" s="1013" t="n"/>
      <c r="AH198" s="1014" t="n"/>
      <c r="AJ198" s="10" t="n"/>
      <c r="AK198" s="10" t="n"/>
      <c r="AL198" s="10" t="n"/>
      <c r="AR198" s="849" t="n"/>
      <c r="AS198" s="111" t="n"/>
      <c r="AT198" s="487" t="n"/>
      <c r="AU198" s="114" t="n"/>
      <c r="AV198" s="491" t="n"/>
      <c r="AW198" s="114" t="n"/>
      <c r="AX198" s="492" t="n"/>
      <c r="AY198" s="488" t="n"/>
    </row>
    <row r="199" ht="32" customHeight="1" thickBot="1">
      <c r="B199" s="1017" t="n"/>
      <c r="C199" s="1025" t="n"/>
      <c r="D199" s="1018" t="n"/>
      <c r="E199" s="1026" t="n"/>
      <c r="F199" s="1026" t="n"/>
      <c r="G199" s="1026" t="n"/>
      <c r="H199" s="1735" t="n">
        <v>11</v>
      </c>
      <c r="I199" s="1736" t="n">
        <v>11</v>
      </c>
      <c r="J199" s="46">
        <f>IF(AND(E199&gt;=H199,E199&lt;=I199),TRUE,FALSE)</f>
        <v/>
      </c>
      <c r="K199" s="33" t="n"/>
      <c r="L199" s="33" t="n"/>
      <c r="M199" s="33" t="n"/>
      <c r="N199" s="1720" t="n"/>
      <c r="O199" s="1735" t="n">
        <v>11</v>
      </c>
      <c r="P199" s="1736" t="n">
        <v>11</v>
      </c>
      <c r="Q199" s="1711">
        <f>IF(AND(E199&gt;=O199,E199&lt;=P199),TRUE,FALSE)</f>
        <v/>
      </c>
      <c r="R199" s="1735" t="n">
        <v>11</v>
      </c>
      <c r="S199" s="1736" t="n">
        <v>11</v>
      </c>
      <c r="T199" s="1711">
        <f>IF(AND(E199&gt;=R199,E199&lt;=S199),TRUE,FALSE)</f>
        <v/>
      </c>
      <c r="V199" s="1510" t="n"/>
      <c r="W199" s="1506" t="n">
        <v>11</v>
      </c>
      <c r="X199" s="1507" t="n"/>
      <c r="Y199" s="1508" t="n">
        <v>11</v>
      </c>
      <c r="Z199" s="1507" t="n"/>
      <c r="AA199" s="1502" t="n">
        <v>11</v>
      </c>
      <c r="AC199" s="1013" t="n"/>
      <c r="AD199" s="1014" t="n"/>
      <c r="AE199" s="1013" t="n"/>
      <c r="AF199" s="1014" t="n"/>
      <c r="AG199" s="1013" t="n"/>
      <c r="AH199" s="1014" t="n"/>
      <c r="AJ199" s="10" t="n"/>
      <c r="AK199" s="10" t="n"/>
      <c r="AL199" s="10" t="n"/>
      <c r="AR199" s="849" t="n"/>
      <c r="AS199" s="111" t="n"/>
      <c r="AT199" s="487" t="n"/>
      <c r="AU199" s="114" t="n"/>
      <c r="AV199" s="491" t="n"/>
      <c r="AW199" s="114" t="n"/>
      <c r="AX199" s="492" t="n"/>
      <c r="AY199" s="488" t="n"/>
    </row>
    <row r="200" ht="32" customHeight="1" thickBot="1">
      <c r="C200" s="2073" t="n"/>
      <c r="D200" s="2073" t="n"/>
      <c r="E200" s="90" t="n"/>
      <c r="F200" s="483" t="n"/>
      <c r="G200" s="483" t="n"/>
      <c r="H200" s="1732" t="n"/>
      <c r="I200" s="1733" t="n"/>
      <c r="J200" s="1739">
        <f>IF(AND(J198=FALSE,J199=FALSE),FALSE,TRUE)</f>
        <v/>
      </c>
      <c r="K200" s="1721" t="n"/>
      <c r="L200" s="1722" t="n"/>
      <c r="M200" s="1722" t="n"/>
      <c r="N200" s="1723" t="n"/>
      <c r="O200" s="1732" t="n"/>
      <c r="P200" s="1733" t="n"/>
      <c r="Q200" s="1739">
        <f>IF(AND(Q198=FALSE,Q199=FALSE),FALSE,TRUE)</f>
        <v/>
      </c>
      <c r="R200" s="1744" t="n"/>
      <c r="S200" s="1745" t="n"/>
      <c r="T200" s="1746">
        <f>IF(AND(T198=FALSE,T199=FALSE),FALSE,TRUE)</f>
        <v/>
      </c>
      <c r="U200" s="980" t="n"/>
      <c r="AC200" s="1650">
        <f>IF(J200=TRUE,"V","F")</f>
        <v/>
      </c>
      <c r="AD200" s="1651" t="n"/>
      <c r="AE200" s="1650">
        <f>IF(Q200=TRUE,"V","F")</f>
        <v/>
      </c>
      <c r="AF200" s="1651" t="n"/>
      <c r="AG200" s="1650">
        <f>IF(T200=TRUE,"V","F")</f>
        <v/>
      </c>
      <c r="AH200" s="1651" t="n"/>
      <c r="AJ200" s="10" t="n"/>
      <c r="AK200" s="10" t="n"/>
      <c r="AL200" s="10" t="n"/>
      <c r="AR200" s="849" t="n"/>
      <c r="AS200" s="111" t="n"/>
      <c r="AT200" s="487" t="n"/>
      <c r="AU200" s="114" t="n"/>
      <c r="AV200" s="491" t="n"/>
      <c r="AW200" s="114" t="n"/>
      <c r="AX200" s="492" t="n"/>
      <c r="AY200" s="488" t="n"/>
    </row>
    <row r="201" ht="32" customHeight="1" thickBot="1">
      <c r="C201" s="2073" t="n"/>
      <c r="D201" s="2073" t="n"/>
      <c r="E201" s="90" t="n"/>
      <c r="F201" s="483" t="n"/>
      <c r="G201" s="483" t="n"/>
      <c r="H201" s="2002" t="n"/>
      <c r="I201" s="2002" t="n"/>
      <c r="J201" s="979" t="n"/>
      <c r="K201" s="980" t="n"/>
      <c r="L201" s="980" t="n"/>
      <c r="M201" s="980" t="n"/>
      <c r="N201" s="980" t="n"/>
      <c r="O201" s="980" t="n"/>
      <c r="P201" s="980" t="n"/>
      <c r="Q201" s="980" t="n"/>
      <c r="R201" s="980" t="n"/>
      <c r="S201" s="980" t="n"/>
      <c r="T201" s="980" t="n"/>
      <c r="U201" s="980" t="n"/>
      <c r="AC201" s="1737" t="n"/>
      <c r="AD201" s="1738">
        <f>IF(AND(AC200="V",AC192="V"),AD196-1,AD196)</f>
        <v/>
      </c>
      <c r="AE201" s="1737" t="n"/>
      <c r="AF201" s="1738">
        <f>IF(OR(AE192="V",AE195="V",AE200="V"),1,0)</f>
        <v/>
      </c>
      <c r="AG201" s="1737" t="n"/>
      <c r="AH201" s="1738">
        <f>IF(AG192="V",1,IF(AG200="V",1,0))</f>
        <v/>
      </c>
      <c r="AJ201" s="10" t="n">
        <v>1</v>
      </c>
      <c r="AK201" s="10" t="n">
        <v>1</v>
      </c>
      <c r="AL201" s="10" t="n">
        <v>1</v>
      </c>
      <c r="AR201" s="849" t="n"/>
      <c r="AS201" s="111" t="n"/>
      <c r="AT201" s="487" t="n"/>
      <c r="AU201" s="114" t="n"/>
      <c r="AV201" s="491" t="n"/>
      <c r="AW201" s="114" t="n"/>
      <c r="AX201" s="492" t="n"/>
      <c r="AY201" s="488" t="n"/>
    </row>
    <row r="202" ht="32" customHeight="1">
      <c r="C202" s="2073" t="n"/>
      <c r="D202" s="2073" t="n"/>
      <c r="E202" s="90" t="n"/>
      <c r="F202" s="483" t="n"/>
      <c r="G202" s="483" t="n"/>
      <c r="H202" s="1704" t="n"/>
      <c r="I202" s="1705" t="n"/>
      <c r="J202" s="1706" t="n"/>
      <c r="K202" s="2056" t="n"/>
      <c r="L202" s="709" t="n"/>
      <c r="M202" s="709" t="n"/>
      <c r="N202" s="1707" t="n"/>
      <c r="O202" s="1724" t="n"/>
      <c r="P202" s="1706" t="n"/>
      <c r="Q202" s="1707" t="n"/>
      <c r="R202" s="1724" t="n"/>
      <c r="S202" s="1706" t="n"/>
      <c r="T202" s="1707" t="n"/>
      <c r="U202" s="980" t="n"/>
      <c r="V202" s="980" t="n"/>
      <c r="AC202" s="1756" t="n"/>
      <c r="AD202" s="1757" t="n"/>
      <c r="AE202" s="1490" t="n"/>
      <c r="AF202" s="1490" t="n"/>
      <c r="AG202" s="1490" t="n"/>
      <c r="AH202" s="1490" t="n"/>
      <c r="AJ202" s="10" t="n"/>
      <c r="AK202" s="10" t="n"/>
      <c r="AL202" s="10" t="n"/>
      <c r="AR202" s="849" t="n"/>
      <c r="AS202" s="111" t="n"/>
      <c r="AT202" s="487" t="n"/>
      <c r="AU202" s="114" t="n"/>
      <c r="AV202" s="491" t="n"/>
      <c r="AW202" s="114" t="n"/>
      <c r="AX202" s="492" t="n"/>
      <c r="AY202" s="488" t="n"/>
    </row>
    <row r="203" ht="32" customHeight="1">
      <c r="A203" s="853" t="n">
        <v>10</v>
      </c>
      <c r="C203" s="486">
        <f>'Action-Réaction finale'!F34</f>
        <v/>
      </c>
      <c r="D203" s="108" t="n"/>
      <c r="E203" s="66" t="n"/>
      <c r="F203" s="18" t="n"/>
      <c r="G203" s="18" t="n"/>
      <c r="H203" s="2052" t="inlineStr">
        <is>
          <t>AP</t>
        </is>
      </c>
      <c r="K203" s="2055" t="inlineStr">
        <is>
          <t>Dynamique d'AP</t>
        </is>
      </c>
      <c r="N203" s="330" t="n"/>
      <c r="O203" s="2122" t="inlineStr">
        <is>
          <t>CL</t>
        </is>
      </c>
      <c r="Q203" s="330" t="n"/>
      <c r="R203" s="2123" t="inlineStr">
        <is>
          <t>CSS</t>
        </is>
      </c>
      <c r="T203" s="330" t="n"/>
      <c r="U203" s="15" t="n"/>
      <c r="V203" s="15" t="n"/>
      <c r="AC203" s="1009" t="n"/>
      <c r="AD203" s="1009" t="n"/>
      <c r="AE203" s="1009" t="n"/>
      <c r="AF203" s="1009" t="n"/>
      <c r="AG203" s="1009" t="n"/>
      <c r="AH203" s="1010" t="n"/>
      <c r="AJ203" s="10" t="n"/>
      <c r="AK203" s="10" t="n"/>
      <c r="AL203" s="10" t="n"/>
      <c r="AR203" s="849" t="n"/>
      <c r="AS203" s="111" t="n"/>
      <c r="AT203" s="487" t="n"/>
      <c r="AU203" s="114" t="n"/>
      <c r="AV203" s="491" t="n"/>
      <c r="AW203" s="114" t="n"/>
      <c r="AX203" s="492" t="n"/>
      <c r="AY203" s="488" t="n"/>
    </row>
    <row r="204" ht="32" customHeight="1">
      <c r="C204" s="103" t="inlineStr">
        <is>
          <t>Questions et sous-questions</t>
        </is>
      </c>
      <c r="D204" s="1043" t="inlineStr">
        <is>
          <t>Texte écourté pour titrer dans les baromètres ou rapport</t>
        </is>
      </c>
      <c r="E204" s="33" t="inlineStr">
        <is>
          <t>Valeur de base
Fréquence (F)</t>
        </is>
      </c>
      <c r="F204" s="33" t="inlineStr">
        <is>
          <t>Valeur de base
intensité (I)</t>
        </is>
      </c>
      <c r="G204" s="33" t="inlineStr">
        <is>
          <t>F * I</t>
        </is>
      </c>
      <c r="H204" s="1708" t="inlineStr">
        <is>
          <t>Condition Fréq. 
&gt;= que</t>
        </is>
      </c>
      <c r="I204" s="44" t="inlineStr">
        <is>
          <t>Condition Fré
&lt;= que</t>
        </is>
      </c>
      <c r="J204" s="44" t="inlineStr">
        <is>
          <t>Condition respectée</t>
        </is>
      </c>
      <c r="K204" s="44" t="inlineStr">
        <is>
          <t>"VRAI" (PF&amp;NC) /  "VRAI" (Enf)</t>
        </is>
      </c>
      <c r="L204" s="44" t="inlineStr">
        <is>
          <t>Vrai (PF&amp;NC) /  Faux (Enf)</t>
        </is>
      </c>
      <c r="M204" s="44" t="inlineStr">
        <is>
          <t>Faux (PF&amp;NC) /  Vrai (Enf)</t>
        </is>
      </c>
      <c r="N204" s="1709" t="inlineStr">
        <is>
          <t>Faux (PF&amp;NC) /  Faux(Enf)</t>
        </is>
      </c>
      <c r="O204" s="1708" t="inlineStr">
        <is>
          <t>Condition Fréq. 
&gt;= que</t>
        </is>
      </c>
      <c r="P204" s="44" t="inlineStr">
        <is>
          <t>Condition Fré
&lt;= que</t>
        </is>
      </c>
      <c r="Q204" s="1709" t="inlineStr">
        <is>
          <t>Condition respectée</t>
        </is>
      </c>
      <c r="R204" s="1708" t="inlineStr">
        <is>
          <t>Condition Fréq. 
&gt;= que</t>
        </is>
      </c>
      <c r="S204" s="44" t="inlineStr">
        <is>
          <t>Condition Fré
&lt;= que</t>
        </is>
      </c>
      <c r="T204" s="1709" t="inlineStr">
        <is>
          <t>Condition respectée</t>
        </is>
      </c>
      <c r="U204" s="851" t="n"/>
      <c r="V204" s="1008" t="inlineStr">
        <is>
          <t>Condition</t>
        </is>
      </c>
      <c r="W204" s="1472" t="inlineStr">
        <is>
          <t>AP</t>
        </is>
      </c>
      <c r="X204" s="1008" t="inlineStr">
        <is>
          <t>Condition</t>
        </is>
      </c>
      <c r="Y204" s="1476" t="inlineStr">
        <is>
          <t>CL</t>
        </is>
      </c>
      <c r="Z204" s="1008" t="n"/>
      <c r="AA204" s="1480" t="inlineStr">
        <is>
          <t>CSS</t>
        </is>
      </c>
      <c r="AC204" s="1023" t="inlineStr">
        <is>
          <t>AP</t>
        </is>
      </c>
      <c r="AD204" s="1024" t="inlineStr">
        <is>
          <t>AP_F</t>
        </is>
      </c>
      <c r="AE204" s="1023" t="inlineStr">
        <is>
          <t>CL</t>
        </is>
      </c>
      <c r="AF204" s="1024" t="inlineStr">
        <is>
          <t>CL_F</t>
        </is>
      </c>
      <c r="AG204" s="1023" t="inlineStr">
        <is>
          <t>CSS</t>
        </is>
      </c>
      <c r="AH204" s="1024" t="inlineStr">
        <is>
          <t>CSS_F</t>
        </is>
      </c>
      <c r="AJ204" s="10" t="n"/>
      <c r="AK204" s="10" t="n"/>
      <c r="AL204" s="10" t="n"/>
      <c r="AR204" s="849" t="n"/>
      <c r="AS204" s="111" t="n"/>
      <c r="AT204" s="487" t="n"/>
      <c r="AU204" s="114" t="n"/>
      <c r="AV204" s="491" t="n"/>
      <c r="AW204" s="114" t="n"/>
      <c r="AX204" s="492" t="n"/>
      <c r="AY204" s="488" t="n"/>
    </row>
    <row r="205" ht="32" customHeight="1">
      <c r="B205" s="421">
        <f>'Action-Réaction finale'!G34</f>
        <v/>
      </c>
      <c r="C205" s="2066">
        <f>Test_Bible!B186</f>
        <v/>
      </c>
      <c r="D205" s="102" t="inlineStr">
        <is>
          <t>dénigre votre nouvelle famille devant l'enfant</t>
        </is>
      </c>
      <c r="E205" s="823">
        <f>Test_Bible!P186</f>
        <v/>
      </c>
      <c r="F205" s="822">
        <f>Test_Bible!D186</f>
        <v/>
      </c>
      <c r="G205" s="823">
        <f>Test_Bible!Q186</f>
        <v/>
      </c>
      <c r="H205" s="1710" t="n">
        <v>4</v>
      </c>
      <c r="I205" s="1703" t="n">
        <v>10</v>
      </c>
      <c r="J205" s="46">
        <f>IF(AND(E205&gt;=H205,E205&lt;=I205),TRUE,FALSE)</f>
        <v/>
      </c>
      <c r="K205" s="46" t="n"/>
      <c r="L205" s="46" t="n"/>
      <c r="M205" s="46" t="n"/>
      <c r="N205" s="1711" t="n"/>
      <c r="O205" s="1710" t="n">
        <v>1</v>
      </c>
      <c r="P205" s="1703" t="n">
        <v>7</v>
      </c>
      <c r="Q205" s="1711">
        <f>IF(AND(E205&gt;=O205,E205&lt;=P205),TRUE,FALSE)</f>
        <v/>
      </c>
      <c r="R205" s="1710" t="n">
        <v>2</v>
      </c>
      <c r="S205" s="1703" t="n">
        <v>7</v>
      </c>
      <c r="T205" s="1711">
        <f>IF(AND(E205&gt;=R205,E205&lt;=S205),TRUE,FALSE)</f>
        <v/>
      </c>
      <c r="U205" s="978" t="n"/>
      <c r="V205" s="1484" t="n"/>
      <c r="W205" s="1485" t="n">
        <v>4</v>
      </c>
      <c r="X205" s="2029" t="n"/>
      <c r="Y205" s="1489" t="n">
        <v>2</v>
      </c>
      <c r="Z205" s="2029" t="n"/>
      <c r="AA205" s="1496" t="n">
        <v>2</v>
      </c>
      <c r="AC205" s="1011" t="n"/>
      <c r="AD205" s="1012" t="n"/>
      <c r="AE205" s="1011" t="n"/>
      <c r="AF205" s="1012" t="n"/>
      <c r="AG205" s="1011" t="n"/>
      <c r="AH205" s="1012" t="n"/>
      <c r="AJ205" s="10" t="n"/>
      <c r="AK205" s="10" t="n"/>
      <c r="AL205" s="10" t="n"/>
      <c r="AR205" s="849" t="n"/>
      <c r="AS205" s="111" t="n"/>
      <c r="AT205" s="487" t="n"/>
      <c r="AU205" s="114" t="n"/>
      <c r="AV205" s="491" t="n"/>
      <c r="AW205" s="114" t="n"/>
      <c r="AX205" s="492" t="n"/>
      <c r="AY205" s="488" t="n"/>
    </row>
    <row r="206" ht="32" customHeight="1">
      <c r="B206" s="421">
        <f>'Action-Réaction finale'!G35</f>
        <v/>
      </c>
      <c r="C206" s="2066">
        <f>Test_Bible!B243</f>
        <v/>
      </c>
      <c r="D206" s="102" t="inlineStr">
        <is>
          <t>entretient un discours haineux à l'égard de votre nouveau conjoint.e</t>
        </is>
      </c>
      <c r="E206" s="823">
        <f>Test_Bible!P243</f>
        <v/>
      </c>
      <c r="F206" s="822">
        <f>Test_Bible!D243</f>
        <v/>
      </c>
      <c r="G206" s="823">
        <f>Test_Bible!Q243</f>
        <v/>
      </c>
      <c r="H206" s="1710" t="n">
        <v>4</v>
      </c>
      <c r="I206" s="1703" t="n">
        <v>10</v>
      </c>
      <c r="J206" s="46">
        <f>IF(AND(E206&gt;=H206,E206&lt;=I206),TRUE,FALSE)</f>
        <v/>
      </c>
      <c r="K206" s="46" t="n"/>
      <c r="L206" s="46" t="n"/>
      <c r="M206" s="46" t="n"/>
      <c r="N206" s="1711" t="n"/>
      <c r="O206" s="1710" t="n">
        <v>1</v>
      </c>
      <c r="P206" s="1703" t="n">
        <v>7</v>
      </c>
      <c r="Q206" s="1711">
        <f>IF(AND(E206&gt;=O206,E206&lt;=P206),TRUE,FALSE)</f>
        <v/>
      </c>
      <c r="R206" s="1710" t="n">
        <v>2</v>
      </c>
      <c r="S206" s="1703" t="n">
        <v>7</v>
      </c>
      <c r="T206" s="1711">
        <f>IF(AND(E206&gt;=R206,E206&lt;=S206),TRUE,FALSE)</f>
        <v/>
      </c>
      <c r="U206" s="978" t="n"/>
      <c r="V206" s="1487" t="inlineStr">
        <is>
          <t>ou</t>
        </is>
      </c>
      <c r="W206" s="1492" t="n">
        <v>4</v>
      </c>
      <c r="X206" s="1493" t="n"/>
      <c r="Y206" s="1494" t="n">
        <v>2</v>
      </c>
      <c r="Z206" s="1493" t="n"/>
      <c r="AA206" s="1495" t="n">
        <v>2</v>
      </c>
      <c r="AC206" s="1013" t="n"/>
      <c r="AD206" s="1014" t="n"/>
      <c r="AE206" s="1013" t="n"/>
      <c r="AF206" s="1014" t="n"/>
      <c r="AG206" s="1013" t="n"/>
      <c r="AH206" s="1014" t="n"/>
      <c r="AJ206" s="10" t="n"/>
      <c r="AK206" s="10" t="n"/>
      <c r="AL206" s="10" t="n"/>
      <c r="AR206" s="849" t="n"/>
      <c r="AS206" s="111" t="n"/>
      <c r="AT206" s="487" t="n"/>
      <c r="AU206" s="114" t="n"/>
      <c r="AV206" s="491" t="n"/>
      <c r="AW206" s="114" t="n"/>
      <c r="AX206" s="492" t="n"/>
      <c r="AY206" s="488" t="n"/>
    </row>
    <row r="207" ht="32" customHeight="1">
      <c r="B207" s="825" t="inlineStr">
        <is>
          <t>Max PFA</t>
        </is>
      </c>
      <c r="C207" s="826">
        <f>_xlfn.XLOOKUP(G207,G205:G206,C205:C206)</f>
        <v/>
      </c>
      <c r="D207" s="827">
        <f>_xlfn.XLOOKUP(G207,G205:G206,D205:D206)</f>
        <v/>
      </c>
      <c r="E207" s="828" t="n"/>
      <c r="F207" s="828" t="n"/>
      <c r="G207" s="828">
        <f>IF(AND(J205=TRUE,J206=FALSE),G205,IF(AND(J205=FALSE,J206=TRUE),G206,MAX(G205,G206)))</f>
        <v/>
      </c>
      <c r="H207" s="1712" t="n"/>
      <c r="I207" s="829" t="n"/>
      <c r="J207" s="830">
        <f>IF(AND(J205=FALSE,J206=FALSE),FALSE,TRUE)</f>
        <v/>
      </c>
      <c r="K207" s="46" t="n"/>
      <c r="L207" s="46" t="n"/>
      <c r="M207" s="46" t="n"/>
      <c r="N207" s="1711" t="n"/>
      <c r="O207" s="1712" t="n"/>
      <c r="P207" s="829" t="n"/>
      <c r="Q207" s="1725">
        <f>IF(AND(Q205=FALSE,Q206=FALSE),FALSE,TRUE)</f>
        <v/>
      </c>
      <c r="R207" s="1712" t="n"/>
      <c r="S207" s="829" t="n"/>
      <c r="T207" s="1725">
        <f>IF(AND(T205=FALSE,T206=FALSE),FALSE,TRUE)</f>
        <v/>
      </c>
      <c r="U207" s="978" t="n"/>
      <c r="V207" s="978" t="inlineStr">
        <is>
          <t>ou</t>
        </is>
      </c>
      <c r="W207" s="1473" t="n"/>
      <c r="X207" s="2002" t="n"/>
      <c r="Y207" s="1478" t="n"/>
      <c r="Z207" s="2002" t="n"/>
      <c r="AA207" s="1481" t="n"/>
      <c r="AC207" s="1013" t="n"/>
      <c r="AD207" s="1014" t="n"/>
      <c r="AE207" s="1013" t="n"/>
      <c r="AF207" s="1014" t="n"/>
      <c r="AG207" s="1013" t="n"/>
      <c r="AH207" s="1014" t="n"/>
      <c r="AJ207" s="10" t="n"/>
      <c r="AK207" s="10" t="n"/>
      <c r="AL207" s="10" t="n"/>
      <c r="AR207" s="849" t="n"/>
      <c r="AS207" s="111" t="n"/>
      <c r="AT207" s="487" t="n"/>
      <c r="AU207" s="114" t="n"/>
      <c r="AV207" s="491" t="n"/>
      <c r="AW207" s="114" t="n"/>
      <c r="AX207" s="492" t="n"/>
      <c r="AY207" s="488" t="n"/>
    </row>
    <row r="208" ht="55" customHeight="1">
      <c r="B208" s="53">
        <f>'Action-Réaction finale'!K34</f>
        <v/>
      </c>
      <c r="C208" s="2066">
        <f>Test_Bible!B401</f>
        <v/>
      </c>
      <c r="D208" s="102" t="inlineStr">
        <is>
          <t>Le nouveau conjoint.e dénigre votre nouvelle famille devant l'enfant</t>
        </is>
      </c>
      <c r="E208" s="823">
        <f>Test_Bible!P401</f>
        <v/>
      </c>
      <c r="F208" s="822">
        <f>Test_Bible!D401</f>
        <v/>
      </c>
      <c r="G208" s="823">
        <f>Test_Bible!Q401</f>
        <v/>
      </c>
      <c r="H208" s="1710" t="n">
        <v>4</v>
      </c>
      <c r="I208" s="1703" t="n">
        <v>10</v>
      </c>
      <c r="J208" s="46">
        <f>IF(AND(E208&gt;=H208,E208&lt;=I208),TRUE,FALSE)</f>
        <v/>
      </c>
      <c r="K208" s="46" t="n"/>
      <c r="L208" s="46" t="n"/>
      <c r="M208" s="46" t="n"/>
      <c r="N208" s="1711" t="n"/>
      <c r="O208" s="1710" t="n">
        <v>2</v>
      </c>
      <c r="P208" s="1703" t="n">
        <v>10</v>
      </c>
      <c r="Q208" s="1711">
        <f>IF(AND(E208&gt;=O208,E208&lt;=P208),TRUE,FALSE)</f>
        <v/>
      </c>
      <c r="R208" s="1710" t="n">
        <v>4</v>
      </c>
      <c r="S208" s="1703" t="n">
        <v>10</v>
      </c>
      <c r="T208" s="1711">
        <f>IF(AND(E208&gt;=R208,E208&lt;=S208),TRUE,FALSE)</f>
        <v/>
      </c>
      <c r="U208" s="978" t="n"/>
      <c r="V208" s="1484" t="n"/>
      <c r="W208" s="1485" t="n">
        <v>4</v>
      </c>
      <c r="X208" s="2029" t="n"/>
      <c r="Y208" s="1489" t="n">
        <v>4</v>
      </c>
      <c r="Z208" s="2029" t="n"/>
      <c r="AA208" s="1496" t="n">
        <v>2</v>
      </c>
      <c r="AC208" s="1013" t="n"/>
      <c r="AD208" s="1014" t="n"/>
      <c r="AE208" s="1013" t="n"/>
      <c r="AF208" s="1014" t="n"/>
      <c r="AG208" s="1013" t="n"/>
      <c r="AH208" s="1014" t="n"/>
      <c r="AJ208" s="10" t="n"/>
      <c r="AK208" s="10" t="n"/>
      <c r="AL208" s="10" t="n"/>
      <c r="AR208" s="849" t="n"/>
      <c r="AS208" s="111" t="n"/>
      <c r="AT208" s="487" t="n"/>
      <c r="AU208" s="114" t="n"/>
      <c r="AV208" s="491" t="n"/>
      <c r="AW208" s="114" t="n"/>
      <c r="AX208" s="492" t="n"/>
      <c r="AY208" s="488" t="n"/>
    </row>
    <row r="209" ht="32" customHeight="1">
      <c r="B209" s="53" t="inlineStr">
        <is>
          <t>NC</t>
        </is>
      </c>
      <c r="C209" s="2066" t="n"/>
      <c r="D209" s="63" t="n"/>
      <c r="E209" s="36" t="n"/>
      <c r="F209" s="36" t="n"/>
      <c r="G209" s="36" t="n"/>
      <c r="H209" s="1735" t="n">
        <v>11</v>
      </c>
      <c r="I209" s="1736" t="n">
        <v>11</v>
      </c>
      <c r="J209" s="46">
        <f>IF(AND(E209&gt;=H209,E209&lt;=I209),TRUE,FALSE)</f>
        <v/>
      </c>
      <c r="K209" s="46" t="n"/>
      <c r="L209" s="46" t="n"/>
      <c r="M209" s="46" t="n"/>
      <c r="N209" s="1711" t="n"/>
      <c r="O209" s="1735" t="n">
        <v>11</v>
      </c>
      <c r="P209" s="1736" t="n">
        <v>11</v>
      </c>
      <c r="Q209" s="1711">
        <f>IF(AND(E209&gt;=O209,E209&lt;=P209),TRUE,FALSE)</f>
        <v/>
      </c>
      <c r="R209" s="1735" t="n">
        <v>11</v>
      </c>
      <c r="S209" s="1736" t="n">
        <v>11</v>
      </c>
      <c r="T209" s="1711">
        <f>IF(AND(E209&gt;=R209,E209&lt;=S209),TRUE,FALSE)</f>
        <v/>
      </c>
      <c r="U209" s="978" t="n"/>
      <c r="V209" s="1487" t="inlineStr">
        <is>
          <t>ou</t>
        </is>
      </c>
      <c r="W209" s="1506" t="n">
        <v>11</v>
      </c>
      <c r="X209" s="1507" t="n"/>
      <c r="Y209" s="1508" t="n">
        <v>11</v>
      </c>
      <c r="Z209" s="1507" t="n"/>
      <c r="AA209" s="1502" t="n">
        <v>11</v>
      </c>
      <c r="AC209" s="1013" t="n"/>
      <c r="AD209" s="1014" t="n"/>
      <c r="AE209" s="1013" t="n"/>
      <c r="AF209" s="1014" t="n"/>
      <c r="AG209" s="1013" t="n"/>
      <c r="AH209" s="1014" t="n"/>
      <c r="AJ209" s="10" t="n"/>
      <c r="AK209" s="10" t="n"/>
      <c r="AL209" s="10" t="n"/>
      <c r="AQ209" s="7" t="n"/>
      <c r="AR209" s="849" t="n"/>
      <c r="AS209" s="111" t="n"/>
      <c r="AT209" s="487" t="n"/>
      <c r="AU209" s="114" t="n"/>
      <c r="AV209" s="491" t="n"/>
      <c r="AW209" s="114" t="n"/>
      <c r="AX209" s="492" t="n"/>
      <c r="AY209" s="488" t="n"/>
    </row>
    <row r="210" ht="32" customHeight="1" thickBot="1">
      <c r="B210" s="831" t="inlineStr">
        <is>
          <t>Max NC</t>
        </is>
      </c>
      <c r="C210" s="832">
        <f>_xlfn.XLOOKUP(G210,G208:G209,C208:C209)</f>
        <v/>
      </c>
      <c r="D210" s="833">
        <f>_xlfn.XLOOKUP(G210,G208:G209,D208:D209)</f>
        <v/>
      </c>
      <c r="E210" s="834" t="n"/>
      <c r="F210" s="834" t="n"/>
      <c r="G210" s="834">
        <f>IF(AND(J208=TRUE,J209=FALSE),G208,IF(AND(J208=FALSE,J209=TRUE),G209,MAX(G208,G209)))</f>
        <v/>
      </c>
      <c r="H210" s="1713" t="n"/>
      <c r="I210" s="835" t="n"/>
      <c r="J210" s="836">
        <f>IF(AND(J208=FALSE,J209=FALSE),FALSE,TRUE)</f>
        <v/>
      </c>
      <c r="K210" s="46" t="n"/>
      <c r="L210" s="46" t="n"/>
      <c r="M210" s="46" t="n"/>
      <c r="N210" s="1711" t="n"/>
      <c r="O210" s="1713" t="n"/>
      <c r="P210" s="835" t="n"/>
      <c r="Q210" s="1726">
        <f>IF(AND(Q208=FALSE,Q209=FALSE),FALSE,TRUE)</f>
        <v/>
      </c>
      <c r="R210" s="1713" t="n"/>
      <c r="S210" s="835" t="n"/>
      <c r="T210" s="1726">
        <f>IF(AND(T208=FALSE,T209=FALSE),FALSE,TRUE)</f>
        <v/>
      </c>
      <c r="U210" s="978" t="n"/>
      <c r="V210" s="978" t="n"/>
      <c r="W210" s="1473" t="n"/>
      <c r="X210" s="2002" t="n"/>
      <c r="Y210" s="1478" t="n"/>
      <c r="Z210" s="2002" t="n"/>
      <c r="AA210" s="1481" t="n"/>
      <c r="AC210" s="1013" t="n"/>
      <c r="AD210" s="1014" t="n"/>
      <c r="AE210" s="1013" t="n"/>
      <c r="AF210" s="1014" t="n"/>
      <c r="AG210" s="1013" t="n"/>
      <c r="AH210" s="1014" t="n"/>
      <c r="AJ210" s="10" t="n"/>
      <c r="AK210" s="10" t="n"/>
      <c r="AL210" s="10" t="n"/>
      <c r="AQ210" s="7" t="n"/>
      <c r="AR210" s="849" t="n"/>
      <c r="AS210" s="111" t="n"/>
      <c r="AT210" s="487" t="n"/>
      <c r="AU210" s="114" t="n"/>
      <c r="AV210" s="491" t="n"/>
      <c r="AW210" s="114" t="n"/>
      <c r="AX210" s="492" t="n"/>
      <c r="AY210" s="488" t="n"/>
    </row>
    <row r="211" ht="32" customHeight="1" thickBot="1">
      <c r="B211" s="837" t="inlineStr">
        <is>
          <t>Max PFA &amp; NC</t>
        </is>
      </c>
      <c r="C211" s="838" t="n"/>
      <c r="D211" s="838">
        <f>IF(G211=G207,D207,D210)</f>
        <v/>
      </c>
      <c r="E211" s="839" t="n"/>
      <c r="F211" s="839" t="n"/>
      <c r="G211" s="839">
        <f>IF(AND(J207=TRUE,J210=FALSE),G207,IF(AND(J207=FALSE,J210=TRUE),G210,IF(AND(J207=TRUE,J210=TRUE),G207+G210,MAX(G207,G210))))</f>
        <v/>
      </c>
      <c r="H211" s="1714" t="n"/>
      <c r="I211" s="840" t="n"/>
      <c r="J211" s="841">
        <f>IF(AND(J207=FALSE,J210=FALSE),FALSE,TRUE)</f>
        <v/>
      </c>
      <c r="K211" s="1698" t="n"/>
      <c r="L211" s="1698" t="n"/>
      <c r="M211" s="1698" t="n"/>
      <c r="N211" s="1715" t="n"/>
      <c r="O211" s="1714" t="n"/>
      <c r="P211" s="840" t="n"/>
      <c r="Q211" s="841">
        <f>IF(AND(Q207=FALSE,Q210=FALSE),FALSE,TRUE)</f>
        <v/>
      </c>
      <c r="R211" s="1714" t="n"/>
      <c r="S211" s="840" t="n"/>
      <c r="T211" s="841">
        <f>IF(AND(T207=FALSE,T210=FALSE),FALSE,TRUE)</f>
        <v/>
      </c>
      <c r="U211" s="978" t="n"/>
      <c r="V211" s="978" t="inlineStr">
        <is>
          <t>et</t>
        </is>
      </c>
      <c r="W211" s="1473" t="n"/>
      <c r="X211" s="2002" t="n"/>
      <c r="Y211" s="1478" t="n"/>
      <c r="Z211" s="2002" t="n"/>
      <c r="AA211" s="1481" t="n"/>
      <c r="AC211" s="1013">
        <f>IF(J211=TRUE,"V","F")</f>
        <v/>
      </c>
      <c r="AD211" s="1014" t="n"/>
      <c r="AE211" s="1013">
        <f>IF(Q211=TRUE,"V","F")</f>
        <v/>
      </c>
      <c r="AF211" s="1014" t="n"/>
      <c r="AG211" s="1013">
        <f>IF(T211=TRUE,"V","F")</f>
        <v/>
      </c>
      <c r="AH211" s="1014" t="n"/>
      <c r="AI211">
        <f>IF(OR(AC211="V",AE211="V"),IF(G210&gt;G207,"Le NC contribue plus que le coparent","Le coparent joue un plus grand rôle que le NC"),"pas de contexte significatif de la part du coparent et NC")</f>
        <v/>
      </c>
      <c r="AJ211" s="10" t="n"/>
      <c r="AK211" s="10" t="n"/>
      <c r="AL211" s="10" t="n"/>
      <c r="AQ211" s="7" t="n"/>
      <c r="AR211" s="849" t="n"/>
      <c r="AS211" s="111" t="n"/>
      <c r="AT211" s="487" t="n"/>
      <c r="AU211" s="114" t="n"/>
      <c r="AV211" s="491" t="n"/>
      <c r="AW211" s="114" t="n"/>
      <c r="AX211" s="492" t="n"/>
      <c r="AY211" s="488" t="n"/>
    </row>
    <row r="212" ht="32" customHeight="1">
      <c r="B212" s="316">
        <f>'Action-Réaction finale'!O34</f>
        <v/>
      </c>
      <c r="C212" s="2066">
        <f>Test_Bible!B281</f>
        <v/>
      </c>
      <c r="D212" s="102" t="inlineStr">
        <is>
          <t>dénigre votre nouvelle famille devant l'enfant</t>
        </is>
      </c>
      <c r="E212" s="823">
        <f>Test_Bible!P281</f>
        <v/>
      </c>
      <c r="F212" s="822">
        <f>Test_Bible!D281</f>
        <v/>
      </c>
      <c r="G212" s="823">
        <f>Test_Bible!Q281</f>
        <v/>
      </c>
      <c r="H212" s="1710" t="n">
        <v>4</v>
      </c>
      <c r="I212" s="1703">
        <f>$I$18</f>
        <v/>
      </c>
      <c r="J212" s="46">
        <f>IF(AND(E212&gt;=H212,E212&lt;=I212),TRUE,FALSE)</f>
        <v/>
      </c>
      <c r="K212" s="46" t="n"/>
      <c r="L212" s="46" t="n"/>
      <c r="M212" s="46" t="n"/>
      <c r="N212" s="1711" t="n"/>
      <c r="O212" s="1710" t="n">
        <v>2</v>
      </c>
      <c r="P212" s="1703" t="n">
        <v>7</v>
      </c>
      <c r="Q212" s="1711">
        <f>IF(AND(E212&gt;=O212,E212&lt;=P212),TRUE,FALSE)</f>
        <v/>
      </c>
      <c r="R212" s="1710" t="n"/>
      <c r="S212" s="1703" t="n"/>
      <c r="T212" s="1711" t="n"/>
      <c r="U212" s="978" t="n"/>
      <c r="V212" s="1484" t="n"/>
      <c r="W212" s="1485" t="n">
        <v>4</v>
      </c>
      <c r="X212" s="2029" t="n"/>
      <c r="Y212" s="1489" t="n">
        <v>2</v>
      </c>
      <c r="Z212" s="2029" t="n"/>
      <c r="AA212" s="1497" t="n">
        <v>11</v>
      </c>
      <c r="AC212" s="1013" t="inlineStr">
        <is>
          <t> </t>
        </is>
      </c>
      <c r="AD212" s="1014" t="n"/>
      <c r="AE212" s="1013" t="n"/>
      <c r="AF212" s="1014" t="n"/>
      <c r="AG212" s="1013" t="n"/>
      <c r="AH212" s="1014" t="n"/>
      <c r="AJ212" s="10" t="n"/>
      <c r="AK212" s="10" t="n"/>
      <c r="AL212" s="10" t="n"/>
      <c r="AQ212" s="7" t="n"/>
      <c r="AR212" s="849" t="n"/>
      <c r="AS212" s="111" t="n"/>
      <c r="AT212" s="487" t="n"/>
      <c r="AU212" s="114" t="n"/>
      <c r="AV212" s="491" t="n"/>
      <c r="AW212" s="114" t="n"/>
      <c r="AX212" s="492" t="n"/>
      <c r="AY212" s="488" t="n"/>
    </row>
    <row r="213" ht="32" customHeight="1" thickBot="1">
      <c r="B213" s="316" t="inlineStr">
        <is>
          <t>Enf</t>
        </is>
      </c>
      <c r="C213" s="2066" t="n"/>
      <c r="D213" s="102" t="n"/>
      <c r="E213" s="823" t="n"/>
      <c r="F213" s="822" t="n"/>
      <c r="G213" s="823" t="n"/>
      <c r="H213" s="1735" t="n">
        <v>11</v>
      </c>
      <c r="I213" s="1736" t="n">
        <v>11</v>
      </c>
      <c r="J213" s="46">
        <f>IF(AND(E213&gt;=H213,E213&lt;=I213),TRUE,FALSE)</f>
        <v/>
      </c>
      <c r="K213" s="46" t="n"/>
      <c r="L213" s="46" t="n"/>
      <c r="M213" s="46" t="n"/>
      <c r="N213" s="1711" t="n"/>
      <c r="O213" s="1735" t="n">
        <v>11</v>
      </c>
      <c r="P213" s="1736" t="n">
        <v>11</v>
      </c>
      <c r="Q213" s="1711">
        <f>IF(AND(E213&gt;=O213,E213&lt;=P213),TRUE,FALSE)</f>
        <v/>
      </c>
      <c r="R213" s="1735" t="n"/>
      <c r="S213" s="1736" t="n"/>
      <c r="T213" s="1711" t="n"/>
      <c r="U213" s="978" t="n"/>
      <c r="V213" s="1487" t="inlineStr">
        <is>
          <t>ou</t>
        </is>
      </c>
      <c r="W213" s="1506" t="n">
        <v>11</v>
      </c>
      <c r="X213" s="1507" t="n"/>
      <c r="Y213" s="1508" t="n">
        <v>11</v>
      </c>
      <c r="Z213" s="1507" t="n"/>
      <c r="AA213" s="1502" t="n">
        <v>11</v>
      </c>
      <c r="AC213" s="1013" t="n"/>
      <c r="AD213" s="1014" t="n"/>
      <c r="AE213" s="1013" t="n"/>
      <c r="AF213" s="1014" t="n"/>
      <c r="AG213" s="1013" t="n"/>
      <c r="AH213" s="1014" t="n"/>
      <c r="AJ213" s="10" t="n"/>
      <c r="AK213" s="10" t="n"/>
      <c r="AL213" s="10" t="n"/>
      <c r="AQ213" s="7" t="n"/>
      <c r="AR213" s="849" t="n"/>
      <c r="AS213" s="111" t="n"/>
      <c r="AT213" s="487" t="n"/>
      <c r="AU213" s="114" t="n"/>
      <c r="AV213" s="491" t="n"/>
      <c r="AW213" s="114" t="n"/>
      <c r="AX213" s="492" t="n"/>
      <c r="AY213" s="488" t="n"/>
    </row>
    <row r="214" ht="32" customHeight="1" thickBot="1">
      <c r="B214" s="842" t="inlineStr">
        <is>
          <t>Max Enf</t>
        </is>
      </c>
      <c r="C214" s="843">
        <f>_xlfn.XLOOKUP(G214,G212:G213,C212:C213)</f>
        <v/>
      </c>
      <c r="D214" s="843">
        <f>_xlfn.XLOOKUP(G214,G212:G213,D212:D213)</f>
        <v/>
      </c>
      <c r="E214" s="844" t="n"/>
      <c r="F214" s="844" t="n"/>
      <c r="G214" s="844">
        <f>IF(AND(J212=TRUE,J213=FALSE),G212,IF(AND(J212=FALSE,J213=TRUE),G213,MAX(G212,G213)))</f>
        <v/>
      </c>
      <c r="H214" s="1716" t="n"/>
      <c r="I214" s="845" t="n"/>
      <c r="J214" s="846">
        <f>IF(AND(J212=FALSE,J213=FALSE),FALSE,TRUE)</f>
        <v/>
      </c>
      <c r="K214" s="1699" t="n"/>
      <c r="L214" s="1699" t="n"/>
      <c r="M214" s="1699" t="n"/>
      <c r="N214" s="1717" t="n"/>
      <c r="O214" s="1716" t="n"/>
      <c r="P214" s="845" t="n"/>
      <c r="Q214" s="846">
        <f>IF(AND(Q212=FALSE,Q213=FALSE),FALSE,TRUE)</f>
        <v/>
      </c>
      <c r="R214" s="1716" t="n"/>
      <c r="S214" s="845" t="n"/>
      <c r="T214" s="846" t="n"/>
      <c r="U214" s="978" t="n"/>
      <c r="V214" s="978" t="n"/>
      <c r="W214" s="1475" t="n"/>
      <c r="Y214" s="1479" t="n"/>
      <c r="AA214" s="1483" t="n"/>
      <c r="AC214" s="1013">
        <f>IF(J214=TRUE,"V","F")</f>
        <v/>
      </c>
      <c r="AD214" s="1014" t="n"/>
      <c r="AE214" s="1013">
        <f>IF(Q214=TRUE,"V","F")</f>
        <v/>
      </c>
      <c r="AF214" s="1014" t="n"/>
      <c r="AG214" s="1013" t="n"/>
      <c r="AH214" s="1014" t="n"/>
      <c r="AJ214" s="10" t="n"/>
      <c r="AK214" s="10" t="n"/>
      <c r="AL214" s="10" t="n"/>
      <c r="AR214" s="849" t="n"/>
      <c r="AS214" s="111" t="n"/>
      <c r="AT214" s="487" t="n"/>
      <c r="AU214" s="114" t="n"/>
      <c r="AV214" s="491" t="n"/>
      <c r="AW214" s="114" t="n"/>
      <c r="AX214" s="492" t="n"/>
      <c r="AY214" s="488" t="n"/>
    </row>
    <row r="215" ht="32" customHeight="1">
      <c r="C215" s="428" t="inlineStr">
        <is>
          <t>COMPARATIF Comportement PFA-Enf</t>
        </is>
      </c>
      <c r="D215" s="2058" t="n"/>
      <c r="E215" s="484" t="inlineStr">
        <is>
          <t>Valeur =&gt;</t>
        </is>
      </c>
      <c r="F215" s="48" t="n"/>
      <c r="G215" s="48">
        <f>G207+G210+G214</f>
        <v/>
      </c>
      <c r="H215" s="1718" t="n"/>
      <c r="I215" s="485" t="n"/>
      <c r="J215" s="1701" t="n"/>
      <c r="K215" s="1702">
        <f>IF(AND(J214=TRUE,J211=TRUE),D214,"")</f>
        <v/>
      </c>
      <c r="L215" s="1702">
        <f>IF(AND(J211=TRUE,J214=FALSE),"Bien que le parent "&amp;D211&amp;" l'enfant ne semble pas s'ingérer","")</f>
        <v/>
      </c>
      <c r="M215" s="1702">
        <f>IF(AND(J211=FALSE,J214=TRUE),D214&amp;" sans signe de la participation du parent favorisé et|ou nouveau conjoint.e","")</f>
        <v/>
      </c>
      <c r="N215" s="1719">
        <f>IF(AND(J211=FALSE,J214=FALSE),"aucun comportement significatif de cette nature","")</f>
        <v/>
      </c>
      <c r="O215" s="1718" t="n"/>
      <c r="P215" s="485" t="n"/>
      <c r="Q215" s="1727" t="n"/>
      <c r="R215" s="1718" t="n"/>
      <c r="S215" s="485" t="n"/>
      <c r="T215" s="1727" t="n"/>
      <c r="U215" s="980" t="n"/>
      <c r="V215" s="980" t="n"/>
      <c r="W215" s="1475" t="n"/>
      <c r="Y215" s="1479" t="n"/>
      <c r="AA215" s="1483" t="n"/>
      <c r="AC215" s="1015" t="n"/>
      <c r="AD215" s="1016">
        <f>IF(AND(AC211="V",AC214="V"),2,IF(OR(AC211="V",AC214="V"),1,0))</f>
        <v/>
      </c>
      <c r="AE215" s="1015" t="n"/>
      <c r="AF215" s="1016">
        <f>IF(OR(AE211="V",AE214="V"),1,0)</f>
        <v/>
      </c>
      <c r="AG215" s="1015" t="n"/>
      <c r="AH215" s="1016" t="n"/>
      <c r="AJ215" s="10" t="n"/>
      <c r="AK215" s="10" t="n"/>
      <c r="AL215" s="10" t="n"/>
      <c r="AR215" s="849" t="n"/>
      <c r="AS215" s="111" t="n"/>
      <c r="AT215" s="487" t="n"/>
      <c r="AU215" s="114" t="n"/>
      <c r="AV215" s="491" t="n"/>
      <c r="AW215" s="114" t="n"/>
      <c r="AX215" s="492" t="n"/>
      <c r="AY215" s="488" t="n"/>
    </row>
    <row r="216" ht="32" customHeight="1">
      <c r="B216" t="inlineStr">
        <is>
          <t>PCR</t>
        </is>
      </c>
      <c r="H216" s="147" t="n"/>
      <c r="K216" s="1992" t="n"/>
      <c r="L216" s="1992" t="n"/>
      <c r="M216" s="1992" t="n"/>
      <c r="N216" s="1740" t="n"/>
      <c r="O216" s="147" t="n"/>
      <c r="Q216" s="330" t="n"/>
      <c r="R216" s="147" t="n"/>
      <c r="T216" s="330" t="n"/>
      <c r="U216" s="1992" t="n"/>
      <c r="W216" s="1475" t="n"/>
      <c r="Y216" s="1479" t="n"/>
      <c r="AA216" s="1483" t="n"/>
      <c r="AC216" s="1013" t="n"/>
      <c r="AD216" s="1014" t="n"/>
      <c r="AE216" s="1013" t="n"/>
      <c r="AF216" s="1014" t="n"/>
      <c r="AG216" s="1013" t="n"/>
      <c r="AH216" s="1014" t="n"/>
      <c r="AJ216" s="10" t="n"/>
      <c r="AK216" s="10" t="n"/>
      <c r="AL216" s="10" t="n"/>
      <c r="AR216" s="849" t="n"/>
      <c r="AS216" s="111" t="n"/>
      <c r="AT216" s="487" t="n"/>
      <c r="AU216" s="114" t="n"/>
      <c r="AV216" s="491" t="n"/>
      <c r="AW216" s="114" t="n"/>
      <c r="AX216" s="492" t="n"/>
      <c r="AY216" s="488" t="n"/>
    </row>
    <row r="217" ht="32" customHeight="1">
      <c r="B217" s="1017" t="n"/>
      <c r="C217" s="1025" t="n"/>
      <c r="D217" s="1018" t="n"/>
      <c r="E217" s="1026" t="n"/>
      <c r="F217" s="1026" t="n"/>
      <c r="G217" s="1026" t="n"/>
      <c r="H217" s="1735" t="n">
        <v>11</v>
      </c>
      <c r="I217" s="1736" t="n">
        <v>11</v>
      </c>
      <c r="J217" s="46">
        <f>IF(AND(E217&gt;=H217,E217&lt;=I217),TRUE,FALSE)</f>
        <v/>
      </c>
      <c r="K217" s="33" t="n"/>
      <c r="L217" s="33" t="n"/>
      <c r="M217" s="33" t="n"/>
      <c r="N217" s="1720" t="n"/>
      <c r="O217" s="1735" t="n">
        <v>11</v>
      </c>
      <c r="P217" s="1736" t="n">
        <v>11</v>
      </c>
      <c r="Q217" s="1711">
        <f>IF(AND(E217&gt;=O217,E217&lt;=P217),TRUE,FALSE)</f>
        <v/>
      </c>
      <c r="R217" s="1735" t="n">
        <v>11</v>
      </c>
      <c r="S217" s="1736" t="n">
        <v>11</v>
      </c>
      <c r="T217" s="1711">
        <f>IF(AND(E217&gt;=R217,E217&lt;=S217),TRUE,FALSE)</f>
        <v/>
      </c>
      <c r="U217" s="1992" t="n"/>
      <c r="V217" s="1509" t="n"/>
      <c r="W217" s="1503" t="n">
        <v>11</v>
      </c>
      <c r="X217" s="1504" t="n"/>
      <c r="Y217" s="1505" t="n">
        <v>11</v>
      </c>
      <c r="Z217" s="1504" t="n"/>
      <c r="AA217" s="1497" t="n">
        <v>11</v>
      </c>
      <c r="AC217" s="1013" t="n"/>
      <c r="AD217" s="1014" t="n"/>
      <c r="AE217" s="1013" t="n"/>
      <c r="AF217" s="1014" t="n"/>
      <c r="AG217" s="1013" t="n"/>
      <c r="AH217" s="1014" t="n"/>
      <c r="AJ217" s="10" t="n"/>
      <c r="AK217" s="10" t="n"/>
      <c r="AL217" s="10" t="n"/>
      <c r="AR217" s="849" t="n"/>
      <c r="AS217" s="111" t="n"/>
      <c r="AT217" s="487" t="n"/>
      <c r="AU217" s="114" t="n"/>
      <c r="AV217" s="491" t="n"/>
      <c r="AW217" s="114" t="n"/>
      <c r="AX217" s="492" t="n"/>
      <c r="AY217" s="488" t="n"/>
    </row>
    <row r="218" ht="32" customHeight="1" thickBot="1">
      <c r="B218" s="1017" t="n"/>
      <c r="C218" s="1025" t="n"/>
      <c r="D218" s="1018" t="n"/>
      <c r="E218" s="1026" t="n"/>
      <c r="F218" s="1026" t="n"/>
      <c r="G218" s="1026" t="n"/>
      <c r="H218" s="1735" t="n">
        <v>11</v>
      </c>
      <c r="I218" s="1736" t="n">
        <v>11</v>
      </c>
      <c r="J218" s="46">
        <f>IF(AND(E218&gt;=H218,E218&lt;=I218),TRUE,FALSE)</f>
        <v/>
      </c>
      <c r="K218" s="33" t="n"/>
      <c r="L218" s="33" t="n"/>
      <c r="M218" s="33" t="n"/>
      <c r="N218" s="1720" t="n"/>
      <c r="O218" s="1735" t="n">
        <v>11</v>
      </c>
      <c r="P218" s="1736" t="n">
        <v>11</v>
      </c>
      <c r="Q218" s="1711">
        <f>IF(AND(E218&gt;=O218,E218&lt;=P218),TRUE,FALSE)</f>
        <v/>
      </c>
      <c r="R218" s="1735" t="n">
        <v>11</v>
      </c>
      <c r="S218" s="1736" t="n">
        <v>11</v>
      </c>
      <c r="T218" s="1711">
        <f>IF(AND(E218&gt;=R218,E218&lt;=S218),TRUE,FALSE)</f>
        <v/>
      </c>
      <c r="V218" s="1510" t="n"/>
      <c r="W218" s="1506" t="n">
        <v>11</v>
      </c>
      <c r="X218" s="1507" t="n"/>
      <c r="Y218" s="1508" t="n">
        <v>11</v>
      </c>
      <c r="Z218" s="1507" t="n"/>
      <c r="AA218" s="1502" t="n">
        <v>11</v>
      </c>
      <c r="AC218" s="1013" t="n"/>
      <c r="AD218" s="1014" t="n"/>
      <c r="AE218" s="1013" t="n"/>
      <c r="AF218" s="1014" t="n"/>
      <c r="AG218" s="1013" t="n"/>
      <c r="AH218" s="1014" t="n"/>
      <c r="AJ218" s="10" t="n"/>
      <c r="AK218" s="10" t="n"/>
      <c r="AL218" s="10" t="n"/>
      <c r="AR218" s="849" t="n"/>
      <c r="AS218" s="111" t="n"/>
      <c r="AT218" s="487" t="n"/>
      <c r="AU218" s="114" t="n"/>
      <c r="AV218" s="491" t="n"/>
      <c r="AW218" s="114" t="n"/>
      <c r="AX218" s="492" t="n"/>
      <c r="AY218" s="488" t="n"/>
    </row>
    <row r="219" ht="32" customHeight="1" thickBot="1">
      <c r="B219" s="7" t="n"/>
      <c r="C219" s="2059" t="n"/>
      <c r="D219" s="2059" t="n"/>
      <c r="E219" s="90" t="n"/>
      <c r="F219" s="2073" t="n"/>
      <c r="G219" s="90" t="n"/>
      <c r="H219" s="1732" t="n"/>
      <c r="I219" s="1733" t="n"/>
      <c r="J219" s="1739">
        <f>IF(AND(J217=FALSE,J218=FALSE),FALSE,TRUE)</f>
        <v/>
      </c>
      <c r="K219" s="1721" t="n"/>
      <c r="L219" s="1722" t="n"/>
      <c r="M219" s="1722" t="n"/>
      <c r="N219" s="1723" t="n"/>
      <c r="O219" s="1732" t="n"/>
      <c r="P219" s="1733" t="n"/>
      <c r="Q219" s="1739">
        <f>IF(AND(Q217=FALSE,Q218=FALSE),FALSE,TRUE)</f>
        <v/>
      </c>
      <c r="R219" s="1744" t="n"/>
      <c r="S219" s="1745" t="n"/>
      <c r="T219" s="1746">
        <f>IF(AND(T217=FALSE,T218=FALSE),FALSE,TRUE)</f>
        <v/>
      </c>
      <c r="AC219" s="1650">
        <f>IF(J219=TRUE,"V","F")</f>
        <v/>
      </c>
      <c r="AD219" s="1651" t="n"/>
      <c r="AE219" s="1650">
        <f>IF(Q219=TRUE,"V","F")</f>
        <v/>
      </c>
      <c r="AF219" s="1651" t="n"/>
      <c r="AG219" s="1650">
        <f>IF(T219=TRUE,"V","F")</f>
        <v/>
      </c>
      <c r="AH219" s="1651" t="n"/>
      <c r="AJ219" s="10" t="n"/>
      <c r="AK219" s="10" t="n"/>
      <c r="AL219" s="10" t="n"/>
      <c r="AR219" s="849" t="n"/>
      <c r="AS219" s="111" t="n"/>
      <c r="AT219" s="487" t="n"/>
      <c r="AU219" s="114" t="n"/>
      <c r="AV219" s="491" t="n"/>
      <c r="AW219" s="114" t="n"/>
      <c r="AX219" s="492" t="n"/>
      <c r="AY219" s="488" t="n"/>
    </row>
    <row r="220" ht="32" customHeight="1" thickBot="1">
      <c r="C220" s="2073" t="n"/>
      <c r="D220" s="2073" t="n"/>
      <c r="E220" s="90" t="n"/>
      <c r="F220" s="483" t="n"/>
      <c r="G220" s="483" t="n"/>
      <c r="H220" s="2002" t="n"/>
      <c r="I220" s="2002" t="n"/>
      <c r="J220" s="979" t="n"/>
      <c r="K220" s="980" t="n"/>
      <c r="L220" s="980" t="n"/>
      <c r="M220" s="980" t="n"/>
      <c r="N220" s="980" t="n"/>
      <c r="O220" s="980" t="n"/>
      <c r="P220" s="980" t="n"/>
      <c r="Q220" s="980" t="n"/>
      <c r="R220" s="980" t="n"/>
      <c r="S220" s="980" t="n"/>
      <c r="T220" s="980" t="n"/>
      <c r="U220" s="980" t="n"/>
      <c r="V220" s="980" t="n"/>
      <c r="AC220" s="1737" t="n"/>
      <c r="AD220" s="1738">
        <f>IF(AND(AC219="V",AC211="V"),AD215-1,AD215)</f>
        <v/>
      </c>
      <c r="AE220" s="1737" t="n"/>
      <c r="AF220" s="1738">
        <f>IF(OR(AE211="V",AE214="V",AE219="V"),1,0)</f>
        <v/>
      </c>
      <c r="AG220" s="1737" t="n"/>
      <c r="AH220" s="1738">
        <f>IF(AG211="V",1,IF(AG219="V",1,0))</f>
        <v/>
      </c>
      <c r="AJ220" s="10" t="n">
        <v>1</v>
      </c>
      <c r="AK220" s="10" t="n">
        <v>1</v>
      </c>
      <c r="AL220" s="10" t="n">
        <v>1</v>
      </c>
      <c r="AR220" s="849" t="n"/>
      <c r="AS220" s="111" t="n"/>
      <c r="AT220" s="487" t="n"/>
      <c r="AU220" s="114" t="n"/>
      <c r="AV220" s="491" t="n"/>
      <c r="AW220" s="114" t="n"/>
      <c r="AX220" s="492" t="n"/>
      <c r="AY220" s="488" t="n"/>
    </row>
    <row r="221" ht="32" customHeight="1">
      <c r="C221" s="2073" t="n"/>
      <c r="D221" s="2073" t="n"/>
      <c r="E221" s="90" t="n"/>
      <c r="F221" s="483" t="n"/>
      <c r="G221" s="483" t="n"/>
      <c r="H221" s="1704" t="n"/>
      <c r="I221" s="1705" t="n"/>
      <c r="J221" s="1706" t="n"/>
      <c r="K221" s="2056" t="n"/>
      <c r="L221" s="709" t="n"/>
      <c r="M221" s="709" t="n"/>
      <c r="N221" s="1707" t="n"/>
      <c r="O221" s="1724" t="n"/>
      <c r="P221" s="1706" t="n"/>
      <c r="Q221" s="1707" t="n"/>
      <c r="R221" s="1724" t="n"/>
      <c r="S221" s="1706" t="n"/>
      <c r="T221" s="1707" t="n"/>
      <c r="U221" s="980" t="n"/>
      <c r="V221" s="980" t="n"/>
      <c r="AC221" s="1756" t="n"/>
      <c r="AD221" s="1757" t="n"/>
      <c r="AE221" s="1490" t="n"/>
      <c r="AF221" s="1490" t="n"/>
      <c r="AG221" s="1490" t="n"/>
      <c r="AH221" s="1490" t="n"/>
      <c r="AJ221" s="10" t="n"/>
      <c r="AK221" s="10" t="n"/>
      <c r="AL221" s="10" t="n"/>
      <c r="AR221" s="849" t="n"/>
      <c r="AS221" s="111" t="n"/>
      <c r="AT221" s="487" t="n"/>
      <c r="AU221" s="114" t="n"/>
      <c r="AV221" s="491" t="n"/>
      <c r="AW221" s="114" t="n"/>
      <c r="AX221" s="492" t="n"/>
      <c r="AY221" s="488" t="n"/>
    </row>
    <row r="222" ht="32" customHeight="1">
      <c r="A222" s="853" t="n">
        <v>11</v>
      </c>
      <c r="C222" s="486">
        <f>'Action-Réaction finale'!F37</f>
        <v/>
      </c>
      <c r="D222" s="108" t="n"/>
      <c r="E222" s="66" t="n"/>
      <c r="F222" s="18" t="n"/>
      <c r="G222" s="18" t="n"/>
      <c r="H222" s="2052" t="inlineStr">
        <is>
          <t>AP</t>
        </is>
      </c>
      <c r="K222" s="2055" t="inlineStr">
        <is>
          <t>Dynamique d'AP</t>
        </is>
      </c>
      <c r="N222" s="330" t="n"/>
      <c r="O222" s="2122" t="inlineStr">
        <is>
          <t>CL</t>
        </is>
      </c>
      <c r="Q222" s="330" t="n"/>
      <c r="R222" s="2123" t="inlineStr">
        <is>
          <t>CSS</t>
        </is>
      </c>
      <c r="T222" s="330" t="n"/>
      <c r="U222" s="15" t="n"/>
      <c r="V222" s="15" t="n"/>
      <c r="AC222" s="1009" t="n"/>
      <c r="AD222" s="1009" t="n"/>
      <c r="AE222" s="1009" t="n"/>
      <c r="AF222" s="1009" t="n"/>
      <c r="AG222" s="1009" t="n"/>
      <c r="AH222" s="1010" t="n"/>
      <c r="AJ222" s="10" t="n"/>
      <c r="AK222" s="10" t="n"/>
      <c r="AL222" s="10" t="n"/>
      <c r="AR222" s="849" t="n"/>
      <c r="AS222" s="111" t="n"/>
      <c r="AT222" s="487" t="n"/>
      <c r="AU222" s="114" t="n"/>
      <c r="AV222" s="491" t="n"/>
      <c r="AW222" s="114" t="n"/>
      <c r="AX222" s="492" t="n"/>
      <c r="AY222" s="488" t="n"/>
    </row>
    <row r="223" ht="32" customHeight="1">
      <c r="C223" s="103" t="inlineStr">
        <is>
          <t>Questions et sous-questions</t>
        </is>
      </c>
      <c r="D223" s="1043" t="inlineStr">
        <is>
          <t>Texte écourté pour titrer dans les baromètres ou rapport</t>
        </is>
      </c>
      <c r="E223" s="33" t="inlineStr">
        <is>
          <t>Valeur de base
Fréquence (F)</t>
        </is>
      </c>
      <c r="F223" s="33" t="inlineStr">
        <is>
          <t>Valeur de base
intensité (I)</t>
        </is>
      </c>
      <c r="G223" s="33" t="inlineStr">
        <is>
          <t>F * I</t>
        </is>
      </c>
      <c r="H223" s="1708" t="inlineStr">
        <is>
          <t>Condition Fréq. 
&gt;= que</t>
        </is>
      </c>
      <c r="I223" s="44" t="inlineStr">
        <is>
          <t>Condition Fré
&lt;= que</t>
        </is>
      </c>
      <c r="J223" s="44" t="inlineStr">
        <is>
          <t>Condition respectée</t>
        </is>
      </c>
      <c r="K223" s="44" t="inlineStr">
        <is>
          <t>"VRAI" (PF&amp;NC) /  "VRAI" (Enf)</t>
        </is>
      </c>
      <c r="L223" s="44" t="inlineStr">
        <is>
          <t>Vrai (PF&amp;NC) /  Faux (Enf)</t>
        </is>
      </c>
      <c r="M223" s="44" t="inlineStr">
        <is>
          <t>Faux (PF&amp;NC) /  Vrai (Enf)</t>
        </is>
      </c>
      <c r="N223" s="1709" t="inlineStr">
        <is>
          <t>Faux (PF&amp;NC) /  Faux(Enf)</t>
        </is>
      </c>
      <c r="O223" s="1708" t="inlineStr">
        <is>
          <t>Condition Fréq. 
&gt;= que</t>
        </is>
      </c>
      <c r="P223" s="44" t="inlineStr">
        <is>
          <t>Condition Fré
&lt;= que</t>
        </is>
      </c>
      <c r="Q223" s="1709" t="inlineStr">
        <is>
          <t>Condition respectée</t>
        </is>
      </c>
      <c r="R223" s="1708" t="inlineStr">
        <is>
          <t>Condition Fréq. 
&gt;= que</t>
        </is>
      </c>
      <c r="S223" s="44" t="inlineStr">
        <is>
          <t>Condition Fré
&lt;= que</t>
        </is>
      </c>
      <c r="T223" s="1709" t="inlineStr">
        <is>
          <t>Condition respectée</t>
        </is>
      </c>
      <c r="U223" s="851" t="n"/>
      <c r="V223" s="1008" t="inlineStr">
        <is>
          <t>Condition</t>
        </is>
      </c>
      <c r="W223" s="1472" t="inlineStr">
        <is>
          <t>AP</t>
        </is>
      </c>
      <c r="X223" s="1008" t="inlineStr">
        <is>
          <t>Condition</t>
        </is>
      </c>
      <c r="Y223" s="1476" t="inlineStr">
        <is>
          <t>CL</t>
        </is>
      </c>
      <c r="Z223" s="1008" t="n"/>
      <c r="AA223" s="1480" t="inlineStr">
        <is>
          <t>CSS</t>
        </is>
      </c>
      <c r="AC223" s="1023" t="inlineStr">
        <is>
          <t>AP</t>
        </is>
      </c>
      <c r="AD223" s="1024" t="inlineStr">
        <is>
          <t>AP_F</t>
        </is>
      </c>
      <c r="AE223" s="1023" t="inlineStr">
        <is>
          <t>CL</t>
        </is>
      </c>
      <c r="AF223" s="1024" t="inlineStr">
        <is>
          <t>CL_F</t>
        </is>
      </c>
      <c r="AG223" s="1023" t="inlineStr">
        <is>
          <t>CSS</t>
        </is>
      </c>
      <c r="AH223" s="1024" t="inlineStr">
        <is>
          <t>CSS_F</t>
        </is>
      </c>
      <c r="AJ223" s="10" t="n"/>
      <c r="AK223" s="10" t="n"/>
      <c r="AL223" s="10" t="n"/>
      <c r="AR223" s="849" t="n"/>
      <c r="AS223" s="111" t="n"/>
      <c r="AT223" s="487" t="n"/>
      <c r="AU223" s="114" t="n"/>
      <c r="AV223" s="491" t="n"/>
      <c r="AW223" s="114" t="n"/>
      <c r="AX223" s="492" t="n"/>
      <c r="AY223" s="488" t="n"/>
    </row>
    <row r="224" ht="38" customHeight="1">
      <c r="A224" s="1470" t="inlineStr">
        <is>
          <t>Formulation</t>
        </is>
      </c>
      <c r="B224" s="421">
        <f>'Action-Réaction finale'!G37</f>
        <v/>
      </c>
      <c r="C224" s="2066">
        <f>Test_Bible!B187</f>
        <v/>
      </c>
      <c r="D224" s="102" t="inlineStr">
        <is>
          <t>laisse entendre que la vraie famille est celle de l'autre parent</t>
        </is>
      </c>
      <c r="E224" s="823">
        <f>Test_Bible!P187</f>
        <v/>
      </c>
      <c r="F224" s="822">
        <f>Test_Bible!D187</f>
        <v/>
      </c>
      <c r="G224" s="823">
        <f>Test_Bible!Q187</f>
        <v/>
      </c>
      <c r="H224" s="1710" t="n">
        <v>4</v>
      </c>
      <c r="I224" s="1703" t="n">
        <v>10</v>
      </c>
      <c r="J224" s="46">
        <f>IF(AND(E224&gt;=H224,E224&lt;=I224),TRUE,FALSE)</f>
        <v/>
      </c>
      <c r="K224" s="46" t="n"/>
      <c r="L224" s="46" t="n"/>
      <c r="M224" s="46" t="n"/>
      <c r="N224" s="1711" t="n"/>
      <c r="O224" s="1710" t="n">
        <v>2</v>
      </c>
      <c r="P224" s="1703" t="n">
        <v>4</v>
      </c>
      <c r="Q224" s="1711">
        <f>IF(AND(E224&gt;=O224,E224&lt;=P224),TRUE,FALSE)</f>
        <v/>
      </c>
      <c r="R224" s="1710" t="n">
        <v>4</v>
      </c>
      <c r="S224" s="1703" t="n">
        <v>7</v>
      </c>
      <c r="T224" s="1711">
        <f>IF(AND(E224&gt;=R224,E224&lt;=S224),TRUE,FALSE)</f>
        <v/>
      </c>
      <c r="U224" s="978" t="n"/>
      <c r="V224" s="1484" t="n"/>
      <c r="W224" s="1485" t="n">
        <v>4</v>
      </c>
      <c r="X224" s="2029" t="n"/>
      <c r="Y224" s="1489" t="n">
        <v>2</v>
      </c>
      <c r="Z224" s="2029" t="n"/>
      <c r="AA224" s="1496" t="n">
        <v>2</v>
      </c>
      <c r="AC224" s="1011" t="n"/>
      <c r="AD224" s="1012" t="n"/>
      <c r="AE224" s="1011" t="n"/>
      <c r="AF224" s="1012" t="n"/>
      <c r="AG224" s="1011" t="n"/>
      <c r="AH224" s="1012" t="n"/>
      <c r="AJ224" s="10" t="n"/>
      <c r="AK224" s="10" t="n"/>
      <c r="AL224" s="10" t="n"/>
      <c r="AR224" s="849" t="n"/>
      <c r="AS224" s="111" t="n"/>
      <c r="AT224" s="487" t="n"/>
      <c r="AU224" s="114" t="n"/>
      <c r="AV224" s="491" t="n"/>
      <c r="AW224" s="114" t="n"/>
      <c r="AX224" s="492" t="n"/>
      <c r="AY224" s="488" t="n"/>
    </row>
    <row r="225" ht="32" customHeight="1">
      <c r="A225" s="854" t="n"/>
      <c r="B225" s="421" t="inlineStr">
        <is>
          <t>PFA</t>
        </is>
      </c>
      <c r="C225" s="2066" t="n"/>
      <c r="D225" s="102" t="n"/>
      <c r="E225" s="823" t="n"/>
      <c r="F225" s="822" t="n"/>
      <c r="G225" s="823" t="n"/>
      <c r="H225" s="1735" t="n">
        <v>11</v>
      </c>
      <c r="I225" s="1736" t="n">
        <v>11</v>
      </c>
      <c r="J225" s="46">
        <f>IF(AND(E225&gt;=H225,E225&lt;=I225),TRUE,FALSE)</f>
        <v/>
      </c>
      <c r="K225" s="46" t="n"/>
      <c r="L225" s="46" t="n"/>
      <c r="M225" s="46" t="n"/>
      <c r="N225" s="1711" t="n"/>
      <c r="O225" s="1735" t="n">
        <v>11</v>
      </c>
      <c r="P225" s="1736" t="n">
        <v>11</v>
      </c>
      <c r="Q225" s="1711">
        <f>IF(AND(E225&gt;=O225,E225&lt;=P225),TRUE,FALSE)</f>
        <v/>
      </c>
      <c r="R225" s="1735" t="n">
        <v>11</v>
      </c>
      <c r="S225" s="1736" t="n">
        <v>11</v>
      </c>
      <c r="T225" s="1711">
        <f>IF(AND(E225&gt;=R225,E225&lt;=S225),TRUE,FALSE)</f>
        <v/>
      </c>
      <c r="U225" s="978" t="n"/>
      <c r="V225" s="1487" t="inlineStr">
        <is>
          <t>ou</t>
        </is>
      </c>
      <c r="W225" s="1506" t="n">
        <v>11</v>
      </c>
      <c r="X225" s="1507" t="n"/>
      <c r="Y225" s="1508" t="n">
        <v>11</v>
      </c>
      <c r="Z225" s="1507" t="n"/>
      <c r="AA225" s="1502" t="n">
        <v>11</v>
      </c>
      <c r="AC225" s="1013" t="n"/>
      <c r="AD225" s="1014" t="n"/>
      <c r="AE225" s="1013" t="n"/>
      <c r="AF225" s="1014" t="n"/>
      <c r="AG225" s="1013" t="n"/>
      <c r="AH225" s="1014" t="n"/>
      <c r="AJ225" s="10" t="n"/>
      <c r="AK225" s="10" t="n"/>
      <c r="AL225" s="10" t="n"/>
      <c r="AR225" s="849" t="n"/>
      <c r="AS225" s="111" t="n"/>
      <c r="AT225" s="487" t="n"/>
      <c r="AU225" s="114" t="n"/>
      <c r="AV225" s="491" t="n"/>
      <c r="AW225" s="114" t="n"/>
      <c r="AX225" s="492" t="n"/>
      <c r="AY225" s="488" t="n"/>
    </row>
    <row r="226" ht="32" customHeight="1">
      <c r="A226" s="854" t="n"/>
      <c r="B226" s="825" t="inlineStr">
        <is>
          <t>Max PFA</t>
        </is>
      </c>
      <c r="C226" s="826">
        <f>_xlfn.XLOOKUP(G226,G224:G225,C224:C225)</f>
        <v/>
      </c>
      <c r="D226" s="827">
        <f>_xlfn.XLOOKUP(G226,G224:G225,D224:D225)</f>
        <v/>
      </c>
      <c r="E226" s="828" t="n"/>
      <c r="F226" s="828" t="n"/>
      <c r="G226" s="828">
        <f>IF(AND(J224=TRUE,J225=FALSE),G224,IF(AND(J224=FALSE,J225=TRUE),G225,MAX(G224,G225)))</f>
        <v/>
      </c>
      <c r="H226" s="1712" t="n"/>
      <c r="I226" s="829" t="n"/>
      <c r="J226" s="830">
        <f>IF(AND(J224=FALSE,J225=FALSE),FALSE,TRUE)</f>
        <v/>
      </c>
      <c r="K226" s="46" t="n"/>
      <c r="L226" s="46" t="n"/>
      <c r="M226" s="46" t="n"/>
      <c r="N226" s="1711" t="n"/>
      <c r="O226" s="1712" t="n"/>
      <c r="P226" s="829" t="n"/>
      <c r="Q226" s="1725">
        <f>IF(AND(Q224=FALSE,Q225=FALSE),FALSE,TRUE)</f>
        <v/>
      </c>
      <c r="R226" s="1712" t="n"/>
      <c r="S226" s="829" t="n"/>
      <c r="T226" s="1725">
        <f>IF(AND(T224=FALSE,T225=FALSE),FALSE,TRUE)</f>
        <v/>
      </c>
      <c r="U226" s="978" t="n"/>
      <c r="V226" s="978" t="inlineStr">
        <is>
          <t>ou</t>
        </is>
      </c>
      <c r="W226" s="1473" t="n"/>
      <c r="X226" s="2002" t="n"/>
      <c r="Y226" s="1478" t="n"/>
      <c r="Z226" s="2002" t="n"/>
      <c r="AA226" s="1481" t="n"/>
      <c r="AC226" s="1013" t="n"/>
      <c r="AD226" s="1014" t="n"/>
      <c r="AE226" s="1013" t="n"/>
      <c r="AF226" s="1014" t="n"/>
      <c r="AG226" s="1013" t="n"/>
      <c r="AH226" s="1014" t="n"/>
      <c r="AJ226" s="10" t="n"/>
      <c r="AK226" s="10" t="n"/>
      <c r="AL226" s="10" t="n"/>
      <c r="AR226" s="849" t="n"/>
      <c r="AS226" s="111" t="n"/>
      <c r="AT226" s="487" t="n"/>
      <c r="AU226" s="114" t="n"/>
      <c r="AV226" s="491" t="n"/>
      <c r="AW226" s="114" t="n"/>
      <c r="AX226" s="492" t="n"/>
      <c r="AY226" s="488" t="n"/>
    </row>
    <row r="227" ht="32" customHeight="1">
      <c r="A227" s="854" t="n"/>
      <c r="B227" s="53" t="inlineStr">
        <is>
          <t>NC</t>
        </is>
      </c>
      <c r="C227" s="2066" t="n"/>
      <c r="D227" s="102" t="n"/>
      <c r="E227" s="823" t="n"/>
      <c r="F227" s="822" t="n"/>
      <c r="G227" s="823" t="n"/>
      <c r="H227" s="1735" t="n">
        <v>11</v>
      </c>
      <c r="I227" s="1736" t="n">
        <v>11</v>
      </c>
      <c r="J227" s="46">
        <f>IF(AND(E227&gt;=H227,E227&lt;=I227),TRUE,FALSE)</f>
        <v/>
      </c>
      <c r="K227" s="46" t="n"/>
      <c r="L227" s="46" t="n"/>
      <c r="M227" s="46" t="n"/>
      <c r="N227" s="1711" t="n"/>
      <c r="O227" s="1735" t="n">
        <v>11</v>
      </c>
      <c r="P227" s="1736" t="n">
        <v>11</v>
      </c>
      <c r="Q227" s="1711">
        <f>IF(AND(E227&gt;=O227,E227&lt;=P227),TRUE,FALSE)</f>
        <v/>
      </c>
      <c r="R227" s="1735" t="n">
        <v>11</v>
      </c>
      <c r="S227" s="1736" t="n">
        <v>11</v>
      </c>
      <c r="T227" s="1711">
        <f>IF(AND(E227&gt;=R227,E227&lt;=S227),TRUE,FALSE)</f>
        <v/>
      </c>
      <c r="U227" s="978" t="n"/>
      <c r="V227" s="1484" t="n"/>
      <c r="W227" s="1503" t="n">
        <v>11</v>
      </c>
      <c r="X227" s="1504" t="n"/>
      <c r="Y227" s="1505" t="n">
        <v>11</v>
      </c>
      <c r="Z227" s="1504" t="n"/>
      <c r="AA227" s="1497" t="n">
        <v>11</v>
      </c>
      <c r="AC227" s="1013" t="n"/>
      <c r="AD227" s="1014" t="n"/>
      <c r="AE227" s="1013" t="n"/>
      <c r="AF227" s="1014" t="n"/>
      <c r="AG227" s="1013" t="n"/>
      <c r="AH227" s="1014" t="n"/>
      <c r="AJ227" s="10" t="n"/>
      <c r="AK227" s="10" t="n"/>
      <c r="AL227" s="10" t="n"/>
      <c r="AR227" s="849" t="n"/>
      <c r="AS227" s="111" t="n"/>
      <c r="AT227" s="487" t="n"/>
      <c r="AU227" s="114" t="n"/>
      <c r="AV227" s="491" t="n"/>
      <c r="AW227" s="114" t="n"/>
      <c r="AX227" s="492" t="n"/>
      <c r="AY227" s="488" t="n"/>
    </row>
    <row r="228" ht="32" customHeight="1">
      <c r="A228" s="854" t="n"/>
      <c r="B228" s="53" t="inlineStr">
        <is>
          <t>NC</t>
        </is>
      </c>
      <c r="C228" s="2066" t="n"/>
      <c r="D228" s="63" t="n"/>
      <c r="E228" s="36" t="n"/>
      <c r="F228" s="36" t="n"/>
      <c r="G228" s="36" t="n"/>
      <c r="H228" s="1735" t="n">
        <v>11</v>
      </c>
      <c r="I228" s="1736" t="n">
        <v>11</v>
      </c>
      <c r="J228" s="46">
        <f>IF(AND(E228&gt;=H228,E228&lt;=I228),TRUE,FALSE)</f>
        <v/>
      </c>
      <c r="K228" s="46" t="n"/>
      <c r="L228" s="46" t="n"/>
      <c r="M228" s="46" t="n"/>
      <c r="N228" s="1711" t="n"/>
      <c r="O228" s="1735" t="n">
        <v>11</v>
      </c>
      <c r="P228" s="1736" t="n">
        <v>11</v>
      </c>
      <c r="Q228" s="1711">
        <f>IF(AND(E228&gt;=O228,E228&lt;=P228),TRUE,FALSE)</f>
        <v/>
      </c>
      <c r="R228" s="1735" t="n">
        <v>11</v>
      </c>
      <c r="S228" s="1736" t="n">
        <v>11</v>
      </c>
      <c r="T228" s="1711">
        <f>IF(AND(E228&gt;=R228,E228&lt;=S228),TRUE,FALSE)</f>
        <v/>
      </c>
      <c r="U228" s="978" t="n"/>
      <c r="V228" s="1487" t="inlineStr">
        <is>
          <t>ou</t>
        </is>
      </c>
      <c r="W228" s="1506" t="n">
        <v>11</v>
      </c>
      <c r="X228" s="1507" t="n"/>
      <c r="Y228" s="1508" t="n">
        <v>11</v>
      </c>
      <c r="Z228" s="1507" t="n"/>
      <c r="AA228" s="1502" t="n">
        <v>11</v>
      </c>
      <c r="AC228" s="1013" t="n"/>
      <c r="AD228" s="1014" t="n"/>
      <c r="AE228" s="1013" t="n"/>
      <c r="AF228" s="1014" t="n"/>
      <c r="AG228" s="1013" t="n"/>
      <c r="AH228" s="1014" t="n"/>
      <c r="AJ228" s="10" t="n"/>
      <c r="AK228" s="10" t="n"/>
      <c r="AL228" s="10" t="n"/>
      <c r="AQ228" s="7" t="n"/>
      <c r="AR228" s="849" t="n"/>
      <c r="AS228" s="111" t="n"/>
      <c r="AT228" s="487" t="n"/>
      <c r="AU228" s="114" t="n"/>
      <c r="AV228" s="491" t="n"/>
      <c r="AW228" s="114" t="n"/>
      <c r="AX228" s="492" t="n"/>
      <c r="AY228" s="488" t="n"/>
    </row>
    <row r="229" ht="32" customHeight="1" thickBot="1">
      <c r="B229" s="831" t="inlineStr">
        <is>
          <t>Max NC</t>
        </is>
      </c>
      <c r="C229" s="832">
        <f>_xlfn.XLOOKUP(G229,G227:G228,C227:C228)</f>
        <v/>
      </c>
      <c r="D229" s="833">
        <f>_xlfn.XLOOKUP(G229,G227:G228,D227:D228)</f>
        <v/>
      </c>
      <c r="E229" s="834" t="n"/>
      <c r="F229" s="834" t="n"/>
      <c r="G229" s="834">
        <f>IF(AND(J227=TRUE,J228=FALSE),G227,IF(AND(J227=FALSE,J228=TRUE),G228,MAX(G227,G228)))</f>
        <v/>
      </c>
      <c r="H229" s="1713" t="n"/>
      <c r="I229" s="835" t="n"/>
      <c r="J229" s="836">
        <f>IF(AND(J227=FALSE,J228=FALSE),FALSE,TRUE)</f>
        <v/>
      </c>
      <c r="K229" s="46" t="n"/>
      <c r="L229" s="46" t="n"/>
      <c r="M229" s="46" t="n"/>
      <c r="N229" s="1711" t="n"/>
      <c r="O229" s="1713" t="n"/>
      <c r="P229" s="835" t="n"/>
      <c r="Q229" s="1726">
        <f>IF(AND(Q227=FALSE,Q228=FALSE),FALSE,TRUE)</f>
        <v/>
      </c>
      <c r="R229" s="1713" t="n"/>
      <c r="S229" s="835" t="n"/>
      <c r="T229" s="1726">
        <f>IF(AND(T227=FALSE,T228=FALSE),FALSE,TRUE)</f>
        <v/>
      </c>
      <c r="U229" s="978" t="n"/>
      <c r="V229" s="978" t="n"/>
      <c r="W229" s="1473" t="n"/>
      <c r="X229" s="2002" t="n"/>
      <c r="Y229" s="1478" t="n"/>
      <c r="Z229" s="2002" t="n"/>
      <c r="AA229" s="1481" t="n"/>
      <c r="AC229" s="1013" t="n"/>
      <c r="AD229" s="1014" t="n"/>
      <c r="AE229" s="1013" t="n"/>
      <c r="AF229" s="1014" t="n"/>
      <c r="AG229" s="1013" t="n"/>
      <c r="AH229" s="1014" t="n"/>
      <c r="AJ229" s="10" t="n"/>
      <c r="AK229" s="10" t="n"/>
      <c r="AL229" s="10" t="n"/>
      <c r="AQ229" s="7" t="n"/>
      <c r="AR229" s="849" t="n"/>
      <c r="AS229" s="111" t="n"/>
      <c r="AT229" s="487" t="n"/>
      <c r="AU229" s="114" t="n"/>
      <c r="AV229" s="491" t="n"/>
      <c r="AW229" s="114" t="n"/>
      <c r="AX229" s="492" t="n"/>
      <c r="AY229" s="488" t="n"/>
    </row>
    <row r="230" ht="32" customHeight="1" thickBot="1">
      <c r="B230" s="837" t="inlineStr">
        <is>
          <t>Max PFA &amp; NC</t>
        </is>
      </c>
      <c r="C230" s="838" t="n"/>
      <c r="D230" s="838">
        <f>IF(G230=G226,D226,D229)</f>
        <v/>
      </c>
      <c r="E230" s="839" t="n"/>
      <c r="F230" s="839" t="n"/>
      <c r="G230" s="839">
        <f>IF(AND(J226=TRUE,J229=FALSE),G226,IF(AND(J226=FALSE,J229=TRUE),G229,IF(AND(J226=TRUE,J229=TRUE),G226+G229,MAX(G226,G229))))</f>
        <v/>
      </c>
      <c r="H230" s="1714" t="n"/>
      <c r="I230" s="840" t="n"/>
      <c r="J230" s="841">
        <f>IF(AND(J226=FALSE,J229=FALSE),FALSE,TRUE)</f>
        <v/>
      </c>
      <c r="K230" s="1698" t="n"/>
      <c r="L230" s="1698" t="n"/>
      <c r="M230" s="1698" t="n"/>
      <c r="N230" s="1715" t="n"/>
      <c r="O230" s="1714" t="n"/>
      <c r="P230" s="840" t="n"/>
      <c r="Q230" s="841">
        <f>IF(AND(Q226=FALSE,Q229=FALSE),FALSE,TRUE)</f>
        <v/>
      </c>
      <c r="R230" s="1714" t="n"/>
      <c r="S230" s="840" t="n"/>
      <c r="T230" s="841">
        <f>IF(AND(T226=FALSE,T229=FALSE),FALSE,TRUE)</f>
        <v/>
      </c>
      <c r="U230" s="978" t="n"/>
      <c r="V230" s="978" t="inlineStr">
        <is>
          <t>et</t>
        </is>
      </c>
      <c r="W230" s="1473" t="n"/>
      <c r="X230" s="2002" t="n"/>
      <c r="Y230" s="1478" t="n"/>
      <c r="Z230" s="2002" t="n"/>
      <c r="AA230" s="1481" t="n"/>
      <c r="AC230" s="1013">
        <f>IF(J230=TRUE,"V","F")</f>
        <v/>
      </c>
      <c r="AD230" s="1014" t="n"/>
      <c r="AE230" s="1013">
        <f>IF(Q230=TRUE,"V","F")</f>
        <v/>
      </c>
      <c r="AF230" s="1014" t="n"/>
      <c r="AG230" s="1013">
        <f>IF(T230=TRUE,"V","F")</f>
        <v/>
      </c>
      <c r="AH230" s="1014" t="n"/>
      <c r="AI230">
        <f>IF(OR(AC230="V",AE230="V"),IF(G229&gt;G226,"Le NC contribue plus que le coparent","Le coparent joue un plus grand rôle que le NC"),"pas de contexte significatif de la part du coparent et NC")</f>
        <v/>
      </c>
      <c r="AJ230" s="10" t="n"/>
      <c r="AK230" s="10" t="n"/>
      <c r="AL230" s="10" t="n"/>
      <c r="AQ230" s="7" t="n"/>
      <c r="AR230" s="849" t="n"/>
      <c r="AS230" s="111" t="n"/>
      <c r="AT230" s="487" t="n"/>
      <c r="AU230" s="114" t="n"/>
      <c r="AV230" s="491" t="n"/>
      <c r="AW230" s="114" t="n"/>
      <c r="AX230" s="492" t="n"/>
      <c r="AY230" s="488" t="n"/>
    </row>
    <row r="231" ht="49" customHeight="1">
      <c r="A231" s="1470" t="inlineStr">
        <is>
          <t>Formulation</t>
        </is>
      </c>
      <c r="B231" s="316">
        <f>'Action-Réaction finale'!O37</f>
        <v/>
      </c>
      <c r="C231" s="2066">
        <f>Test_Bible!B282</f>
        <v/>
      </c>
      <c r="D231" s="102" t="inlineStr">
        <is>
          <t>laisse entendre que la vraie famille est celle de l'autre parent</t>
        </is>
      </c>
      <c r="E231" s="823">
        <f>Test_Bible!P282</f>
        <v/>
      </c>
      <c r="F231" s="822">
        <f>Test_Bible!D282</f>
        <v/>
      </c>
      <c r="G231" s="823">
        <f>Test_Bible!Q282</f>
        <v/>
      </c>
      <c r="H231" s="1710" t="n">
        <v>4</v>
      </c>
      <c r="I231" s="1703">
        <f>$I$18</f>
        <v/>
      </c>
      <c r="J231" s="46">
        <f>IF(AND(E231&gt;=H231,E231&lt;=I231),TRUE,FALSE)</f>
        <v/>
      </c>
      <c r="K231" s="46" t="n"/>
      <c r="L231" s="46" t="n"/>
      <c r="M231" s="46" t="n"/>
      <c r="N231" s="1711" t="n"/>
      <c r="O231" s="1710" t="n">
        <v>2</v>
      </c>
      <c r="P231" s="1703" t="n">
        <v>7</v>
      </c>
      <c r="Q231" s="1711">
        <f>IF(AND(E231&gt;=O231,E231&lt;=P231),TRUE,FALSE)</f>
        <v/>
      </c>
      <c r="R231" s="1710" t="n"/>
      <c r="S231" s="1703" t="n"/>
      <c r="T231" s="1711" t="n"/>
      <c r="U231" s="1681" t="n"/>
      <c r="V231" s="1484" t="n"/>
      <c r="W231" s="1485" t="n">
        <v>4</v>
      </c>
      <c r="X231" s="2029" t="n"/>
      <c r="Y231" s="1489" t="n">
        <v>2</v>
      </c>
      <c r="Z231" s="2029" t="n"/>
      <c r="AA231" s="1497" t="n">
        <v>11</v>
      </c>
      <c r="AC231" s="1013" t="inlineStr">
        <is>
          <t> </t>
        </is>
      </c>
      <c r="AD231" s="1014" t="n"/>
      <c r="AE231" s="1013" t="n"/>
      <c r="AF231" s="1014" t="n"/>
      <c r="AG231" s="1013" t="n"/>
      <c r="AH231" s="1014" t="n"/>
      <c r="AJ231" s="10" t="n"/>
      <c r="AK231" s="10" t="n"/>
      <c r="AL231" s="10" t="n"/>
      <c r="AQ231" s="7" t="n"/>
      <c r="AR231" s="849" t="n"/>
      <c r="AS231" s="111" t="n"/>
      <c r="AT231" s="487" t="n"/>
      <c r="AU231" s="114" t="n"/>
      <c r="AV231" s="491" t="n"/>
      <c r="AW231" s="114" t="n"/>
      <c r="AX231" s="492" t="n"/>
      <c r="AY231" s="488" t="n"/>
    </row>
    <row r="232" ht="57" customHeight="1" thickBot="1">
      <c r="A232" s="1470" t="inlineStr">
        <is>
          <t>Formulation</t>
        </is>
      </c>
      <c r="B232" s="316">
        <f>'Action-Réaction finale'!O38</f>
        <v/>
      </c>
      <c r="C232" s="799">
        <f>Test_Bible!B283</f>
        <v/>
      </c>
      <c r="D232" s="102" t="inlineStr">
        <is>
          <t>laisse entendre que la famille de l'autre parent a plus de valeur</t>
        </is>
      </c>
      <c r="E232" s="823">
        <f>Test_Bible!P283</f>
        <v/>
      </c>
      <c r="F232" s="822">
        <f>Test_Bible!D283</f>
        <v/>
      </c>
      <c r="G232" s="823">
        <f>Test_Bible!Q283</f>
        <v/>
      </c>
      <c r="H232" s="1710" t="n">
        <v>7</v>
      </c>
      <c r="I232" s="1703">
        <f>$I$18</f>
        <v/>
      </c>
      <c r="J232" s="46">
        <f>IF(AND(E232&gt;=H232,E232&lt;=I232),TRUE,FALSE)</f>
        <v/>
      </c>
      <c r="K232" s="46" t="n"/>
      <c r="L232" s="46" t="n"/>
      <c r="M232" s="46" t="n"/>
      <c r="N232" s="1711" t="n"/>
      <c r="O232" s="1735" t="n">
        <v>11</v>
      </c>
      <c r="P232" s="1736" t="n">
        <v>11</v>
      </c>
      <c r="Q232" s="1711">
        <f>IF(AND(E232&gt;=O232,E232&lt;=P232),TRUE,FALSE)</f>
        <v/>
      </c>
      <c r="R232" s="1735" t="n"/>
      <c r="S232" s="1736" t="n"/>
      <c r="T232" s="1711" t="n"/>
      <c r="U232" s="978" t="n"/>
      <c r="V232" s="1487" t="inlineStr">
        <is>
          <t>ou</t>
        </is>
      </c>
      <c r="W232" s="1492" t="n">
        <v>7</v>
      </c>
      <c r="X232" s="1493" t="n"/>
      <c r="Y232" s="1494" t="n">
        <v>4</v>
      </c>
      <c r="Z232" s="1493" t="n"/>
      <c r="AA232" s="1502" t="n">
        <v>11</v>
      </c>
      <c r="AC232" s="1013" t="n"/>
      <c r="AD232" s="1014" t="n"/>
      <c r="AE232" s="1013" t="n"/>
      <c r="AF232" s="1014" t="n"/>
      <c r="AG232" s="1013" t="n"/>
      <c r="AH232" s="1014" t="n"/>
      <c r="AJ232" s="10" t="n"/>
      <c r="AK232" s="10" t="n"/>
      <c r="AL232" s="10" t="n"/>
      <c r="AQ232" s="7" t="n"/>
      <c r="AR232" s="849" t="n"/>
      <c r="AS232" s="111" t="n"/>
      <c r="AT232" s="487" t="n"/>
      <c r="AU232" s="114" t="n"/>
      <c r="AV232" s="491" t="n"/>
      <c r="AW232" s="114" t="n"/>
      <c r="AX232" s="492" t="n"/>
      <c r="AY232" s="488" t="n"/>
    </row>
    <row r="233" ht="32" customHeight="1" thickBot="1">
      <c r="B233" s="842" t="inlineStr">
        <is>
          <t>Max Enf</t>
        </is>
      </c>
      <c r="C233" s="843">
        <f>_xlfn.XLOOKUP(G233,G231:G232,C231:C232)</f>
        <v/>
      </c>
      <c r="D233" s="843">
        <f>_xlfn.XLOOKUP(G233,G231:G232,D231:D232)</f>
        <v/>
      </c>
      <c r="E233" s="844" t="n"/>
      <c r="F233" s="844" t="n"/>
      <c r="G233" s="844">
        <f>IF(AND(J231=TRUE,J232=FALSE),G231,IF(AND(J231=FALSE,J232=TRUE),G232,MAX(G231,G232)))</f>
        <v/>
      </c>
      <c r="H233" s="1716" t="n"/>
      <c r="I233" s="845" t="n"/>
      <c r="J233" s="846">
        <f>IF(AND(J231=FALSE,J232=FALSE),FALSE,TRUE)</f>
        <v/>
      </c>
      <c r="K233" s="1699" t="n"/>
      <c r="L233" s="1699" t="n"/>
      <c r="M233" s="1699" t="n"/>
      <c r="N233" s="1717" t="n"/>
      <c r="O233" s="1716" t="n"/>
      <c r="P233" s="845" t="n"/>
      <c r="Q233" s="846">
        <f>IF(AND(Q231=FALSE,Q232=FALSE),FALSE,TRUE)</f>
        <v/>
      </c>
      <c r="R233" s="1716" t="n"/>
      <c r="S233" s="845" t="n"/>
      <c r="T233" s="846" t="n"/>
      <c r="U233" s="978" t="n"/>
      <c r="V233" s="978" t="n"/>
      <c r="W233" s="1475" t="n"/>
      <c r="Y233" s="1479" t="n"/>
      <c r="AA233" s="1483" t="n"/>
      <c r="AC233" s="1013">
        <f>IF(J233=TRUE,"V","F")</f>
        <v/>
      </c>
      <c r="AD233" s="1014" t="n"/>
      <c r="AE233" s="1013">
        <f>IF(Q233=TRUE,"V","F")</f>
        <v/>
      </c>
      <c r="AF233" s="1014" t="n"/>
      <c r="AG233" s="1013" t="n"/>
      <c r="AH233" s="1014" t="n"/>
      <c r="AJ233" s="10" t="n"/>
      <c r="AK233" s="10" t="n"/>
      <c r="AL233" s="10" t="n"/>
      <c r="AR233" s="849" t="n"/>
      <c r="AS233" s="111" t="n"/>
      <c r="AT233" s="487" t="n"/>
      <c r="AU233" s="114" t="n"/>
      <c r="AV233" s="491" t="n"/>
      <c r="AW233" s="114" t="n"/>
      <c r="AX233" s="492" t="n"/>
      <c r="AY233" s="488" t="n"/>
    </row>
    <row r="234" ht="32" customHeight="1">
      <c r="C234" s="428" t="inlineStr">
        <is>
          <t>COMPARATIF Comportement PFA-Enf</t>
        </is>
      </c>
      <c r="D234" s="2058" t="n"/>
      <c r="E234" s="484" t="inlineStr">
        <is>
          <t>Valeur =&gt;</t>
        </is>
      </c>
      <c r="F234" s="48" t="n"/>
      <c r="G234" s="48">
        <f>G226+G229+G233</f>
        <v/>
      </c>
      <c r="H234" s="1718" t="n"/>
      <c r="I234" s="485" t="n"/>
      <c r="J234" s="1701" t="n"/>
      <c r="K234" s="1702">
        <f>IF(AND(J233=TRUE,J230=TRUE),D233,"")</f>
        <v/>
      </c>
      <c r="L234" s="1702">
        <f>IF(AND(J230=TRUE,J233=FALSE),"Bien que le parent "&amp;D230&amp;" l'enfant ne semble pas s'ingérer","")</f>
        <v/>
      </c>
      <c r="M234" s="1702">
        <f>IF(AND(J230=FALSE,J233=TRUE),D233&amp;" sans signe de la participation du parent favorisé et|ou nouveau conjoint.e","")</f>
        <v/>
      </c>
      <c r="N234" s="1719">
        <f>IF(AND(J230=FALSE,J233=FALSE),"aucun comportement significatif de cette nature","")</f>
        <v/>
      </c>
      <c r="O234" s="1718" t="n"/>
      <c r="P234" s="485" t="n"/>
      <c r="Q234" s="1727" t="n"/>
      <c r="R234" s="1718" t="n"/>
      <c r="S234" s="485" t="n"/>
      <c r="T234" s="1727" t="n"/>
      <c r="U234" s="980" t="n"/>
      <c r="V234" s="980" t="n"/>
      <c r="W234" s="1475" t="n"/>
      <c r="Y234" s="1479" t="n"/>
      <c r="AA234" s="1483" t="n"/>
      <c r="AC234" s="1015" t="n"/>
      <c r="AD234" s="1016">
        <f>IF(AND(AC230="V",AC233="V"),2,IF(OR(AC230="V",AC233="V"),1,0))</f>
        <v/>
      </c>
      <c r="AE234" s="1015" t="n"/>
      <c r="AF234" s="1016">
        <f>IF(OR(AE230="V",AE233="V"),1,0)</f>
        <v/>
      </c>
      <c r="AG234" s="1015" t="n"/>
      <c r="AH234" s="1016" t="n"/>
      <c r="AJ234" s="10" t="n"/>
      <c r="AK234" s="10" t="n"/>
      <c r="AL234" s="10" t="n"/>
      <c r="AR234" s="849" t="n"/>
      <c r="AS234" s="111" t="n"/>
      <c r="AT234" s="487" t="n"/>
      <c r="AU234" s="114" t="n"/>
      <c r="AV234" s="491" t="n"/>
      <c r="AW234" s="114" t="n"/>
      <c r="AX234" s="492" t="n"/>
      <c r="AY234" s="488" t="n"/>
    </row>
    <row r="235" ht="32" customHeight="1">
      <c r="B235" t="inlineStr">
        <is>
          <t>PCR</t>
        </is>
      </c>
      <c r="H235" s="147" t="n"/>
      <c r="K235" s="1992" t="n"/>
      <c r="L235" s="1992" t="n"/>
      <c r="M235" s="1992" t="n"/>
      <c r="N235" s="1740" t="n"/>
      <c r="O235" s="147" t="n"/>
      <c r="Q235" s="330" t="n"/>
      <c r="R235" s="147" t="n"/>
      <c r="T235" s="330" t="n"/>
      <c r="U235" s="1992" t="n"/>
      <c r="W235" s="1475" t="n"/>
      <c r="Y235" s="1479" t="n"/>
      <c r="AA235" s="1483" t="n"/>
      <c r="AC235" s="1013" t="n"/>
      <c r="AD235" s="1014" t="n"/>
      <c r="AE235" s="1013" t="n"/>
      <c r="AF235" s="1014" t="n"/>
      <c r="AG235" s="1013" t="n"/>
      <c r="AH235" s="1014" t="n"/>
      <c r="AJ235" s="10" t="n"/>
      <c r="AK235" s="10" t="n"/>
      <c r="AL235" s="10" t="n"/>
      <c r="AR235" s="849" t="n"/>
      <c r="AS235" s="111" t="n"/>
      <c r="AT235" s="487" t="n"/>
      <c r="AU235" s="114" t="n"/>
      <c r="AV235" s="491" t="n"/>
      <c r="AW235" s="114" t="n"/>
      <c r="AX235" s="492" t="n"/>
      <c r="AY235" s="488" t="n"/>
    </row>
    <row r="236" ht="32" customHeight="1">
      <c r="B236" s="1017" t="n"/>
      <c r="C236" s="1025" t="n"/>
      <c r="D236" s="1018" t="n"/>
      <c r="E236" s="1026" t="n"/>
      <c r="F236" s="1026" t="n"/>
      <c r="G236" s="1026" t="n"/>
      <c r="H236" s="1735" t="n">
        <v>11</v>
      </c>
      <c r="I236" s="1736" t="n">
        <v>11</v>
      </c>
      <c r="J236" s="46">
        <f>IF(AND(E236&gt;=H236,E236&lt;=I236),TRUE,FALSE)</f>
        <v/>
      </c>
      <c r="K236" s="33" t="n"/>
      <c r="L236" s="33" t="n"/>
      <c r="M236" s="33" t="n"/>
      <c r="N236" s="1720" t="n"/>
      <c r="O236" s="1735" t="n">
        <v>11</v>
      </c>
      <c r="P236" s="1736" t="n">
        <v>11</v>
      </c>
      <c r="Q236" s="1711">
        <f>IF(AND(E236&gt;=O236,E236&lt;=P236),TRUE,FALSE)</f>
        <v/>
      </c>
      <c r="R236" s="1735" t="n">
        <v>11</v>
      </c>
      <c r="S236" s="1736" t="n">
        <v>11</v>
      </c>
      <c r="T236" s="1711">
        <f>IF(AND(E236&gt;=R236,E236&lt;=S236),TRUE,FALSE)</f>
        <v/>
      </c>
      <c r="U236" s="1992" t="n"/>
      <c r="V236" s="1509" t="n"/>
      <c r="W236" s="1503" t="n">
        <v>11</v>
      </c>
      <c r="X236" s="1504" t="n"/>
      <c r="Y236" s="1505" t="n">
        <v>11</v>
      </c>
      <c r="Z236" s="1504" t="n"/>
      <c r="AA236" s="1497" t="n">
        <v>11</v>
      </c>
      <c r="AC236" s="1013" t="n"/>
      <c r="AD236" s="1014" t="n"/>
      <c r="AE236" s="1013" t="n"/>
      <c r="AF236" s="1014" t="n"/>
      <c r="AG236" s="1013" t="n"/>
      <c r="AH236" s="1014" t="n"/>
      <c r="AJ236" s="10" t="n"/>
      <c r="AK236" s="10" t="n"/>
      <c r="AL236" s="10" t="n"/>
      <c r="AR236" s="849" t="n"/>
      <c r="AS236" s="111" t="n"/>
      <c r="AT236" s="487" t="n"/>
      <c r="AU236" s="114" t="n"/>
      <c r="AV236" s="491" t="n"/>
      <c r="AW236" s="114" t="n"/>
      <c r="AX236" s="492" t="n"/>
      <c r="AY236" s="488" t="n"/>
    </row>
    <row r="237" ht="32" customHeight="1" thickBot="1">
      <c r="B237" s="1017" t="n"/>
      <c r="C237" s="1025" t="n"/>
      <c r="D237" s="1018" t="n"/>
      <c r="E237" s="1026" t="n"/>
      <c r="F237" s="1026" t="n"/>
      <c r="G237" s="1026" t="n"/>
      <c r="H237" s="1735" t="n">
        <v>11</v>
      </c>
      <c r="I237" s="1736" t="n">
        <v>11</v>
      </c>
      <c r="J237" s="46">
        <f>IF(AND(E237&gt;=H237,E237&lt;=I237),TRUE,FALSE)</f>
        <v/>
      </c>
      <c r="K237" s="33" t="n"/>
      <c r="L237" s="33" t="n"/>
      <c r="M237" s="33" t="n"/>
      <c r="N237" s="1720" t="n"/>
      <c r="O237" s="1735" t="n">
        <v>11</v>
      </c>
      <c r="P237" s="1736" t="n">
        <v>11</v>
      </c>
      <c r="Q237" s="1711">
        <f>IF(AND(E237&gt;=O237,E237&lt;=P237),TRUE,FALSE)</f>
        <v/>
      </c>
      <c r="R237" s="1735" t="n">
        <v>11</v>
      </c>
      <c r="S237" s="1736" t="n">
        <v>11</v>
      </c>
      <c r="T237" s="1711">
        <f>IF(AND(E237&gt;=R237,E237&lt;=S237),TRUE,FALSE)</f>
        <v/>
      </c>
      <c r="V237" s="1510" t="n"/>
      <c r="W237" s="1506" t="n">
        <v>11</v>
      </c>
      <c r="X237" s="1507" t="n"/>
      <c r="Y237" s="1508" t="n">
        <v>11</v>
      </c>
      <c r="Z237" s="1507" t="n"/>
      <c r="AA237" s="1502" t="n">
        <v>11</v>
      </c>
      <c r="AC237" s="1013" t="n"/>
      <c r="AD237" s="1014" t="n"/>
      <c r="AE237" s="1013" t="n"/>
      <c r="AF237" s="1014" t="n"/>
      <c r="AG237" s="1013" t="n"/>
      <c r="AH237" s="1014" t="n"/>
      <c r="AJ237" s="10" t="n"/>
      <c r="AK237" s="10" t="n"/>
      <c r="AL237" s="10" t="n"/>
      <c r="AR237" s="849" t="n"/>
      <c r="AS237" s="111" t="n"/>
      <c r="AT237" s="487" t="n"/>
      <c r="AU237" s="114" t="n"/>
      <c r="AV237" s="491" t="n"/>
      <c r="AW237" s="114" t="n"/>
      <c r="AX237" s="492" t="n"/>
      <c r="AY237" s="488" t="n"/>
    </row>
    <row r="238" ht="32" customHeight="1" thickBot="1">
      <c r="C238" s="2073" t="n"/>
      <c r="D238" s="2073" t="n"/>
      <c r="E238" s="90" t="n"/>
      <c r="F238" s="483" t="n"/>
      <c r="G238" s="483" t="n"/>
      <c r="H238" s="1732" t="n"/>
      <c r="I238" s="1733" t="n"/>
      <c r="J238" s="1739">
        <f>IF(AND(J236=FALSE,J237=FALSE),FALSE,TRUE)</f>
        <v/>
      </c>
      <c r="K238" s="1721" t="n"/>
      <c r="L238" s="1722" t="n"/>
      <c r="M238" s="1722" t="n"/>
      <c r="N238" s="1723" t="n"/>
      <c r="O238" s="1732" t="n"/>
      <c r="P238" s="1733" t="n"/>
      <c r="Q238" s="1739">
        <f>IF(AND(Q236=FALSE,Q237=FALSE),FALSE,TRUE)</f>
        <v/>
      </c>
      <c r="R238" s="1744" t="n"/>
      <c r="S238" s="1745" t="n"/>
      <c r="T238" s="1746">
        <f>IF(AND(T236=FALSE,T237=FALSE),FALSE,TRUE)</f>
        <v/>
      </c>
      <c r="U238" s="980" t="n"/>
      <c r="AC238" s="1650">
        <f>IF(J238=TRUE,"V","F")</f>
        <v/>
      </c>
      <c r="AD238" s="1651" t="n"/>
      <c r="AE238" s="1650">
        <f>IF(Q238=TRUE,"V","F")</f>
        <v/>
      </c>
      <c r="AF238" s="1651" t="n"/>
      <c r="AG238" s="1650">
        <f>IF(T238=TRUE,"V","F")</f>
        <v/>
      </c>
      <c r="AH238" s="1651" t="n"/>
      <c r="AJ238" s="10" t="n"/>
      <c r="AK238" s="10" t="n"/>
      <c r="AL238" s="10" t="n"/>
      <c r="AR238" s="849" t="n"/>
      <c r="AS238" s="111" t="n"/>
      <c r="AT238" s="487" t="n"/>
      <c r="AU238" s="114" t="n"/>
      <c r="AV238" s="491" t="n"/>
      <c r="AW238" s="114" t="n"/>
      <c r="AX238" s="492" t="n"/>
      <c r="AY238" s="488" t="n"/>
    </row>
    <row r="239" ht="32" customHeight="1" thickBot="1">
      <c r="C239" s="2073" t="n"/>
      <c r="D239" s="2073" t="n"/>
      <c r="E239" s="90" t="n"/>
      <c r="F239" s="483" t="n"/>
      <c r="G239" s="483" t="n"/>
      <c r="H239" s="2002" t="n"/>
      <c r="I239" s="2002" t="n"/>
      <c r="J239" s="979" t="n"/>
      <c r="K239" s="980" t="n"/>
      <c r="L239" s="980" t="n"/>
      <c r="M239" s="980" t="n"/>
      <c r="N239" s="980" t="n"/>
      <c r="O239" s="980" t="n"/>
      <c r="P239" s="980" t="n"/>
      <c r="Q239" s="980" t="n"/>
      <c r="R239" s="980" t="n"/>
      <c r="S239" s="980" t="n"/>
      <c r="T239" s="980" t="n"/>
      <c r="U239" s="980" t="n"/>
      <c r="V239" s="980" t="n"/>
      <c r="AC239" s="1737" t="n"/>
      <c r="AD239" s="1738">
        <f>IF(AND(AC238="V",AC230="V"),AD234-1,AD234)</f>
        <v/>
      </c>
      <c r="AE239" s="1737" t="n"/>
      <c r="AF239" s="1738">
        <f>IF(OR(AE230="V",AE233="V",AE238="V"),1,0)</f>
        <v/>
      </c>
      <c r="AG239" s="1737" t="n"/>
      <c r="AH239" s="1738">
        <f>IF(AG230="V",1,IF(AG238="V",1,0))</f>
        <v/>
      </c>
      <c r="AJ239" s="10" t="n">
        <v>1</v>
      </c>
      <c r="AK239" s="10" t="n">
        <v>1</v>
      </c>
      <c r="AL239" s="10" t="n">
        <v>1</v>
      </c>
      <c r="AR239" s="849" t="n"/>
      <c r="AS239" s="111" t="n"/>
      <c r="AT239" s="487" t="n"/>
      <c r="AU239" s="114" t="n"/>
      <c r="AV239" s="491" t="n"/>
      <c r="AW239" s="114" t="n"/>
      <c r="AX239" s="492" t="n"/>
      <c r="AY239" s="488" t="n"/>
    </row>
    <row r="240" ht="32" customHeight="1">
      <c r="C240" s="2073" t="n"/>
      <c r="D240" s="2073" t="n"/>
      <c r="E240" s="90" t="n"/>
      <c r="F240" s="483" t="n"/>
      <c r="G240" s="483" t="n"/>
      <c r="H240" s="1704" t="n"/>
      <c r="I240" s="1705" t="n"/>
      <c r="J240" s="1706" t="n"/>
      <c r="K240" s="2056" t="n"/>
      <c r="L240" s="709" t="n"/>
      <c r="M240" s="709" t="n"/>
      <c r="N240" s="1707" t="n"/>
      <c r="O240" s="1724" t="n"/>
      <c r="P240" s="1706" t="n"/>
      <c r="Q240" s="1707" t="n"/>
      <c r="R240" s="1724" t="n"/>
      <c r="S240" s="1706" t="n"/>
      <c r="T240" s="1707" t="n"/>
      <c r="U240" s="980" t="n"/>
      <c r="V240" s="980" t="n"/>
      <c r="AC240" s="1756" t="n"/>
      <c r="AD240" s="1757" t="n"/>
      <c r="AE240" s="1490" t="n"/>
      <c r="AF240" s="1490" t="n"/>
      <c r="AG240" s="1490" t="n"/>
      <c r="AH240" s="1490" t="n"/>
      <c r="AJ240" s="10" t="n"/>
      <c r="AK240" s="10" t="n"/>
      <c r="AL240" s="10" t="n"/>
      <c r="AR240" s="849" t="n"/>
      <c r="AS240" s="111" t="n"/>
      <c r="AT240" s="487" t="n"/>
      <c r="AU240" s="114" t="n"/>
      <c r="AV240" s="491" t="n"/>
      <c r="AW240" s="114" t="n"/>
      <c r="AX240" s="492" t="n"/>
      <c r="AY240" s="488" t="n"/>
    </row>
    <row r="241" ht="32" customHeight="1">
      <c r="A241" s="853" t="n">
        <v>12</v>
      </c>
      <c r="C241" s="486">
        <f>'Action-Réaction finale'!F40</f>
        <v/>
      </c>
      <c r="D241" s="108" t="n"/>
      <c r="E241" s="66" t="n"/>
      <c r="F241" s="18" t="n"/>
      <c r="G241" s="18" t="n"/>
      <c r="H241" s="2052" t="inlineStr">
        <is>
          <t>AP</t>
        </is>
      </c>
      <c r="K241" s="2055" t="inlineStr">
        <is>
          <t>Dynamique d'AP</t>
        </is>
      </c>
      <c r="N241" s="330" t="n"/>
      <c r="O241" s="2122" t="inlineStr">
        <is>
          <t>CL</t>
        </is>
      </c>
      <c r="Q241" s="330" t="n"/>
      <c r="R241" s="2123" t="inlineStr">
        <is>
          <t>CSS</t>
        </is>
      </c>
      <c r="T241" s="330" t="n"/>
      <c r="U241" s="15" t="n"/>
      <c r="V241" s="15" t="n"/>
      <c r="AC241" s="1009" t="n"/>
      <c r="AD241" s="1009" t="n"/>
      <c r="AE241" s="1009" t="n"/>
      <c r="AF241" s="1009" t="n"/>
      <c r="AG241" s="1009" t="n"/>
      <c r="AH241" s="1010" t="n"/>
      <c r="AJ241" s="10" t="n"/>
      <c r="AK241" s="10" t="n"/>
      <c r="AL241" s="10" t="n"/>
      <c r="AR241" s="849" t="n"/>
      <c r="AS241" s="111" t="n"/>
      <c r="AT241" s="487" t="n"/>
      <c r="AU241" s="114" t="n"/>
      <c r="AV241" s="491" t="n"/>
      <c r="AW241" s="114" t="n"/>
      <c r="AX241" s="492" t="n"/>
      <c r="AY241" s="488" t="n"/>
    </row>
    <row r="242" ht="32" customHeight="1">
      <c r="C242" s="103" t="inlineStr">
        <is>
          <t>Questions et sous-questions</t>
        </is>
      </c>
      <c r="D242" s="1043" t="inlineStr">
        <is>
          <t>Texte écourté pour titrer dans les baromètres ou rapport</t>
        </is>
      </c>
      <c r="E242" s="33" t="inlineStr">
        <is>
          <t>Valeur de base
Fréquence (F)</t>
        </is>
      </c>
      <c r="F242" s="33" t="inlineStr">
        <is>
          <t>Valeur de base
intensité (I)</t>
        </is>
      </c>
      <c r="G242" s="33" t="inlineStr">
        <is>
          <t>F * I</t>
        </is>
      </c>
      <c r="H242" s="1708" t="inlineStr">
        <is>
          <t>Condition Fréq. 
&gt;= que</t>
        </is>
      </c>
      <c r="I242" s="44" t="inlineStr">
        <is>
          <t>Condition Fré
&lt;= que</t>
        </is>
      </c>
      <c r="J242" s="44" t="inlineStr">
        <is>
          <t>Condition respectée</t>
        </is>
      </c>
      <c r="K242" s="44" t="inlineStr">
        <is>
          <t>"VRAI" (PF&amp;NC) /  "VRAI" (Enf)</t>
        </is>
      </c>
      <c r="L242" s="44" t="inlineStr">
        <is>
          <t>Vrai (PF&amp;NC) /  Faux (Enf)</t>
        </is>
      </c>
      <c r="M242" s="44" t="inlineStr">
        <is>
          <t>Faux (PF&amp;NC) /  Vrai (Enf)</t>
        </is>
      </c>
      <c r="N242" s="1709" t="inlineStr">
        <is>
          <t>Faux (PF&amp;NC) /  Faux(Enf)</t>
        </is>
      </c>
      <c r="O242" s="1708" t="inlineStr">
        <is>
          <t>Condition Fréq. 
&gt;= que</t>
        </is>
      </c>
      <c r="P242" s="44" t="inlineStr">
        <is>
          <t>Condition Fré
&lt;= que</t>
        </is>
      </c>
      <c r="Q242" s="1709" t="inlineStr">
        <is>
          <t>Condition respectée</t>
        </is>
      </c>
      <c r="R242" s="1708" t="inlineStr">
        <is>
          <t>Condition Fréq. 
&gt;= que</t>
        </is>
      </c>
      <c r="S242" s="44" t="inlineStr">
        <is>
          <t>Condition Fré
&lt;= que</t>
        </is>
      </c>
      <c r="T242" s="1709" t="inlineStr">
        <is>
          <t>Condition respectée</t>
        </is>
      </c>
      <c r="U242" s="851" t="n"/>
      <c r="V242" s="1008" t="inlineStr">
        <is>
          <t>Condition</t>
        </is>
      </c>
      <c r="W242" s="1472" t="inlineStr">
        <is>
          <t>AP</t>
        </is>
      </c>
      <c r="X242" s="1008" t="inlineStr">
        <is>
          <t>Condition</t>
        </is>
      </c>
      <c r="Y242" s="1476" t="inlineStr">
        <is>
          <t>CL</t>
        </is>
      </c>
      <c r="Z242" s="1008" t="n"/>
      <c r="AA242" s="1480" t="inlineStr">
        <is>
          <t>CSS</t>
        </is>
      </c>
      <c r="AC242" s="1023" t="inlineStr">
        <is>
          <t>AP</t>
        </is>
      </c>
      <c r="AD242" s="1024" t="inlineStr">
        <is>
          <t>AP_F</t>
        </is>
      </c>
      <c r="AE242" s="1023" t="inlineStr">
        <is>
          <t>CL</t>
        </is>
      </c>
      <c r="AF242" s="1024" t="inlineStr">
        <is>
          <t>CL_F</t>
        </is>
      </c>
      <c r="AG242" s="1023" t="inlineStr">
        <is>
          <t>CSS</t>
        </is>
      </c>
      <c r="AH242" s="1024" t="inlineStr">
        <is>
          <t>CSS_F</t>
        </is>
      </c>
      <c r="AJ242" s="10" t="n"/>
      <c r="AK242" s="10" t="n"/>
      <c r="AL242" s="10" t="n"/>
      <c r="AR242" s="849" t="n"/>
      <c r="AS242" s="111" t="n"/>
      <c r="AT242" s="487" t="n"/>
      <c r="AU242" s="114" t="n"/>
      <c r="AV242" s="491" t="n"/>
      <c r="AW242" s="114" t="n"/>
      <c r="AX242" s="492" t="n"/>
      <c r="AY242" s="488" t="n"/>
    </row>
    <row r="243" ht="51" customHeight="1">
      <c r="A243" s="854" t="n"/>
      <c r="B243" s="421">
        <f>'Action-Réaction finale'!G40</f>
        <v/>
      </c>
      <c r="C243" s="2066">
        <f>Test_Bible!B188</f>
        <v/>
      </c>
      <c r="D243" s="102" t="inlineStr">
        <is>
          <t>demande à l'enfant d'appeler son nouveau conjoint.e maman ou papa</t>
        </is>
      </c>
      <c r="E243" s="823">
        <f>Test_Bible!P188</f>
        <v/>
      </c>
      <c r="F243" s="822">
        <f>Test_Bible!D188</f>
        <v/>
      </c>
      <c r="G243" s="823">
        <f>Test_Bible!Q188</f>
        <v/>
      </c>
      <c r="H243" s="1710" t="n">
        <v>4</v>
      </c>
      <c r="I243" s="1703" t="n">
        <v>10</v>
      </c>
      <c r="J243" s="46">
        <f>IF(AND(E243&gt;=H243,E243&lt;=I243),TRUE,FALSE)</f>
        <v/>
      </c>
      <c r="K243" s="46" t="n"/>
      <c r="L243" s="46" t="n"/>
      <c r="M243" s="46" t="n"/>
      <c r="N243" s="1711" t="n"/>
      <c r="O243" s="1710" t="n">
        <v>2</v>
      </c>
      <c r="P243" s="1703" t="n">
        <v>7</v>
      </c>
      <c r="Q243" s="1711">
        <f>IF(AND(E243&gt;=O243,E243&lt;=P243),TRUE,FALSE)</f>
        <v/>
      </c>
      <c r="R243" s="1735" t="n">
        <v>11</v>
      </c>
      <c r="S243" s="1736" t="n">
        <v>11</v>
      </c>
      <c r="T243" s="1711">
        <f>IF(AND(E243&gt;=R243,E243&lt;=S243),TRUE,FALSE)</f>
        <v/>
      </c>
      <c r="U243" s="978" t="n"/>
      <c r="V243" s="1484" t="n"/>
      <c r="W243" s="1503" t="n">
        <v>11</v>
      </c>
      <c r="X243" s="1504" t="n"/>
      <c r="Y243" s="1505" t="n">
        <v>11</v>
      </c>
      <c r="Z243" s="1504" t="n"/>
      <c r="AA243" s="1497" t="n">
        <v>11</v>
      </c>
      <c r="AC243" s="1011" t="n"/>
      <c r="AD243" s="1012" t="n"/>
      <c r="AE243" s="1011" t="n"/>
      <c r="AF243" s="1012" t="n"/>
      <c r="AG243" s="1011" t="n"/>
      <c r="AH243" s="1012" t="n"/>
      <c r="AJ243" s="10" t="n"/>
      <c r="AK243" s="10" t="n"/>
      <c r="AL243" s="10" t="n"/>
      <c r="AR243" s="849" t="n"/>
      <c r="AS243" s="111" t="n"/>
      <c r="AT243" s="487" t="n"/>
      <c r="AU243" s="114" t="n"/>
      <c r="AV243" s="491" t="n"/>
      <c r="AW243" s="114" t="n"/>
      <c r="AX243" s="492" t="n"/>
      <c r="AY243" s="488" t="n"/>
    </row>
    <row r="244" ht="32" customHeight="1">
      <c r="B244" s="421" t="inlineStr">
        <is>
          <t>PFA</t>
        </is>
      </c>
      <c r="C244" s="2066" t="n"/>
      <c r="D244" s="102" t="n"/>
      <c r="E244" s="823" t="n"/>
      <c r="F244" s="822" t="n"/>
      <c r="G244" s="823" t="n"/>
      <c r="H244" s="1735" t="n">
        <v>11</v>
      </c>
      <c r="I244" s="1736" t="n">
        <v>11</v>
      </c>
      <c r="J244" s="46">
        <f>IF(AND(E244&gt;=H244,E244&lt;=I244),TRUE,FALSE)</f>
        <v/>
      </c>
      <c r="K244" s="46" t="n"/>
      <c r="L244" s="46" t="n"/>
      <c r="M244" s="46" t="n"/>
      <c r="N244" s="1711" t="n"/>
      <c r="O244" s="1735" t="n">
        <v>11</v>
      </c>
      <c r="P244" s="1736" t="n">
        <v>11</v>
      </c>
      <c r="Q244" s="1711">
        <f>IF(AND(E244&gt;=O244,E244&lt;=P244),TRUE,FALSE)</f>
        <v/>
      </c>
      <c r="R244" s="1735" t="n">
        <v>11</v>
      </c>
      <c r="S244" s="1736" t="n">
        <v>11</v>
      </c>
      <c r="T244" s="1711">
        <f>IF(AND(E244&gt;=R244,E244&lt;=S244),TRUE,FALSE)</f>
        <v/>
      </c>
      <c r="U244" s="978" t="n"/>
      <c r="V244" s="1487" t="inlineStr">
        <is>
          <t>ou</t>
        </is>
      </c>
      <c r="W244" s="1506" t="n">
        <v>11</v>
      </c>
      <c r="X244" s="1507" t="n"/>
      <c r="Y244" s="1508" t="n">
        <v>11</v>
      </c>
      <c r="Z244" s="1507" t="n"/>
      <c r="AA244" s="1502" t="n">
        <v>11</v>
      </c>
      <c r="AC244" s="1013" t="n"/>
      <c r="AD244" s="1014" t="n"/>
      <c r="AE244" s="1013" t="n"/>
      <c r="AF244" s="1014" t="n"/>
      <c r="AG244" s="1013" t="n"/>
      <c r="AH244" s="1014" t="n"/>
      <c r="AJ244" s="10" t="n"/>
      <c r="AK244" s="10" t="n"/>
      <c r="AL244" s="10" t="n"/>
      <c r="AR244" s="849" t="n"/>
      <c r="AS244" s="111" t="n"/>
      <c r="AT244" s="487" t="n"/>
      <c r="AU244" s="114" t="n"/>
      <c r="AV244" s="491" t="n"/>
      <c r="AW244" s="114" t="n"/>
      <c r="AX244" s="492" t="n"/>
      <c r="AY244" s="488" t="n"/>
    </row>
    <row r="245" ht="32" customHeight="1">
      <c r="B245" s="825" t="inlineStr">
        <is>
          <t>Max PFA</t>
        </is>
      </c>
      <c r="C245" s="826">
        <f>_xlfn.XLOOKUP(G245,G243:G244,C243:C244)</f>
        <v/>
      </c>
      <c r="D245" s="827">
        <f>_xlfn.XLOOKUP(G245,G243:G244,D243:D244)</f>
        <v/>
      </c>
      <c r="E245" s="828" t="n"/>
      <c r="F245" s="828" t="n"/>
      <c r="G245" s="828">
        <f>IF(AND(J243=TRUE,J244=FALSE),G243,IF(AND(J243=FALSE,J244=TRUE),G244,MAX(G243,G244)))</f>
        <v/>
      </c>
      <c r="H245" s="1712" t="n"/>
      <c r="I245" s="829" t="n"/>
      <c r="J245" s="830">
        <f>IF(AND(J243=FALSE,J244=FALSE),FALSE,TRUE)</f>
        <v/>
      </c>
      <c r="K245" s="46" t="n"/>
      <c r="L245" s="46" t="n"/>
      <c r="M245" s="46" t="n"/>
      <c r="N245" s="1711" t="n"/>
      <c r="O245" s="1712" t="n"/>
      <c r="P245" s="829" t="n"/>
      <c r="Q245" s="1725">
        <f>IF(AND(Q243=FALSE,Q244=FALSE),FALSE,TRUE)</f>
        <v/>
      </c>
      <c r="R245" s="1712" t="n"/>
      <c r="S245" s="829" t="n"/>
      <c r="T245" s="1725">
        <f>IF(AND(T243=FALSE,T244=FALSE),FALSE,TRUE)</f>
        <v/>
      </c>
      <c r="U245" s="978" t="n"/>
      <c r="V245" s="978" t="inlineStr">
        <is>
          <t>ou</t>
        </is>
      </c>
      <c r="W245" s="1474" t="n"/>
      <c r="X245" s="287" t="n"/>
      <c r="Y245" s="1477" t="n"/>
      <c r="Z245" s="287" t="n"/>
      <c r="AA245" s="1482" t="n"/>
      <c r="AC245" s="1013" t="n"/>
      <c r="AD245" s="1014" t="n"/>
      <c r="AE245" s="1013" t="n"/>
      <c r="AF245" s="1014" t="n"/>
      <c r="AG245" s="1013" t="n"/>
      <c r="AH245" s="1014" t="n"/>
      <c r="AJ245" s="10" t="n"/>
      <c r="AK245" s="10" t="n"/>
      <c r="AL245" s="10" t="n"/>
      <c r="AR245" s="849" t="n"/>
      <c r="AS245" s="111" t="n"/>
      <c r="AT245" s="487" t="n"/>
      <c r="AU245" s="114" t="n"/>
      <c r="AV245" s="491" t="n"/>
      <c r="AW245" s="114" t="n"/>
      <c r="AX245" s="492" t="n"/>
      <c r="AY245" s="488" t="n"/>
    </row>
    <row r="246" ht="58" customHeight="1">
      <c r="B246" s="53">
        <f>'Action-Réaction finale'!K40</f>
        <v/>
      </c>
      <c r="C246" s="2066">
        <f>Test_Bible!B409</f>
        <v/>
      </c>
      <c r="D246" s="102" t="inlineStr">
        <is>
          <t>Le nouveau conjoint.e demande à être appelé papa ou maman</t>
        </is>
      </c>
      <c r="E246" s="823">
        <f>Test_Bible!P409</f>
        <v/>
      </c>
      <c r="F246" s="822">
        <f>Test_Bible!D409</f>
        <v/>
      </c>
      <c r="G246" s="823">
        <f>Test_Bible!Q409</f>
        <v/>
      </c>
      <c r="H246" s="1710" t="n">
        <v>7</v>
      </c>
      <c r="I246" s="1703" t="n">
        <v>10</v>
      </c>
      <c r="J246" s="46">
        <f>IF(AND(E246&gt;=H246,E246&lt;=I246),TRUE,FALSE)</f>
        <v/>
      </c>
      <c r="K246" s="46" t="n"/>
      <c r="L246" s="46" t="n"/>
      <c r="M246" s="46" t="n"/>
      <c r="N246" s="1711" t="n"/>
      <c r="O246" s="1710" t="n">
        <v>4</v>
      </c>
      <c r="P246" s="1703" t="n">
        <v>7</v>
      </c>
      <c r="Q246" s="1711">
        <f>IF(AND(E246&gt;=O246,E246&lt;=P246),TRUE,FALSE)</f>
        <v/>
      </c>
      <c r="R246" s="1710" t="n">
        <v>7</v>
      </c>
      <c r="S246" s="1703" t="n">
        <v>10</v>
      </c>
      <c r="T246" s="1711">
        <f>IF(AND(E246&gt;=R246,E246&lt;=S246),TRUE,FALSE)</f>
        <v/>
      </c>
      <c r="U246" s="978" t="n"/>
      <c r="V246" s="1484" t="n"/>
      <c r="W246" s="1503" t="n">
        <v>11</v>
      </c>
      <c r="X246" s="1504" t="n"/>
      <c r="Y246" s="1505" t="n">
        <v>11</v>
      </c>
      <c r="Z246" s="1504" t="n"/>
      <c r="AA246" s="1497" t="n">
        <v>11</v>
      </c>
      <c r="AC246" s="1013" t="n"/>
      <c r="AD246" s="1014" t="n"/>
      <c r="AE246" s="1013" t="n"/>
      <c r="AF246" s="1014" t="n"/>
      <c r="AG246" s="1013" t="n"/>
      <c r="AH246" s="1014" t="n"/>
      <c r="AJ246" s="10" t="n"/>
      <c r="AK246" s="10" t="n"/>
      <c r="AL246" s="10" t="n"/>
      <c r="AR246" s="849" t="n"/>
      <c r="AS246" s="111" t="n"/>
      <c r="AT246" s="487" t="n"/>
      <c r="AU246" s="114" t="n"/>
      <c r="AV246" s="491" t="n"/>
      <c r="AW246" s="114" t="n"/>
      <c r="AX246" s="492" t="n"/>
      <c r="AY246" s="488" t="n"/>
    </row>
    <row r="247" ht="32" customHeight="1">
      <c r="B247" s="53" t="inlineStr">
        <is>
          <t>NC</t>
        </is>
      </c>
      <c r="C247" s="2066" t="n"/>
      <c r="D247" s="63" t="n"/>
      <c r="E247" s="36" t="n"/>
      <c r="F247" s="36" t="n"/>
      <c r="G247" s="36" t="n"/>
      <c r="H247" s="1735" t="n">
        <v>11</v>
      </c>
      <c r="I247" s="1736" t="n">
        <v>11</v>
      </c>
      <c r="J247" s="46">
        <f>IF(AND(E247&gt;=H247,E247&lt;=I247),TRUE,FALSE)</f>
        <v/>
      </c>
      <c r="K247" s="46" t="n"/>
      <c r="L247" s="46" t="n"/>
      <c r="M247" s="46" t="n"/>
      <c r="N247" s="1711" t="n"/>
      <c r="O247" s="1735" t="n">
        <v>11</v>
      </c>
      <c r="P247" s="1736" t="n">
        <v>11</v>
      </c>
      <c r="Q247" s="1711">
        <f>IF(AND(E247&gt;=O247,E247&lt;=P247),TRUE,FALSE)</f>
        <v/>
      </c>
      <c r="R247" s="1735" t="n">
        <v>11</v>
      </c>
      <c r="S247" s="1736" t="n">
        <v>11</v>
      </c>
      <c r="T247" s="1711">
        <f>IF(AND(E247&gt;=R247,E247&lt;=S247),TRUE,FALSE)</f>
        <v/>
      </c>
      <c r="U247" s="978" t="n"/>
      <c r="V247" s="1487" t="inlineStr">
        <is>
          <t>ou</t>
        </is>
      </c>
      <c r="W247" s="1506" t="n">
        <v>11</v>
      </c>
      <c r="X247" s="1507" t="n"/>
      <c r="Y247" s="1508" t="n">
        <v>11</v>
      </c>
      <c r="Z247" s="1507" t="n"/>
      <c r="AA247" s="1502" t="n">
        <v>11</v>
      </c>
      <c r="AC247" s="1013" t="n"/>
      <c r="AD247" s="1014" t="n"/>
      <c r="AE247" s="1013" t="n"/>
      <c r="AF247" s="1014" t="n"/>
      <c r="AG247" s="1013" t="n"/>
      <c r="AH247" s="1014" t="n"/>
      <c r="AJ247" s="10" t="n"/>
      <c r="AK247" s="10" t="n"/>
      <c r="AL247" s="10" t="n"/>
      <c r="AQ247" s="7" t="n"/>
      <c r="AR247" s="849" t="n"/>
      <c r="AS247" s="111" t="n"/>
      <c r="AT247" s="487" t="n"/>
      <c r="AU247" s="114" t="n"/>
      <c r="AV247" s="491" t="n"/>
      <c r="AW247" s="114" t="n"/>
      <c r="AX247" s="492" t="n"/>
      <c r="AY247" s="488" t="n"/>
    </row>
    <row r="248" ht="32" customHeight="1" thickBot="1">
      <c r="B248" s="831" t="inlineStr">
        <is>
          <t>Max NC</t>
        </is>
      </c>
      <c r="C248" s="832">
        <f>_xlfn.XLOOKUP(G248,G246:G247,C246:C247)</f>
        <v/>
      </c>
      <c r="D248" s="833">
        <f>_xlfn.XLOOKUP(G248,G246:G247,D246:D247)</f>
        <v/>
      </c>
      <c r="E248" s="834" t="n"/>
      <c r="F248" s="834" t="n"/>
      <c r="G248" s="828">
        <f>IF(AND(J246=TRUE,J247=FALSE),G246,IF(AND(J246=FALSE,J247=TRUE),G247,MAX(G246,G247)))</f>
        <v/>
      </c>
      <c r="H248" s="1713" t="n"/>
      <c r="I248" s="835" t="n"/>
      <c r="J248" s="836">
        <f>IF(AND(J246=FALSE,J247=FALSE),FALSE,TRUE)</f>
        <v/>
      </c>
      <c r="K248" s="46" t="n"/>
      <c r="L248" s="46" t="n"/>
      <c r="M248" s="46" t="n"/>
      <c r="N248" s="1711" t="n"/>
      <c r="O248" s="1713" t="n"/>
      <c r="P248" s="835" t="n"/>
      <c r="Q248" s="1726">
        <f>IF(AND(Q246=FALSE,Q247=FALSE),FALSE,TRUE)</f>
        <v/>
      </c>
      <c r="R248" s="1713" t="n"/>
      <c r="S248" s="835" t="n"/>
      <c r="T248" s="1726">
        <f>IF(AND(T246=FALSE,T247=FALSE),FALSE,TRUE)</f>
        <v/>
      </c>
      <c r="U248" s="978" t="n"/>
      <c r="V248" s="978" t="n"/>
      <c r="W248" s="1473" t="n"/>
      <c r="X248" s="2002" t="n"/>
      <c r="Y248" s="1478" t="n"/>
      <c r="Z248" s="2002" t="n"/>
      <c r="AA248" s="1481" t="n"/>
      <c r="AC248" s="1013" t="n"/>
      <c r="AD248" s="1014" t="n"/>
      <c r="AE248" s="1013" t="n"/>
      <c r="AF248" s="1014" t="n"/>
      <c r="AG248" s="1013" t="n"/>
      <c r="AH248" s="1014" t="n"/>
      <c r="AJ248" s="10" t="n"/>
      <c r="AK248" s="10" t="n"/>
      <c r="AL248" s="10" t="n"/>
      <c r="AQ248" s="7" t="n"/>
      <c r="AR248" s="849" t="n"/>
      <c r="AS248" s="111" t="n"/>
      <c r="AT248" s="487" t="n"/>
      <c r="AU248" s="114" t="n"/>
      <c r="AV248" s="491" t="n"/>
      <c r="AW248" s="114" t="n"/>
      <c r="AX248" s="492" t="n"/>
      <c r="AY248" s="488" t="n"/>
    </row>
    <row r="249" ht="32" customHeight="1" thickBot="1">
      <c r="B249" s="837" t="inlineStr">
        <is>
          <t>Max PFA &amp; NC</t>
        </is>
      </c>
      <c r="C249" s="838" t="n"/>
      <c r="D249" s="838">
        <f>IF(G249=G245,D245,D248)</f>
        <v/>
      </c>
      <c r="E249" s="839" t="n"/>
      <c r="F249" s="839" t="n"/>
      <c r="G249" s="839">
        <f>IF(AND(J245=TRUE,J248=FALSE),G245,IF(AND(J245=FALSE,J248=TRUE),G248,IF(AND(J245=TRUE,J248=TRUE),G245+G248,MAX(G245,G248))))</f>
        <v/>
      </c>
      <c r="H249" s="1714" t="n"/>
      <c r="I249" s="840" t="n"/>
      <c r="J249" s="841">
        <f>IF(AND(J245=FALSE,J248=FALSE),FALSE,TRUE)</f>
        <v/>
      </c>
      <c r="K249" s="1698" t="n"/>
      <c r="L249" s="1698" t="n"/>
      <c r="M249" s="1698" t="n"/>
      <c r="N249" s="1715" t="n"/>
      <c r="O249" s="1714" t="n"/>
      <c r="P249" s="840" t="n"/>
      <c r="Q249" s="841">
        <f>IF(AND(Q245=FALSE,Q248=FALSE),FALSE,TRUE)</f>
        <v/>
      </c>
      <c r="R249" s="1714" t="n"/>
      <c r="S249" s="840" t="n"/>
      <c r="T249" s="841">
        <f>IF(AND(T245=FALSE,T248=FALSE),FALSE,TRUE)</f>
        <v/>
      </c>
      <c r="U249" s="978" t="n"/>
      <c r="V249" s="978" t="inlineStr">
        <is>
          <t>et</t>
        </is>
      </c>
      <c r="W249" s="1473" t="n"/>
      <c r="X249" s="2002" t="n"/>
      <c r="Y249" s="1478" t="n"/>
      <c r="Z249" s="2002" t="n"/>
      <c r="AA249" s="1481" t="n"/>
      <c r="AC249" s="1013">
        <f>IF(J249=TRUE,"V","F")</f>
        <v/>
      </c>
      <c r="AD249" s="1014" t="n"/>
      <c r="AE249" s="1013">
        <f>IF(Q249=TRUE,"V","F")</f>
        <v/>
      </c>
      <c r="AF249" s="1014" t="n"/>
      <c r="AG249" s="1013">
        <f>IF(T249=TRUE,"V","F")</f>
        <v/>
      </c>
      <c r="AH249" s="1014" t="n"/>
      <c r="AI249">
        <f>IF(OR(AC249="V",AE249="V"),IF(G248&gt;G245,"Le NC contribue plus que le coparent","Le coparent joue un plus grand rôle que le NC"),"pas de contexte significatif de la part du coparent et NC")</f>
        <v/>
      </c>
      <c r="AJ249" s="10" t="n"/>
      <c r="AK249" s="10" t="n"/>
      <c r="AL249" s="10" t="n"/>
      <c r="AQ249" s="7" t="n"/>
      <c r="AR249" s="849" t="n"/>
      <c r="AS249" s="111" t="n"/>
      <c r="AT249" s="487" t="n"/>
      <c r="AU249" s="114" t="n"/>
      <c r="AV249" s="491" t="n"/>
      <c r="AW249" s="114" t="n"/>
      <c r="AX249" s="492" t="n"/>
      <c r="AY249" s="488" t="n"/>
    </row>
    <row r="250" ht="56" customHeight="1">
      <c r="B250" s="316">
        <f>'Action-Réaction finale'!O40</f>
        <v/>
      </c>
      <c r="C250" s="2066">
        <f>Test_Bible!B295</f>
        <v/>
      </c>
      <c r="D250" s="102" t="inlineStr">
        <is>
          <t>considère le nouveau conjoint.e comme son père ou sa mère</t>
        </is>
      </c>
      <c r="E250" s="823">
        <f>Test_Bible!P295</f>
        <v/>
      </c>
      <c r="F250" s="822">
        <f>Test_Bible!D295</f>
        <v/>
      </c>
      <c r="G250" s="823">
        <f>Test_Bible!Q295</f>
        <v/>
      </c>
      <c r="H250" s="1710" t="n">
        <v>7</v>
      </c>
      <c r="I250" s="1703">
        <f>$I$18</f>
        <v/>
      </c>
      <c r="J250" s="46">
        <f>IF(AND(E250&gt;=H250,E250&lt;=I250),TRUE,FALSE)</f>
        <v/>
      </c>
      <c r="K250" s="46" t="n"/>
      <c r="L250" s="46" t="n"/>
      <c r="M250" s="46" t="n"/>
      <c r="N250" s="1711" t="n"/>
      <c r="O250" s="1710" t="n">
        <v>4</v>
      </c>
      <c r="P250" s="1703" t="n">
        <v>7</v>
      </c>
      <c r="Q250" s="1711">
        <f>IF(AND(E250&gt;=O250,E250&lt;=P250),TRUE,FALSE)</f>
        <v/>
      </c>
      <c r="R250" s="1710" t="n"/>
      <c r="S250" s="1703" t="n"/>
      <c r="T250" s="1711" t="n"/>
      <c r="U250" s="978" t="n"/>
      <c r="V250" s="1484" t="n"/>
      <c r="W250" s="1503" t="n">
        <v>11</v>
      </c>
      <c r="X250" s="1504" t="n"/>
      <c r="Y250" s="1505" t="n">
        <v>11</v>
      </c>
      <c r="Z250" s="1504" t="n"/>
      <c r="AA250" s="1497" t="n">
        <v>11</v>
      </c>
      <c r="AC250" s="1013" t="inlineStr">
        <is>
          <t> </t>
        </is>
      </c>
      <c r="AD250" s="1014" t="n"/>
      <c r="AE250" s="1013" t="n"/>
      <c r="AF250" s="1014" t="n"/>
      <c r="AG250" s="1013" t="n"/>
      <c r="AH250" s="1014" t="n"/>
      <c r="AJ250" s="10" t="n"/>
      <c r="AK250" s="10" t="n"/>
      <c r="AL250" s="10" t="n"/>
      <c r="AQ250" s="7" t="n"/>
      <c r="AR250" s="849" t="n"/>
      <c r="AS250" s="111" t="n"/>
      <c r="AT250" s="487" t="n"/>
      <c r="AU250" s="114" t="n"/>
      <c r="AV250" s="491" t="n"/>
      <c r="AW250" s="114" t="n"/>
      <c r="AX250" s="492" t="n"/>
      <c r="AY250" s="488" t="n"/>
    </row>
    <row r="251" ht="47" customHeight="1" thickBot="1">
      <c r="B251" s="316">
        <f>'Action-Réaction finale'!O41</f>
        <v/>
      </c>
      <c r="C251" s="2066">
        <f>Test_Bible!B296</f>
        <v/>
      </c>
      <c r="D251" s="102" t="n"/>
      <c r="E251" s="823">
        <f>Test_Bible!P296</f>
        <v/>
      </c>
      <c r="F251" s="822">
        <f>Test_Bible!D296</f>
        <v/>
      </c>
      <c r="G251" s="823">
        <f>Test_Bible!Q296</f>
        <v/>
      </c>
      <c r="H251" s="1710" t="n">
        <v>7</v>
      </c>
      <c r="I251" s="1703" t="n">
        <v>10</v>
      </c>
      <c r="J251" s="46">
        <f>IF(AND(E251&gt;=H251,E251&lt;=I251),TRUE,FALSE)</f>
        <v/>
      </c>
      <c r="K251" s="46" t="n"/>
      <c r="L251" s="46" t="n"/>
      <c r="M251" s="46" t="n"/>
      <c r="N251" s="1711" t="n"/>
      <c r="O251" s="1710" t="n">
        <v>4</v>
      </c>
      <c r="P251" s="1703" t="n">
        <v>7</v>
      </c>
      <c r="Q251" s="1711">
        <f>IF(AND(E251&gt;=O251,E251&lt;=P251),TRUE,FALSE)</f>
        <v/>
      </c>
      <c r="R251" s="1735" t="n"/>
      <c r="S251" s="1736" t="n"/>
      <c r="T251" s="1711" t="n"/>
      <c r="U251" s="978" t="n"/>
      <c r="V251" s="1487" t="inlineStr">
        <is>
          <t>ou</t>
        </is>
      </c>
      <c r="W251" s="1506" t="n">
        <v>11</v>
      </c>
      <c r="X251" s="1507" t="n"/>
      <c r="Y251" s="1508" t="n">
        <v>11</v>
      </c>
      <c r="Z251" s="1507" t="n"/>
      <c r="AA251" s="1502" t="n">
        <v>11</v>
      </c>
      <c r="AC251" s="1013" t="n"/>
      <c r="AD251" s="1014" t="n"/>
      <c r="AE251" s="1013" t="n"/>
      <c r="AF251" s="1014" t="n"/>
      <c r="AG251" s="1013" t="n"/>
      <c r="AH251" s="1014" t="n"/>
      <c r="AJ251" s="10" t="n"/>
      <c r="AK251" s="10" t="n"/>
      <c r="AL251" s="10" t="n"/>
      <c r="AQ251" s="7" t="n"/>
      <c r="AR251" s="849" t="n"/>
      <c r="AS251" s="111" t="n"/>
      <c r="AT251" s="487" t="n"/>
      <c r="AU251" s="114" t="n"/>
      <c r="AV251" s="491" t="n"/>
      <c r="AW251" s="114" t="n"/>
      <c r="AX251" s="492" t="n"/>
      <c r="AY251" s="488" t="n"/>
    </row>
    <row r="252" ht="32" customHeight="1" thickBot="1">
      <c r="B252" s="842" t="inlineStr">
        <is>
          <t>Max Enf</t>
        </is>
      </c>
      <c r="C252" s="843">
        <f>_xlfn.XLOOKUP(G252,G250:G251,C250:C251)</f>
        <v/>
      </c>
      <c r="D252" s="843">
        <f>_xlfn.XLOOKUP(G252,G250:G251,D250:D251)</f>
        <v/>
      </c>
      <c r="E252" s="844" t="n"/>
      <c r="F252" s="844" t="n"/>
      <c r="G252" s="844">
        <f>IF(AND(J250=TRUE,J251=FALSE),G250,IF(AND(J250=FALSE,J251=TRUE),G251,MAX(G250,G251)))</f>
        <v/>
      </c>
      <c r="H252" s="1716" t="n"/>
      <c r="I252" s="845" t="n"/>
      <c r="J252" s="846">
        <f>IF(AND(J250=FALSE,J251=FALSE),FALSE,TRUE)</f>
        <v/>
      </c>
      <c r="K252" s="1699" t="n"/>
      <c r="L252" s="1699" t="n"/>
      <c r="M252" s="1699" t="n"/>
      <c r="N252" s="1717" t="n"/>
      <c r="O252" s="1716" t="n"/>
      <c r="P252" s="845" t="n"/>
      <c r="Q252" s="846">
        <f>IF(AND(Q250=FALSE,Q251=FALSE),FALSE,TRUE)</f>
        <v/>
      </c>
      <c r="R252" s="1716" t="n"/>
      <c r="S252" s="845" t="n"/>
      <c r="T252" s="846" t="n"/>
      <c r="U252" s="978" t="n"/>
      <c r="V252" s="978" t="n"/>
      <c r="W252" s="1475" t="n"/>
      <c r="Y252" s="1479" t="n"/>
      <c r="AA252" s="1483" t="n"/>
      <c r="AC252" s="1013">
        <f>IF(J252=TRUE,"V","F")</f>
        <v/>
      </c>
      <c r="AD252" s="1014" t="n"/>
      <c r="AE252" s="1013">
        <f>IF(Q252=TRUE,"V","F")</f>
        <v/>
      </c>
      <c r="AF252" s="1014" t="n"/>
      <c r="AG252" s="1013" t="n"/>
      <c r="AH252" s="1014" t="n"/>
      <c r="AJ252" s="10" t="n"/>
      <c r="AK252" s="10" t="n"/>
      <c r="AL252" s="10" t="n"/>
      <c r="AR252" s="849" t="n"/>
      <c r="AS252" s="111" t="n"/>
      <c r="AT252" s="487" t="n"/>
      <c r="AU252" s="114" t="n"/>
      <c r="AV252" s="491" t="n"/>
      <c r="AW252" s="114" t="n"/>
      <c r="AX252" s="492" t="n"/>
      <c r="AY252" s="488" t="n"/>
    </row>
    <row r="253" ht="32" customHeight="1">
      <c r="C253" s="428" t="inlineStr">
        <is>
          <t>COMPARATIF Comportement PFA-Enf</t>
        </is>
      </c>
      <c r="D253" s="2058" t="n"/>
      <c r="E253" s="484" t="inlineStr">
        <is>
          <t>Valeur =&gt;</t>
        </is>
      </c>
      <c r="F253" s="48" t="n"/>
      <c r="G253" s="48">
        <f>G245+G248+G252</f>
        <v/>
      </c>
      <c r="H253" s="1718" t="n"/>
      <c r="I253" s="485" t="n"/>
      <c r="J253" s="1701" t="n"/>
      <c r="K253" s="1702">
        <f>IF(AND(J252=TRUE,J249=TRUE),D252,"")</f>
        <v/>
      </c>
      <c r="L253" s="1702">
        <f>IF(AND(J249=TRUE,J252=FALSE),"Bien que le parent "&amp;D249&amp;" l'enfant ne semble pas s'ingérer","")</f>
        <v/>
      </c>
      <c r="M253" s="1702">
        <f>IF(AND(J249=FALSE,J252=TRUE),D252&amp;" sans signe de la participation du parent favorisé et|ou nouveau conjoint.e","")</f>
        <v/>
      </c>
      <c r="N253" s="1719">
        <f>IF(AND(J249=FALSE,J252=FALSE),"aucun comportement significatif de cette nature","")</f>
        <v/>
      </c>
      <c r="O253" s="1718" t="n"/>
      <c r="P253" s="485" t="n"/>
      <c r="Q253" s="1727" t="n"/>
      <c r="R253" s="1718" t="n"/>
      <c r="S253" s="485" t="n"/>
      <c r="T253" s="1727" t="n"/>
      <c r="U253" s="980" t="n"/>
      <c r="V253" s="980" t="n"/>
      <c r="W253" s="1475" t="n"/>
      <c r="Y253" s="1479" t="n"/>
      <c r="AA253" s="1483" t="n"/>
      <c r="AC253" s="1015" t="n"/>
      <c r="AD253" s="1016">
        <f>IF(AND(AC249="V",AC252="V"),2,IF(OR(AC249="V",AC252="V"),1,0))</f>
        <v/>
      </c>
      <c r="AE253" s="1015" t="n"/>
      <c r="AF253" s="1016">
        <f>IF(OR(AE249="V",AE252="V"),1,0)</f>
        <v/>
      </c>
      <c r="AG253" s="1015" t="n"/>
      <c r="AH253" s="1016" t="n"/>
      <c r="AJ253" s="10" t="n"/>
      <c r="AK253" s="10" t="n"/>
      <c r="AL253" s="10" t="n"/>
      <c r="AR253" s="849" t="n"/>
      <c r="AS253" s="111" t="n"/>
      <c r="AT253" s="487" t="n"/>
      <c r="AU253" s="114" t="n"/>
      <c r="AV253" s="491" t="n"/>
      <c r="AW253" s="114" t="n"/>
      <c r="AX253" s="492" t="n"/>
      <c r="AY253" s="488" t="n"/>
    </row>
    <row r="254" ht="32" customHeight="1">
      <c r="B254" t="inlineStr">
        <is>
          <t>PCR</t>
        </is>
      </c>
      <c r="H254" s="147" t="n"/>
      <c r="K254" s="1992" t="n"/>
      <c r="L254" s="1992" t="n"/>
      <c r="M254" s="1992" t="n"/>
      <c r="N254" s="1740" t="n"/>
      <c r="O254" s="147" t="n"/>
      <c r="Q254" s="330" t="n"/>
      <c r="R254" s="147" t="n"/>
      <c r="T254" s="330" t="n"/>
      <c r="U254" s="1992" t="n"/>
      <c r="W254" s="1475" t="n"/>
      <c r="Y254" s="1479" t="n"/>
      <c r="AA254" s="1483" t="n"/>
      <c r="AC254" s="1013" t="n"/>
      <c r="AD254" s="1014" t="n"/>
      <c r="AE254" s="1013" t="n"/>
      <c r="AF254" s="1014" t="n"/>
      <c r="AG254" s="1013" t="n"/>
      <c r="AH254" s="1014" t="n"/>
      <c r="AJ254" s="10" t="n"/>
      <c r="AK254" s="10" t="n"/>
      <c r="AL254" s="10" t="n"/>
      <c r="AR254" s="849" t="n"/>
      <c r="AS254" s="111" t="n"/>
      <c r="AT254" s="487" t="n"/>
      <c r="AU254" s="114" t="n"/>
      <c r="AV254" s="491" t="n"/>
      <c r="AW254" s="114" t="n"/>
      <c r="AX254" s="492" t="n"/>
      <c r="AY254" s="488" t="n"/>
    </row>
    <row r="255" ht="32" customHeight="1">
      <c r="B255" s="1017" t="n"/>
      <c r="C255" s="1025" t="n"/>
      <c r="D255" s="1018" t="n"/>
      <c r="E255" s="1026" t="n"/>
      <c r="F255" s="1026" t="n"/>
      <c r="G255" s="1026" t="n"/>
      <c r="H255" s="1735" t="n">
        <v>11</v>
      </c>
      <c r="I255" s="1736" t="n">
        <v>11</v>
      </c>
      <c r="J255" s="46">
        <f>IF(AND(E255&gt;=H255,E255&lt;=I255),TRUE,FALSE)</f>
        <v/>
      </c>
      <c r="K255" s="33" t="n"/>
      <c r="L255" s="33" t="n"/>
      <c r="M255" s="33" t="n"/>
      <c r="N255" s="1720" t="n"/>
      <c r="O255" s="1735" t="n">
        <v>11</v>
      </c>
      <c r="P255" s="1736" t="n">
        <v>11</v>
      </c>
      <c r="Q255" s="1711">
        <f>IF(AND(E255&gt;=O255,E255&lt;=P255),TRUE,FALSE)</f>
        <v/>
      </c>
      <c r="R255" s="1735" t="n">
        <v>11</v>
      </c>
      <c r="S255" s="1736" t="n">
        <v>11</v>
      </c>
      <c r="T255" s="1711">
        <f>IF(AND(E255&gt;=R255,E255&lt;=S255),TRUE,FALSE)</f>
        <v/>
      </c>
      <c r="U255" s="1992" t="n"/>
      <c r="V255" s="1509" t="n"/>
      <c r="W255" s="1503" t="n">
        <v>11</v>
      </c>
      <c r="X255" s="1504" t="n"/>
      <c r="Y255" s="1505" t="n">
        <v>11</v>
      </c>
      <c r="Z255" s="1504" t="n"/>
      <c r="AA255" s="1497" t="n">
        <v>11</v>
      </c>
      <c r="AC255" s="1013" t="n"/>
      <c r="AD255" s="1014" t="n"/>
      <c r="AE255" s="1013" t="n"/>
      <c r="AF255" s="1014" t="n"/>
      <c r="AG255" s="1013" t="n"/>
      <c r="AH255" s="1014" t="n"/>
      <c r="AJ255" s="10" t="n"/>
      <c r="AK255" s="10" t="n"/>
      <c r="AL255" s="10" t="n"/>
      <c r="AR255" s="849" t="n"/>
      <c r="AS255" s="111" t="n"/>
      <c r="AT255" s="487" t="n"/>
      <c r="AU255" s="114" t="n"/>
      <c r="AV255" s="491" t="n"/>
      <c r="AW255" s="114" t="n"/>
      <c r="AX255" s="492" t="n"/>
      <c r="AY255" s="488" t="n"/>
    </row>
    <row r="256" ht="32" customHeight="1" thickBot="1">
      <c r="B256" s="1017" t="n"/>
      <c r="C256" s="1025" t="n"/>
      <c r="D256" s="1018" t="n"/>
      <c r="E256" s="1026" t="n"/>
      <c r="F256" s="1026" t="n"/>
      <c r="G256" s="1026" t="n"/>
      <c r="H256" s="1735" t="n">
        <v>11</v>
      </c>
      <c r="I256" s="1736" t="n">
        <v>11</v>
      </c>
      <c r="J256" s="46">
        <f>IF(AND(E256&gt;=H256,E256&lt;=I256),TRUE,FALSE)</f>
        <v/>
      </c>
      <c r="K256" s="33" t="n"/>
      <c r="L256" s="33" t="n"/>
      <c r="M256" s="33" t="n"/>
      <c r="N256" s="1720" t="n"/>
      <c r="O256" s="1735" t="n">
        <v>11</v>
      </c>
      <c r="P256" s="1736" t="n">
        <v>11</v>
      </c>
      <c r="Q256" s="1711">
        <f>IF(AND(E256&gt;=O256,E256&lt;=P256),TRUE,FALSE)</f>
        <v/>
      </c>
      <c r="R256" s="1735" t="n">
        <v>11</v>
      </c>
      <c r="S256" s="1736" t="n">
        <v>11</v>
      </c>
      <c r="T256" s="1711">
        <f>IF(AND(E256&gt;=R256,E256&lt;=S256),TRUE,FALSE)</f>
        <v/>
      </c>
      <c r="V256" s="1510" t="n"/>
      <c r="W256" s="1506" t="n">
        <v>11</v>
      </c>
      <c r="X256" s="1507" t="n"/>
      <c r="Y256" s="1508" t="n">
        <v>11</v>
      </c>
      <c r="Z256" s="1507" t="n"/>
      <c r="AA256" s="1502" t="n">
        <v>11</v>
      </c>
      <c r="AC256" s="1013" t="n"/>
      <c r="AD256" s="1014" t="n"/>
      <c r="AE256" s="1013" t="n"/>
      <c r="AF256" s="1014" t="n"/>
      <c r="AG256" s="1013" t="n"/>
      <c r="AH256" s="1014" t="n"/>
      <c r="AJ256" s="10" t="n"/>
      <c r="AK256" s="10" t="n"/>
      <c r="AL256" s="10" t="n"/>
      <c r="AS256" s="111" t="n"/>
      <c r="AT256" s="487" t="n"/>
      <c r="AU256" s="110" t="n"/>
      <c r="AV256" s="489" t="n"/>
      <c r="AW256" s="110" t="n"/>
      <c r="AX256" s="111" t="n"/>
      <c r="AY256" s="110" t="n"/>
    </row>
    <row r="257" ht="32" customHeight="1" thickBot="1">
      <c r="C257" s="2073" t="n"/>
      <c r="D257" s="2073" t="n"/>
      <c r="E257" s="90" t="n"/>
      <c r="F257" s="483" t="n"/>
      <c r="G257" s="483" t="n"/>
      <c r="H257" s="1732" t="n"/>
      <c r="I257" s="1733" t="n"/>
      <c r="J257" s="1739">
        <f>IF(AND(J255=FALSE,J256=FALSE),FALSE,TRUE)</f>
        <v/>
      </c>
      <c r="K257" s="1721" t="n"/>
      <c r="L257" s="1722" t="n"/>
      <c r="M257" s="1722" t="n"/>
      <c r="N257" s="1723" t="n"/>
      <c r="O257" s="1732" t="n"/>
      <c r="P257" s="1733" t="n"/>
      <c r="Q257" s="1739">
        <f>IF(AND(Q255=FALSE,Q256=FALSE),FALSE,TRUE)</f>
        <v/>
      </c>
      <c r="R257" s="1744" t="n"/>
      <c r="S257" s="1745" t="n"/>
      <c r="T257" s="1746">
        <f>IF(AND(T255=FALSE,T256=FALSE),FALSE,TRUE)</f>
        <v/>
      </c>
      <c r="U257" s="980" t="n"/>
      <c r="AC257" s="1650">
        <f>IF(J257=TRUE,"V","F")</f>
        <v/>
      </c>
      <c r="AD257" s="1651" t="n"/>
      <c r="AE257" s="1650">
        <f>IF(Q257=TRUE,"V","F")</f>
        <v/>
      </c>
      <c r="AF257" s="1651" t="n"/>
      <c r="AG257" s="1650">
        <f>IF(T257=TRUE,"V","F")</f>
        <v/>
      </c>
      <c r="AH257" s="1651" t="n"/>
      <c r="AJ257" s="10" t="n"/>
      <c r="AK257" s="10" t="n"/>
      <c r="AL257" s="10" t="n"/>
      <c r="AS257" s="111" t="n"/>
      <c r="AT257" s="487" t="n"/>
      <c r="AU257" s="110" t="n"/>
      <c r="AV257" s="489" t="n"/>
      <c r="AW257" s="110" t="n"/>
      <c r="AX257" s="111" t="n"/>
      <c r="AY257" s="110" t="n"/>
    </row>
    <row r="258" ht="32" customHeight="1" thickBot="1">
      <c r="C258" s="2073" t="n"/>
      <c r="D258" s="2073" t="n"/>
      <c r="E258" s="90" t="n"/>
      <c r="F258" s="483" t="n"/>
      <c r="G258" s="483" t="n"/>
      <c r="H258" s="2002" t="n"/>
      <c r="I258" s="2002" t="n"/>
      <c r="J258" s="979" t="n"/>
      <c r="K258" s="980" t="n"/>
      <c r="L258" s="980" t="n"/>
      <c r="M258" s="980" t="n"/>
      <c r="N258" s="980" t="n"/>
      <c r="O258" s="980" t="n"/>
      <c r="P258" s="980" t="n"/>
      <c r="Q258" s="980" t="n"/>
      <c r="R258" s="980" t="n"/>
      <c r="S258" s="980" t="n"/>
      <c r="T258" s="980" t="n"/>
      <c r="U258" s="980" t="n"/>
      <c r="V258" s="980" t="n"/>
      <c r="AC258" s="1737" t="n"/>
      <c r="AD258" s="1738">
        <f>IF(AND(AC257="V",AC249="V"),AD253-1,AD253)</f>
        <v/>
      </c>
      <c r="AE258" s="1737" t="n"/>
      <c r="AF258" s="1738">
        <f>IF(OR(AE249="V",AE252="V",AE257="V"),1,0)</f>
        <v/>
      </c>
      <c r="AG258" s="1737" t="n"/>
      <c r="AH258" s="1738">
        <f>IF(AG249="V",1,IF(AG257="V",1,0))</f>
        <v/>
      </c>
      <c r="AJ258" s="10" t="n">
        <v>1</v>
      </c>
      <c r="AK258" s="10" t="n">
        <v>1</v>
      </c>
      <c r="AL258" s="10" t="n">
        <v>1</v>
      </c>
      <c r="AS258" s="111" t="n"/>
      <c r="AT258" s="487" t="n"/>
      <c r="AU258" s="110" t="n"/>
      <c r="AV258" s="489" t="n"/>
      <c r="AW258" s="110" t="n"/>
      <c r="AX258" s="111" t="n"/>
      <c r="AY258" s="110" t="n"/>
    </row>
    <row r="259" ht="32" customHeight="1">
      <c r="D259" s="847" t="n"/>
      <c r="E259" s="97" t="n"/>
      <c r="F259" s="97" t="n"/>
      <c r="G259" s="97" t="n"/>
      <c r="H259" s="1704" t="n"/>
      <c r="I259" s="1705" t="n"/>
      <c r="J259" s="1706" t="n"/>
      <c r="K259" s="2056" t="n"/>
      <c r="L259" s="709" t="n"/>
      <c r="M259" s="709" t="n"/>
      <c r="N259" s="1707" t="n"/>
      <c r="O259" s="1724" t="n"/>
      <c r="P259" s="1706" t="n"/>
      <c r="Q259" s="1707" t="n"/>
      <c r="R259" s="1724" t="n"/>
      <c r="S259" s="1706" t="n"/>
      <c r="T259" s="1707" t="n"/>
      <c r="U259" s="97" t="n"/>
      <c r="V259" s="97" t="n"/>
      <c r="AB259" s="116" t="n"/>
      <c r="AC259" s="1756" t="n"/>
      <c r="AD259" s="1757" t="n"/>
      <c r="AE259" s="1490" t="n"/>
      <c r="AF259" s="1490" t="n"/>
      <c r="AG259" s="1490" t="n"/>
      <c r="AH259" s="1490" t="n"/>
      <c r="AJ259" s="10" t="n"/>
      <c r="AK259" s="10" t="n"/>
      <c r="AL259" s="10" t="n"/>
      <c r="AS259" s="111" t="n"/>
      <c r="AT259" s="487" t="n"/>
      <c r="AU259" s="110" t="n"/>
      <c r="AV259" s="489" t="n"/>
      <c r="AW259" s="110" t="n"/>
      <c r="AX259" s="111" t="n"/>
      <c r="AY259" s="110" t="n"/>
    </row>
    <row r="260" ht="32" customHeight="1">
      <c r="A260" s="853" t="n">
        <v>13</v>
      </c>
      <c r="C260" s="486">
        <f>'Action-Réaction finale'!F43</f>
        <v/>
      </c>
      <c r="D260" s="108" t="n"/>
      <c r="E260" s="66" t="n"/>
      <c r="F260" s="18" t="n"/>
      <c r="G260" s="18" t="n"/>
      <c r="H260" s="2052" t="inlineStr">
        <is>
          <t>AP</t>
        </is>
      </c>
      <c r="K260" s="2055" t="inlineStr">
        <is>
          <t>Dynamique d'AP</t>
        </is>
      </c>
      <c r="N260" s="330" t="n"/>
      <c r="O260" s="2122" t="inlineStr">
        <is>
          <t>CL</t>
        </is>
      </c>
      <c r="Q260" s="330" t="n"/>
      <c r="R260" s="2123" t="inlineStr">
        <is>
          <t>CSS</t>
        </is>
      </c>
      <c r="T260" s="330" t="n"/>
      <c r="U260" s="15" t="n"/>
      <c r="V260" s="15" t="n"/>
      <c r="AC260" s="1009" t="n"/>
      <c r="AD260" s="1009" t="n"/>
      <c r="AE260" s="1009" t="n"/>
      <c r="AF260" s="1009" t="n"/>
      <c r="AG260" s="1009" t="n"/>
      <c r="AH260" s="1010" t="n"/>
      <c r="AJ260" s="10" t="n"/>
      <c r="AK260" s="10" t="n"/>
      <c r="AL260" s="10" t="n"/>
      <c r="AS260" s="111" t="n"/>
      <c r="AT260" s="487" t="n"/>
      <c r="AU260" s="110" t="n"/>
      <c r="AV260" s="489" t="n"/>
      <c r="AW260" s="110" t="n"/>
      <c r="AX260" s="111" t="n"/>
      <c r="AY260" s="110" t="n"/>
    </row>
    <row r="261" ht="32" customHeight="1">
      <c r="C261" s="103" t="inlineStr">
        <is>
          <t>Questions et sous-questions</t>
        </is>
      </c>
      <c r="D261" s="1043" t="inlineStr">
        <is>
          <t>Texte écourté pour titrer dans les baromètres ou rapport</t>
        </is>
      </c>
      <c r="E261" s="33" t="inlineStr">
        <is>
          <t>Valeur de base
Fréquence (F)</t>
        </is>
      </c>
      <c r="F261" s="33" t="inlineStr">
        <is>
          <t>Valeur de base
intensité (I)</t>
        </is>
      </c>
      <c r="G261" s="33" t="inlineStr">
        <is>
          <t>F * I</t>
        </is>
      </c>
      <c r="H261" s="1708" t="inlineStr">
        <is>
          <t>Condition Fréq. 
&gt;= que</t>
        </is>
      </c>
      <c r="I261" s="44" t="inlineStr">
        <is>
          <t>Condition Fré
&lt;= que</t>
        </is>
      </c>
      <c r="J261" s="44" t="inlineStr">
        <is>
          <t>Condition respectée</t>
        </is>
      </c>
      <c r="K261" s="44" t="inlineStr">
        <is>
          <t>"VRAI" (PF&amp;NC) /  "VRAI" (Enf)</t>
        </is>
      </c>
      <c r="L261" s="44" t="inlineStr">
        <is>
          <t>Vrai (PF&amp;NC) /  Faux (Enf)</t>
        </is>
      </c>
      <c r="M261" s="44" t="inlineStr">
        <is>
          <t>Faux (PF&amp;NC) /  Vrai (Enf)</t>
        </is>
      </c>
      <c r="N261" s="1709" t="inlineStr">
        <is>
          <t>Faux (PF&amp;NC) /  Faux(Enf)</t>
        </is>
      </c>
      <c r="O261" s="1708" t="inlineStr">
        <is>
          <t>Condition Fréq. 
&gt;= que</t>
        </is>
      </c>
      <c r="P261" s="44" t="inlineStr">
        <is>
          <t>Condition Fré
&lt;= que</t>
        </is>
      </c>
      <c r="Q261" s="1709" t="inlineStr">
        <is>
          <t>Condition respectée</t>
        </is>
      </c>
      <c r="R261" s="1708" t="inlineStr">
        <is>
          <t>Condition Fréq. 
&gt;= que</t>
        </is>
      </c>
      <c r="S261" s="44" t="inlineStr">
        <is>
          <t>Condition Fré
&lt;= que</t>
        </is>
      </c>
      <c r="T261" s="1709" t="inlineStr">
        <is>
          <t>Condition respectée</t>
        </is>
      </c>
      <c r="U261" s="851" t="n"/>
      <c r="V261" s="1008" t="inlineStr">
        <is>
          <t>Condition</t>
        </is>
      </c>
      <c r="W261" s="1472" t="inlineStr">
        <is>
          <t>AP</t>
        </is>
      </c>
      <c r="X261" s="1008" t="inlineStr">
        <is>
          <t>Condition</t>
        </is>
      </c>
      <c r="Y261" s="1476" t="inlineStr">
        <is>
          <t>CL</t>
        </is>
      </c>
      <c r="Z261" s="1008" t="n"/>
      <c r="AA261" s="1480" t="inlineStr">
        <is>
          <t>CSS</t>
        </is>
      </c>
      <c r="AC261" s="1023" t="inlineStr">
        <is>
          <t>AP</t>
        </is>
      </c>
      <c r="AD261" s="1024" t="inlineStr">
        <is>
          <t>AP_F</t>
        </is>
      </c>
      <c r="AE261" s="1023" t="inlineStr">
        <is>
          <t>CL</t>
        </is>
      </c>
      <c r="AF261" s="1024" t="inlineStr">
        <is>
          <t>CL_F</t>
        </is>
      </c>
      <c r="AG261" s="1023" t="inlineStr">
        <is>
          <t>CSS</t>
        </is>
      </c>
      <c r="AH261" s="1024" t="inlineStr">
        <is>
          <t>CSS_F</t>
        </is>
      </c>
      <c r="AJ261" s="10" t="n"/>
      <c r="AK261" s="10" t="n"/>
      <c r="AL261" s="10" t="n"/>
      <c r="AS261" s="111" t="n"/>
      <c r="AT261" s="487" t="n"/>
      <c r="AU261" s="110" t="n"/>
      <c r="AV261" s="489" t="n"/>
      <c r="AW261" s="110" t="n"/>
      <c r="AX261" s="111" t="n"/>
      <c r="AY261" s="110" t="n"/>
      <c r="BK261" s="100" t="n"/>
      <c r="BL261" s="105" t="n"/>
    </row>
    <row r="262" ht="52" customHeight="1">
      <c r="B262" s="421">
        <f>'Action-Réaction finale'!G43</f>
        <v/>
      </c>
      <c r="C262" s="2066">
        <f>Test_Bible!B189</f>
        <v/>
      </c>
      <c r="D262" s="102" t="inlineStr">
        <is>
          <t>impose des changements d'horaire sans consultation auprès de l'autre</t>
        </is>
      </c>
      <c r="E262" s="823">
        <f>Test_Bible!P189</f>
        <v/>
      </c>
      <c r="F262" s="822">
        <f>Test_Bible!D189</f>
        <v/>
      </c>
      <c r="G262" s="823">
        <f>Test_Bible!Q189</f>
        <v/>
      </c>
      <c r="H262" s="1710" t="n">
        <v>4</v>
      </c>
      <c r="I262" s="1703" t="n">
        <v>10</v>
      </c>
      <c r="J262" s="46">
        <f>IF(AND(E262&gt;=H262,E262&lt;=I262),TRUE,FALSE)</f>
        <v/>
      </c>
      <c r="K262" s="46" t="n"/>
      <c r="L262" s="46" t="n"/>
      <c r="M262" s="46" t="n"/>
      <c r="N262" s="1711" t="n"/>
      <c r="O262" s="1735" t="n">
        <v>11</v>
      </c>
      <c r="P262" s="1736" t="n">
        <v>11</v>
      </c>
      <c r="Q262" s="1711">
        <f>IF(AND(E262&gt;=O262,E262&lt;=P262),TRUE,FALSE)</f>
        <v/>
      </c>
      <c r="R262" s="1710" t="n">
        <v>4</v>
      </c>
      <c r="S262" s="1703" t="n">
        <v>7</v>
      </c>
      <c r="T262" s="1711">
        <f>IF(AND(E262&gt;=R262,E262&lt;=S262),TRUE,FALSE)</f>
        <v/>
      </c>
      <c r="U262" s="1681" t="n"/>
      <c r="V262" s="1484" t="n"/>
      <c r="W262" s="1485" t="n">
        <v>4</v>
      </c>
      <c r="X262" s="2029" t="n"/>
      <c r="Y262" s="1505" t="n">
        <v>11</v>
      </c>
      <c r="Z262" s="1504" t="n"/>
      <c r="AA262" s="1496" t="n">
        <v>2</v>
      </c>
      <c r="AC262" s="1011" t="n"/>
      <c r="AD262" s="1012" t="n"/>
      <c r="AE262" s="1011" t="n"/>
      <c r="AF262" s="1012" t="n"/>
      <c r="AG262" s="1011" t="n"/>
      <c r="AH262" s="1012" t="n"/>
      <c r="AJ262" s="10" t="n"/>
      <c r="AK262" s="10" t="n"/>
      <c r="AL262" s="10" t="n"/>
      <c r="AS262" s="111" t="n"/>
      <c r="AT262" s="487" t="n"/>
      <c r="AU262" s="110" t="n"/>
      <c r="AV262" s="489" t="n"/>
      <c r="AW262" s="110" t="n"/>
      <c r="AX262" s="111" t="n"/>
      <c r="AY262" s="110" t="n"/>
      <c r="BK262" s="1992" t="n"/>
      <c r="BL262" s="96" t="n"/>
      <c r="BM262" s="10" t="n"/>
      <c r="BN262" s="96" t="n"/>
      <c r="BO262" s="10" t="n"/>
      <c r="BP262" s="10" t="n"/>
      <c r="BQ262" s="96" t="n"/>
      <c r="BR262" s="10" t="n"/>
      <c r="BS262" s="10" t="n"/>
      <c r="BT262" s="96" t="n"/>
    </row>
    <row r="263" ht="52" customHeight="1">
      <c r="B263" s="421">
        <f>'Action-Réaction finale'!G44</f>
        <v/>
      </c>
      <c r="C263" s="799">
        <f>Test_Bible!B190</f>
        <v/>
      </c>
      <c r="D263" s="102" t="inlineStr">
        <is>
          <t>ne respecte pas les heures entendues</t>
        </is>
      </c>
      <c r="E263" s="823">
        <f>Test_Bible!P190</f>
        <v/>
      </c>
      <c r="F263" s="822">
        <f>Test_Bible!D190</f>
        <v/>
      </c>
      <c r="G263" s="823">
        <f>Test_Bible!Q190</f>
        <v/>
      </c>
      <c r="H263" s="1710" t="n">
        <v>4</v>
      </c>
      <c r="I263" s="1703" t="n">
        <v>10</v>
      </c>
      <c r="J263" s="46">
        <f>IF(AND(E263&gt;=H263,E263&lt;=I263),TRUE,FALSE)</f>
        <v/>
      </c>
      <c r="K263" s="46" t="n"/>
      <c r="L263" s="46" t="n"/>
      <c r="M263" s="46" t="n"/>
      <c r="N263" s="1711" t="n"/>
      <c r="O263" s="1735" t="n">
        <v>11</v>
      </c>
      <c r="P263" s="1736" t="n">
        <v>11</v>
      </c>
      <c r="Q263" s="1711">
        <f>IF(AND(E263&gt;=O263,E263&lt;=P263),TRUE,FALSE)</f>
        <v/>
      </c>
      <c r="R263" s="1710" t="n">
        <v>2</v>
      </c>
      <c r="S263" s="1703" t="n">
        <v>7</v>
      </c>
      <c r="T263" s="1711">
        <f>IF(AND(E263&gt;=R263,E263&lt;=S263),TRUE,FALSE)</f>
        <v/>
      </c>
      <c r="U263" s="978" t="n"/>
      <c r="V263" s="1487" t="inlineStr">
        <is>
          <t>ou</t>
        </is>
      </c>
      <c r="W263" s="1492" t="n">
        <v>4</v>
      </c>
      <c r="X263" s="1493" t="n"/>
      <c r="Y263" s="1508" t="n">
        <v>11</v>
      </c>
      <c r="Z263" s="1507" t="n"/>
      <c r="AA263" s="1495" t="n">
        <v>2</v>
      </c>
      <c r="AC263" s="1013" t="n"/>
      <c r="AD263" s="1014" t="n"/>
      <c r="AE263" s="1013" t="n"/>
      <c r="AF263" s="1014" t="n"/>
      <c r="AG263" s="1013" t="n"/>
      <c r="AH263" s="1014" t="n"/>
      <c r="AJ263" s="10" t="n"/>
      <c r="AK263" s="10" t="n"/>
      <c r="AL263" s="10" t="n"/>
      <c r="AS263" s="111" t="n"/>
      <c r="AT263" s="487" t="n"/>
      <c r="AU263" s="110" t="n"/>
      <c r="AV263" s="489" t="n"/>
      <c r="AW263" s="110" t="n"/>
      <c r="AX263" s="111" t="n"/>
      <c r="AY263" s="110" t="n"/>
      <c r="BK263" s="99" t="n"/>
      <c r="BL263" s="2073" t="n"/>
      <c r="BM263" s="7" t="n"/>
      <c r="BN263" s="92" t="n"/>
      <c r="BO263" s="7" t="n"/>
      <c r="BP263" s="7" t="n"/>
      <c r="BQ263" s="7" t="n"/>
      <c r="BR263" s="7" t="n"/>
      <c r="BS263" s="7" t="n"/>
      <c r="BT263" s="2057" t="n"/>
      <c r="BU263" s="2002" t="n"/>
    </row>
    <row r="264" ht="32" customHeight="1">
      <c r="B264" s="825" t="inlineStr">
        <is>
          <t>Max PFA</t>
        </is>
      </c>
      <c r="C264" s="826" t="n"/>
      <c r="D264" s="827">
        <f>_xlfn.XLOOKUP(G264,G262:G263,D262:D263)</f>
        <v/>
      </c>
      <c r="E264" s="828" t="n"/>
      <c r="F264" s="828" t="n"/>
      <c r="G264" s="828">
        <f>IF(AND(J262=TRUE,J263=FALSE),G262,IF(AND(J262=FALSE,J263=TRUE),G263,MAX(G262,G263)))</f>
        <v/>
      </c>
      <c r="H264" s="1712" t="n"/>
      <c r="I264" s="829" t="n"/>
      <c r="J264" s="830">
        <f>IF(AND(J262=FALSE,J263=FALSE),FALSE,TRUE)</f>
        <v/>
      </c>
      <c r="K264" s="46" t="n"/>
      <c r="L264" s="46" t="n"/>
      <c r="M264" s="46" t="n"/>
      <c r="N264" s="1711" t="n"/>
      <c r="O264" s="1712" t="n"/>
      <c r="P264" s="829" t="n"/>
      <c r="Q264" s="1725">
        <f>IF(AND(Q262=FALSE,Q263=FALSE),FALSE,TRUE)</f>
        <v/>
      </c>
      <c r="R264" s="1712" t="n"/>
      <c r="S264" s="829" t="n"/>
      <c r="T264" s="1725">
        <f>IF(AND(T262=FALSE,T263=FALSE),FALSE,TRUE)</f>
        <v/>
      </c>
      <c r="U264" s="978" t="n"/>
      <c r="V264" s="978" t="inlineStr">
        <is>
          <t>ou</t>
        </is>
      </c>
      <c r="W264" s="1473" t="n"/>
      <c r="X264" s="2002" t="n"/>
      <c r="Y264" s="1511" t="n"/>
      <c r="Z264" s="1512" t="n"/>
      <c r="AA264" s="1481" t="n"/>
      <c r="AC264" s="1013" t="n"/>
      <c r="AD264" s="1014" t="n"/>
      <c r="AE264" s="1013" t="n"/>
      <c r="AF264" s="1014" t="n"/>
      <c r="AG264" s="1013" t="n"/>
      <c r="AH264" s="1014" t="n"/>
      <c r="AJ264" s="10" t="n"/>
      <c r="AK264" s="10" t="n"/>
      <c r="AL264" s="10" t="n"/>
      <c r="AS264" s="111" t="n"/>
      <c r="AT264" s="487" t="n"/>
      <c r="AU264" s="110" t="n"/>
      <c r="AV264" s="489" t="n"/>
      <c r="AW264" s="110" t="n"/>
      <c r="AX264" s="111" t="n"/>
      <c r="AY264" s="110" t="n"/>
      <c r="BK264" s="99" t="n"/>
      <c r="BN264" s="92" t="n"/>
      <c r="BO264" s="7" t="n"/>
      <c r="BP264" s="7" t="n"/>
      <c r="BQ264" s="7" t="n"/>
      <c r="BR264" s="7" t="n"/>
    </row>
    <row r="265" ht="70" customHeight="1">
      <c r="B265" s="53">
        <f>'Action-Réaction finale'!K43</f>
        <v/>
      </c>
      <c r="C265" s="2066">
        <f>Test_Bible!B402</f>
        <v/>
      </c>
      <c r="D265" s="102" t="inlineStr">
        <is>
          <t>Le nouveau conjoint.e impose des changements d'horaire sans consultation auprès de l'autre</t>
        </is>
      </c>
      <c r="E265" s="823">
        <f>Test_Bible!P402</f>
        <v/>
      </c>
      <c r="F265" s="822">
        <f>Test_Bible!D402</f>
        <v/>
      </c>
      <c r="G265" s="823">
        <f>Test_Bible!Q402</f>
        <v/>
      </c>
      <c r="H265" s="1710" t="n">
        <v>4</v>
      </c>
      <c r="I265" s="1703" t="n">
        <v>10</v>
      </c>
      <c r="J265" s="46">
        <f>IF(AND(E265&gt;=H265,E265&lt;=I265),TRUE,FALSE)</f>
        <v/>
      </c>
      <c r="K265" s="46" t="n"/>
      <c r="L265" s="46" t="n"/>
      <c r="M265" s="46" t="n"/>
      <c r="N265" s="1711" t="n"/>
      <c r="O265" s="1735" t="n">
        <v>11</v>
      </c>
      <c r="P265" s="1736" t="n">
        <v>11</v>
      </c>
      <c r="Q265" s="1711">
        <f>IF(AND(E265&gt;=O265,E265&lt;=P265),TRUE,FALSE)</f>
        <v/>
      </c>
      <c r="R265" s="1710" t="n">
        <v>4</v>
      </c>
      <c r="S265" s="1703" t="n">
        <v>10</v>
      </c>
      <c r="T265" s="1711">
        <f>IF(AND(E265&gt;=R265,E265&lt;=S265),TRUE,FALSE)</f>
        <v/>
      </c>
      <c r="U265" s="978" t="n"/>
      <c r="V265" s="1484" t="n"/>
      <c r="W265" s="1485" t="n">
        <v>4</v>
      </c>
      <c r="X265" s="2029" t="n"/>
      <c r="Y265" s="1505" t="n">
        <v>11</v>
      </c>
      <c r="Z265" s="1504" t="n"/>
      <c r="AA265" s="1496" t="n">
        <v>2</v>
      </c>
      <c r="AC265" s="1013" t="n"/>
      <c r="AD265" s="1014" t="n"/>
      <c r="AE265" s="1013" t="n"/>
      <c r="AF265" s="1014" t="n"/>
      <c r="AG265" s="1013" t="n"/>
      <c r="AH265" s="1014" t="n"/>
      <c r="AJ265" s="10" t="n"/>
      <c r="AK265" s="10" t="n"/>
      <c r="AL265" s="10" t="n"/>
      <c r="AR265" s="849" t="n"/>
      <c r="AS265" s="111" t="n"/>
      <c r="AT265" s="487" t="n"/>
      <c r="AU265" s="114" t="n"/>
      <c r="AV265" s="491" t="n"/>
      <c r="AW265" s="114" t="n"/>
      <c r="AX265" s="492" t="n"/>
      <c r="AY265" s="488" t="n"/>
      <c r="BK265" s="99" t="n"/>
      <c r="BN265" s="92" t="n"/>
      <c r="BO265" s="7" t="n"/>
      <c r="BP265" s="7" t="n"/>
      <c r="BQ265" s="7" t="n"/>
      <c r="BR265" s="7" t="n"/>
      <c r="BT265" s="2057" t="n"/>
      <c r="BU265" s="2002" t="n"/>
    </row>
    <row r="266" ht="32" customHeight="1">
      <c r="B266" s="53" t="inlineStr">
        <is>
          <t>NC</t>
        </is>
      </c>
      <c r="C266" s="2066" t="n"/>
      <c r="D266" s="63" t="n"/>
      <c r="E266" s="36" t="n"/>
      <c r="F266" s="36" t="n"/>
      <c r="G266" s="36" t="n"/>
      <c r="H266" s="1735" t="n">
        <v>11</v>
      </c>
      <c r="I266" s="1736" t="n">
        <v>11</v>
      </c>
      <c r="J266" s="46">
        <f>IF(AND(E266&gt;=H266,E266&lt;=I266),TRUE,FALSE)</f>
        <v/>
      </c>
      <c r="K266" s="46" t="n"/>
      <c r="L266" s="46" t="n"/>
      <c r="M266" s="46" t="n"/>
      <c r="N266" s="1711" t="n"/>
      <c r="O266" s="1735" t="n">
        <v>11</v>
      </c>
      <c r="P266" s="1736" t="n">
        <v>11</v>
      </c>
      <c r="Q266" s="1711">
        <f>IF(AND(E266&gt;=O266,E266&lt;=P266),TRUE,FALSE)</f>
        <v/>
      </c>
      <c r="R266" s="1735" t="n">
        <v>11</v>
      </c>
      <c r="S266" s="1736" t="n">
        <v>11</v>
      </c>
      <c r="T266" s="1711">
        <f>IF(AND(E266&gt;=R266,E266&lt;=S266),TRUE,FALSE)</f>
        <v/>
      </c>
      <c r="U266" s="978" t="n"/>
      <c r="V266" s="1487" t="inlineStr">
        <is>
          <t>ou</t>
        </is>
      </c>
      <c r="W266" s="1506" t="n">
        <v>11</v>
      </c>
      <c r="X266" s="1507" t="n"/>
      <c r="Y266" s="1508" t="n">
        <v>11</v>
      </c>
      <c r="Z266" s="1507" t="n"/>
      <c r="AA266" s="1502" t="n">
        <v>11</v>
      </c>
      <c r="AC266" s="1013" t="n"/>
      <c r="AD266" s="1014" t="n"/>
      <c r="AE266" s="1013" t="n"/>
      <c r="AF266" s="1014" t="n"/>
      <c r="AG266" s="1013" t="n"/>
      <c r="AH266" s="1014" t="n"/>
      <c r="AJ266" s="10" t="n"/>
      <c r="AK266" s="10" t="n"/>
      <c r="AL266" s="10" t="n"/>
      <c r="AQ266" s="7" t="n"/>
      <c r="AR266" s="849" t="n"/>
      <c r="AS266" s="111" t="n"/>
      <c r="AT266" s="487" t="n"/>
      <c r="AU266" s="114" t="n"/>
      <c r="AV266" s="491" t="n"/>
      <c r="AW266" s="114" t="n"/>
      <c r="AX266" s="492" t="n"/>
      <c r="AY266" s="488" t="n"/>
      <c r="BK266" s="99" t="n"/>
      <c r="BN266" s="92" t="n"/>
      <c r="BO266" s="7" t="n"/>
      <c r="BP266" s="7" t="n"/>
      <c r="BQ266" s="7" t="n"/>
      <c r="BR266" s="7" t="n"/>
      <c r="BT266" s="2057" t="n"/>
      <c r="BU266" s="2002" t="n"/>
    </row>
    <row r="267" ht="32" customHeight="1" thickBot="1">
      <c r="B267" s="831" t="inlineStr">
        <is>
          <t>Max NC</t>
        </is>
      </c>
      <c r="C267" s="832">
        <f>_xlfn.XLOOKUP(G267,G265:G266,C265:C266)</f>
        <v/>
      </c>
      <c r="D267" s="833">
        <f>_xlfn.XLOOKUP(G267,G265:G266,D265:D266)</f>
        <v/>
      </c>
      <c r="E267" s="834" t="n"/>
      <c r="F267" s="834" t="n"/>
      <c r="G267" s="834">
        <f>IF(AND(J265=TRUE,J266=FALSE),G265,IF(AND(J265=FALSE,J266=TRUE),G266,MAX(G265,G266)))</f>
        <v/>
      </c>
      <c r="H267" s="1713" t="n"/>
      <c r="I267" s="835" t="n"/>
      <c r="J267" s="836">
        <f>IF(AND(J265=FALSE,J266=FALSE),FALSE,TRUE)</f>
        <v/>
      </c>
      <c r="K267" s="46" t="n"/>
      <c r="L267" s="46" t="n"/>
      <c r="M267" s="46" t="n"/>
      <c r="N267" s="1711" t="n"/>
      <c r="O267" s="1713" t="n"/>
      <c r="P267" s="835" t="n"/>
      <c r="Q267" s="1726">
        <f>IF(AND(Q265=FALSE,Q266=FALSE),FALSE,TRUE)</f>
        <v/>
      </c>
      <c r="R267" s="1713" t="n"/>
      <c r="S267" s="835" t="n"/>
      <c r="T267" s="1726">
        <f>IF(AND(T265=FALSE,T266=FALSE),FALSE,TRUE)</f>
        <v/>
      </c>
      <c r="U267" s="978" t="n"/>
      <c r="V267" s="978" t="n"/>
      <c r="W267" s="1473" t="n"/>
      <c r="X267" s="2002" t="n"/>
      <c r="Y267" s="1478" t="n"/>
      <c r="Z267" s="2002" t="n"/>
      <c r="AA267" s="1481" t="n"/>
      <c r="AC267" s="1013" t="n"/>
      <c r="AD267" s="1014" t="n"/>
      <c r="AE267" s="1013" t="n"/>
      <c r="AF267" s="1014" t="n"/>
      <c r="AG267" s="1013" t="n"/>
      <c r="AH267" s="1014" t="n"/>
      <c r="AJ267" s="10" t="n"/>
      <c r="AK267" s="10" t="n"/>
      <c r="AL267" s="10" t="n"/>
      <c r="AQ267" s="7" t="n"/>
      <c r="AR267" s="849" t="n"/>
      <c r="AS267" s="111" t="n"/>
      <c r="AT267" s="487" t="n"/>
      <c r="AU267" s="114" t="n"/>
      <c r="AV267" s="491" t="n"/>
      <c r="AW267" s="114" t="n"/>
      <c r="AX267" s="492" t="n"/>
      <c r="AY267" s="488" t="n"/>
      <c r="BK267" s="6" t="n"/>
      <c r="BL267" s="2073" t="n"/>
      <c r="BN267" s="53" t="n"/>
      <c r="BQ267" s="7" t="n"/>
      <c r="BR267" s="7" t="n"/>
      <c r="BS267" s="7" t="n"/>
      <c r="BT267" s="2058" t="n"/>
      <c r="BU267" s="2002" t="n"/>
    </row>
    <row r="268" ht="32" customHeight="1" thickBot="1">
      <c r="B268" s="837" t="inlineStr">
        <is>
          <t>Max PFA &amp; NC</t>
        </is>
      </c>
      <c r="C268" s="838" t="n"/>
      <c r="D268" s="838">
        <f>IF(G268=G264,D264,D267)</f>
        <v/>
      </c>
      <c r="E268" s="839" t="n"/>
      <c r="F268" s="839" t="n"/>
      <c r="G268" s="839">
        <f>IF(AND(J264=TRUE,J267=FALSE),G264,IF(AND(J264=FALSE,J267=TRUE),G267,IF(AND(J264=TRUE,J267=TRUE),G264+G267,MAX(G264,G267))))</f>
        <v/>
      </c>
      <c r="H268" s="1714" t="n"/>
      <c r="I268" s="840" t="n"/>
      <c r="J268" s="841">
        <f>IF(AND(J264=FALSE,J267=FALSE),FALSE,TRUE)</f>
        <v/>
      </c>
      <c r="K268" s="1698" t="n"/>
      <c r="L268" s="1698" t="n"/>
      <c r="M268" s="1698" t="n"/>
      <c r="N268" s="1715" t="n"/>
      <c r="O268" s="1714" t="n"/>
      <c r="P268" s="840" t="n"/>
      <c r="Q268" s="841">
        <f>IF(AND(Q264=FALSE,Q267=FALSE),FALSE,TRUE)</f>
        <v/>
      </c>
      <c r="R268" s="1714" t="n"/>
      <c r="S268" s="840" t="n"/>
      <c r="T268" s="841">
        <f>IF(AND(T264=FALSE,T267=FALSE),FALSE,TRUE)</f>
        <v/>
      </c>
      <c r="U268" s="978" t="n"/>
      <c r="V268" s="978" t="inlineStr">
        <is>
          <t>et</t>
        </is>
      </c>
      <c r="W268" s="1473" t="n"/>
      <c r="X268" s="2002" t="n"/>
      <c r="Y268" s="1478" t="n"/>
      <c r="Z268" s="2002" t="n"/>
      <c r="AA268" s="1481" t="n"/>
      <c r="AC268" s="1013">
        <f>IF(J268=TRUE,"V","F")</f>
        <v/>
      </c>
      <c r="AD268" s="1014" t="n"/>
      <c r="AE268" s="1013">
        <f>IF(Q268=TRUE,"V","F")</f>
        <v/>
      </c>
      <c r="AF268" s="1014" t="n"/>
      <c r="AG268" s="1013">
        <f>IF(T268=TRUE,"V","F")</f>
        <v/>
      </c>
      <c r="AH268" s="1014" t="n"/>
      <c r="AI268">
        <f>IF(OR(AC268="V",AE268="V"),IF(G267&gt;G264,"Le NC contribue plus que le coparent","Le coparent joue un plus grand rôle que le NC"),"pas de contexte significatif de la part du coparent et NC")</f>
        <v/>
      </c>
      <c r="AJ268" s="10" t="n"/>
      <c r="AK268" s="10" t="n"/>
      <c r="AL268" s="10" t="n"/>
      <c r="AQ268" s="7" t="n"/>
      <c r="AR268" s="849" t="n"/>
      <c r="AS268" s="111" t="n"/>
      <c r="AT268" s="487" t="n"/>
      <c r="AU268" s="114" t="n"/>
      <c r="AV268" s="491" t="n"/>
      <c r="AW268" s="114" t="n"/>
      <c r="AX268" s="492" t="n"/>
      <c r="AY268" s="488" t="n"/>
      <c r="BK268" s="6" t="n"/>
      <c r="BL268" s="2073" t="n"/>
      <c r="BN268" s="53" t="n"/>
      <c r="BQ268" s="7" t="n"/>
      <c r="BR268" s="7" t="n"/>
      <c r="BS268" s="7" t="n"/>
      <c r="BT268" s="2058" t="n"/>
      <c r="BU268" s="2002" t="n"/>
    </row>
    <row r="269" ht="52" customHeight="1">
      <c r="B269" s="316">
        <f>'Action-Réaction finale'!O43</f>
        <v/>
      </c>
      <c r="C269" s="2066">
        <f>Test_Bible!B286</f>
        <v/>
      </c>
      <c r="D269" s="102" t="inlineStr">
        <is>
          <t>change les horaires à la faveur de l'autre parent</t>
        </is>
      </c>
      <c r="E269" s="823">
        <f>Test_Bible!P286</f>
        <v/>
      </c>
      <c r="F269" s="822">
        <f>Test_Bible!D286</f>
        <v/>
      </c>
      <c r="G269" s="823">
        <f>Test_Bible!Q286</f>
        <v/>
      </c>
      <c r="H269" s="1710" t="n">
        <v>4</v>
      </c>
      <c r="I269" s="1703">
        <f>$I$18</f>
        <v/>
      </c>
      <c r="J269" s="46">
        <f>IF(AND(E269&gt;=H269,E269&lt;=I269),TRUE,FALSE)</f>
        <v/>
      </c>
      <c r="K269" s="46" t="n"/>
      <c r="L269" s="46" t="n"/>
      <c r="M269" s="46" t="n"/>
      <c r="N269" s="1711" t="n"/>
      <c r="O269" s="1710" t="n">
        <v>2</v>
      </c>
      <c r="P269" s="1703" t="n">
        <v>4</v>
      </c>
      <c r="Q269" s="1711">
        <f>IF(AND(E269&gt;=O269,E269&lt;=P269),TRUE,FALSE)</f>
        <v/>
      </c>
      <c r="R269" s="1710" t="n"/>
      <c r="S269" s="1703" t="n"/>
      <c r="T269" s="1711" t="n"/>
      <c r="U269" s="1681" t="n"/>
      <c r="V269" s="1484" t="n"/>
      <c r="W269" s="1485" t="n">
        <v>4</v>
      </c>
      <c r="X269" s="2029" t="n"/>
      <c r="Y269" s="1489" t="n">
        <v>2</v>
      </c>
      <c r="Z269" s="2029" t="n"/>
      <c r="AA269" s="1497" t="n">
        <v>11</v>
      </c>
      <c r="AC269" s="1013" t="inlineStr">
        <is>
          <t> </t>
        </is>
      </c>
      <c r="AD269" s="1014" t="n"/>
      <c r="AE269" s="1013" t="n"/>
      <c r="AF269" s="1014" t="n"/>
      <c r="AG269" s="1013" t="n"/>
      <c r="AH269" s="1014" t="n"/>
      <c r="AJ269" s="10" t="n"/>
      <c r="AK269" s="10" t="n"/>
      <c r="AL269" s="10" t="n"/>
      <c r="AQ269" s="7" t="n"/>
      <c r="AR269" s="849" t="n"/>
      <c r="AS269" s="111" t="n"/>
      <c r="AT269" s="487" t="n"/>
      <c r="AU269" s="114" t="n"/>
      <c r="AV269" s="491" t="n"/>
      <c r="AW269" s="114" t="n"/>
      <c r="AX269" s="492" t="n"/>
      <c r="AY269" s="488" t="n"/>
      <c r="BK269" s="6" t="n"/>
      <c r="BL269" s="2073" t="n"/>
      <c r="BN269" s="53" t="n"/>
      <c r="BQ269" s="7" t="n"/>
      <c r="BR269" s="7" t="n"/>
      <c r="BS269" s="7" t="n"/>
      <c r="BT269" s="2058" t="n"/>
      <c r="BU269" s="2002" t="n"/>
    </row>
    <row r="270" ht="67" customHeight="1" thickBot="1">
      <c r="B270" s="316">
        <f>'Action-Réaction finale'!O44</f>
        <v/>
      </c>
      <c r="C270" s="799">
        <f>Test_Bible!B291</f>
        <v/>
      </c>
      <c r="D270" s="102" t="inlineStr">
        <is>
          <t>impose des changements d'horaire sans consultation auprès de l'autre</t>
        </is>
      </c>
      <c r="E270" s="823">
        <f>Test_Bible!P291</f>
        <v/>
      </c>
      <c r="F270" s="822">
        <f>Test_Bible!D291</f>
        <v/>
      </c>
      <c r="G270" s="823">
        <f>Test_Bible!Q291</f>
        <v/>
      </c>
      <c r="H270" s="1710" t="n">
        <v>2</v>
      </c>
      <c r="I270" s="1703" t="n">
        <v>10</v>
      </c>
      <c r="J270" s="46">
        <f>IF(AND(E270&gt;=H270,E270&lt;=I270),TRUE,FALSE)</f>
        <v/>
      </c>
      <c r="K270" s="46" t="n"/>
      <c r="L270" s="46" t="n"/>
      <c r="M270" s="46" t="n"/>
      <c r="N270" s="1711" t="n"/>
      <c r="O270" s="1735" t="n">
        <v>11</v>
      </c>
      <c r="P270" s="1736" t="n">
        <v>11</v>
      </c>
      <c r="Q270" s="1711">
        <f>IF(AND(E270&gt;=O270,E270&lt;=P270),TRUE,FALSE)</f>
        <v/>
      </c>
      <c r="R270" s="1735" t="n"/>
      <c r="S270" s="1736" t="n"/>
      <c r="T270" s="1711" t="n"/>
      <c r="U270" s="978" t="n"/>
      <c r="V270" s="1487" t="inlineStr">
        <is>
          <t>ou</t>
        </is>
      </c>
      <c r="W270" s="1492" t="n">
        <v>2</v>
      </c>
      <c r="X270" s="1493" t="n"/>
      <c r="Y270" s="1494" t="n">
        <v>2</v>
      </c>
      <c r="Z270" s="1493" t="n"/>
      <c r="AA270" s="1502" t="n">
        <v>11</v>
      </c>
      <c r="AC270" s="1013" t="n"/>
      <c r="AD270" s="1014" t="n"/>
      <c r="AE270" s="1013" t="n"/>
      <c r="AF270" s="1014" t="n"/>
      <c r="AG270" s="1013" t="n"/>
      <c r="AH270" s="1014" t="n"/>
      <c r="AJ270" s="10" t="n"/>
      <c r="AK270" s="10" t="n"/>
      <c r="AL270" s="10" t="n"/>
      <c r="AQ270" s="7" t="n"/>
      <c r="AR270" s="849" t="n"/>
      <c r="AS270" s="111" t="n"/>
      <c r="AT270" s="487" t="n"/>
      <c r="AU270" s="114" t="n"/>
      <c r="AV270" s="491" t="n"/>
      <c r="AW270" s="114" t="n"/>
      <c r="AX270" s="492" t="n"/>
      <c r="AY270" s="488" t="n"/>
      <c r="BK270" s="6" t="n"/>
      <c r="BL270" s="2073" t="n"/>
      <c r="BN270" s="53" t="n"/>
      <c r="BQ270" s="7" t="n"/>
      <c r="BR270" s="7" t="n"/>
      <c r="BS270" s="7" t="n"/>
      <c r="BT270" s="2058" t="n"/>
      <c r="BU270" s="2002" t="n"/>
    </row>
    <row r="271" ht="32" customHeight="1" thickBot="1">
      <c r="B271" s="842" t="inlineStr">
        <is>
          <t>Max Enf</t>
        </is>
      </c>
      <c r="C271" s="843">
        <f>_xlfn.XLOOKUP(G271,G269:G270,C269:C270)</f>
        <v/>
      </c>
      <c r="D271" s="843">
        <f>_xlfn.XLOOKUP(G271,G269:G270,D269:D270)</f>
        <v/>
      </c>
      <c r="E271" s="844" t="n"/>
      <c r="F271" s="844" t="n"/>
      <c r="G271" s="844">
        <f>IF(AND(J269=TRUE,J270=FALSE),G269,IF(AND(J269=FALSE,J270=TRUE),G270,MAX(G269,G270)))</f>
        <v/>
      </c>
      <c r="H271" s="1716" t="n"/>
      <c r="I271" s="845" t="n"/>
      <c r="J271" s="846">
        <f>IF(AND(J269=FALSE,J270=FALSE),FALSE,TRUE)</f>
        <v/>
      </c>
      <c r="K271" s="1699" t="n"/>
      <c r="L271" s="1699" t="n"/>
      <c r="M271" s="1699" t="n"/>
      <c r="N271" s="1717" t="n"/>
      <c r="O271" s="1716" t="n"/>
      <c r="P271" s="845" t="n"/>
      <c r="Q271" s="846">
        <f>IF(AND(Q269=FALSE,Q270=FALSE),FALSE,TRUE)</f>
        <v/>
      </c>
      <c r="R271" s="1716" t="n"/>
      <c r="S271" s="845" t="n"/>
      <c r="T271" s="846" t="n"/>
      <c r="U271" s="978" t="n"/>
      <c r="V271" s="978" t="n"/>
      <c r="W271" s="1475" t="n"/>
      <c r="Y271" s="1479" t="n"/>
      <c r="AA271" s="1483" t="n"/>
      <c r="AC271" s="1013">
        <f>IF(J271=TRUE,"V","F")</f>
        <v/>
      </c>
      <c r="AD271" s="1014" t="n"/>
      <c r="AE271" s="1013">
        <f>IF(Q271=TRUE,"V","F")</f>
        <v/>
      </c>
      <c r="AF271" s="1014" t="n"/>
      <c r="AG271" s="1013" t="n"/>
      <c r="AH271" s="1014" t="n"/>
      <c r="AJ271" s="10" t="n"/>
      <c r="AK271" s="10" t="n"/>
      <c r="AL271" s="10" t="n"/>
      <c r="AR271" s="849" t="n"/>
      <c r="AS271" s="111" t="n"/>
      <c r="AT271" s="487" t="n"/>
      <c r="AU271" s="114" t="n"/>
      <c r="AV271" s="491" t="n"/>
      <c r="AW271" s="114" t="n"/>
      <c r="AX271" s="492" t="n"/>
      <c r="AY271" s="488" t="n"/>
      <c r="BK271" s="15" t="n"/>
      <c r="BL271" s="2073" t="n"/>
      <c r="BN271" s="92" t="inlineStr">
        <is>
          <t>L'enfant ignore -compt A (FAUX)</t>
        </is>
      </c>
      <c r="BQ271" s="7" t="inlineStr">
        <is>
          <t>condition non-respectée (0%)</t>
        </is>
      </c>
      <c r="BT271" s="2057" t="inlineStr">
        <is>
          <t>Accel. B</t>
        </is>
      </c>
      <c r="BU271" s="2002" t="b">
        <v>1</v>
      </c>
    </row>
    <row r="272" ht="32" customHeight="1">
      <c r="C272" s="428" t="inlineStr">
        <is>
          <t>COMPARATIF Comportement PFA-Enf</t>
        </is>
      </c>
      <c r="D272" s="2058" t="n"/>
      <c r="E272" s="484" t="inlineStr">
        <is>
          <t>Valeur =&gt;</t>
        </is>
      </c>
      <c r="F272" s="48" t="n"/>
      <c r="G272" s="48">
        <f>G264+G267+G271</f>
        <v/>
      </c>
      <c r="H272" s="1718" t="n"/>
      <c r="I272" s="485" t="n"/>
      <c r="J272" s="1701" t="n"/>
      <c r="K272" s="1702">
        <f>IF(AND(J271=TRUE,J268=TRUE),D271,"")</f>
        <v/>
      </c>
      <c r="L272" s="1702">
        <f>IF(AND(J268=TRUE,J271=FALSE),"Bien que le parent "&amp;D268&amp;" l'enfant ne semble pas s'ingérer","")</f>
        <v/>
      </c>
      <c r="M272" s="1702">
        <f>IF(AND(J268=FALSE,J271=TRUE),D271&amp;" sans signe de la participation du parent favorisé et|ou nouveau conjoint.e","")</f>
        <v/>
      </c>
      <c r="N272" s="1719">
        <f>IF(AND(J268=FALSE,J271=FALSE),"aucun comportement significatif de cette nature","")</f>
        <v/>
      </c>
      <c r="O272" s="1718" t="n"/>
      <c r="P272" s="485" t="n"/>
      <c r="Q272" s="1727" t="n"/>
      <c r="R272" s="1718" t="n"/>
      <c r="S272" s="485" t="n"/>
      <c r="T272" s="1727" t="n"/>
      <c r="U272" s="980" t="n"/>
      <c r="V272" s="980" t="n"/>
      <c r="W272" s="1475" t="n"/>
      <c r="Y272" s="1479" t="n"/>
      <c r="AA272" s="1483" t="n"/>
      <c r="AC272" s="1015" t="n"/>
      <c r="AD272" s="1016">
        <f>IF(AND(AC268="V",AC271="V"),2,IF(OR(AC268="V",AC271="V"),1,0))</f>
        <v/>
      </c>
      <c r="AE272" s="1015" t="n"/>
      <c r="AF272" s="1016">
        <f>IF(OR(AE268="V",AE271="V"),1,0)</f>
        <v/>
      </c>
      <c r="AG272" s="1015" t="n"/>
      <c r="AH272" s="1016" t="n"/>
      <c r="AJ272" s="10" t="n"/>
      <c r="AK272" s="10" t="n"/>
      <c r="AL272" s="10" t="n"/>
      <c r="AR272" s="849" t="n"/>
      <c r="AS272" s="111" t="n"/>
      <c r="AT272" s="487" t="n"/>
      <c r="AU272" s="114" t="n"/>
      <c r="AV272" s="491" t="n"/>
      <c r="AW272" s="114" t="n"/>
      <c r="AX272" s="492" t="n"/>
      <c r="AY272" s="488" t="n"/>
    </row>
    <row r="273" ht="32" customHeight="1">
      <c r="B273" t="inlineStr">
        <is>
          <t>PCR</t>
        </is>
      </c>
      <c r="H273" s="147" t="n"/>
      <c r="K273" s="1992" t="n"/>
      <c r="L273" s="1992" t="n"/>
      <c r="M273" s="1992" t="n"/>
      <c r="N273" s="1740" t="n"/>
      <c r="O273" s="147" t="n"/>
      <c r="Q273" s="330" t="n"/>
      <c r="R273" s="147" t="n"/>
      <c r="T273" s="330" t="n"/>
      <c r="U273" s="1992" t="n"/>
      <c r="W273" s="1475" t="n"/>
      <c r="Y273" s="1479" t="n"/>
      <c r="AA273" s="1483" t="n"/>
      <c r="AC273" s="1013" t="n"/>
      <c r="AD273" s="1014" t="n"/>
      <c r="AE273" s="1013" t="n"/>
      <c r="AF273" s="1014" t="n"/>
      <c r="AG273" s="1013" t="n"/>
      <c r="AH273" s="1014" t="n"/>
      <c r="AJ273" s="10" t="n"/>
      <c r="AK273" s="10" t="n"/>
      <c r="AL273" s="10" t="n"/>
      <c r="AR273" s="849" t="n"/>
      <c r="AS273" s="111" t="n"/>
      <c r="AT273" s="487" t="n"/>
      <c r="AU273" s="114" t="n"/>
      <c r="AV273" s="491" t="n"/>
      <c r="AW273" s="114" t="n"/>
      <c r="AX273" s="492" t="n"/>
      <c r="AY273" s="488" t="n"/>
    </row>
    <row r="274" ht="32" customHeight="1">
      <c r="B274" s="1017">
        <f>'Action-Réaction finale'!S43</f>
        <v/>
      </c>
      <c r="C274" s="1018">
        <f>Test_Bible!B136</f>
        <v/>
      </c>
      <c r="D274" s="1018" t="n"/>
      <c r="E274" s="1026">
        <f>Test_Bible!P136</f>
        <v/>
      </c>
      <c r="F274" s="1026">
        <f>Test_Bible!D136</f>
        <v/>
      </c>
      <c r="G274" s="1026">
        <f>Test_Bible!Q136</f>
        <v/>
      </c>
      <c r="H274" s="1710" t="n">
        <v>4</v>
      </c>
      <c r="I274" s="1703" t="n">
        <v>10</v>
      </c>
      <c r="J274" s="46">
        <f>IF(AND(E274&gt;=H274,E274&lt;=I274),TRUE,FALSE)</f>
        <v/>
      </c>
      <c r="K274" s="33" t="n"/>
      <c r="L274" s="33" t="n"/>
      <c r="M274" s="33" t="n"/>
      <c r="N274" s="1720" t="n"/>
      <c r="O274" s="1735" t="n">
        <v>11</v>
      </c>
      <c r="P274" s="1736" t="n">
        <v>11</v>
      </c>
      <c r="Q274" s="1711">
        <f>IF(AND(E274&gt;=O274,E274&lt;=P274),TRUE,FALSE)</f>
        <v/>
      </c>
      <c r="R274" s="1710" t="n">
        <v>4</v>
      </c>
      <c r="S274" s="1703" t="n">
        <v>10</v>
      </c>
      <c r="T274" s="1711">
        <f>IF(AND(E274&gt;=R274,E274&lt;=S274),TRUE,FALSE)</f>
        <v/>
      </c>
      <c r="U274" s="1992" t="n"/>
      <c r="V274" s="1509" t="n"/>
      <c r="W274" s="1485" t="n">
        <v>4</v>
      </c>
      <c r="X274" s="2029" t="n"/>
      <c r="Y274" s="1489" t="n"/>
      <c r="Z274" s="2029" t="n"/>
      <c r="AA274" s="1496" t="n">
        <v>4</v>
      </c>
      <c r="AC274" s="1013" t="n"/>
      <c r="AD274" s="1014" t="n"/>
      <c r="AE274" s="1013" t="n"/>
      <c r="AF274" s="1014" t="n"/>
      <c r="AG274" s="1013" t="n"/>
      <c r="AH274" s="1014" t="n"/>
      <c r="AJ274" s="10" t="n"/>
      <c r="AK274" s="10" t="n"/>
      <c r="AL274" s="10" t="n"/>
      <c r="AR274" s="849" t="n"/>
      <c r="AS274" s="111" t="n"/>
      <c r="AT274" s="487" t="n"/>
      <c r="AU274" s="114" t="n"/>
      <c r="AV274" s="491" t="n"/>
      <c r="AW274" s="114" t="n"/>
      <c r="AX274" s="492" t="n"/>
      <c r="AY274" s="488" t="n"/>
    </row>
    <row r="275" ht="32" customHeight="1" thickBot="1">
      <c r="B275" s="1017" t="n"/>
      <c r="C275" s="1025" t="n"/>
      <c r="D275" s="1018" t="n"/>
      <c r="E275" s="1026" t="n"/>
      <c r="F275" s="1026" t="n"/>
      <c r="G275" s="1026" t="n"/>
      <c r="H275" s="1735" t="n">
        <v>11</v>
      </c>
      <c r="I275" s="1736" t="n">
        <v>11</v>
      </c>
      <c r="J275" s="46">
        <f>IF(AND(E275&gt;=H275,E275&lt;=I275),TRUE,FALSE)</f>
        <v/>
      </c>
      <c r="K275" s="33" t="n"/>
      <c r="L275" s="33" t="n"/>
      <c r="M275" s="33" t="n"/>
      <c r="N275" s="1720" t="n"/>
      <c r="O275" s="1735" t="n">
        <v>11</v>
      </c>
      <c r="P275" s="1736" t="n">
        <v>11</v>
      </c>
      <c r="Q275" s="1711">
        <f>IF(AND(E275&gt;=O275,E275&lt;=P275),TRUE,FALSE)</f>
        <v/>
      </c>
      <c r="R275" s="1735" t="n">
        <v>11</v>
      </c>
      <c r="S275" s="1736" t="n">
        <v>11</v>
      </c>
      <c r="T275" s="1711">
        <f>IF(AND(E275&gt;=R275,E275&lt;=S275),TRUE,FALSE)</f>
        <v/>
      </c>
      <c r="V275" s="1510" t="n"/>
      <c r="W275" s="1506" t="n">
        <v>11</v>
      </c>
      <c r="X275" s="1507" t="n"/>
      <c r="Y275" s="1508" t="n">
        <v>11</v>
      </c>
      <c r="Z275" s="1507" t="n"/>
      <c r="AA275" s="1502" t="n">
        <v>11</v>
      </c>
      <c r="AC275" s="1013" t="n"/>
      <c r="AD275" s="1014" t="n"/>
      <c r="AE275" s="1013" t="n"/>
      <c r="AF275" s="1014" t="n"/>
      <c r="AG275" s="1013" t="n"/>
      <c r="AH275" s="1014" t="n"/>
      <c r="AJ275" s="10" t="n"/>
      <c r="AK275" s="10" t="n"/>
      <c r="AL275" s="10" t="n"/>
      <c r="AR275" s="849" t="n"/>
      <c r="AS275" s="111" t="n"/>
      <c r="AT275" s="487" t="n"/>
      <c r="AU275" s="114" t="n"/>
      <c r="AV275" s="491" t="n"/>
      <c r="AW275" s="114" t="n"/>
      <c r="AX275" s="492" t="n"/>
      <c r="AY275" s="488" t="n"/>
    </row>
    <row r="276" ht="32" customHeight="1" thickBot="1">
      <c r="D276" s="2073" t="n"/>
      <c r="E276" s="90" t="n"/>
      <c r="F276" s="483" t="n"/>
      <c r="G276" s="483" t="n"/>
      <c r="H276" s="1732" t="n"/>
      <c r="I276" s="1733" t="n"/>
      <c r="J276" s="1739">
        <f>IF(AND(J274=FALSE,J275=FALSE),FALSE,TRUE)</f>
        <v/>
      </c>
      <c r="K276" s="1721" t="n"/>
      <c r="L276" s="1722" t="n"/>
      <c r="M276" s="1722" t="n"/>
      <c r="N276" s="1723" t="n"/>
      <c r="O276" s="1732" t="n"/>
      <c r="P276" s="1733" t="n"/>
      <c r="Q276" s="1739">
        <f>IF(AND(Q274=FALSE,Q275=FALSE),FALSE,TRUE)</f>
        <v/>
      </c>
      <c r="R276" s="1744" t="n"/>
      <c r="S276" s="1745" t="n"/>
      <c r="T276" s="1746">
        <f>IF(AND(T274=FALSE,T275=FALSE),FALSE,TRUE)</f>
        <v/>
      </c>
      <c r="U276" s="980" t="n"/>
      <c r="AC276" s="1650">
        <f>IF(J276=TRUE,"V","F")</f>
        <v/>
      </c>
      <c r="AD276" s="1651" t="n"/>
      <c r="AE276" s="1650">
        <f>IF(Q276=TRUE,"V","F")</f>
        <v/>
      </c>
      <c r="AF276" s="1651" t="n"/>
      <c r="AG276" s="1650">
        <f>IF(T276=TRUE,"V","F")</f>
        <v/>
      </c>
      <c r="AH276" s="1651" t="n"/>
      <c r="AJ276" s="10" t="n"/>
      <c r="AK276" s="10" t="n"/>
      <c r="AL276" s="10" t="n"/>
      <c r="AR276" s="849" t="n"/>
      <c r="AS276" s="111" t="n"/>
      <c r="AT276" s="487" t="n"/>
      <c r="AU276" s="114" t="n"/>
      <c r="AV276" s="491" t="n"/>
      <c r="AW276" s="114" t="n"/>
      <c r="AX276" s="492" t="n"/>
      <c r="AY276" s="488" t="n"/>
    </row>
    <row r="277" ht="32" customHeight="1" thickBot="1">
      <c r="D277" s="2073" t="n"/>
      <c r="E277" s="90" t="n"/>
      <c r="F277" s="483" t="n"/>
      <c r="G277" s="483" t="n"/>
      <c r="H277" s="2002" t="n"/>
      <c r="I277" s="2002" t="n"/>
      <c r="J277" s="979" t="n"/>
      <c r="K277" s="980" t="n"/>
      <c r="L277" s="980" t="n"/>
      <c r="M277" s="980" t="n"/>
      <c r="N277" s="980" t="n"/>
      <c r="O277" s="980" t="n"/>
      <c r="P277" s="980" t="n"/>
      <c r="Q277" s="980" t="n"/>
      <c r="R277" s="980" t="n"/>
      <c r="S277" s="980" t="n"/>
      <c r="T277" s="980" t="n"/>
      <c r="U277" s="980" t="n"/>
      <c r="V277" s="980" t="n"/>
      <c r="AC277" s="1737" t="n"/>
      <c r="AD277" s="1738">
        <f>IF(AND(AC276="V",AC268="V"),AD272-1,AD272)</f>
        <v/>
      </c>
      <c r="AE277" s="1737" t="n"/>
      <c r="AF277" s="1738">
        <f>IF(OR(AE268="V",AE271="V",AE276="V"),1,0)</f>
        <v/>
      </c>
      <c r="AG277" s="1737" t="n"/>
      <c r="AH277" s="1738">
        <f>IF(AG268="V",1,IF(AG276="V",1,0))</f>
        <v/>
      </c>
      <c r="AJ277" s="10" t="n">
        <v>1</v>
      </c>
      <c r="AK277" s="10" t="n">
        <v>1</v>
      </c>
      <c r="AL277" s="10" t="n">
        <v>1</v>
      </c>
      <c r="AR277" s="849" t="n"/>
      <c r="AS277" s="111" t="n"/>
      <c r="AT277" s="487" t="n"/>
      <c r="AU277" s="114" t="n"/>
      <c r="AV277" s="491" t="n"/>
      <c r="AW277" s="114" t="n"/>
      <c r="AX277" s="492" t="n"/>
      <c r="AY277" s="488" t="n"/>
    </row>
    <row r="278" ht="32" customHeight="1">
      <c r="C278" s="2073" t="n"/>
      <c r="D278" s="2073" t="n"/>
      <c r="E278" s="90" t="n"/>
      <c r="F278" s="483" t="n"/>
      <c r="G278" s="483" t="n"/>
      <c r="H278" s="1704" t="n"/>
      <c r="I278" s="1705" t="n"/>
      <c r="J278" s="1706" t="n"/>
      <c r="K278" s="2056" t="n"/>
      <c r="L278" s="709" t="n"/>
      <c r="M278" s="709" t="n"/>
      <c r="N278" s="1707" t="n"/>
      <c r="O278" s="1724" t="n"/>
      <c r="P278" s="1706" t="n"/>
      <c r="Q278" s="1707" t="n"/>
      <c r="R278" s="1724" t="n"/>
      <c r="S278" s="1706" t="n"/>
      <c r="T278" s="1707" t="n"/>
      <c r="U278" s="980" t="n"/>
      <c r="V278" s="980" t="n"/>
      <c r="AC278" s="1756" t="n"/>
      <c r="AD278" s="1757" t="n"/>
      <c r="AE278" s="1490" t="n"/>
      <c r="AF278" s="1490" t="n"/>
      <c r="AG278" s="1490" t="n"/>
      <c r="AH278" s="1490" t="n"/>
      <c r="AJ278" s="10" t="n"/>
      <c r="AK278" s="10" t="n"/>
      <c r="AL278" s="10" t="n"/>
      <c r="AR278" s="849" t="n"/>
      <c r="AS278" s="111" t="n"/>
      <c r="AT278" s="487" t="n"/>
      <c r="AU278" s="114" t="n"/>
      <c r="AV278" s="491" t="n"/>
      <c r="AW278" s="114" t="n"/>
      <c r="AX278" s="492" t="n"/>
      <c r="AY278" s="488" t="n"/>
    </row>
    <row r="279" ht="32" customHeight="1">
      <c r="A279" s="853" t="n">
        <v>14</v>
      </c>
      <c r="C279" s="486">
        <f>'Action-Réaction finale'!F46</f>
        <v/>
      </c>
      <c r="D279" s="108" t="n"/>
      <c r="E279" s="66" t="n"/>
      <c r="F279" s="18" t="n"/>
      <c r="G279" s="18" t="n"/>
      <c r="H279" s="2052" t="inlineStr">
        <is>
          <t>AP</t>
        </is>
      </c>
      <c r="K279" s="2055" t="inlineStr">
        <is>
          <t>Dynamique d'AP</t>
        </is>
      </c>
      <c r="N279" s="330" t="n"/>
      <c r="O279" s="2122" t="inlineStr">
        <is>
          <t>CL</t>
        </is>
      </c>
      <c r="Q279" s="330" t="n"/>
      <c r="R279" s="2123" t="inlineStr">
        <is>
          <t>CSS</t>
        </is>
      </c>
      <c r="T279" s="330" t="n"/>
      <c r="U279" s="15" t="n"/>
      <c r="V279" s="15" t="n"/>
      <c r="AC279" s="1009" t="n"/>
      <c r="AD279" s="1009" t="n"/>
      <c r="AE279" s="1009" t="n"/>
      <c r="AF279" s="1009" t="n"/>
      <c r="AG279" s="1009" t="n"/>
      <c r="AH279" s="1010" t="n"/>
      <c r="AJ279" s="10" t="n"/>
      <c r="AK279" s="10" t="n"/>
      <c r="AL279" s="10" t="n"/>
      <c r="AR279" s="849" t="n"/>
      <c r="AS279" s="111" t="n"/>
      <c r="AT279" s="487" t="n"/>
      <c r="AU279" s="114" t="n"/>
      <c r="AV279" s="491" t="n"/>
      <c r="AW279" s="114" t="n"/>
      <c r="AX279" s="492" t="n"/>
      <c r="AY279" s="488" t="n"/>
    </row>
    <row r="280" ht="32" customHeight="1">
      <c r="C280" s="103" t="inlineStr">
        <is>
          <t>Questions et sous-questions</t>
        </is>
      </c>
      <c r="D280" s="1043" t="inlineStr">
        <is>
          <t>Texte écourté pour titrer dans les baromètres ou rapport</t>
        </is>
      </c>
      <c r="E280" s="33" t="inlineStr">
        <is>
          <t>Valeur de base
Fréquence (F)</t>
        </is>
      </c>
      <c r="F280" s="33" t="inlineStr">
        <is>
          <t>Valeur de base
intensité (I)</t>
        </is>
      </c>
      <c r="G280" s="33" t="inlineStr">
        <is>
          <t>F * I</t>
        </is>
      </c>
      <c r="H280" s="1708" t="inlineStr">
        <is>
          <t>Condition Fréq. 
&gt;= que</t>
        </is>
      </c>
      <c r="I280" s="44" t="inlineStr">
        <is>
          <t>Condition Fré
&lt;= que</t>
        </is>
      </c>
      <c r="J280" s="44" t="inlineStr">
        <is>
          <t>Condition respectée</t>
        </is>
      </c>
      <c r="K280" s="44" t="inlineStr">
        <is>
          <t>"VRAI" (PF&amp;NC) /  "VRAI" (Enf)</t>
        </is>
      </c>
      <c r="L280" s="44" t="inlineStr">
        <is>
          <t>Vrai (PF&amp;NC) /  Faux (Enf)</t>
        </is>
      </c>
      <c r="M280" s="44" t="inlineStr">
        <is>
          <t>Faux (PF&amp;NC) /  Vrai (Enf)</t>
        </is>
      </c>
      <c r="N280" s="1709" t="inlineStr">
        <is>
          <t>Faux (PF&amp;NC) /  Faux(Enf)</t>
        </is>
      </c>
      <c r="O280" s="1708" t="inlineStr">
        <is>
          <t>Condition Fréq. 
&gt;= que</t>
        </is>
      </c>
      <c r="P280" s="44" t="inlineStr">
        <is>
          <t>Condition Fré
&lt;= que</t>
        </is>
      </c>
      <c r="Q280" s="1709" t="inlineStr">
        <is>
          <t>Condition respectée</t>
        </is>
      </c>
      <c r="R280" s="1708" t="inlineStr">
        <is>
          <t>Condition Fréq. 
&gt;= que</t>
        </is>
      </c>
      <c r="S280" s="44" t="inlineStr">
        <is>
          <t>Condition Fré
&lt;= que</t>
        </is>
      </c>
      <c r="T280" s="1709" t="inlineStr">
        <is>
          <t>Condition respectée</t>
        </is>
      </c>
      <c r="U280" s="851" t="n"/>
      <c r="V280" s="1008" t="inlineStr">
        <is>
          <t>Condition</t>
        </is>
      </c>
      <c r="W280" s="1472" t="inlineStr">
        <is>
          <t>AP</t>
        </is>
      </c>
      <c r="X280" s="1008" t="inlineStr">
        <is>
          <t>Condition</t>
        </is>
      </c>
      <c r="Y280" s="1476" t="inlineStr">
        <is>
          <t>CL</t>
        </is>
      </c>
      <c r="Z280" s="1008" t="n"/>
      <c r="AA280" s="1480" t="inlineStr">
        <is>
          <t>CSS</t>
        </is>
      </c>
      <c r="AC280" s="1023" t="inlineStr">
        <is>
          <t>AP</t>
        </is>
      </c>
      <c r="AD280" s="1024" t="inlineStr">
        <is>
          <t>AP_F</t>
        </is>
      </c>
      <c r="AE280" s="1023" t="inlineStr">
        <is>
          <t>CL</t>
        </is>
      </c>
      <c r="AF280" s="1024" t="inlineStr">
        <is>
          <t>CL_F</t>
        </is>
      </c>
      <c r="AG280" s="1023" t="inlineStr">
        <is>
          <t>CSS</t>
        </is>
      </c>
      <c r="AH280" s="1024" t="inlineStr">
        <is>
          <t>CSS_F</t>
        </is>
      </c>
      <c r="AJ280" s="10" t="n"/>
      <c r="AK280" s="10" t="n"/>
      <c r="AL280" s="10" t="n"/>
      <c r="AR280" s="849" t="n"/>
      <c r="AS280" s="111" t="n"/>
      <c r="AT280" s="487" t="n"/>
      <c r="AU280" s="114" t="n"/>
      <c r="AV280" s="491" t="n"/>
      <c r="AW280" s="114" t="n"/>
      <c r="AX280" s="492" t="n"/>
      <c r="AY280" s="488" t="n"/>
    </row>
    <row r="281" ht="34" customHeight="1">
      <c r="B281" s="421">
        <f>'Action-Réaction finale'!G46</f>
        <v/>
      </c>
      <c r="C281" s="2066">
        <f>Test_Bible!B191</f>
        <v/>
      </c>
      <c r="D281" s="102" t="inlineStr">
        <is>
          <t>organise des activités hors de son temps de garde</t>
        </is>
      </c>
      <c r="E281" s="823">
        <f>Test_Bible!P191</f>
        <v/>
      </c>
      <c r="F281" s="822">
        <f>Test_Bible!D191</f>
        <v/>
      </c>
      <c r="G281" s="823">
        <f>Test_Bible!Q191</f>
        <v/>
      </c>
      <c r="H281" s="1710" t="n">
        <v>4</v>
      </c>
      <c r="I281" s="1703" t="n">
        <v>10</v>
      </c>
      <c r="J281" s="46">
        <f>IF(AND(E281&gt;=H281,E281&lt;=I281),TRUE,FALSE)</f>
        <v/>
      </c>
      <c r="K281" s="46" t="n"/>
      <c r="L281" s="46" t="n"/>
      <c r="M281" s="46" t="n"/>
      <c r="N281" s="1711" t="n"/>
      <c r="O281" s="1710" t="n">
        <v>4</v>
      </c>
      <c r="P281" s="1703" t="n">
        <v>7</v>
      </c>
      <c r="Q281" s="1711">
        <f>IF(AND(E281&gt;=O281,E281&lt;=P281),TRUE,FALSE)</f>
        <v/>
      </c>
      <c r="R281" s="1735" t="n">
        <v>11</v>
      </c>
      <c r="S281" s="1736" t="n">
        <v>11</v>
      </c>
      <c r="T281" s="1711">
        <f>IF(AND(E281&gt;=R281,E281&lt;=S281),TRUE,FALSE)</f>
        <v/>
      </c>
      <c r="U281" s="1681" t="n"/>
      <c r="V281" s="1484" t="n"/>
      <c r="W281" s="1485" t="n">
        <v>4</v>
      </c>
      <c r="X281" s="2029" t="n"/>
      <c r="Y281" s="1489" t="n">
        <v>4</v>
      </c>
      <c r="Z281" s="2029" t="n"/>
      <c r="AA281" s="1496" t="n">
        <v>4</v>
      </c>
      <c r="AC281" s="1011" t="n"/>
      <c r="AD281" s="1012" t="n"/>
      <c r="AE281" s="1011" t="n"/>
      <c r="AF281" s="1012" t="n"/>
      <c r="AG281" s="1011" t="n"/>
      <c r="AH281" s="1012" t="n"/>
      <c r="AJ281" s="10" t="n"/>
      <c r="AK281" s="10" t="n"/>
      <c r="AL281" s="10" t="n"/>
      <c r="AR281" s="849" t="n"/>
      <c r="AS281" s="111" t="n"/>
      <c r="AT281" s="487" t="n"/>
      <c r="AU281" s="114" t="n"/>
      <c r="AV281" s="491" t="n"/>
      <c r="AW281" s="114" t="n"/>
      <c r="AX281" s="492" t="n"/>
      <c r="AY281" s="488" t="n"/>
    </row>
    <row r="282" ht="51" customHeight="1">
      <c r="A282" s="854" t="n"/>
      <c r="B282" s="421">
        <f>'Action-Réaction finale'!G47</f>
        <v/>
      </c>
      <c r="C282" s="799">
        <f>Test_Bible!B192</f>
        <v/>
      </c>
      <c r="D282" s="102" t="inlineStr">
        <is>
          <t>propose des activités irrésistibles à votre enfant sur votre temps de garde</t>
        </is>
      </c>
      <c r="E282" s="823">
        <f>Test_Bible!P192</f>
        <v/>
      </c>
      <c r="F282" s="822">
        <f>Test_Bible!D192</f>
        <v/>
      </c>
      <c r="G282" s="823">
        <f>Test_Bible!Q192</f>
        <v/>
      </c>
      <c r="H282" s="1710" t="n">
        <v>2</v>
      </c>
      <c r="I282" s="1703" t="n">
        <v>10</v>
      </c>
      <c r="J282" s="46">
        <f>IF(AND(E282&gt;=H282,E282&lt;=I282),TRUE,FALSE)</f>
        <v/>
      </c>
      <c r="K282" s="46" t="n"/>
      <c r="L282" s="46" t="n"/>
      <c r="M282" s="46" t="n"/>
      <c r="N282" s="1711" t="n"/>
      <c r="O282" s="1710" t="n">
        <v>4</v>
      </c>
      <c r="P282" s="1703" t="n">
        <v>7</v>
      </c>
      <c r="Q282" s="1711">
        <f>IF(AND(E282&gt;=O282,E282&lt;=P282),TRUE,FALSE)</f>
        <v/>
      </c>
      <c r="R282" s="1710" t="n">
        <v>4</v>
      </c>
      <c r="S282" s="1703" t="n">
        <v>7</v>
      </c>
      <c r="T282" s="1711">
        <f>IF(AND(E282&gt;=R282,E282&lt;=S282),TRUE,FALSE)</f>
        <v/>
      </c>
      <c r="U282" s="978" t="n"/>
      <c r="V282" s="1487" t="inlineStr">
        <is>
          <t>ou</t>
        </is>
      </c>
      <c r="W282" s="1492" t="n">
        <v>2</v>
      </c>
      <c r="X282" s="1493" t="n"/>
      <c r="Y282" s="1494" t="n">
        <v>4</v>
      </c>
      <c r="Z282" s="1493" t="n"/>
      <c r="AA282" s="1495" t="n">
        <v>4</v>
      </c>
      <c r="AC282" s="1013" t="n"/>
      <c r="AD282" s="1014" t="n"/>
      <c r="AE282" s="1013" t="n"/>
      <c r="AF282" s="1014" t="n"/>
      <c r="AG282" s="1013" t="n"/>
      <c r="AH282" s="1014" t="n"/>
      <c r="AJ282" s="10" t="n"/>
      <c r="AK282" s="10" t="n"/>
      <c r="AL282" s="10" t="n"/>
      <c r="AR282" s="849" t="n"/>
      <c r="AS282" s="111" t="n"/>
      <c r="AT282" s="487" t="n"/>
      <c r="AU282" s="114" t="n"/>
      <c r="AV282" s="491" t="n"/>
      <c r="AW282" s="114" t="n"/>
      <c r="AX282" s="492" t="n"/>
      <c r="AY282" s="488" t="n"/>
    </row>
    <row r="283" ht="32" customHeight="1">
      <c r="A283" s="854" t="n"/>
      <c r="B283" s="825" t="inlineStr">
        <is>
          <t>Max PFA</t>
        </is>
      </c>
      <c r="C283" s="826">
        <f>_xlfn.XLOOKUP(G283,G281:G282,C281:C282)</f>
        <v/>
      </c>
      <c r="D283" s="827">
        <f>_xlfn.XLOOKUP(G283,G281:G282,D281:D282)</f>
        <v/>
      </c>
      <c r="E283" s="828" t="n"/>
      <c r="F283" s="828" t="n"/>
      <c r="G283" s="828">
        <f>IF(AND(J281=TRUE,J282=FALSE),G281,IF(AND(J281=FALSE,J282=TRUE),G282,MAX(G281,G282)))</f>
        <v/>
      </c>
      <c r="H283" s="1712" t="n"/>
      <c r="I283" s="829" t="n"/>
      <c r="J283" s="830">
        <f>IF(AND(J281=FALSE,J282=FALSE),FALSE,TRUE)</f>
        <v/>
      </c>
      <c r="K283" s="46" t="n"/>
      <c r="L283" s="46" t="n"/>
      <c r="M283" s="46" t="n"/>
      <c r="N283" s="1711" t="n"/>
      <c r="O283" s="1712" t="n"/>
      <c r="P283" s="829" t="n"/>
      <c r="Q283" s="1725">
        <f>IF(AND(Q281=FALSE,Q282=FALSE),FALSE,TRUE)</f>
        <v/>
      </c>
      <c r="R283" s="1712" t="n"/>
      <c r="S283" s="829" t="n"/>
      <c r="T283" s="1725">
        <f>IF(AND(T281=FALSE,T282=FALSE),FALSE,TRUE)</f>
        <v/>
      </c>
      <c r="U283" s="978" t="n"/>
      <c r="V283" s="978" t="inlineStr">
        <is>
          <t>ou</t>
        </is>
      </c>
      <c r="W283" s="1473" t="n"/>
      <c r="X283" s="2002" t="n"/>
      <c r="Y283" s="1478" t="n"/>
      <c r="Z283" s="2002" t="n"/>
      <c r="AA283" s="1481" t="n"/>
      <c r="AC283" s="1013" t="n"/>
      <c r="AD283" s="1014" t="n"/>
      <c r="AE283" s="1013" t="n"/>
      <c r="AF283" s="1014" t="n"/>
      <c r="AG283" s="1013" t="n"/>
      <c r="AH283" s="1014" t="n"/>
      <c r="AJ283" s="10" t="n"/>
      <c r="AK283" s="10" t="n"/>
      <c r="AL283" s="10" t="n"/>
      <c r="AR283" s="849" t="n"/>
      <c r="AS283" s="111" t="n"/>
      <c r="AT283" s="487" t="n"/>
      <c r="AU283" s="114" t="n"/>
      <c r="AV283" s="491" t="n"/>
      <c r="AW283" s="114" t="n"/>
      <c r="AX283" s="492" t="n"/>
      <c r="AY283" s="488" t="n"/>
    </row>
    <row r="284" ht="51" customHeight="1">
      <c r="A284" s="854" t="n"/>
      <c r="B284" s="53">
        <f>'Action-Réaction finale'!K46</f>
        <v/>
      </c>
      <c r="C284" s="2066">
        <f>Test_Bible!B403</f>
        <v/>
      </c>
      <c r="D284" s="102" t="inlineStr">
        <is>
          <t>Le nouveau conjoint.e organise des activités hors de son temps de garde</t>
        </is>
      </c>
      <c r="E284" s="823">
        <f>Test_Bible!P403</f>
        <v/>
      </c>
      <c r="F284" s="822">
        <f>Test_Bible!D403</f>
        <v/>
      </c>
      <c r="G284" s="823">
        <f>Test_Bible!Q403</f>
        <v/>
      </c>
      <c r="H284" s="1710" t="n">
        <v>4</v>
      </c>
      <c r="I284" s="1703" t="n">
        <v>10</v>
      </c>
      <c r="J284" s="46">
        <f>IF(AND(E284&gt;=H284,E284&lt;=I284),TRUE,FALSE)</f>
        <v/>
      </c>
      <c r="K284" s="46" t="n"/>
      <c r="L284" s="46" t="n"/>
      <c r="M284" s="46" t="n"/>
      <c r="N284" s="1711" t="n"/>
      <c r="O284" s="1735" t="n">
        <v>11</v>
      </c>
      <c r="P284" s="1736" t="n">
        <v>11</v>
      </c>
      <c r="Q284" s="1711">
        <f>IF(AND(E284&gt;=O284,E284&lt;=P284),TRUE,FALSE)</f>
        <v/>
      </c>
      <c r="R284" s="1710" t="n">
        <v>4</v>
      </c>
      <c r="S284" s="1703" t="n">
        <v>10</v>
      </c>
      <c r="T284" s="1711">
        <f>IF(AND(E284&gt;=R284,E284&lt;=S284),TRUE,FALSE)</f>
        <v/>
      </c>
      <c r="U284" s="978" t="n"/>
      <c r="V284" s="1484" t="n"/>
      <c r="W284" s="1485" t="n">
        <v>4</v>
      </c>
      <c r="X284" s="2029" t="n"/>
      <c r="Y284" s="1505" t="n">
        <v>11</v>
      </c>
      <c r="Z284" s="2029" t="n"/>
      <c r="AA284" s="1496" t="n">
        <v>2</v>
      </c>
      <c r="AC284" s="1013" t="n"/>
      <c r="AD284" s="1014" t="n"/>
      <c r="AE284" s="1013" t="n"/>
      <c r="AF284" s="1014" t="n"/>
      <c r="AG284" s="1013" t="n"/>
      <c r="AH284" s="1014" t="n"/>
      <c r="AJ284" s="10" t="n"/>
      <c r="AK284" s="10" t="n"/>
      <c r="AL284" s="10" t="n"/>
      <c r="AR284" s="849" t="n"/>
      <c r="AS284" s="111" t="n"/>
      <c r="AT284" s="487" t="n"/>
      <c r="AU284" s="114" t="n"/>
      <c r="AV284" s="491" t="n"/>
      <c r="AW284" s="114" t="n"/>
      <c r="AX284" s="492" t="n"/>
      <c r="AY284" s="488" t="n"/>
    </row>
    <row r="285" ht="32" customHeight="1">
      <c r="A285" s="854" t="n"/>
      <c r="B285" s="53" t="inlineStr">
        <is>
          <t>NC</t>
        </is>
      </c>
      <c r="C285" s="2066" t="n"/>
      <c r="D285" s="63" t="n"/>
      <c r="E285" s="36" t="n"/>
      <c r="F285" s="36" t="n"/>
      <c r="G285" s="36" t="n"/>
      <c r="H285" s="1735" t="n">
        <v>11</v>
      </c>
      <c r="I285" s="1736" t="n">
        <v>11</v>
      </c>
      <c r="J285" s="46">
        <f>IF(AND(E285&gt;=H285,E285&lt;=I285),TRUE,FALSE)</f>
        <v/>
      </c>
      <c r="K285" s="46" t="n"/>
      <c r="L285" s="46" t="n"/>
      <c r="M285" s="46" t="n"/>
      <c r="N285" s="1711" t="n"/>
      <c r="O285" s="1735" t="n">
        <v>11</v>
      </c>
      <c r="P285" s="1736" t="n">
        <v>11</v>
      </c>
      <c r="Q285" s="1711">
        <f>IF(AND(E285&gt;=O285,E285&lt;=P285),TRUE,FALSE)</f>
        <v/>
      </c>
      <c r="R285" s="1735" t="n">
        <v>11</v>
      </c>
      <c r="S285" s="1736" t="n">
        <v>11</v>
      </c>
      <c r="T285" s="1711">
        <f>IF(AND(E285&gt;=R285,E285&lt;=S285),TRUE,FALSE)</f>
        <v/>
      </c>
      <c r="U285" s="978" t="n"/>
      <c r="V285" s="1487" t="inlineStr">
        <is>
          <t>ou</t>
        </is>
      </c>
      <c r="W285" s="1506" t="n">
        <v>11</v>
      </c>
      <c r="X285" s="1507" t="n"/>
      <c r="Y285" s="1508" t="n">
        <v>11</v>
      </c>
      <c r="Z285" s="1507" t="n"/>
      <c r="AA285" s="1502" t="n">
        <v>11</v>
      </c>
      <c r="AC285" s="1013" t="n"/>
      <c r="AD285" s="1014" t="n"/>
      <c r="AE285" s="1013" t="n"/>
      <c r="AF285" s="1014" t="n"/>
      <c r="AG285" s="1013" t="n"/>
      <c r="AH285" s="1014" t="n"/>
      <c r="AJ285" s="10" t="n"/>
      <c r="AK285" s="10" t="n"/>
      <c r="AL285" s="10" t="n"/>
      <c r="AQ285" s="7" t="n"/>
      <c r="AR285" s="849" t="n"/>
      <c r="AS285" s="111" t="n"/>
      <c r="AT285" s="487" t="n"/>
      <c r="AU285" s="114" t="n"/>
      <c r="AV285" s="491" t="n"/>
      <c r="AW285" s="114" t="n"/>
      <c r="AX285" s="492" t="n"/>
      <c r="AY285" s="488" t="n"/>
    </row>
    <row r="286" ht="32" customHeight="1" thickBot="1">
      <c r="B286" s="831" t="inlineStr">
        <is>
          <t>Max NC</t>
        </is>
      </c>
      <c r="C286" s="832">
        <f>_xlfn.XLOOKUP(G286,G284:G285,C284:C285)</f>
        <v/>
      </c>
      <c r="D286" s="833">
        <f>_xlfn.XLOOKUP(G286,G284:G285,D284:D285)</f>
        <v/>
      </c>
      <c r="E286" s="834" t="n"/>
      <c r="F286" s="834" t="n"/>
      <c r="G286" s="834">
        <f>IF(AND(J284=TRUE,J285=FALSE),G284,IF(AND(J284=FALSE,J285=TRUE),G285,MAX(G284,G285)))</f>
        <v/>
      </c>
      <c r="H286" s="1713" t="n"/>
      <c r="I286" s="835" t="n"/>
      <c r="J286" s="836">
        <f>IF(AND(J284=FALSE,J285=FALSE),FALSE,TRUE)</f>
        <v/>
      </c>
      <c r="K286" s="46" t="n"/>
      <c r="L286" s="46" t="n"/>
      <c r="M286" s="46" t="n"/>
      <c r="N286" s="1711" t="n"/>
      <c r="O286" s="1713" t="n"/>
      <c r="P286" s="835" t="n"/>
      <c r="Q286" s="1726">
        <f>IF(AND(Q284=FALSE,Q285=FALSE),FALSE,TRUE)</f>
        <v/>
      </c>
      <c r="R286" s="1713" t="n"/>
      <c r="S286" s="835" t="n"/>
      <c r="T286" s="1726">
        <f>IF(AND(T284=FALSE,T285=FALSE),FALSE,TRUE)</f>
        <v/>
      </c>
      <c r="U286" s="978" t="n"/>
      <c r="V286" s="978" t="n"/>
      <c r="W286" s="1473" t="n"/>
      <c r="X286" s="2002" t="n"/>
      <c r="Y286" s="1478" t="n"/>
      <c r="Z286" s="2002" t="n"/>
      <c r="AA286" s="1481" t="n"/>
      <c r="AC286" s="1013" t="n"/>
      <c r="AD286" s="1014" t="n"/>
      <c r="AE286" s="1013" t="n"/>
      <c r="AF286" s="1014" t="n"/>
      <c r="AG286" s="1013" t="n"/>
      <c r="AH286" s="1014" t="n"/>
      <c r="AJ286" s="10" t="n"/>
      <c r="AK286" s="10" t="n"/>
      <c r="AL286" s="10" t="n"/>
      <c r="AQ286" s="7" t="n"/>
      <c r="AR286" s="849" t="n"/>
      <c r="AS286" s="111" t="n"/>
      <c r="AT286" s="487" t="n"/>
      <c r="AU286" s="114" t="n"/>
      <c r="AV286" s="491" t="n"/>
      <c r="AW286" s="114" t="n"/>
      <c r="AX286" s="492" t="n"/>
      <c r="AY286" s="488" t="n"/>
    </row>
    <row r="287" ht="32" customHeight="1" thickBot="1">
      <c r="B287" s="837" t="inlineStr">
        <is>
          <t>Max PFA &amp; NC</t>
        </is>
      </c>
      <c r="C287" s="838" t="n"/>
      <c r="D287" s="838">
        <f>IF(G287=G283,D283,D286)</f>
        <v/>
      </c>
      <c r="E287" s="839" t="n"/>
      <c r="F287" s="839" t="n"/>
      <c r="G287" s="839">
        <f>IF(AND(J283=TRUE,J286=FALSE),G283,IF(AND(J283=FALSE,J286=TRUE),G286,IF(AND(J283=TRUE,J286=TRUE),G283+G286,MAX(G283,G286))))</f>
        <v/>
      </c>
      <c r="H287" s="1714" t="n"/>
      <c r="I287" s="840" t="n"/>
      <c r="J287" s="841">
        <f>IF(AND(J283=FALSE,J286=FALSE),FALSE,TRUE)</f>
        <v/>
      </c>
      <c r="K287" s="1698" t="n"/>
      <c r="L287" s="1698" t="n"/>
      <c r="M287" s="1698" t="n"/>
      <c r="N287" s="1715" t="n"/>
      <c r="O287" s="1714" t="n"/>
      <c r="P287" s="840" t="n"/>
      <c r="Q287" s="841">
        <f>IF(AND(Q283=FALSE,Q286=FALSE),FALSE,TRUE)</f>
        <v/>
      </c>
      <c r="R287" s="1714" t="n"/>
      <c r="S287" s="840" t="n"/>
      <c r="T287" s="841">
        <f>IF(AND(T283=FALSE,T286=FALSE),FALSE,TRUE)</f>
        <v/>
      </c>
      <c r="U287" s="978" t="n"/>
      <c r="V287" s="978" t="inlineStr">
        <is>
          <t>et</t>
        </is>
      </c>
      <c r="W287" s="1473" t="n"/>
      <c r="X287" s="2002" t="n"/>
      <c r="Y287" s="1478" t="n"/>
      <c r="Z287" s="2002" t="n"/>
      <c r="AA287" s="1481" t="n"/>
      <c r="AC287" s="1013">
        <f>IF(J287=TRUE,"V","F")</f>
        <v/>
      </c>
      <c r="AD287" s="1014" t="n"/>
      <c r="AE287" s="1013">
        <f>IF(Q287=TRUE,"V","F")</f>
        <v/>
      </c>
      <c r="AF287" s="1014" t="n"/>
      <c r="AG287" s="1013">
        <f>IF(T287=TRUE,"V","F")</f>
        <v/>
      </c>
      <c r="AH287" s="1014" t="n"/>
      <c r="AI287">
        <f>IF(OR(AC287="V",AE287="V"),IF(G286&gt;G283,"Le NC contribue plus que le coparent","Le coparent joue un plus grand rôle que le NC"),"pas de contexte significatif de la part du coparent et NC")</f>
        <v/>
      </c>
      <c r="AJ287" s="10" t="n"/>
      <c r="AK287" s="10" t="n"/>
      <c r="AL287" s="10" t="n"/>
      <c r="AQ287" s="7" t="n"/>
      <c r="AR287" s="849" t="n"/>
      <c r="AS287" s="111" t="n"/>
      <c r="AT287" s="487" t="n"/>
      <c r="AU287" s="114" t="n"/>
      <c r="AV287" s="491" t="n"/>
      <c r="AW287" s="114" t="n"/>
      <c r="AX287" s="492" t="n"/>
      <c r="AY287" s="488" t="n"/>
    </row>
    <row r="288" ht="68" customHeight="1">
      <c r="B288" s="316">
        <f>'Action-Réaction finale'!O46</f>
        <v/>
      </c>
      <c r="C288" s="799">
        <f>Test_Bible!B292</f>
        <v/>
      </c>
      <c r="D288" s="102" t="inlineStr">
        <is>
          <t xml:space="preserve">change d'idée et trouve des excuses pour ne plus participer à votre activité </t>
        </is>
      </c>
      <c r="E288" s="823">
        <f>Test_Bible!P292</f>
        <v/>
      </c>
      <c r="F288" s="822">
        <f>Test_Bible!D292</f>
        <v/>
      </c>
      <c r="G288" s="823">
        <f>Test_Bible!Q292</f>
        <v/>
      </c>
      <c r="H288" s="1710" t="n">
        <v>2</v>
      </c>
      <c r="I288" s="1703">
        <f>$I$18</f>
        <v/>
      </c>
      <c r="J288" s="46">
        <f>IF(AND(E288&gt;=H288,E288&lt;=I288),TRUE,FALSE)</f>
        <v/>
      </c>
      <c r="K288" s="46" t="n"/>
      <c r="L288" s="46" t="n"/>
      <c r="M288" s="46" t="n"/>
      <c r="N288" s="1711" t="n"/>
      <c r="O288" s="1710" t="n">
        <v>2</v>
      </c>
      <c r="P288" s="1703" t="n">
        <v>7</v>
      </c>
      <c r="Q288" s="1711">
        <f>IF(AND(E288&gt;=O288,E288&lt;=P288),TRUE,FALSE)</f>
        <v/>
      </c>
      <c r="R288" s="1710" t="n"/>
      <c r="S288" s="1703" t="n"/>
      <c r="T288" s="1711" t="n"/>
      <c r="U288" s="978" t="n"/>
      <c r="V288" s="1484" t="n"/>
      <c r="W288" s="1485" t="n">
        <v>2</v>
      </c>
      <c r="X288" s="2029" t="n"/>
      <c r="Y288" s="1489" t="n">
        <v>4</v>
      </c>
      <c r="Z288" s="2029" t="n"/>
      <c r="AA288" s="1497" t="n">
        <v>11</v>
      </c>
      <c r="AC288" s="1013" t="inlineStr">
        <is>
          <t> </t>
        </is>
      </c>
      <c r="AD288" s="1014" t="n"/>
      <c r="AE288" s="1013" t="n"/>
      <c r="AF288" s="1014" t="n"/>
      <c r="AG288" s="1013" t="n"/>
      <c r="AH288" s="1014" t="n"/>
      <c r="AJ288" s="10" t="n"/>
      <c r="AK288" s="10" t="n"/>
      <c r="AL288" s="10" t="n"/>
      <c r="AQ288" s="7" t="n"/>
      <c r="AR288" s="849" t="n"/>
      <c r="AS288" s="111" t="n"/>
      <c r="AT288" s="487" t="n"/>
      <c r="AU288" s="114" t="n"/>
      <c r="AV288" s="491" t="n"/>
      <c r="AW288" s="114" t="n"/>
      <c r="AX288" s="492" t="n"/>
      <c r="AY288" s="488" t="n"/>
    </row>
    <row r="289" ht="52" customHeight="1" thickBot="1">
      <c r="B289" s="316">
        <f>'Action-Réaction finale'!O47</f>
        <v/>
      </c>
      <c r="C289" s="799">
        <f>Test_Bible!B293</f>
        <v/>
      </c>
      <c r="D289" s="102" t="inlineStr">
        <is>
          <t>subit de la pression pour passer plus de temps chez l'autre</t>
        </is>
      </c>
      <c r="E289" s="823">
        <f>Test_Bible!P293</f>
        <v/>
      </c>
      <c r="F289" s="822">
        <f>Test_Bible!D293</f>
        <v/>
      </c>
      <c r="G289" s="823">
        <f>Test_Bible!Q293</f>
        <v/>
      </c>
      <c r="H289" s="1710" t="n">
        <v>4</v>
      </c>
      <c r="I289" s="1703" t="n">
        <v>10</v>
      </c>
      <c r="J289" s="46">
        <f>IF(AND(E289&gt;=H289,E289&lt;=I289),TRUE,FALSE)</f>
        <v/>
      </c>
      <c r="K289" s="46" t="n"/>
      <c r="L289" s="46" t="n"/>
      <c r="M289" s="46" t="n"/>
      <c r="N289" s="1711" t="n"/>
      <c r="O289" s="1710" t="n">
        <v>2</v>
      </c>
      <c r="P289" s="1703" t="n">
        <v>7</v>
      </c>
      <c r="Q289" s="1711">
        <f>IF(AND(E289&gt;=O289,E289&lt;=P289),TRUE,FALSE)</f>
        <v/>
      </c>
      <c r="R289" s="1735" t="n"/>
      <c r="S289" s="1736" t="n"/>
      <c r="T289" s="1711" t="n"/>
      <c r="U289" s="978" t="n"/>
      <c r="V289" s="1487" t="inlineStr">
        <is>
          <t>ou</t>
        </is>
      </c>
      <c r="W289" s="1492" t="n">
        <v>4</v>
      </c>
      <c r="X289" s="1493" t="n"/>
      <c r="Y289" s="1494" t="n">
        <v>2</v>
      </c>
      <c r="Z289" s="1493" t="n"/>
      <c r="AA289" s="1502" t="n">
        <v>11</v>
      </c>
      <c r="AC289" s="1013" t="n"/>
      <c r="AD289" s="1014" t="n"/>
      <c r="AE289" s="1013" t="n"/>
      <c r="AF289" s="1014" t="n"/>
      <c r="AG289" s="1013" t="n"/>
      <c r="AH289" s="1014" t="n"/>
      <c r="AJ289" s="10" t="n"/>
      <c r="AK289" s="10" t="n"/>
      <c r="AL289" s="10" t="n"/>
      <c r="AQ289" s="7" t="n"/>
      <c r="AR289" s="849" t="n"/>
      <c r="AS289" s="111" t="n"/>
      <c r="AT289" s="487" t="n"/>
      <c r="AU289" s="114" t="n"/>
      <c r="AV289" s="491" t="n"/>
      <c r="AW289" s="114" t="n"/>
      <c r="AX289" s="492" t="n"/>
      <c r="AY289" s="488" t="n"/>
    </row>
    <row r="290" ht="32" customHeight="1" thickBot="1">
      <c r="B290" s="842" t="inlineStr">
        <is>
          <t>Max Enf</t>
        </is>
      </c>
      <c r="C290" s="843">
        <f>_xlfn.XLOOKUP(G290,G288:G289,C288:C289)</f>
        <v/>
      </c>
      <c r="D290" s="843">
        <f>_xlfn.XLOOKUP(G290,G288:G289,D288:D289)</f>
        <v/>
      </c>
      <c r="E290" s="844" t="n"/>
      <c r="F290" s="844" t="n"/>
      <c r="G290" s="844">
        <f>IF(AND(J288=TRUE,J289=FALSE),G288,IF(AND(J288=FALSE,J289=TRUE),G289,MAX(G288,G289)))</f>
        <v/>
      </c>
      <c r="H290" s="1716" t="n"/>
      <c r="I290" s="845" t="n"/>
      <c r="J290" s="846">
        <f>IF(AND(J288=FALSE,J289=FALSE),FALSE,TRUE)</f>
        <v/>
      </c>
      <c r="K290" s="1699" t="n"/>
      <c r="L290" s="1699" t="n"/>
      <c r="M290" s="1699" t="n"/>
      <c r="N290" s="1717" t="n"/>
      <c r="O290" s="1716" t="n"/>
      <c r="P290" s="845" t="n"/>
      <c r="Q290" s="846">
        <f>IF(AND(Q288=FALSE,Q289=FALSE),FALSE,TRUE)</f>
        <v/>
      </c>
      <c r="R290" s="1716" t="n"/>
      <c r="S290" s="845" t="n"/>
      <c r="T290" s="846" t="n"/>
      <c r="U290" s="978" t="n"/>
      <c r="V290" s="978" t="n"/>
      <c r="W290" s="1475" t="n"/>
      <c r="Y290" s="1479" t="n"/>
      <c r="AA290" s="1483" t="n"/>
      <c r="AC290" s="1013">
        <f>IF(J290=TRUE,"V","F")</f>
        <v/>
      </c>
      <c r="AD290" s="1014" t="n"/>
      <c r="AE290" s="1013">
        <f>IF(Q290=TRUE,"V","F")</f>
        <v/>
      </c>
      <c r="AF290" s="1014" t="n"/>
      <c r="AG290" s="1013" t="n"/>
      <c r="AH290" s="1014" t="n"/>
      <c r="AJ290" s="10" t="n"/>
      <c r="AK290" s="10" t="n"/>
      <c r="AL290" s="10" t="n"/>
      <c r="AR290" s="849" t="n"/>
      <c r="AS290" s="111" t="n"/>
      <c r="AT290" s="487" t="n"/>
      <c r="AU290" s="114" t="n"/>
      <c r="AV290" s="491" t="n"/>
      <c r="AW290" s="114" t="n"/>
      <c r="AX290" s="492" t="n"/>
      <c r="AY290" s="488" t="n"/>
    </row>
    <row r="291" ht="32" customHeight="1">
      <c r="C291" s="428" t="inlineStr">
        <is>
          <t>COMPARATIF Comportement PFA-Enf</t>
        </is>
      </c>
      <c r="D291" s="2058" t="n"/>
      <c r="E291" s="484" t="inlineStr">
        <is>
          <t>Valeur =&gt;</t>
        </is>
      </c>
      <c r="F291" s="48" t="n"/>
      <c r="G291" s="48">
        <f>G283+G286+G290</f>
        <v/>
      </c>
      <c r="H291" s="1718" t="n"/>
      <c r="I291" s="485" t="n"/>
      <c r="J291" s="1701" t="n"/>
      <c r="K291" s="1702">
        <f>IF(AND(J290=TRUE,J287=TRUE),D290,"")</f>
        <v/>
      </c>
      <c r="L291" s="1702">
        <f>IF(AND(J287=TRUE,J290=FALSE),"Bien que le parent "&amp;D287&amp;" l'enfant ne semble pas s'ingérer","")</f>
        <v/>
      </c>
      <c r="M291" s="1702">
        <f>IF(AND(J287=FALSE,J290=TRUE),D290&amp;" sans signe de la participation du parent favorisé et|ou nouveau conjoint.e","")</f>
        <v/>
      </c>
      <c r="N291" s="1719">
        <f>IF(AND(J287=FALSE,J290=FALSE),"aucun comportement significatif de cette nature","")</f>
        <v/>
      </c>
      <c r="O291" s="1718" t="n"/>
      <c r="P291" s="485" t="n"/>
      <c r="Q291" s="1727" t="n"/>
      <c r="R291" s="1718" t="n"/>
      <c r="S291" s="485" t="n"/>
      <c r="T291" s="1727" t="n"/>
      <c r="U291" s="980" t="n"/>
      <c r="V291" s="980" t="n"/>
      <c r="W291" s="1475" t="n"/>
      <c r="Y291" s="1479" t="n"/>
      <c r="AA291" s="1483" t="n"/>
      <c r="AC291" s="1015" t="n"/>
      <c r="AD291" s="1016">
        <f>IF(AND(AC287="V",AC290="V"),2,IF(OR(AC287="V",AC290="V"),1,0))</f>
        <v/>
      </c>
      <c r="AE291" s="1015" t="n"/>
      <c r="AF291" s="1016">
        <f>IF(OR(AE287="V",AE290="V"),1,0)</f>
        <v/>
      </c>
      <c r="AG291" s="1015" t="n"/>
      <c r="AH291" s="1016" t="n"/>
      <c r="AJ291" s="10" t="n"/>
      <c r="AK291" s="10" t="n"/>
      <c r="AL291" s="10" t="n"/>
      <c r="AR291" s="849" t="n"/>
      <c r="AS291" s="111" t="n"/>
      <c r="AT291" s="487" t="n"/>
      <c r="AU291" s="114" t="n"/>
      <c r="AV291" s="491" t="n"/>
      <c r="AW291" s="114" t="n"/>
      <c r="AX291" s="492" t="n"/>
      <c r="AY291" s="488" t="n"/>
    </row>
    <row r="292" ht="32" customHeight="1">
      <c r="B292" t="inlineStr">
        <is>
          <t>PCR</t>
        </is>
      </c>
      <c r="H292" s="147" t="n"/>
      <c r="K292" s="1992" t="n"/>
      <c r="L292" s="1992" t="n"/>
      <c r="M292" s="1992" t="n"/>
      <c r="N292" s="1740" t="n"/>
      <c r="O292" s="147" t="n"/>
      <c r="Q292" s="330" t="n"/>
      <c r="R292" s="147" t="n"/>
      <c r="T292" s="330" t="n"/>
      <c r="U292" s="1992" t="n"/>
      <c r="W292" s="1475" t="n"/>
      <c r="Y292" s="1479" t="n"/>
      <c r="AA292" s="1483" t="n"/>
      <c r="AC292" s="1013" t="n"/>
      <c r="AD292" s="1014" t="n"/>
      <c r="AE292" s="1013" t="n"/>
      <c r="AF292" s="1014" t="n"/>
      <c r="AG292" s="1013" t="n"/>
      <c r="AH292" s="1014" t="n"/>
      <c r="AJ292" s="10" t="n"/>
      <c r="AK292" s="10" t="n"/>
      <c r="AL292" s="10" t="n"/>
      <c r="AR292" s="849" t="n"/>
      <c r="AS292" s="111" t="n"/>
      <c r="AT292" s="487" t="n"/>
      <c r="AU292" s="114" t="n"/>
      <c r="AV292" s="491" t="n"/>
      <c r="AW292" s="114" t="n"/>
      <c r="AX292" s="492" t="n"/>
      <c r="AY292" s="488" t="n"/>
    </row>
    <row r="293" ht="32" customHeight="1">
      <c r="B293" s="1017" t="n"/>
      <c r="C293" s="1025" t="n"/>
      <c r="D293" s="1018" t="n"/>
      <c r="E293" s="1026" t="n"/>
      <c r="F293" s="1026" t="n"/>
      <c r="G293" s="1026" t="n"/>
      <c r="H293" s="1735" t="n">
        <v>11</v>
      </c>
      <c r="I293" s="1736" t="n">
        <v>11</v>
      </c>
      <c r="J293" s="46">
        <f>IF(AND(E293&gt;=H293,E293&lt;=I293),TRUE,FALSE)</f>
        <v/>
      </c>
      <c r="K293" s="33" t="n"/>
      <c r="L293" s="33" t="n"/>
      <c r="M293" s="33" t="n"/>
      <c r="N293" s="1720" t="n"/>
      <c r="O293" s="1735" t="n">
        <v>11</v>
      </c>
      <c r="P293" s="1736" t="n">
        <v>11</v>
      </c>
      <c r="Q293" s="1711">
        <f>IF(AND(E293&gt;=O293,E293&lt;=P293),TRUE,FALSE)</f>
        <v/>
      </c>
      <c r="R293" s="1735" t="n">
        <v>11</v>
      </c>
      <c r="S293" s="1736" t="n">
        <v>11</v>
      </c>
      <c r="T293" s="1711">
        <f>IF(AND(E293&gt;=R293,E293&lt;=S293),TRUE,FALSE)</f>
        <v/>
      </c>
      <c r="U293" s="1992" t="n"/>
      <c r="V293" s="1509" t="n"/>
      <c r="W293" s="1503" t="n">
        <v>11</v>
      </c>
      <c r="X293" s="1504" t="n"/>
      <c r="Y293" s="1505" t="n">
        <v>11</v>
      </c>
      <c r="Z293" s="1504" t="n"/>
      <c r="AA293" s="1497" t="n">
        <v>11</v>
      </c>
      <c r="AC293" s="1013" t="n"/>
      <c r="AD293" s="1014" t="n"/>
      <c r="AE293" s="1013" t="n"/>
      <c r="AF293" s="1014" t="n"/>
      <c r="AG293" s="1013" t="n"/>
      <c r="AH293" s="1014" t="n"/>
      <c r="AJ293" s="10" t="n"/>
      <c r="AK293" s="10" t="n"/>
      <c r="AL293" s="10" t="n"/>
      <c r="AR293" s="849" t="n"/>
      <c r="AS293" s="111" t="n"/>
      <c r="AT293" s="487" t="n"/>
      <c r="AU293" s="114" t="n"/>
      <c r="AV293" s="491" t="n"/>
      <c r="AW293" s="114" t="n"/>
      <c r="AX293" s="492" t="n"/>
      <c r="AY293" s="488" t="n"/>
    </row>
    <row r="294" ht="32" customHeight="1" thickBot="1">
      <c r="B294" s="1017" t="n"/>
      <c r="C294" s="1025" t="n"/>
      <c r="D294" s="1018" t="n"/>
      <c r="E294" s="1026" t="n"/>
      <c r="F294" s="1026" t="n"/>
      <c r="G294" s="1026" t="n"/>
      <c r="H294" s="1735" t="n">
        <v>11</v>
      </c>
      <c r="I294" s="1736" t="n">
        <v>11</v>
      </c>
      <c r="J294" s="46">
        <f>IF(AND(E294&gt;=H294,E294&lt;=I294),TRUE,FALSE)</f>
        <v/>
      </c>
      <c r="K294" s="33" t="n"/>
      <c r="L294" s="33" t="n"/>
      <c r="M294" s="33" t="n"/>
      <c r="N294" s="1720" t="n"/>
      <c r="O294" s="1735" t="n">
        <v>11</v>
      </c>
      <c r="P294" s="1736" t="n">
        <v>11</v>
      </c>
      <c r="Q294" s="1711">
        <f>IF(AND(E294&gt;=O294,E294&lt;=P294),TRUE,FALSE)</f>
        <v/>
      </c>
      <c r="R294" s="1735" t="n">
        <v>11</v>
      </c>
      <c r="S294" s="1736" t="n">
        <v>11</v>
      </c>
      <c r="T294" s="1711">
        <f>IF(AND(E294&gt;=R294,E294&lt;=S294),TRUE,FALSE)</f>
        <v/>
      </c>
      <c r="V294" s="1510" t="n"/>
      <c r="W294" s="1506" t="n">
        <v>11</v>
      </c>
      <c r="X294" s="1507" t="n"/>
      <c r="Y294" s="1508" t="n">
        <v>11</v>
      </c>
      <c r="Z294" s="1507" t="n"/>
      <c r="AA294" s="1502" t="n">
        <v>11</v>
      </c>
      <c r="AC294" s="1013" t="n"/>
      <c r="AD294" s="1014" t="n"/>
      <c r="AE294" s="1013" t="n"/>
      <c r="AF294" s="1014" t="n"/>
      <c r="AG294" s="1013" t="n"/>
      <c r="AH294" s="1014" t="n"/>
      <c r="AJ294" s="10" t="n"/>
      <c r="AK294" s="10" t="n"/>
      <c r="AL294" s="10" t="n"/>
      <c r="AR294" s="849" t="n"/>
      <c r="AS294" s="111" t="n"/>
      <c r="AT294" s="487" t="n"/>
      <c r="AU294" s="114" t="n"/>
      <c r="AV294" s="491" t="n"/>
      <c r="AW294" s="114" t="n"/>
      <c r="AX294" s="492" t="n"/>
      <c r="AY294" s="488" t="n"/>
    </row>
    <row r="295" ht="32" customHeight="1" thickBot="1">
      <c r="C295" s="2073" t="n"/>
      <c r="D295" s="2073" t="n"/>
      <c r="E295" s="90" t="n"/>
      <c r="F295" s="483" t="n"/>
      <c r="G295" s="483" t="n"/>
      <c r="H295" s="1732" t="n"/>
      <c r="I295" s="1733" t="n"/>
      <c r="J295" s="1739">
        <f>IF(AND(J293=FALSE,J294=FALSE),FALSE,TRUE)</f>
        <v/>
      </c>
      <c r="K295" s="1721" t="n"/>
      <c r="L295" s="1722" t="n"/>
      <c r="M295" s="1722" t="n"/>
      <c r="N295" s="1723" t="n"/>
      <c r="O295" s="1732" t="n"/>
      <c r="P295" s="1733" t="n"/>
      <c r="Q295" s="1739">
        <f>IF(AND(Q293=FALSE,Q294=FALSE),FALSE,TRUE)</f>
        <v/>
      </c>
      <c r="R295" s="1744" t="n"/>
      <c r="S295" s="1745" t="n"/>
      <c r="T295" s="1746">
        <f>IF(AND(T293=FALSE,T294=FALSE),FALSE,TRUE)</f>
        <v/>
      </c>
      <c r="U295" s="980" t="n"/>
      <c r="AC295" s="1650">
        <f>IF(J295=TRUE,"V","F")</f>
        <v/>
      </c>
      <c r="AD295" s="1651" t="n"/>
      <c r="AE295" s="1650">
        <f>IF(Q295=TRUE,"V","F")</f>
        <v/>
      </c>
      <c r="AF295" s="1651" t="n"/>
      <c r="AG295" s="1650">
        <f>IF(T295=TRUE,"V","F")</f>
        <v/>
      </c>
      <c r="AH295" s="1651" t="n"/>
      <c r="AJ295" s="10" t="n"/>
      <c r="AK295" s="10" t="n"/>
      <c r="AL295" s="10" t="n"/>
      <c r="AR295" s="849" t="n"/>
      <c r="AS295" s="111" t="n"/>
      <c r="AT295" s="487" t="n"/>
      <c r="AU295" s="114" t="n"/>
      <c r="AV295" s="491" t="n"/>
      <c r="AW295" s="114" t="n"/>
      <c r="AX295" s="492" t="n"/>
      <c r="AY295" s="488" t="n"/>
    </row>
    <row r="296" ht="32" customHeight="1" thickBot="1">
      <c r="C296" s="2073" t="n"/>
      <c r="D296" s="2073" t="n"/>
      <c r="E296" s="90" t="n"/>
      <c r="F296" s="483" t="n"/>
      <c r="G296" s="483" t="n"/>
      <c r="H296" s="2002" t="n"/>
      <c r="I296" s="2002" t="n"/>
      <c r="J296" s="979" t="n"/>
      <c r="K296" s="980" t="n"/>
      <c r="L296" s="980" t="n"/>
      <c r="M296" s="980" t="n"/>
      <c r="N296" s="980" t="n"/>
      <c r="O296" s="980" t="n"/>
      <c r="P296" s="980" t="n"/>
      <c r="Q296" s="980" t="n"/>
      <c r="R296" s="980" t="n"/>
      <c r="S296" s="980" t="n"/>
      <c r="T296" s="980" t="n"/>
      <c r="U296" s="980" t="n"/>
      <c r="V296" s="980" t="n"/>
      <c r="AC296" s="1737" t="n"/>
      <c r="AD296" s="1738">
        <f>IF(AND(AC295="V",AC287="V"),AD291-1,AD291)</f>
        <v/>
      </c>
      <c r="AE296" s="1737" t="n"/>
      <c r="AF296" s="1738">
        <f>IF(OR(AE287="V",AE290="V",AE295="V"),1,0)</f>
        <v/>
      </c>
      <c r="AG296" s="1737" t="n"/>
      <c r="AH296" s="1738">
        <f>IF(AG287="V",1,IF(AG295="V",1,0))</f>
        <v/>
      </c>
      <c r="AJ296" s="10" t="n">
        <v>1</v>
      </c>
      <c r="AK296" s="10" t="n">
        <v>1</v>
      </c>
      <c r="AL296" s="10" t="n">
        <v>1</v>
      </c>
      <c r="AR296" s="849" t="n"/>
      <c r="AS296" s="111" t="n"/>
      <c r="AT296" s="487" t="n"/>
      <c r="AU296" s="114" t="n"/>
      <c r="AV296" s="491" t="n"/>
      <c r="AW296" s="114" t="n"/>
      <c r="AX296" s="492" t="n"/>
      <c r="AY296" s="488" t="n"/>
    </row>
    <row r="297" ht="32" customHeight="1">
      <c r="C297" s="2073" t="n"/>
      <c r="D297" s="2073" t="n"/>
      <c r="E297" s="90" t="n"/>
      <c r="F297" s="483" t="n"/>
      <c r="G297" s="483" t="n"/>
      <c r="H297" s="1704" t="n"/>
      <c r="I297" s="1705" t="n"/>
      <c r="J297" s="1706" t="n"/>
      <c r="K297" s="2056" t="n"/>
      <c r="L297" s="709" t="n"/>
      <c r="M297" s="709" t="n"/>
      <c r="N297" s="1707" t="n"/>
      <c r="O297" s="1724" t="n"/>
      <c r="P297" s="1706" t="n"/>
      <c r="Q297" s="1707" t="n"/>
      <c r="R297" s="1724" t="n"/>
      <c r="S297" s="1706" t="n"/>
      <c r="T297" s="1707" t="n"/>
      <c r="U297" s="980" t="n"/>
      <c r="V297" s="980" t="n"/>
      <c r="AC297" s="1756" t="n"/>
      <c r="AD297" s="1757" t="n"/>
      <c r="AE297" s="1490" t="n"/>
      <c r="AF297" s="1490" t="n"/>
      <c r="AG297" s="1490" t="n"/>
      <c r="AH297" s="1490" t="n"/>
      <c r="AJ297" s="10" t="n"/>
      <c r="AK297" s="10" t="n"/>
      <c r="AL297" s="10" t="n"/>
      <c r="AR297" s="849" t="n"/>
      <c r="AS297" s="111" t="n"/>
      <c r="AT297" s="487" t="n"/>
      <c r="AU297" s="114" t="n"/>
      <c r="AV297" s="491" t="n"/>
      <c r="AW297" s="114" t="n"/>
      <c r="AX297" s="492" t="n"/>
      <c r="AY297" s="488" t="n"/>
    </row>
    <row r="298" ht="32" customHeight="1">
      <c r="A298" s="853" t="n">
        <v>15</v>
      </c>
      <c r="C298" s="486">
        <f>'Action-Réaction finale'!F49</f>
        <v/>
      </c>
      <c r="D298" s="108" t="n"/>
      <c r="E298" s="66" t="n"/>
      <c r="F298" s="18" t="n"/>
      <c r="G298" s="18" t="n"/>
      <c r="H298" s="2052" t="inlineStr">
        <is>
          <t>AP</t>
        </is>
      </c>
      <c r="K298" s="2055" t="inlineStr">
        <is>
          <t>Dynamique d'AP</t>
        </is>
      </c>
      <c r="N298" s="330" t="n"/>
      <c r="O298" s="2122" t="inlineStr">
        <is>
          <t>CL</t>
        </is>
      </c>
      <c r="Q298" s="330" t="n"/>
      <c r="R298" s="2123" t="inlineStr">
        <is>
          <t>CSS</t>
        </is>
      </c>
      <c r="T298" s="330" t="n"/>
      <c r="U298" s="15" t="n"/>
      <c r="V298" s="15" t="n"/>
      <c r="AC298" s="1009" t="n"/>
      <c r="AD298" s="1009" t="n"/>
      <c r="AE298" s="1009" t="n"/>
      <c r="AF298" s="1009" t="n"/>
      <c r="AG298" s="1009" t="n"/>
      <c r="AH298" s="1010" t="n"/>
      <c r="AJ298" s="10" t="n"/>
      <c r="AK298" s="10" t="n"/>
      <c r="AL298" s="10" t="n"/>
      <c r="AR298" s="849" t="n"/>
      <c r="AS298" s="111" t="n"/>
      <c r="AT298" s="487" t="n"/>
      <c r="AU298" s="114" t="n"/>
      <c r="AV298" s="491" t="n"/>
      <c r="AW298" s="114" t="n"/>
      <c r="AX298" s="492" t="n"/>
      <c r="AY298" s="488" t="n"/>
    </row>
    <row r="299" ht="32" customHeight="1">
      <c r="C299" s="103" t="inlineStr">
        <is>
          <t>Questions et sous-questions</t>
        </is>
      </c>
      <c r="D299" s="1043" t="inlineStr">
        <is>
          <t>Texte écourté pour titrer dans les baromètres ou rapport</t>
        </is>
      </c>
      <c r="E299" s="33" t="inlineStr">
        <is>
          <t>Valeur de base
Fréquence (F)</t>
        </is>
      </c>
      <c r="F299" s="33" t="inlineStr">
        <is>
          <t>Valeur de base
intensité (I)</t>
        </is>
      </c>
      <c r="G299" s="33" t="inlineStr">
        <is>
          <t>F * I</t>
        </is>
      </c>
      <c r="H299" s="1708" t="inlineStr">
        <is>
          <t>Condition Fréq. 
&gt;= que</t>
        </is>
      </c>
      <c r="I299" s="44" t="inlineStr">
        <is>
          <t>Condition Fré
&lt;= que</t>
        </is>
      </c>
      <c r="J299" s="44" t="inlineStr">
        <is>
          <t>Condition respectée</t>
        </is>
      </c>
      <c r="K299" s="44" t="inlineStr">
        <is>
          <t>"VRAI" (PF&amp;NC) /  "VRAI" (Enf)</t>
        </is>
      </c>
      <c r="L299" s="44" t="inlineStr">
        <is>
          <t>Vrai (PF&amp;NC) /  Faux (Enf)</t>
        </is>
      </c>
      <c r="M299" s="44" t="inlineStr">
        <is>
          <t>Faux (PF&amp;NC) /  Vrai (Enf)</t>
        </is>
      </c>
      <c r="N299" s="1709" t="inlineStr">
        <is>
          <t>Faux (PF&amp;NC) /  Faux(Enf)</t>
        </is>
      </c>
      <c r="O299" s="1708" t="inlineStr">
        <is>
          <t>Condition Fréq. 
&gt;= que</t>
        </is>
      </c>
      <c r="P299" s="44" t="inlineStr">
        <is>
          <t>Condition Fré
&lt;= que</t>
        </is>
      </c>
      <c r="Q299" s="1709" t="inlineStr">
        <is>
          <t>Condition respectée</t>
        </is>
      </c>
      <c r="R299" s="1708" t="inlineStr">
        <is>
          <t>Condition Fréq. 
&gt;= que</t>
        </is>
      </c>
      <c r="S299" s="44" t="inlineStr">
        <is>
          <t>Condition Fré
&lt;= que</t>
        </is>
      </c>
      <c r="T299" s="1709" t="inlineStr">
        <is>
          <t>Condition respectée</t>
        </is>
      </c>
      <c r="U299" s="851" t="n"/>
      <c r="V299" s="1008" t="inlineStr">
        <is>
          <t>Condition</t>
        </is>
      </c>
      <c r="W299" s="1472" t="inlineStr">
        <is>
          <t>AP</t>
        </is>
      </c>
      <c r="X299" s="1008" t="inlineStr">
        <is>
          <t>Condition</t>
        </is>
      </c>
      <c r="Y299" s="1476" t="inlineStr">
        <is>
          <t>CL</t>
        </is>
      </c>
      <c r="Z299" s="1008" t="n"/>
      <c r="AA299" s="1480" t="inlineStr">
        <is>
          <t>CSS</t>
        </is>
      </c>
      <c r="AC299" s="1023" t="inlineStr">
        <is>
          <t>AP</t>
        </is>
      </c>
      <c r="AD299" s="1024" t="inlineStr">
        <is>
          <t>AP_F</t>
        </is>
      </c>
      <c r="AE299" s="1023" t="inlineStr">
        <is>
          <t>CL</t>
        </is>
      </c>
      <c r="AF299" s="1024" t="inlineStr">
        <is>
          <t>CL_F</t>
        </is>
      </c>
      <c r="AG299" s="1023" t="inlineStr">
        <is>
          <t>CSS</t>
        </is>
      </c>
      <c r="AH299" s="1024" t="inlineStr">
        <is>
          <t>CSS_F</t>
        </is>
      </c>
      <c r="AJ299" s="10" t="n"/>
      <c r="AK299" s="10" t="n"/>
      <c r="AL299" s="10" t="n"/>
      <c r="AR299" s="849" t="n"/>
      <c r="AS299" s="111" t="n"/>
      <c r="AT299" s="487" t="n"/>
      <c r="AU299" s="114" t="n"/>
      <c r="AV299" s="491" t="n"/>
      <c r="AW299" s="114" t="n"/>
      <c r="AX299" s="492" t="n"/>
      <c r="AY299" s="488" t="n"/>
    </row>
    <row r="300" ht="53" customHeight="1">
      <c r="B300" s="421">
        <f>'Action-Réaction finale'!G49</f>
        <v/>
      </c>
      <c r="C300" s="2066">
        <f>Test_Bible!B194</f>
        <v/>
      </c>
      <c r="D300" s="102" t="inlineStr">
        <is>
          <t>impose sa présence régulièrement durant votre temps de garde</t>
        </is>
      </c>
      <c r="E300" s="823">
        <f>Test_Bible!P194</f>
        <v/>
      </c>
      <c r="F300" s="822">
        <f>Test_Bible!D194</f>
        <v/>
      </c>
      <c r="G300" s="823">
        <f>Test_Bible!Q194</f>
        <v/>
      </c>
      <c r="H300" s="1710" t="n">
        <v>7</v>
      </c>
      <c r="I300" s="1703" t="n">
        <v>10</v>
      </c>
      <c r="J300" s="46">
        <f>IF(AND(E300&gt;=H300,E300&lt;=I300),TRUE,FALSE)</f>
        <v/>
      </c>
      <c r="K300" s="46" t="n"/>
      <c r="L300" s="46" t="n"/>
      <c r="M300" s="46" t="n"/>
      <c r="N300" s="1711" t="n"/>
      <c r="O300" s="1735" t="n">
        <v>11</v>
      </c>
      <c r="P300" s="1736" t="n">
        <v>11</v>
      </c>
      <c r="Q300" s="1711">
        <f>IF(AND(E300&gt;=O300,E300&lt;=P300),TRUE,FALSE)</f>
        <v/>
      </c>
      <c r="R300" s="1735" t="n">
        <v>11</v>
      </c>
      <c r="S300" s="1736" t="n">
        <v>11</v>
      </c>
      <c r="T300" s="1711">
        <f>IF(AND(E300&gt;=R300,E300&lt;=S300),TRUE,FALSE)</f>
        <v/>
      </c>
      <c r="U300" s="978" t="n"/>
      <c r="V300" s="1484" t="n"/>
      <c r="W300" s="1485" t="n">
        <v>7</v>
      </c>
      <c r="X300" s="2029" t="n"/>
      <c r="Y300" s="1505" t="n">
        <v>11</v>
      </c>
      <c r="Z300" s="2029" t="n"/>
      <c r="AA300" s="1497" t="n">
        <v>11</v>
      </c>
      <c r="AC300" s="1011" t="n"/>
      <c r="AD300" s="1012" t="n"/>
      <c r="AE300" s="1011" t="n"/>
      <c r="AF300" s="1012" t="n"/>
      <c r="AG300" s="1011" t="n"/>
      <c r="AH300" s="1012" t="n"/>
      <c r="AJ300" s="10" t="n"/>
      <c r="AK300" s="10" t="n"/>
      <c r="AL300" s="10" t="n"/>
      <c r="AR300" s="849" t="n"/>
      <c r="AS300" s="111" t="n"/>
      <c r="AT300" s="487" t="n"/>
      <c r="AU300" s="114" t="n"/>
      <c r="AV300" s="491" t="n"/>
      <c r="AW300" s="114" t="n"/>
      <c r="AX300" s="492" t="n"/>
      <c r="AY300" s="488" t="n"/>
    </row>
    <row r="301" ht="32" customHeight="1">
      <c r="B301" s="421" t="inlineStr">
        <is>
          <t>PFA</t>
        </is>
      </c>
      <c r="C301" s="2066" t="n"/>
      <c r="D301" s="102" t="n"/>
      <c r="E301" s="823" t="n"/>
      <c r="F301" s="822" t="n"/>
      <c r="G301" s="823" t="n"/>
      <c r="H301" s="1735" t="n">
        <v>11</v>
      </c>
      <c r="I301" s="1736" t="n">
        <v>11</v>
      </c>
      <c r="J301" s="46">
        <f>IF(AND(E301&gt;=H301,E301&lt;=I301),TRUE,FALSE)</f>
        <v/>
      </c>
      <c r="K301" s="46" t="n"/>
      <c r="L301" s="46" t="n"/>
      <c r="M301" s="46" t="n"/>
      <c r="N301" s="1711" t="n"/>
      <c r="O301" s="1735" t="n">
        <v>11</v>
      </c>
      <c r="P301" s="1736" t="n">
        <v>11</v>
      </c>
      <c r="Q301" s="1711">
        <f>IF(AND(E301&gt;=O301,E301&lt;=P301),TRUE,FALSE)</f>
        <v/>
      </c>
      <c r="R301" s="1735" t="n">
        <v>11</v>
      </c>
      <c r="S301" s="1736" t="n">
        <v>11</v>
      </c>
      <c r="T301" s="1711">
        <f>IF(AND(E301&gt;=R301,E301&lt;=S301),TRUE,FALSE)</f>
        <v/>
      </c>
      <c r="U301" s="978" t="n"/>
      <c r="V301" s="1487" t="inlineStr">
        <is>
          <t>ou</t>
        </is>
      </c>
      <c r="W301" s="1506" t="n">
        <v>11</v>
      </c>
      <c r="X301" s="1507" t="n"/>
      <c r="Y301" s="1508" t="n">
        <v>11</v>
      </c>
      <c r="Z301" s="1507" t="n"/>
      <c r="AA301" s="1502" t="n">
        <v>11</v>
      </c>
      <c r="AC301" s="1013" t="n"/>
      <c r="AD301" s="1014" t="n"/>
      <c r="AE301" s="1013" t="n"/>
      <c r="AF301" s="1014" t="n"/>
      <c r="AG301" s="1013" t="n"/>
      <c r="AH301" s="1014" t="n"/>
      <c r="AJ301" s="10" t="n"/>
      <c r="AK301" s="10" t="n"/>
      <c r="AL301" s="10" t="n"/>
      <c r="AR301" s="849" t="n"/>
      <c r="AS301" s="111" t="n"/>
      <c r="AT301" s="487" t="n"/>
      <c r="AU301" s="114" t="n"/>
      <c r="AV301" s="491" t="n"/>
      <c r="AW301" s="114" t="n"/>
      <c r="AX301" s="492" t="n"/>
      <c r="AY301" s="488" t="n"/>
    </row>
    <row r="302" ht="32" customHeight="1">
      <c r="B302" s="825" t="inlineStr">
        <is>
          <t>Max PFA</t>
        </is>
      </c>
      <c r="C302" s="826">
        <f>_xlfn.XLOOKUP(G302,G300:G301,C300:C301)</f>
        <v/>
      </c>
      <c r="D302" s="827">
        <f>_xlfn.XLOOKUP(G302,G300:G301,D300:D301)</f>
        <v/>
      </c>
      <c r="E302" s="828" t="n"/>
      <c r="F302" s="828" t="n"/>
      <c r="G302" s="828">
        <f>IF(AND(J300=TRUE,J301=FALSE),G300,IF(AND(J300=FALSE,J301=TRUE),G301,MAX(G300,G301)))</f>
        <v/>
      </c>
      <c r="H302" s="1712" t="n"/>
      <c r="I302" s="829" t="n"/>
      <c r="J302" s="830">
        <f>IF(AND(J300=FALSE,J301=FALSE),FALSE,TRUE)</f>
        <v/>
      </c>
      <c r="K302" s="46" t="n"/>
      <c r="L302" s="46" t="n"/>
      <c r="M302" s="46" t="n"/>
      <c r="N302" s="1711" t="n"/>
      <c r="O302" s="1712" t="n"/>
      <c r="P302" s="829" t="n"/>
      <c r="Q302" s="1725">
        <f>IF(AND(Q300=FALSE,Q301=FALSE),FALSE,TRUE)</f>
        <v/>
      </c>
      <c r="R302" s="1712" t="n"/>
      <c r="S302" s="829" t="n"/>
      <c r="T302" s="1725">
        <f>IF(AND(T300=FALSE,T301=FALSE),FALSE,TRUE)</f>
        <v/>
      </c>
      <c r="U302" s="978" t="n"/>
      <c r="V302" s="978" t="inlineStr">
        <is>
          <t>ou</t>
        </is>
      </c>
      <c r="W302" s="1473" t="n"/>
      <c r="X302" s="2002" t="n"/>
      <c r="Y302" s="1478" t="n"/>
      <c r="Z302" s="2002" t="n"/>
      <c r="AA302" s="1481" t="n"/>
      <c r="AC302" s="1013" t="n"/>
      <c r="AD302" s="1014" t="n"/>
      <c r="AE302" s="1013" t="n"/>
      <c r="AF302" s="1014" t="n"/>
      <c r="AG302" s="1013" t="n"/>
      <c r="AH302" s="1014" t="n"/>
      <c r="AJ302" s="10" t="n"/>
      <c r="AK302" s="10" t="n"/>
      <c r="AL302" s="10" t="n"/>
      <c r="AR302" s="849" t="n"/>
      <c r="AS302" s="111" t="n"/>
      <c r="AT302" s="487" t="n"/>
      <c r="AU302" s="114" t="n"/>
      <c r="AV302" s="491" t="n"/>
      <c r="AW302" s="114" t="n"/>
      <c r="AX302" s="492" t="n"/>
      <c r="AY302" s="488" t="n"/>
    </row>
    <row r="303" ht="57" customHeight="1">
      <c r="B303" s="53">
        <f>'Action-Réaction finale'!K49</f>
        <v/>
      </c>
      <c r="C303" s="2066">
        <f>Test_Bible!B407</f>
        <v/>
      </c>
      <c r="D303" s="102" t="inlineStr">
        <is>
          <t>Le nouveau conjoint.e impose sa présence régulièrement durant votre temps de garde</t>
        </is>
      </c>
      <c r="E303" s="823">
        <f>Test_Bible!P407</f>
        <v/>
      </c>
      <c r="F303" s="822">
        <f>Test_Bible!D407</f>
        <v/>
      </c>
      <c r="G303" s="823">
        <f>Test_Bible!Q407</f>
        <v/>
      </c>
      <c r="H303" s="1710" t="n">
        <v>4</v>
      </c>
      <c r="I303" s="1703" t="n">
        <v>10</v>
      </c>
      <c r="J303" s="46">
        <f>IF(AND(E303&gt;=H303,E303&lt;=I303),TRUE,FALSE)</f>
        <v/>
      </c>
      <c r="K303" s="46" t="n"/>
      <c r="L303" s="46" t="n"/>
      <c r="M303" s="46" t="n"/>
      <c r="N303" s="1711" t="n"/>
      <c r="O303" s="1710" t="n">
        <v>7</v>
      </c>
      <c r="P303" s="1703" t="n">
        <v>10</v>
      </c>
      <c r="Q303" s="1711">
        <f>IF(AND(E303&gt;=O303,E303&lt;=P303),TRUE,FALSE)</f>
        <v/>
      </c>
      <c r="R303" s="1735" t="n">
        <v>11</v>
      </c>
      <c r="S303" s="1736" t="n">
        <v>11</v>
      </c>
      <c r="T303" s="1711">
        <f>IF(AND(E303&gt;=R303,E303&lt;=S303),TRUE,FALSE)</f>
        <v/>
      </c>
      <c r="U303" s="978" t="n"/>
      <c r="V303" s="1484" t="n"/>
      <c r="W303" s="1485" t="n">
        <v>4</v>
      </c>
      <c r="X303" s="2029" t="n"/>
      <c r="Y303" s="1489" t="n">
        <v>7</v>
      </c>
      <c r="Z303" s="2029" t="n"/>
      <c r="AA303" s="1497" t="n">
        <v>11</v>
      </c>
      <c r="AC303" s="1013" t="n"/>
      <c r="AD303" s="1014" t="n"/>
      <c r="AE303" s="1013" t="n"/>
      <c r="AF303" s="1014" t="n"/>
      <c r="AG303" s="1013" t="n"/>
      <c r="AH303" s="1014" t="n"/>
      <c r="AJ303" s="10" t="n"/>
      <c r="AK303" s="10" t="n"/>
      <c r="AL303" s="10" t="n"/>
      <c r="AR303" s="849" t="n"/>
      <c r="AS303" s="111" t="n"/>
      <c r="AT303" s="487" t="n"/>
      <c r="AU303" s="114" t="n"/>
      <c r="AV303" s="491" t="n"/>
      <c r="AW303" s="114" t="n"/>
      <c r="AX303" s="492" t="n"/>
      <c r="AY303" s="488" t="n"/>
    </row>
    <row r="304" ht="32" customHeight="1">
      <c r="B304" s="53" t="inlineStr">
        <is>
          <t>NC</t>
        </is>
      </c>
      <c r="C304" s="2066" t="n"/>
      <c r="D304" s="63" t="n"/>
      <c r="E304" s="36" t="n"/>
      <c r="F304" s="36" t="n"/>
      <c r="G304" s="36" t="n"/>
      <c r="H304" s="1735" t="n">
        <v>11</v>
      </c>
      <c r="I304" s="1736" t="n">
        <v>11</v>
      </c>
      <c r="J304" s="46">
        <f>IF(AND(E304&gt;=H304,E304&lt;=I304),TRUE,FALSE)</f>
        <v/>
      </c>
      <c r="K304" s="46" t="n"/>
      <c r="L304" s="46" t="n"/>
      <c r="M304" s="46" t="n"/>
      <c r="N304" s="1711" t="n"/>
      <c r="O304" s="1735" t="n">
        <v>11</v>
      </c>
      <c r="P304" s="1736" t="n">
        <v>11</v>
      </c>
      <c r="Q304" s="1711">
        <f>IF(AND(E304&gt;=O304,E304&lt;=P304),TRUE,FALSE)</f>
        <v/>
      </c>
      <c r="R304" s="1735" t="n">
        <v>11</v>
      </c>
      <c r="S304" s="1736" t="n">
        <v>11</v>
      </c>
      <c r="T304" s="1711">
        <f>IF(AND(E304&gt;=R304,E304&lt;=S304),TRUE,FALSE)</f>
        <v/>
      </c>
      <c r="U304" s="978" t="n"/>
      <c r="V304" s="1487" t="inlineStr">
        <is>
          <t>ou</t>
        </is>
      </c>
      <c r="W304" s="1506" t="n">
        <v>11</v>
      </c>
      <c r="X304" s="1507" t="n"/>
      <c r="Y304" s="1508" t="n">
        <v>11</v>
      </c>
      <c r="Z304" s="1507" t="n"/>
      <c r="AA304" s="1502" t="n">
        <v>11</v>
      </c>
      <c r="AC304" s="1013" t="n"/>
      <c r="AD304" s="1014" t="n"/>
      <c r="AE304" s="1013" t="n"/>
      <c r="AF304" s="1014" t="n"/>
      <c r="AG304" s="1013" t="n"/>
      <c r="AH304" s="1014" t="n"/>
      <c r="AJ304" s="10" t="n"/>
      <c r="AK304" s="10" t="n"/>
      <c r="AL304" s="10" t="n"/>
      <c r="AQ304" s="7" t="n"/>
      <c r="AR304" s="849" t="n"/>
      <c r="AS304" s="111" t="n"/>
      <c r="AT304" s="487" t="n"/>
      <c r="AU304" s="114" t="n"/>
      <c r="AV304" s="491" t="n"/>
      <c r="AW304" s="114" t="n"/>
      <c r="AX304" s="492" t="n"/>
      <c r="AY304" s="488" t="n"/>
    </row>
    <row r="305" ht="32" customHeight="1" thickBot="1">
      <c r="B305" s="831" t="inlineStr">
        <is>
          <t>Max NC</t>
        </is>
      </c>
      <c r="C305" s="832">
        <f>_xlfn.XLOOKUP(G305,G303:G304,C303:C304)</f>
        <v/>
      </c>
      <c r="D305" s="833">
        <f>_xlfn.XLOOKUP(G305,G303:G304,D303:D304)</f>
        <v/>
      </c>
      <c r="E305" s="834" t="n"/>
      <c r="F305" s="834" t="n"/>
      <c r="G305" s="834">
        <f>IF(AND(J303=TRUE,J304=FALSE),G303,IF(AND(J303=FALSE,J304=TRUE),G304,MAX(G303,G304)))</f>
        <v/>
      </c>
      <c r="H305" s="1713" t="n"/>
      <c r="I305" s="835" t="n"/>
      <c r="J305" s="836">
        <f>IF(AND(J303=FALSE,J304=FALSE),FALSE,TRUE)</f>
        <v/>
      </c>
      <c r="K305" s="46" t="n"/>
      <c r="L305" s="46" t="n"/>
      <c r="M305" s="46" t="n"/>
      <c r="N305" s="1711" t="n"/>
      <c r="O305" s="1713" t="n"/>
      <c r="P305" s="835" t="n"/>
      <c r="Q305" s="1726">
        <f>IF(AND(Q303=FALSE,Q304=FALSE),FALSE,TRUE)</f>
        <v/>
      </c>
      <c r="R305" s="1713" t="n"/>
      <c r="S305" s="835" t="n"/>
      <c r="T305" s="1726">
        <f>IF(AND(T303=FALSE,T304=FALSE),FALSE,TRUE)</f>
        <v/>
      </c>
      <c r="U305" s="978" t="n"/>
      <c r="V305" s="978" t="n"/>
      <c r="W305" s="1473" t="n"/>
      <c r="X305" s="2002" t="n"/>
      <c r="Y305" s="1478" t="n"/>
      <c r="Z305" s="2002" t="n"/>
      <c r="AA305" s="1481" t="n"/>
      <c r="AC305" s="1013" t="n"/>
      <c r="AD305" s="1014" t="n"/>
      <c r="AE305" s="1013" t="n"/>
      <c r="AF305" s="1014" t="n"/>
      <c r="AG305" s="1013" t="n"/>
      <c r="AH305" s="1014" t="n"/>
      <c r="AJ305" s="10" t="n"/>
      <c r="AK305" s="10" t="n"/>
      <c r="AL305" s="10" t="n"/>
      <c r="AQ305" s="7" t="n"/>
      <c r="AR305" s="849" t="n"/>
      <c r="AS305" s="111" t="n"/>
      <c r="AT305" s="487" t="n"/>
      <c r="AU305" s="114" t="n"/>
      <c r="AV305" s="491" t="n"/>
      <c r="AW305" s="114" t="n"/>
      <c r="AX305" s="492" t="n"/>
      <c r="AY305" s="488" t="n"/>
    </row>
    <row r="306" ht="32" customHeight="1" thickBot="1">
      <c r="B306" s="837" t="inlineStr">
        <is>
          <t>Max PFA &amp; NC</t>
        </is>
      </c>
      <c r="C306" s="838" t="n"/>
      <c r="D306" s="838">
        <f>IF(G306=G302,D302,D305)</f>
        <v/>
      </c>
      <c r="E306" s="839" t="n"/>
      <c r="F306" s="839" t="n"/>
      <c r="G306" s="839">
        <f>IF(AND(J302=TRUE,J305=FALSE),G302,IF(AND(J302=FALSE,J305=TRUE),G305,IF(AND(J302=TRUE,J305=TRUE),G302+G305,MAX(G302,G305))))</f>
        <v/>
      </c>
      <c r="H306" s="1714" t="n"/>
      <c r="I306" s="840" t="n"/>
      <c r="J306" s="841">
        <f>IF(AND(J302=FALSE,J305=FALSE),FALSE,TRUE)</f>
        <v/>
      </c>
      <c r="K306" s="1698" t="n"/>
      <c r="L306" s="1698" t="n"/>
      <c r="M306" s="1698" t="n"/>
      <c r="N306" s="1715" t="n"/>
      <c r="O306" s="1714" t="n"/>
      <c r="P306" s="840" t="n"/>
      <c r="Q306" s="841">
        <f>IF(AND(Q302=FALSE,Q305=FALSE),FALSE,TRUE)</f>
        <v/>
      </c>
      <c r="R306" s="1714" t="n"/>
      <c r="S306" s="840" t="n"/>
      <c r="T306" s="841">
        <f>IF(AND(T302=FALSE,T305=FALSE),FALSE,TRUE)</f>
        <v/>
      </c>
      <c r="U306" s="978" t="n"/>
      <c r="V306" s="978" t="inlineStr">
        <is>
          <t>et</t>
        </is>
      </c>
      <c r="W306" s="1473" t="n"/>
      <c r="X306" s="2002" t="n"/>
      <c r="Y306" s="1478" t="n"/>
      <c r="Z306" s="2002" t="n"/>
      <c r="AA306" s="1481" t="n"/>
      <c r="AC306" s="1013">
        <f>IF(J306=TRUE,"V","F")</f>
        <v/>
      </c>
      <c r="AD306" s="1014" t="n"/>
      <c r="AE306" s="1013">
        <f>IF(Q306=TRUE,"V","F")</f>
        <v/>
      </c>
      <c r="AF306" s="1014" t="n"/>
      <c r="AG306" s="1013">
        <f>IF(T306=TRUE,"V","F")</f>
        <v/>
      </c>
      <c r="AH306" s="1014" t="n"/>
      <c r="AI306">
        <f>IF(OR(AC306="V",AE306="V"),IF(G305&gt;G302,"Le NC contribue plus que le coparent","Le coparent joue un plus grand rôle que le NC"),"pas de contexte significatif de la part du coparent et NC")</f>
        <v/>
      </c>
      <c r="AJ306" s="10" t="n"/>
      <c r="AK306" s="10" t="n"/>
      <c r="AL306" s="10" t="n"/>
      <c r="AQ306" s="7" t="n"/>
      <c r="AR306" s="849" t="n"/>
      <c r="AS306" s="111" t="n"/>
      <c r="AT306" s="487" t="n"/>
      <c r="AU306" s="114" t="n"/>
      <c r="AV306" s="491" t="n"/>
      <c r="AW306" s="114" t="n"/>
      <c r="AX306" s="492" t="n"/>
      <c r="AY306" s="488" t="n"/>
    </row>
    <row r="307" ht="60" customHeight="1">
      <c r="B307" s="316">
        <f>'Action-Réaction finale'!O49</f>
        <v/>
      </c>
      <c r="C307" s="2066">
        <f>Test_Bible!B315</f>
        <v/>
      </c>
      <c r="D307" s="102" t="inlineStr">
        <is>
          <t>s'isole ou se cache pour appeler l'autre parent</t>
        </is>
      </c>
      <c r="E307" s="823">
        <f>Test_Bible!P315</f>
        <v/>
      </c>
      <c r="F307" s="822">
        <f>Test_Bible!D315</f>
        <v/>
      </c>
      <c r="G307" s="823">
        <f>Test_Bible!Q315</f>
        <v/>
      </c>
      <c r="H307" s="1710" t="n">
        <v>7</v>
      </c>
      <c r="I307" s="1703">
        <f>$I$18</f>
        <v/>
      </c>
      <c r="J307" s="46">
        <f>IF(AND(E307&gt;=H307,E307&lt;=I307),TRUE,FALSE)</f>
        <v/>
      </c>
      <c r="K307" s="46" t="n"/>
      <c r="L307" s="46" t="n"/>
      <c r="M307" s="46" t="n"/>
      <c r="N307" s="1711" t="n"/>
      <c r="O307" s="1710" t="n">
        <v>2</v>
      </c>
      <c r="P307" s="1703" t="n">
        <v>7</v>
      </c>
      <c r="Q307" s="1711">
        <f>IF(AND(E307&gt;=O307,E307&lt;=P307),TRUE,FALSE)</f>
        <v/>
      </c>
      <c r="R307" s="1710" t="n"/>
      <c r="S307" s="1703" t="n"/>
      <c r="T307" s="1711" t="n"/>
      <c r="U307" s="978" t="n"/>
      <c r="V307" s="1484" t="n"/>
      <c r="W307" s="1485" t="n">
        <v>4</v>
      </c>
      <c r="X307" s="2029" t="n"/>
      <c r="Y307" s="1489" t="n">
        <v>2</v>
      </c>
      <c r="Z307" s="2029" t="n"/>
      <c r="AA307" s="1497" t="n">
        <v>11</v>
      </c>
      <c r="AC307" s="1013" t="inlineStr">
        <is>
          <t> </t>
        </is>
      </c>
      <c r="AD307" s="1014" t="n"/>
      <c r="AE307" s="1013" t="n"/>
      <c r="AF307" s="1014" t="n"/>
      <c r="AG307" s="1013" t="n"/>
      <c r="AH307" s="1014" t="n"/>
      <c r="AJ307" s="10" t="n"/>
      <c r="AK307" s="10" t="n"/>
      <c r="AL307" s="10" t="n"/>
      <c r="AQ307" s="7" t="n"/>
      <c r="AR307" s="849" t="n"/>
      <c r="AS307" s="111" t="n"/>
      <c r="AT307" s="487" t="n"/>
      <c r="AU307" s="114" t="n"/>
      <c r="AV307" s="491" t="n"/>
      <c r="AW307" s="114" t="n"/>
      <c r="AX307" s="492" t="n"/>
      <c r="AY307" s="488" t="n"/>
    </row>
    <row r="308" ht="32" customHeight="1" thickBot="1">
      <c r="B308" s="316" t="inlineStr">
        <is>
          <t>Enf</t>
        </is>
      </c>
      <c r="C308" s="2066" t="n"/>
      <c r="D308" s="102" t="n"/>
      <c r="E308" s="823" t="n"/>
      <c r="F308" s="822" t="n"/>
      <c r="G308" s="823" t="n"/>
      <c r="H308" s="1735" t="n">
        <v>11</v>
      </c>
      <c r="I308" s="1736" t="n">
        <v>11</v>
      </c>
      <c r="J308" s="46">
        <f>IF(AND(E308&gt;=H308,E308&lt;=I308),TRUE,FALSE)</f>
        <v/>
      </c>
      <c r="K308" s="46" t="n"/>
      <c r="L308" s="46" t="n"/>
      <c r="M308" s="46" t="n"/>
      <c r="N308" s="1711" t="n"/>
      <c r="O308" s="1735" t="n">
        <v>11</v>
      </c>
      <c r="P308" s="1736" t="n">
        <v>11</v>
      </c>
      <c r="Q308" s="1711">
        <f>IF(AND(E308&gt;=O308,E308&lt;=P308),TRUE,FALSE)</f>
        <v/>
      </c>
      <c r="R308" s="1735" t="n"/>
      <c r="S308" s="1736" t="n"/>
      <c r="T308" s="1711" t="n"/>
      <c r="U308" s="978" t="n"/>
      <c r="V308" s="1487" t="inlineStr">
        <is>
          <t>ou</t>
        </is>
      </c>
      <c r="W308" s="1506" t="n">
        <v>11</v>
      </c>
      <c r="X308" s="1507" t="n"/>
      <c r="Y308" s="1508" t="n">
        <v>11</v>
      </c>
      <c r="Z308" s="1507" t="n"/>
      <c r="AA308" s="1502" t="n">
        <v>11</v>
      </c>
      <c r="AC308" s="1013" t="n"/>
      <c r="AD308" s="1014" t="n"/>
      <c r="AE308" s="1013" t="n"/>
      <c r="AF308" s="1014" t="n"/>
      <c r="AG308" s="1013" t="n"/>
      <c r="AH308" s="1014" t="n"/>
      <c r="AJ308" s="10" t="n"/>
      <c r="AK308" s="10" t="n"/>
      <c r="AL308" s="10" t="n"/>
      <c r="AQ308" s="7" t="n"/>
      <c r="AR308" s="849" t="n"/>
      <c r="AS308" s="111" t="n"/>
      <c r="AT308" s="487" t="n"/>
      <c r="AU308" s="114" t="n"/>
      <c r="AV308" s="491" t="n"/>
      <c r="AW308" s="114" t="n"/>
      <c r="AX308" s="492" t="n"/>
      <c r="AY308" s="488" t="n"/>
    </row>
    <row r="309" ht="32" customHeight="1" thickBot="1">
      <c r="B309" s="842" t="inlineStr">
        <is>
          <t>Max Enf</t>
        </is>
      </c>
      <c r="C309" s="843">
        <f>_xlfn.XLOOKUP(G309,G307:G308,C307:C308)</f>
        <v/>
      </c>
      <c r="D309" s="843">
        <f>_xlfn.XLOOKUP(G309,G307:G308,D307:D308)</f>
        <v/>
      </c>
      <c r="E309" s="844" t="n"/>
      <c r="F309" s="844" t="n"/>
      <c r="G309" s="844">
        <f>IF(AND(J307=TRUE,J308=FALSE),G307,IF(AND(J307=FALSE,J308=TRUE),G308,MAX(G307,G308)))</f>
        <v/>
      </c>
      <c r="H309" s="1716" t="n"/>
      <c r="I309" s="845" t="n"/>
      <c r="J309" s="846">
        <f>IF(AND(J307=FALSE,J308=FALSE),FALSE,TRUE)</f>
        <v/>
      </c>
      <c r="K309" s="1699" t="n"/>
      <c r="L309" s="1699" t="n"/>
      <c r="M309" s="1699" t="n"/>
      <c r="N309" s="1717" t="n"/>
      <c r="O309" s="1716" t="n"/>
      <c r="P309" s="845" t="n"/>
      <c r="Q309" s="846">
        <f>IF(AND(Q307=FALSE,Q308=FALSE),FALSE,TRUE)</f>
        <v/>
      </c>
      <c r="R309" s="1716" t="n"/>
      <c r="S309" s="845" t="n"/>
      <c r="T309" s="846" t="n"/>
      <c r="U309" s="978" t="n"/>
      <c r="V309" s="978" t="n"/>
      <c r="W309" s="1475" t="n"/>
      <c r="Y309" s="1479" t="n"/>
      <c r="AA309" s="1483" t="n"/>
      <c r="AC309" s="1013">
        <f>IF(J309=TRUE,"V","F")</f>
        <v/>
      </c>
      <c r="AD309" s="1014" t="n"/>
      <c r="AE309" s="1013">
        <f>IF(Q309=TRUE,"V","F")</f>
        <v/>
      </c>
      <c r="AF309" s="1014" t="n"/>
      <c r="AG309" s="1013" t="n"/>
      <c r="AH309" s="1014" t="n"/>
      <c r="AJ309" s="10" t="n"/>
      <c r="AK309" s="10" t="n"/>
      <c r="AL309" s="10" t="n"/>
      <c r="AR309" s="849" t="n"/>
      <c r="AS309" s="111" t="n"/>
      <c r="AT309" s="487" t="n"/>
      <c r="AU309" s="114" t="n"/>
      <c r="AV309" s="491" t="n"/>
      <c r="AW309" s="114" t="n"/>
      <c r="AX309" s="492" t="n"/>
      <c r="AY309" s="488" t="n"/>
    </row>
    <row r="310" ht="32" customHeight="1">
      <c r="C310" s="428" t="inlineStr">
        <is>
          <t>COMPARATIF Comportement PFA-Enf</t>
        </is>
      </c>
      <c r="D310" s="2058" t="n"/>
      <c r="E310" s="484" t="inlineStr">
        <is>
          <t>Valeur =&gt;</t>
        </is>
      </c>
      <c r="F310" s="48" t="n"/>
      <c r="G310" s="48">
        <f>G302+G305+G309</f>
        <v/>
      </c>
      <c r="H310" s="1718" t="n"/>
      <c r="I310" s="485" t="n"/>
      <c r="J310" s="1701" t="n"/>
      <c r="K310" s="1702">
        <f>IF(AND(J309=TRUE,J306=TRUE),D309,"")</f>
        <v/>
      </c>
      <c r="L310" s="1702">
        <f>IF(AND(J306=TRUE,J309=FALSE),"Bien que le parent "&amp;D306&amp;" l'enfant ne semble pas s'ingérer","")</f>
        <v/>
      </c>
      <c r="M310" s="1702">
        <f>IF(AND(J306=FALSE,J309=TRUE),D309&amp;" sans signe de la participation du parent favorisé et|ou nouveau conjoint.e","")</f>
        <v/>
      </c>
      <c r="N310" s="1719">
        <f>IF(AND(J306=FALSE,J309=FALSE),"aucun comportement significatif de cette nature","")</f>
        <v/>
      </c>
      <c r="O310" s="1718" t="n"/>
      <c r="P310" s="485" t="n"/>
      <c r="Q310" s="1727" t="n"/>
      <c r="R310" s="1718" t="n"/>
      <c r="S310" s="485" t="n"/>
      <c r="T310" s="1727" t="n"/>
      <c r="U310" s="980" t="n"/>
      <c r="V310" s="980" t="n"/>
      <c r="W310" s="1475" t="n"/>
      <c r="Y310" s="1479" t="n"/>
      <c r="AA310" s="1483" t="n"/>
      <c r="AC310" s="1015" t="n"/>
      <c r="AD310" s="1016">
        <f>IF(AND(AC306="V",AC309="V"),2,IF(OR(AC306="V",AC309="V"),1,0))</f>
        <v/>
      </c>
      <c r="AE310" s="1015" t="n"/>
      <c r="AF310" s="1016">
        <f>IF(OR(AE306="V",AE309="V"),1,0)</f>
        <v/>
      </c>
      <c r="AG310" s="1015" t="n"/>
      <c r="AH310" s="1016" t="n"/>
      <c r="AJ310" s="10" t="n"/>
      <c r="AK310" s="10" t="n"/>
      <c r="AL310" s="10" t="n"/>
      <c r="AR310" s="849" t="n"/>
      <c r="AS310" s="111" t="n"/>
      <c r="AT310" s="487" t="n"/>
      <c r="AU310" s="114" t="n"/>
      <c r="AV310" s="491" t="n"/>
      <c r="AW310" s="114" t="n"/>
      <c r="AX310" s="492" t="n"/>
      <c r="AY310" s="488" t="n"/>
    </row>
    <row r="311" ht="32" customHeight="1">
      <c r="B311" t="inlineStr">
        <is>
          <t>PCR</t>
        </is>
      </c>
      <c r="H311" s="147" t="n"/>
      <c r="K311" s="1992" t="n"/>
      <c r="L311" s="1992" t="n"/>
      <c r="M311" s="1992" t="n"/>
      <c r="N311" s="1740" t="n"/>
      <c r="O311" s="147" t="n"/>
      <c r="Q311" s="330" t="n"/>
      <c r="R311" s="147" t="n"/>
      <c r="T311" s="330" t="n"/>
      <c r="U311" s="1992" t="n"/>
      <c r="W311" s="1475" t="n"/>
      <c r="Y311" s="1479" t="n"/>
      <c r="AA311" s="1483" t="n"/>
      <c r="AC311" s="1013" t="n"/>
      <c r="AD311" s="1014" t="n"/>
      <c r="AE311" s="1013" t="n"/>
      <c r="AF311" s="1014" t="n"/>
      <c r="AG311" s="1013" t="n"/>
      <c r="AH311" s="1014" t="n"/>
      <c r="AJ311" s="10" t="n"/>
      <c r="AK311" s="10" t="n"/>
      <c r="AL311" s="10" t="n"/>
      <c r="AR311" s="849" t="n"/>
      <c r="AS311" s="111" t="n"/>
      <c r="AT311" s="487" t="n"/>
      <c r="AU311" s="114" t="n"/>
      <c r="AV311" s="491" t="n"/>
      <c r="AW311" s="114" t="n"/>
      <c r="AX311" s="492" t="n"/>
      <c r="AY311" s="488" t="n"/>
    </row>
    <row r="312" ht="32" customHeight="1">
      <c r="B312" s="1017">
        <f>'Action-Réaction finale'!S49</f>
        <v/>
      </c>
      <c r="C312" s="1018">
        <f>Test_Bible!B131</f>
        <v/>
      </c>
      <c r="D312" s="1018" t="n"/>
      <c r="E312" s="1026">
        <f>Test_Bible!P131</f>
        <v/>
      </c>
      <c r="F312" s="1026">
        <f>Test_Bible!D131</f>
        <v/>
      </c>
      <c r="G312" s="1026">
        <f>Test_Bible!Q192</f>
        <v/>
      </c>
      <c r="H312" s="1710" t="n">
        <v>7</v>
      </c>
      <c r="I312" s="1703" t="n">
        <v>10</v>
      </c>
      <c r="J312" s="46">
        <f>IF(AND(E312&gt;=H312,E312&lt;=I312),TRUE,FALSE)</f>
        <v/>
      </c>
      <c r="K312" s="33" t="n"/>
      <c r="L312" s="33" t="n"/>
      <c r="M312" s="33" t="n"/>
      <c r="N312" s="1720" t="n"/>
      <c r="O312" s="1735" t="n">
        <v>11</v>
      </c>
      <c r="P312" s="1736" t="n">
        <v>11</v>
      </c>
      <c r="Q312" s="1711">
        <f>IF(AND(E312&gt;=O312,E312&lt;=P312),TRUE,FALSE)</f>
        <v/>
      </c>
      <c r="R312" s="1735" t="n">
        <v>11</v>
      </c>
      <c r="S312" s="1736" t="n">
        <v>11</v>
      </c>
      <c r="T312" s="1711">
        <f>IF(AND(E312&gt;=R312,E312&lt;=S312),TRUE,FALSE)</f>
        <v/>
      </c>
      <c r="U312" s="1992" t="n"/>
      <c r="V312" s="1509" t="n"/>
      <c r="W312" s="1485" t="n">
        <v>4</v>
      </c>
      <c r="X312" s="2029" t="n"/>
      <c r="Y312" s="1489" t="n"/>
      <c r="Z312" s="2029" t="n"/>
      <c r="AA312" s="1496" t="n">
        <v>4</v>
      </c>
      <c r="AC312" s="1013" t="n"/>
      <c r="AD312" s="1014" t="n"/>
      <c r="AE312" s="1013" t="n"/>
      <c r="AF312" s="1014" t="n"/>
      <c r="AG312" s="1013" t="n"/>
      <c r="AH312" s="1014" t="n"/>
      <c r="AJ312" s="10" t="n"/>
      <c r="AK312" s="10" t="n"/>
      <c r="AL312" s="10" t="n"/>
      <c r="AR312" s="849" t="n"/>
      <c r="AS312" s="111" t="n"/>
      <c r="AT312" s="487" t="n"/>
      <c r="AU312" s="114" t="n"/>
      <c r="AV312" s="491" t="n"/>
      <c r="AW312" s="114" t="n"/>
      <c r="AX312" s="492" t="n"/>
      <c r="AY312" s="488" t="n"/>
    </row>
    <row r="313" ht="32" customHeight="1" thickBot="1">
      <c r="B313" s="1017" t="n"/>
      <c r="C313" s="1025" t="n"/>
      <c r="D313" s="1018" t="n"/>
      <c r="E313" s="1026" t="n"/>
      <c r="F313" s="1026" t="n"/>
      <c r="G313" s="1026" t="n"/>
      <c r="H313" s="1735" t="n">
        <v>11</v>
      </c>
      <c r="I313" s="1736" t="n">
        <v>11</v>
      </c>
      <c r="J313" s="46">
        <f>IF(AND(E313&gt;=H313,E313&lt;=I313),TRUE,FALSE)</f>
        <v/>
      </c>
      <c r="K313" s="33" t="n"/>
      <c r="L313" s="33" t="n"/>
      <c r="M313" s="33" t="n"/>
      <c r="N313" s="1720" t="n"/>
      <c r="O313" s="1735" t="n">
        <v>11</v>
      </c>
      <c r="P313" s="1736" t="n">
        <v>11</v>
      </c>
      <c r="Q313" s="1711">
        <f>IF(AND(E313&gt;=O313,E313&lt;=P313),TRUE,FALSE)</f>
        <v/>
      </c>
      <c r="R313" s="1735" t="n">
        <v>11</v>
      </c>
      <c r="S313" s="1736" t="n">
        <v>11</v>
      </c>
      <c r="T313" s="1711">
        <f>IF(AND(E313&gt;=R313,E313&lt;=S313),TRUE,FALSE)</f>
        <v/>
      </c>
      <c r="V313" s="1510" t="n"/>
      <c r="W313" s="1506" t="n">
        <v>11</v>
      </c>
      <c r="X313" s="1507" t="n"/>
      <c r="Y313" s="1508" t="n">
        <v>11</v>
      </c>
      <c r="Z313" s="1507" t="n"/>
      <c r="AA313" s="1502" t="n">
        <v>11</v>
      </c>
      <c r="AC313" s="1013" t="n"/>
      <c r="AD313" s="1014" t="n"/>
      <c r="AE313" s="1013" t="n"/>
      <c r="AF313" s="1014" t="n"/>
      <c r="AG313" s="1013" t="n"/>
      <c r="AH313" s="1014" t="n"/>
      <c r="AJ313" s="10" t="n"/>
      <c r="AK313" s="10" t="n"/>
      <c r="AL313" s="10" t="n"/>
      <c r="AR313" s="849" t="n"/>
      <c r="AS313" s="111" t="n"/>
      <c r="AT313" s="487" t="n"/>
      <c r="AU313" s="114" t="n"/>
      <c r="AV313" s="491" t="n"/>
      <c r="AW313" s="114" t="n"/>
      <c r="AX313" s="492" t="n"/>
      <c r="AY313" s="488" t="n"/>
    </row>
    <row r="314" ht="32" customHeight="1" thickBot="1">
      <c r="C314" s="2073" t="n"/>
      <c r="D314" s="2073" t="n"/>
      <c r="E314" s="90" t="n"/>
      <c r="F314" s="483" t="n"/>
      <c r="G314" s="483" t="n"/>
      <c r="H314" s="1732" t="n"/>
      <c r="I314" s="1733" t="n"/>
      <c r="J314" s="1739">
        <f>IF(AND(J312=FALSE,J313=FALSE),FALSE,TRUE)</f>
        <v/>
      </c>
      <c r="K314" s="1721" t="n"/>
      <c r="L314" s="1722" t="n"/>
      <c r="M314" s="1722" t="n"/>
      <c r="N314" s="1723" t="n"/>
      <c r="O314" s="1732" t="n"/>
      <c r="P314" s="1733" t="n"/>
      <c r="Q314" s="1739">
        <f>IF(AND(Q312=FALSE,Q313=FALSE),FALSE,TRUE)</f>
        <v/>
      </c>
      <c r="R314" s="1744" t="n"/>
      <c r="S314" s="1745" t="n"/>
      <c r="T314" s="1746">
        <f>IF(AND(T312=FALSE,T313=FALSE),FALSE,TRUE)</f>
        <v/>
      </c>
      <c r="U314" s="980" t="n"/>
      <c r="AC314" s="1650">
        <f>IF(J314=TRUE,"V","F")</f>
        <v/>
      </c>
      <c r="AD314" s="1651" t="n"/>
      <c r="AE314" s="1650">
        <f>IF(Q314=TRUE,"V","F")</f>
        <v/>
      </c>
      <c r="AF314" s="1651" t="n"/>
      <c r="AG314" s="1650">
        <f>IF(T314=TRUE,"V","F")</f>
        <v/>
      </c>
      <c r="AH314" s="1651" t="n"/>
      <c r="AJ314" s="10" t="n"/>
      <c r="AK314" s="10" t="n"/>
      <c r="AL314" s="10" t="n"/>
      <c r="AR314" s="849" t="n"/>
      <c r="AS314" s="111" t="n"/>
      <c r="AT314" s="487" t="n"/>
      <c r="AU314" s="114" t="n"/>
      <c r="AV314" s="491" t="n"/>
      <c r="AW314" s="114" t="n"/>
      <c r="AX314" s="492" t="n"/>
      <c r="AY314" s="488" t="n"/>
    </row>
    <row r="315" ht="32" customHeight="1" thickBot="1">
      <c r="C315" s="2073" t="n"/>
      <c r="D315" s="2073" t="n"/>
      <c r="E315" s="90" t="n"/>
      <c r="F315" s="483" t="n"/>
      <c r="G315" s="483" t="n"/>
      <c r="H315" s="1741" t="n"/>
      <c r="I315" s="1741" t="n"/>
      <c r="J315" s="978" t="n"/>
      <c r="K315" s="1742" t="n"/>
      <c r="L315" s="1743" t="n"/>
      <c r="M315" s="1743" t="n"/>
      <c r="O315" s="1741" t="n"/>
      <c r="P315" s="1741" t="n"/>
      <c r="Q315" s="978" t="n"/>
      <c r="R315" s="2002" t="n"/>
      <c r="S315" s="2002" t="n"/>
      <c r="T315" s="978" t="n"/>
      <c r="U315" s="980" t="n"/>
      <c r="AC315" s="1737" t="n"/>
      <c r="AD315" s="1738">
        <f>IF(AND(AC314="V",AC306="V"),AD310-1,AD310)</f>
        <v/>
      </c>
      <c r="AE315" s="1737" t="n"/>
      <c r="AF315" s="1738">
        <f>IF(OR(AE306="V",AE309="V",AE314="V"),1,0)</f>
        <v/>
      </c>
      <c r="AG315" s="1737" t="n"/>
      <c r="AH315" s="1738">
        <f>IF(AG306="V",1,IF(AG314="V",1,0))</f>
        <v/>
      </c>
      <c r="AJ315" s="10" t="n">
        <v>1</v>
      </c>
      <c r="AK315" s="10" t="n">
        <v>1</v>
      </c>
      <c r="AL315" s="10" t="n"/>
      <c r="AR315" s="849" t="n"/>
      <c r="AS315" s="111" t="n"/>
      <c r="AT315" s="487" t="n"/>
      <c r="AU315" s="114" t="n"/>
      <c r="AV315" s="491" t="n"/>
      <c r="AW315" s="114" t="n"/>
      <c r="AX315" s="492" t="n"/>
      <c r="AY315" s="488" t="n"/>
    </row>
    <row r="316" ht="32" customHeight="1">
      <c r="C316" s="2073" t="n"/>
      <c r="D316" s="2073" t="n"/>
      <c r="E316" s="90" t="n"/>
      <c r="F316" s="483" t="n"/>
      <c r="G316" s="483" t="n"/>
      <c r="H316" s="1704" t="n"/>
      <c r="I316" s="1705" t="n"/>
      <c r="J316" s="1706" t="n"/>
      <c r="K316" s="2056" t="n"/>
      <c r="L316" s="709" t="n"/>
      <c r="M316" s="709" t="n"/>
      <c r="N316" s="1707" t="n"/>
      <c r="O316" s="1724" t="n"/>
      <c r="P316" s="1706" t="n"/>
      <c r="Q316" s="1707" t="n"/>
      <c r="R316" s="1724" t="n"/>
      <c r="S316" s="1706" t="n"/>
      <c r="T316" s="1707" t="n"/>
      <c r="U316" s="980" t="n"/>
      <c r="V316" s="980" t="n"/>
      <c r="AC316" s="1756" t="n"/>
      <c r="AD316" s="1757" t="n"/>
      <c r="AE316" s="1490" t="n"/>
      <c r="AF316" s="1490" t="n"/>
      <c r="AG316" s="1490" t="n"/>
      <c r="AH316" s="1490" t="n"/>
      <c r="AJ316" s="10" t="n"/>
      <c r="AK316" s="10" t="n"/>
      <c r="AL316" s="10" t="n"/>
      <c r="AR316" s="849" t="n"/>
      <c r="AS316" s="111" t="n"/>
      <c r="AT316" s="487" t="n"/>
      <c r="AU316" s="114" t="n"/>
      <c r="AV316" s="491" t="n"/>
      <c r="AW316" s="114" t="n"/>
      <c r="AX316" s="492" t="n"/>
      <c r="AY316" s="488" t="n"/>
    </row>
    <row r="317" ht="32" customHeight="1">
      <c r="A317" s="853" t="n">
        <v>16</v>
      </c>
      <c r="C317" s="486">
        <f>'Action-Réaction finale'!F51</f>
        <v/>
      </c>
      <c r="D317" s="108" t="n"/>
      <c r="E317" s="66" t="n"/>
      <c r="F317" s="18" t="n"/>
      <c r="G317" s="18" t="n"/>
      <c r="H317" s="2052" t="inlineStr">
        <is>
          <t>AP</t>
        </is>
      </c>
      <c r="K317" s="2055" t="inlineStr">
        <is>
          <t>Dynamique d'AP</t>
        </is>
      </c>
      <c r="N317" s="330" t="n"/>
      <c r="O317" s="2122" t="inlineStr">
        <is>
          <t>CL</t>
        </is>
      </c>
      <c r="Q317" s="330" t="n"/>
      <c r="R317" s="2123" t="inlineStr">
        <is>
          <t>CSS</t>
        </is>
      </c>
      <c r="T317" s="330" t="n"/>
      <c r="U317" s="15" t="n"/>
      <c r="V317" s="15" t="n"/>
      <c r="AC317" s="1009" t="n"/>
      <c r="AD317" s="1009" t="n"/>
      <c r="AE317" s="1009" t="n"/>
      <c r="AF317" s="1009" t="n"/>
      <c r="AG317" s="1009" t="n"/>
      <c r="AH317" s="1010" t="n"/>
      <c r="AJ317" s="10" t="n"/>
      <c r="AK317" s="10" t="n"/>
      <c r="AL317" s="10" t="n"/>
      <c r="AR317" s="849" t="n"/>
      <c r="AS317" s="111" t="n"/>
      <c r="AT317" s="487" t="n"/>
      <c r="AU317" s="114" t="n"/>
      <c r="AV317" s="491" t="n"/>
      <c r="AW317" s="114" t="n"/>
      <c r="AX317" s="492" t="n"/>
      <c r="AY317" s="488" t="n"/>
    </row>
    <row r="318" ht="32" customHeight="1">
      <c r="C318" s="103" t="inlineStr">
        <is>
          <t>Questions et sous-questions</t>
        </is>
      </c>
      <c r="D318" s="1043" t="inlineStr">
        <is>
          <t>Texte écourté pour titrer dans les baromètres ou rapport</t>
        </is>
      </c>
      <c r="E318" s="33" t="inlineStr">
        <is>
          <t>Valeur de base
Fréquence (F)</t>
        </is>
      </c>
      <c r="F318" s="33" t="inlineStr">
        <is>
          <t>Valeur de base
intensité (I)</t>
        </is>
      </c>
      <c r="G318" s="33" t="inlineStr">
        <is>
          <t>F * I</t>
        </is>
      </c>
      <c r="H318" s="1708" t="inlineStr">
        <is>
          <t>Condition Fréq. 
&gt;= que</t>
        </is>
      </c>
      <c r="I318" s="44" t="inlineStr">
        <is>
          <t>Condition Fré
&lt;= que</t>
        </is>
      </c>
      <c r="J318" s="44" t="inlineStr">
        <is>
          <t>Condition respectée</t>
        </is>
      </c>
      <c r="K318" s="44" t="inlineStr">
        <is>
          <t>"VRAI" (PF&amp;NC) /  "VRAI" (Enf)</t>
        </is>
      </c>
      <c r="L318" s="44" t="inlineStr">
        <is>
          <t>Vrai (PF&amp;NC) /  Faux (Enf)</t>
        </is>
      </c>
      <c r="M318" s="44" t="inlineStr">
        <is>
          <t>Faux (PF&amp;NC) /  Vrai (Enf)</t>
        </is>
      </c>
      <c r="N318" s="1709" t="inlineStr">
        <is>
          <t>Faux (PF&amp;NC) /  Faux(Enf)</t>
        </is>
      </c>
      <c r="O318" s="1708" t="inlineStr">
        <is>
          <t>Condition Fréq. 
&gt;= que</t>
        </is>
      </c>
      <c r="P318" s="44" t="inlineStr">
        <is>
          <t>Condition Fré
&lt;= que</t>
        </is>
      </c>
      <c r="Q318" s="1709" t="inlineStr">
        <is>
          <t>Condition respectée</t>
        </is>
      </c>
      <c r="R318" s="1708" t="inlineStr">
        <is>
          <t>Condition Fréq. 
&gt;= que</t>
        </is>
      </c>
      <c r="S318" s="44" t="inlineStr">
        <is>
          <t>Condition Fré
&lt;= que</t>
        </is>
      </c>
      <c r="T318" s="1709" t="inlineStr">
        <is>
          <t>Condition respectée</t>
        </is>
      </c>
      <c r="U318" s="851" t="n"/>
      <c r="V318" s="1008" t="inlineStr">
        <is>
          <t>Condition</t>
        </is>
      </c>
      <c r="W318" s="1472" t="inlineStr">
        <is>
          <t>AP</t>
        </is>
      </c>
      <c r="X318" s="1008" t="inlineStr">
        <is>
          <t>Condition</t>
        </is>
      </c>
      <c r="Y318" s="1476" t="inlineStr">
        <is>
          <t>CL</t>
        </is>
      </c>
      <c r="Z318" s="1008" t="n"/>
      <c r="AA318" s="1480" t="inlineStr">
        <is>
          <t>CSS</t>
        </is>
      </c>
      <c r="AC318" s="1023" t="inlineStr">
        <is>
          <t>AP</t>
        </is>
      </c>
      <c r="AD318" s="1024" t="inlineStr">
        <is>
          <t>AP_F</t>
        </is>
      </c>
      <c r="AE318" s="1023" t="inlineStr">
        <is>
          <t>CL</t>
        </is>
      </c>
      <c r="AF318" s="1024" t="inlineStr">
        <is>
          <t>CL_F</t>
        </is>
      </c>
      <c r="AG318" s="1023" t="inlineStr">
        <is>
          <t>CSS</t>
        </is>
      </c>
      <c r="AH318" s="1024" t="inlineStr">
        <is>
          <t>CSS_F</t>
        </is>
      </c>
      <c r="AJ318" s="10" t="n"/>
      <c r="AK318" s="10" t="n"/>
      <c r="AL318" s="10" t="n"/>
      <c r="AR318" s="849" t="n"/>
      <c r="AS318" s="111" t="n"/>
      <c r="AT318" s="487" t="n"/>
      <c r="AU318" s="114" t="n"/>
      <c r="AV318" s="491" t="n"/>
      <c r="AW318" s="114" t="n"/>
      <c r="AX318" s="492" t="n"/>
      <c r="AY318" s="488" t="n"/>
    </row>
    <row r="319" ht="51" customHeight="1">
      <c r="A319" s="854" t="n"/>
      <c r="B319" s="421">
        <f>'Action-Réaction finale'!G51</f>
        <v/>
      </c>
      <c r="C319" s="2066">
        <f>Test_Bible!B197</f>
        <v/>
      </c>
      <c r="D319" s="102" t="inlineStr">
        <is>
          <t>complique les communications avec votre enfant</t>
        </is>
      </c>
      <c r="E319" s="823">
        <f>Test_Bible!P197</f>
        <v/>
      </c>
      <c r="F319" s="822">
        <f>Test_Bible!D197</f>
        <v/>
      </c>
      <c r="G319" s="823">
        <f>Test_Bible!Q197</f>
        <v/>
      </c>
      <c r="H319" s="1710" t="n">
        <v>7</v>
      </c>
      <c r="I319" s="1703" t="n">
        <v>10</v>
      </c>
      <c r="J319" s="46">
        <f>IF(AND(E319&gt;=H319,E319&lt;=I319),TRUE,FALSE)</f>
        <v/>
      </c>
      <c r="K319" s="46" t="n"/>
      <c r="L319" s="46" t="n"/>
      <c r="M319" s="46" t="n"/>
      <c r="N319" s="1711" t="n"/>
      <c r="O319" s="1735" t="n">
        <v>11</v>
      </c>
      <c r="P319" s="1736" t="n">
        <v>11</v>
      </c>
      <c r="Q319" s="1711">
        <f>IF(AND(E319&gt;=O319,E319&lt;=P319),TRUE,FALSE)</f>
        <v/>
      </c>
      <c r="R319" s="1735" t="n">
        <v>11</v>
      </c>
      <c r="S319" s="1736" t="n">
        <v>11</v>
      </c>
      <c r="T319" s="1711">
        <f>IF(AND(E319&gt;=R319,E319&lt;=S319),TRUE,FALSE)</f>
        <v/>
      </c>
      <c r="U319" s="1681" t="n"/>
      <c r="V319" s="1484" t="n"/>
      <c r="W319" s="1485" t="n">
        <v>7</v>
      </c>
      <c r="X319" s="2029" t="n"/>
      <c r="Y319" s="1505" t="n">
        <v>11</v>
      </c>
      <c r="Z319" s="2029" t="n"/>
      <c r="AA319" s="1496" t="n">
        <v>4</v>
      </c>
      <c r="AC319" s="1011" t="n"/>
      <c r="AD319" s="1012" t="n"/>
      <c r="AE319" s="1011" t="n"/>
      <c r="AF319" s="1012" t="n"/>
      <c r="AG319" s="1011" t="n"/>
      <c r="AH319" s="1012" t="n"/>
      <c r="AJ319" s="10" t="n"/>
      <c r="AK319" s="10" t="n"/>
      <c r="AL319" s="10" t="n"/>
      <c r="AR319" s="849" t="n"/>
      <c r="AS319" s="111" t="n"/>
      <c r="AT319" s="487" t="n"/>
      <c r="AU319" s="114" t="n"/>
      <c r="AV319" s="491" t="n"/>
      <c r="AW319" s="114" t="n"/>
      <c r="AX319" s="492" t="n"/>
      <c r="AY319" s="488" t="n"/>
    </row>
    <row r="320" ht="55" customHeight="1">
      <c r="A320" s="854" t="n"/>
      <c r="B320" s="421">
        <f>'Action-Réaction finale'!G52</f>
        <v/>
      </c>
      <c r="C320" s="799">
        <f>Test_Bible!B198</f>
        <v/>
      </c>
      <c r="D320" s="102" t="inlineStr">
        <is>
          <t>contrôle et écourte les conversations téléphoniques</t>
        </is>
      </c>
      <c r="E320" s="823">
        <f>Test_Bible!P198</f>
        <v/>
      </c>
      <c r="F320" s="822">
        <f>Test_Bible!D198</f>
        <v/>
      </c>
      <c r="G320" s="823">
        <f>Test_Bible!Q198</f>
        <v/>
      </c>
      <c r="H320" s="1710" t="n">
        <v>4</v>
      </c>
      <c r="I320" s="1703" t="n">
        <v>10</v>
      </c>
      <c r="J320" s="46">
        <f>IF(AND(E320&gt;=H320,E320&lt;=I320),TRUE,FALSE)</f>
        <v/>
      </c>
      <c r="K320" s="46" t="n"/>
      <c r="L320" s="46" t="n"/>
      <c r="M320" s="46" t="n"/>
      <c r="N320" s="1711" t="n"/>
      <c r="O320" s="1735" t="n">
        <v>11</v>
      </c>
      <c r="P320" s="1736" t="n">
        <v>11</v>
      </c>
      <c r="Q320" s="1711">
        <f>IF(AND(E320&gt;=O320,E320&lt;=P320),TRUE,FALSE)</f>
        <v/>
      </c>
      <c r="R320" s="1710" t="n">
        <v>4</v>
      </c>
      <c r="S320" s="1703" t="n">
        <v>7</v>
      </c>
      <c r="T320" s="1711">
        <f>IF(AND(E320&gt;=R320,E320&lt;=S320),TRUE,FALSE)</f>
        <v/>
      </c>
      <c r="U320" s="978" t="n"/>
      <c r="V320" s="1487" t="inlineStr">
        <is>
          <t>ou</t>
        </is>
      </c>
      <c r="W320" s="1492" t="n">
        <v>4</v>
      </c>
      <c r="X320" s="1493" t="n"/>
      <c r="Y320" s="1508" t="n">
        <v>11</v>
      </c>
      <c r="Z320" s="1493" t="n"/>
      <c r="AA320" s="1495" t="n">
        <v>2</v>
      </c>
      <c r="AC320" s="1013" t="n"/>
      <c r="AD320" s="1014" t="n"/>
      <c r="AE320" s="1013" t="n"/>
      <c r="AF320" s="1014" t="n"/>
      <c r="AG320" s="1013" t="n"/>
      <c r="AH320" s="1014" t="n"/>
      <c r="AJ320" s="10" t="n"/>
      <c r="AK320" s="10" t="n"/>
      <c r="AL320" s="10" t="n"/>
      <c r="AR320" s="849" t="n"/>
      <c r="AS320" s="111" t="n"/>
      <c r="AT320" s="487" t="n"/>
      <c r="AU320" s="114" t="n"/>
      <c r="AV320" s="491" t="n"/>
      <c r="AW320" s="114" t="n"/>
      <c r="AX320" s="492" t="n"/>
      <c r="AY320" s="488" t="n"/>
    </row>
    <row r="321" ht="32" customHeight="1">
      <c r="A321" s="854" t="n"/>
      <c r="B321" s="825" t="inlineStr">
        <is>
          <t>Max PFA</t>
        </is>
      </c>
      <c r="C321" s="826">
        <f>_xlfn.XLOOKUP(G321,G319:G320,C319:C320)</f>
        <v/>
      </c>
      <c r="D321" s="827">
        <f>_xlfn.XLOOKUP(G321,G319:G320,D319:D320)</f>
        <v/>
      </c>
      <c r="E321" s="828" t="n"/>
      <c r="F321" s="828" t="n"/>
      <c r="G321" s="828">
        <f>IF(AND(J319=TRUE,J320=FALSE),G319,IF(AND(J319=FALSE,J320=TRUE),G320,MAX(G319,G320)))</f>
        <v/>
      </c>
      <c r="H321" s="1712" t="n"/>
      <c r="I321" s="829" t="n"/>
      <c r="J321" s="830">
        <f>IF(AND(J319=FALSE,J320=FALSE),FALSE,TRUE)</f>
        <v/>
      </c>
      <c r="K321" s="46" t="n"/>
      <c r="L321" s="46" t="n"/>
      <c r="M321" s="46" t="n"/>
      <c r="N321" s="1711" t="n"/>
      <c r="O321" s="1712" t="n"/>
      <c r="P321" s="829" t="n"/>
      <c r="Q321" s="1725">
        <f>IF(AND(Q319=FALSE,Q320=FALSE),FALSE,TRUE)</f>
        <v/>
      </c>
      <c r="R321" s="1712" t="n"/>
      <c r="S321" s="829" t="n"/>
      <c r="T321" s="1725">
        <f>IF(AND(T319=FALSE,T320=FALSE),FALSE,TRUE)</f>
        <v/>
      </c>
      <c r="U321" s="978" t="n"/>
      <c r="V321" s="978" t="inlineStr">
        <is>
          <t>ou</t>
        </is>
      </c>
      <c r="W321" s="1473" t="n"/>
      <c r="X321" s="2002" t="n"/>
      <c r="Y321" s="1511" t="n"/>
      <c r="Z321" s="2002" t="n"/>
      <c r="AA321" s="1481" t="n"/>
      <c r="AC321" s="1013" t="n"/>
      <c r="AD321" s="1014" t="n"/>
      <c r="AE321" s="1013" t="n"/>
      <c r="AF321" s="1014" t="n"/>
      <c r="AG321" s="1013" t="n"/>
      <c r="AH321" s="1014" t="n"/>
      <c r="AJ321" s="10" t="n"/>
      <c r="AK321" s="10" t="n"/>
      <c r="AL321" s="10" t="n"/>
      <c r="AR321" s="849" t="n"/>
      <c r="AS321" s="111" t="n"/>
      <c r="AT321" s="487" t="n"/>
      <c r="AU321" s="114" t="n"/>
      <c r="AV321" s="491" t="n"/>
      <c r="AW321" s="114" t="n"/>
      <c r="AX321" s="492" t="n"/>
      <c r="AY321" s="488" t="n"/>
    </row>
    <row r="322" ht="51" customHeight="1">
      <c r="B322" s="53">
        <f>'Action-Réaction finale'!K52</f>
        <v/>
      </c>
      <c r="C322" s="2066">
        <f>Test_Bible!B405</f>
        <v/>
      </c>
      <c r="D322" s="102" t="inlineStr">
        <is>
          <t>Le nouveau conjoint.e contrôle et écourte les conversations téléphoniques</t>
        </is>
      </c>
      <c r="E322" s="823">
        <f>Test_Bible!P405</f>
        <v/>
      </c>
      <c r="F322" s="822">
        <f>Test_Bible!D405</f>
        <v/>
      </c>
      <c r="G322" s="823">
        <f>Test_Bible!Q405</f>
        <v/>
      </c>
      <c r="H322" s="1710" t="n">
        <v>4</v>
      </c>
      <c r="I322" s="1703" t="n">
        <v>10</v>
      </c>
      <c r="J322" s="46">
        <f>IF(AND(E322&gt;=H322,E322&lt;=I322),TRUE,FALSE)</f>
        <v/>
      </c>
      <c r="K322" s="46" t="n"/>
      <c r="L322" s="46" t="n"/>
      <c r="M322" s="46" t="n"/>
      <c r="N322" s="1711" t="n"/>
      <c r="O322" s="1735" t="n">
        <v>11</v>
      </c>
      <c r="P322" s="1736" t="n">
        <v>11</v>
      </c>
      <c r="Q322" s="1711">
        <f>IF(AND(E322&gt;=O322,E322&lt;=P322),TRUE,FALSE)</f>
        <v/>
      </c>
      <c r="R322" s="1710" t="n">
        <v>2</v>
      </c>
      <c r="S322" s="1703" t="n">
        <v>7</v>
      </c>
      <c r="T322" s="1711">
        <f>IF(AND(E322&gt;=R322,E322&lt;=S322),TRUE,FALSE)</f>
        <v/>
      </c>
      <c r="U322" s="978" t="n"/>
      <c r="V322" s="1484" t="n"/>
      <c r="W322" s="1485" t="n">
        <v>4</v>
      </c>
      <c r="X322" s="2029" t="n"/>
      <c r="Y322" s="1505" t="n">
        <v>11</v>
      </c>
      <c r="Z322" s="2029" t="n"/>
      <c r="AA322" s="1496" t="n">
        <v>2</v>
      </c>
      <c r="AC322" s="1013" t="n"/>
      <c r="AD322" s="1014" t="n"/>
      <c r="AE322" s="1013" t="n"/>
      <c r="AF322" s="1014" t="n"/>
      <c r="AG322" s="1013" t="n"/>
      <c r="AH322" s="1014" t="n"/>
      <c r="AJ322" s="10" t="n"/>
      <c r="AK322" s="10" t="n"/>
      <c r="AL322" s="10" t="n"/>
      <c r="AR322" s="849" t="n"/>
      <c r="AS322" s="111" t="n"/>
      <c r="AT322" s="487" t="n"/>
      <c r="AU322" s="114" t="n"/>
      <c r="AV322" s="491" t="n"/>
      <c r="AW322" s="114" t="n"/>
      <c r="AX322" s="492" t="n"/>
      <c r="AY322" s="488" t="n"/>
    </row>
    <row r="323" ht="32" customHeight="1">
      <c r="B323" s="53" t="inlineStr">
        <is>
          <t>NC</t>
        </is>
      </c>
      <c r="C323" s="2066" t="n"/>
      <c r="D323" s="63" t="n"/>
      <c r="E323" s="36" t="n"/>
      <c r="F323" s="36" t="n"/>
      <c r="G323" s="36" t="n"/>
      <c r="H323" s="1735" t="n">
        <v>11</v>
      </c>
      <c r="I323" s="1736" t="n">
        <v>11</v>
      </c>
      <c r="J323" s="46">
        <f>IF(AND(E323&gt;=H323,E323&lt;=I323),TRUE,FALSE)</f>
        <v/>
      </c>
      <c r="K323" s="46" t="n"/>
      <c r="L323" s="46" t="n"/>
      <c r="M323" s="46" t="n"/>
      <c r="N323" s="1711" t="n"/>
      <c r="O323" s="1735" t="n">
        <v>11</v>
      </c>
      <c r="P323" s="1736" t="n">
        <v>11</v>
      </c>
      <c r="Q323" s="1711">
        <f>IF(AND(E323&gt;=O323,E323&lt;=P323),TRUE,FALSE)</f>
        <v/>
      </c>
      <c r="R323" s="1735" t="n">
        <v>11</v>
      </c>
      <c r="S323" s="1736" t="n">
        <v>11</v>
      </c>
      <c r="T323" s="1711">
        <f>IF(AND(E323&gt;=R323,E323&lt;=S323),TRUE,FALSE)</f>
        <v/>
      </c>
      <c r="U323" s="978" t="n"/>
      <c r="V323" s="1487" t="inlineStr">
        <is>
          <t>ou</t>
        </is>
      </c>
      <c r="W323" s="1506" t="n">
        <v>11</v>
      </c>
      <c r="X323" s="1507" t="n"/>
      <c r="Y323" s="1508" t="n">
        <v>11</v>
      </c>
      <c r="Z323" s="1507" t="n"/>
      <c r="AA323" s="1502" t="n">
        <v>11</v>
      </c>
      <c r="AC323" s="1013" t="n"/>
      <c r="AD323" s="1014" t="n"/>
      <c r="AE323" s="1013" t="n"/>
      <c r="AF323" s="1014" t="n"/>
      <c r="AG323" s="1013" t="n"/>
      <c r="AH323" s="1014" t="n"/>
      <c r="AJ323" s="10" t="n"/>
      <c r="AK323" s="10" t="n"/>
      <c r="AL323" s="10" t="n"/>
      <c r="AQ323" s="7" t="n"/>
      <c r="AR323" s="849" t="n"/>
      <c r="AS323" s="111" t="n"/>
      <c r="AT323" s="487" t="n"/>
      <c r="AU323" s="114" t="n"/>
      <c r="AV323" s="491" t="n"/>
      <c r="AW323" s="114" t="n"/>
      <c r="AX323" s="492" t="n"/>
      <c r="AY323" s="488" t="n"/>
    </row>
    <row r="324" ht="32" customHeight="1" thickBot="1">
      <c r="B324" s="831" t="inlineStr">
        <is>
          <t>Max NC</t>
        </is>
      </c>
      <c r="C324" s="832">
        <f>_xlfn.XLOOKUP(G324,G322:G323,C322:C323)</f>
        <v/>
      </c>
      <c r="D324" s="833">
        <f>_xlfn.XLOOKUP(G324,G322:G323,D322:D323)</f>
        <v/>
      </c>
      <c r="E324" s="834" t="n"/>
      <c r="F324" s="834" t="n"/>
      <c r="G324" s="834">
        <f>IF(AND(J322=TRUE,J323=FALSE),G322,IF(AND(J322=FALSE,J323=TRUE),G323,MAX(G322,G323)))</f>
        <v/>
      </c>
      <c r="H324" s="1713" t="n"/>
      <c r="I324" s="835" t="n"/>
      <c r="J324" s="836">
        <f>IF(AND(J322=FALSE,J323=FALSE),FALSE,TRUE)</f>
        <v/>
      </c>
      <c r="K324" s="46" t="n"/>
      <c r="L324" s="46" t="n"/>
      <c r="M324" s="46" t="n"/>
      <c r="N324" s="1711" t="n"/>
      <c r="O324" s="1713" t="n"/>
      <c r="P324" s="835" t="n"/>
      <c r="Q324" s="1726">
        <f>IF(AND(Q322=FALSE,Q323=FALSE),FALSE,TRUE)</f>
        <v/>
      </c>
      <c r="R324" s="1713" t="n"/>
      <c r="S324" s="835" t="n"/>
      <c r="T324" s="1726">
        <f>IF(AND(T322=FALSE,T323=FALSE),FALSE,TRUE)</f>
        <v/>
      </c>
      <c r="U324" s="978" t="n"/>
      <c r="V324" s="978" t="n"/>
      <c r="W324" s="1473" t="n"/>
      <c r="X324" s="2002" t="n"/>
      <c r="Y324" s="1478" t="n"/>
      <c r="Z324" s="2002" t="n"/>
      <c r="AA324" s="1481" t="n"/>
      <c r="AC324" s="1013" t="n"/>
      <c r="AD324" s="1014" t="n"/>
      <c r="AE324" s="1013" t="n"/>
      <c r="AF324" s="1014" t="n"/>
      <c r="AG324" s="1013" t="n"/>
      <c r="AH324" s="1014" t="n"/>
      <c r="AJ324" s="10" t="n"/>
      <c r="AK324" s="10" t="n"/>
      <c r="AL324" s="10" t="n"/>
      <c r="AQ324" s="7" t="n"/>
      <c r="AR324" s="849" t="n"/>
      <c r="AS324" s="111" t="n"/>
      <c r="AT324" s="487" t="n"/>
      <c r="AU324" s="114" t="n"/>
      <c r="AV324" s="491" t="n"/>
      <c r="AW324" s="114" t="n"/>
      <c r="AX324" s="492" t="n"/>
      <c r="AY324" s="488" t="n"/>
    </row>
    <row r="325" ht="32" customHeight="1" thickBot="1">
      <c r="B325" s="837" t="inlineStr">
        <is>
          <t>Max PFA &amp; NC</t>
        </is>
      </c>
      <c r="C325" s="838" t="n"/>
      <c r="D325" s="838">
        <f>IF(G325=G321,D321,D324)</f>
        <v/>
      </c>
      <c r="E325" s="839" t="n"/>
      <c r="F325" s="839" t="n"/>
      <c r="G325" s="839">
        <f>IF(AND(J321=TRUE,J324=FALSE),G321,IF(AND(J321=FALSE,J324=TRUE),G324,IF(AND(J321=TRUE,J324=TRUE),G321+G324,MAX(G321,G324))))</f>
        <v/>
      </c>
      <c r="H325" s="1714" t="n"/>
      <c r="I325" s="840" t="n"/>
      <c r="J325" s="841">
        <f>IF(AND(J321=FALSE,J324=FALSE),FALSE,TRUE)</f>
        <v/>
      </c>
      <c r="K325" s="1698" t="n"/>
      <c r="L325" s="1698" t="n"/>
      <c r="M325" s="1698" t="n"/>
      <c r="N325" s="1715" t="n"/>
      <c r="O325" s="1714" t="n"/>
      <c r="P325" s="840" t="n"/>
      <c r="Q325" s="841">
        <f>IF(AND(Q321=FALSE,Q324=FALSE),FALSE,TRUE)</f>
        <v/>
      </c>
      <c r="R325" s="1714" t="n"/>
      <c r="S325" s="840" t="n"/>
      <c r="T325" s="841">
        <f>IF(AND(T321=FALSE,T324=FALSE),FALSE,TRUE)</f>
        <v/>
      </c>
      <c r="U325" s="978" t="n"/>
      <c r="V325" s="978" t="inlineStr">
        <is>
          <t>et</t>
        </is>
      </c>
      <c r="W325" s="1473" t="n"/>
      <c r="X325" s="2002" t="n"/>
      <c r="Y325" s="1478" t="n"/>
      <c r="Z325" s="2002" t="n"/>
      <c r="AA325" s="1481" t="n"/>
      <c r="AC325" s="1013">
        <f>IF(J325=TRUE,"V","F")</f>
        <v/>
      </c>
      <c r="AD325" s="1014" t="n"/>
      <c r="AE325" s="1013">
        <f>IF(Q325=TRUE,"V","F")</f>
        <v/>
      </c>
      <c r="AF325" s="1014" t="n"/>
      <c r="AG325" s="1013">
        <f>IF(T325=TRUE,"V","F")</f>
        <v/>
      </c>
      <c r="AH325" s="1014" t="n"/>
      <c r="AI325">
        <f>IF(OR(AC325="V",AE325="V"),IF(G324&gt;G321,"Le NC contribue plus que le coparent","Le coparent joue un plus grand rôle que le NC"),"pas de contexte significatif de la part du coparent et NC")</f>
        <v/>
      </c>
      <c r="AJ325" s="10" t="n"/>
      <c r="AK325" s="10" t="n"/>
      <c r="AL325" s="10" t="n"/>
      <c r="AQ325" s="7" t="n"/>
      <c r="AR325" s="849" t="n"/>
      <c r="AS325" s="111" t="n"/>
      <c r="AT325" s="487" t="n"/>
      <c r="AU325" s="114" t="n"/>
      <c r="AV325" s="491" t="n"/>
      <c r="AW325" s="114" t="n"/>
      <c r="AX325" s="492" t="n"/>
      <c r="AY325" s="488" t="n"/>
    </row>
    <row r="326" ht="51" customHeight="1">
      <c r="B326" s="316">
        <f>'Action-Réaction finale'!O51</f>
        <v/>
      </c>
      <c r="C326" s="2066">
        <f>Test_Bible!B294</f>
        <v/>
      </c>
      <c r="D326" s="102" t="inlineStr">
        <is>
          <t>ne répond pas à vos messages lorsqu'il est chez l'autre</t>
        </is>
      </c>
      <c r="E326" s="823">
        <f>Test_Bible!P294</f>
        <v/>
      </c>
      <c r="F326" s="822">
        <f>Test_Bible!D294</f>
        <v/>
      </c>
      <c r="G326" s="823">
        <f>Test_Bible!Q294</f>
        <v/>
      </c>
      <c r="H326" s="1710" t="n">
        <v>7</v>
      </c>
      <c r="I326" s="1703">
        <f>$I$18</f>
        <v/>
      </c>
      <c r="J326" s="46">
        <f>IF(AND(E326&gt;=H326,E326&lt;=I326),TRUE,FALSE)</f>
        <v/>
      </c>
      <c r="K326" s="46" t="n"/>
      <c r="L326" s="46" t="n"/>
      <c r="M326" s="46" t="n"/>
      <c r="N326" s="1711" t="n"/>
      <c r="O326" s="1710" t="n">
        <v>4</v>
      </c>
      <c r="P326" s="1703" t="n">
        <v>7</v>
      </c>
      <c r="Q326" s="1711">
        <f>IF(AND(E326&gt;=O326,E326&lt;=P326),TRUE,FALSE)</f>
        <v/>
      </c>
      <c r="R326" s="1710" t="n"/>
      <c r="S326" s="1703" t="n"/>
      <c r="T326" s="1711" t="n"/>
      <c r="U326" s="978" t="n"/>
      <c r="V326" s="1484" t="n"/>
      <c r="W326" s="1485" t="n">
        <v>7</v>
      </c>
      <c r="X326" s="2029" t="n"/>
      <c r="Y326" s="1489" t="n">
        <v>4</v>
      </c>
      <c r="Z326" s="2029" t="n"/>
      <c r="AA326" s="1497" t="n">
        <v>11</v>
      </c>
      <c r="AC326" s="1013" t="inlineStr">
        <is>
          <t> </t>
        </is>
      </c>
      <c r="AD326" s="1014" t="n"/>
      <c r="AE326" s="1013" t="n"/>
      <c r="AF326" s="1014" t="n"/>
      <c r="AG326" s="1013" t="n"/>
      <c r="AH326" s="1014" t="n"/>
      <c r="AJ326" s="10" t="n"/>
      <c r="AK326" s="10" t="n"/>
      <c r="AL326" s="10" t="n"/>
      <c r="AQ326" s="7" t="n"/>
      <c r="AR326" s="849" t="n"/>
      <c r="AS326" s="111" t="n"/>
      <c r="AT326" s="487" t="n"/>
      <c r="AU326" s="114" t="n"/>
      <c r="AV326" s="491" t="n"/>
      <c r="AW326" s="114" t="n"/>
      <c r="AX326" s="492" t="n"/>
      <c r="AY326" s="488" t="n"/>
    </row>
    <row r="327" ht="61" customHeight="1" thickBot="1">
      <c r="B327" s="316">
        <f>Test_Bible!A324</f>
        <v/>
      </c>
      <c r="C327" s="2066">
        <f>Test_Bible!B324</f>
        <v/>
      </c>
      <c r="D327" s="102" t="n"/>
      <c r="E327" s="823">
        <f>Test_Bible!P324</f>
        <v/>
      </c>
      <c r="F327" s="822">
        <f>Test_Bible!D324</f>
        <v/>
      </c>
      <c r="G327" s="823">
        <f>Test_Bible!Q324</f>
        <v/>
      </c>
      <c r="H327" s="1710" t="n">
        <v>4</v>
      </c>
      <c r="I327" s="1703">
        <f>$I$18</f>
        <v/>
      </c>
      <c r="J327" s="46">
        <f>IF(AND(E327&gt;=H327,E327&lt;=I327),TRUE,FALSE)</f>
        <v/>
      </c>
      <c r="K327" s="46" t="n"/>
      <c r="L327" s="46" t="n"/>
      <c r="M327" s="46" t="n"/>
      <c r="N327" s="1711" t="n"/>
      <c r="O327" s="1735" t="n">
        <v>11</v>
      </c>
      <c r="P327" s="1736" t="n">
        <v>11</v>
      </c>
      <c r="Q327" s="1711">
        <f>IF(AND(E327&gt;=O327,E327&lt;=P327),TRUE,FALSE)</f>
        <v/>
      </c>
      <c r="R327" s="1735" t="n"/>
      <c r="S327" s="1736" t="n"/>
      <c r="T327" s="1711" t="n"/>
      <c r="U327" s="978" t="n"/>
      <c r="V327" s="1487" t="inlineStr">
        <is>
          <t>ou</t>
        </is>
      </c>
      <c r="W327" s="1506" t="n">
        <v>11</v>
      </c>
      <c r="X327" s="1507" t="n"/>
      <c r="Y327" s="1508" t="n">
        <v>11</v>
      </c>
      <c r="Z327" s="1507" t="n"/>
      <c r="AA327" s="1502" t="n">
        <v>11</v>
      </c>
      <c r="AC327" s="1013" t="n"/>
      <c r="AD327" s="1014" t="n"/>
      <c r="AE327" s="1013" t="n"/>
      <c r="AF327" s="1014" t="n"/>
      <c r="AG327" s="1013" t="n"/>
      <c r="AH327" s="1014" t="n"/>
      <c r="AJ327" s="10" t="n"/>
      <c r="AK327" s="10" t="n"/>
      <c r="AL327" s="10" t="n"/>
      <c r="AQ327" s="7" t="n"/>
      <c r="AR327" s="849" t="n"/>
      <c r="AS327" s="111" t="n"/>
      <c r="AT327" s="487" t="n"/>
      <c r="AU327" s="114" t="n"/>
      <c r="AV327" s="491" t="n"/>
      <c r="AW327" s="114" t="n"/>
      <c r="AX327" s="492" t="n"/>
      <c r="AY327" s="488" t="n"/>
    </row>
    <row r="328" ht="32" customHeight="1" thickBot="1">
      <c r="B328" s="842" t="inlineStr">
        <is>
          <t>Max Enf</t>
        </is>
      </c>
      <c r="C328" s="843">
        <f>_xlfn.XLOOKUP(G328,G326:G327,C326:C327)</f>
        <v/>
      </c>
      <c r="D328" s="843">
        <f>_xlfn.XLOOKUP(G328,G326:G327,D326:D327)</f>
        <v/>
      </c>
      <c r="E328" s="844" t="n"/>
      <c r="F328" s="844" t="n"/>
      <c r="G328" s="844">
        <f>IF(AND(J326=TRUE,J327=FALSE),G326,IF(AND(J326=FALSE,J327=TRUE),G327,MAX(G326,G327)))</f>
        <v/>
      </c>
      <c r="H328" s="1716" t="n"/>
      <c r="I328" s="845" t="n"/>
      <c r="J328" s="846">
        <f>IF(AND(J326=FALSE,J327=FALSE),FALSE,TRUE)</f>
        <v/>
      </c>
      <c r="K328" s="1699" t="n"/>
      <c r="L328" s="1699" t="n"/>
      <c r="M328" s="1699" t="n"/>
      <c r="N328" s="1717" t="n"/>
      <c r="O328" s="1716" t="n"/>
      <c r="P328" s="845" t="n"/>
      <c r="Q328" s="846">
        <f>IF(AND(Q326=FALSE,Q327=FALSE),FALSE,TRUE)</f>
        <v/>
      </c>
      <c r="R328" s="1716" t="n"/>
      <c r="S328" s="845" t="n"/>
      <c r="T328" s="846" t="n"/>
      <c r="U328" s="978" t="n"/>
      <c r="V328" s="978" t="n"/>
      <c r="W328" s="1475" t="n"/>
      <c r="Y328" s="1479" t="n"/>
      <c r="AA328" s="1483" t="n"/>
      <c r="AC328" s="1013">
        <f>IF(J328=TRUE,"V","F")</f>
        <v/>
      </c>
      <c r="AD328" s="1014" t="n"/>
      <c r="AE328" s="1013">
        <f>IF(Q328=TRUE,"V","F")</f>
        <v/>
      </c>
      <c r="AF328" s="1014" t="n"/>
      <c r="AG328" s="1013" t="n"/>
      <c r="AH328" s="1014" t="n"/>
      <c r="AJ328" s="10" t="n"/>
      <c r="AK328" s="10" t="n"/>
      <c r="AL328" s="10" t="n"/>
      <c r="AR328" s="849" t="n"/>
      <c r="AS328" s="111" t="n"/>
      <c r="AT328" s="487" t="n"/>
      <c r="AU328" s="114" t="n"/>
      <c r="AV328" s="491" t="n"/>
      <c r="AW328" s="114" t="n"/>
      <c r="AX328" s="492" t="n"/>
      <c r="AY328" s="488" t="n"/>
    </row>
    <row r="329" ht="32" customHeight="1">
      <c r="C329" s="428" t="inlineStr">
        <is>
          <t>COMPARATIF Comportement PFA-Enf</t>
        </is>
      </c>
      <c r="D329" s="2058" t="n"/>
      <c r="E329" s="484" t="inlineStr">
        <is>
          <t>Valeur =&gt;</t>
        </is>
      </c>
      <c r="F329" s="48" t="n"/>
      <c r="G329" s="48">
        <f>G321+G324+G328</f>
        <v/>
      </c>
      <c r="H329" s="1718" t="n"/>
      <c r="I329" s="485" t="n"/>
      <c r="J329" s="1701" t="n"/>
      <c r="K329" s="1702">
        <f>IF(AND(J328=TRUE,J325=TRUE),D328,"")</f>
        <v/>
      </c>
      <c r="L329" s="1702">
        <f>IF(AND(J325=TRUE,J328=FALSE),"Bien que le parent "&amp;D325&amp;" l'enfant ne semble pas s'ingérer","")</f>
        <v/>
      </c>
      <c r="M329" s="1702">
        <f>IF(AND(J325=FALSE,J328=TRUE),D328&amp;" sans signe de la participation du parent favorisé et|ou nouveau conjoint.e","")</f>
        <v/>
      </c>
      <c r="N329" s="1719">
        <f>IF(AND(J325=FALSE,J328=FALSE),"aucun comportement significatif de cette nature","")</f>
        <v/>
      </c>
      <c r="O329" s="1718" t="n"/>
      <c r="P329" s="485" t="n"/>
      <c r="Q329" s="1727" t="n"/>
      <c r="R329" s="1718" t="n"/>
      <c r="S329" s="485" t="n"/>
      <c r="T329" s="1727" t="n"/>
      <c r="U329" s="980" t="n"/>
      <c r="V329" s="980" t="n"/>
      <c r="W329" s="1475" t="n"/>
      <c r="Y329" s="1479" t="n"/>
      <c r="AA329" s="1483" t="n"/>
      <c r="AC329" s="1015" t="n"/>
      <c r="AD329" s="1016">
        <f>IF(AND(AC325="V",AC328="V"),2,IF(OR(AC325="V",AC328="V"),1,0))</f>
        <v/>
      </c>
      <c r="AE329" s="1015" t="n"/>
      <c r="AF329" s="1016">
        <f>IF(OR(AE325="V",AE328="V"),1,0)</f>
        <v/>
      </c>
      <c r="AG329" s="1015" t="n"/>
      <c r="AH329" s="1016" t="n"/>
      <c r="AJ329" s="10" t="n"/>
      <c r="AK329" s="10" t="n"/>
      <c r="AL329" s="10" t="n"/>
      <c r="AR329" s="849" t="n"/>
      <c r="AS329" s="111" t="n"/>
      <c r="AT329" s="487" t="n"/>
      <c r="AU329" s="114" t="n"/>
      <c r="AV329" s="491" t="n"/>
      <c r="AW329" s="114" t="n"/>
      <c r="AX329" s="492" t="n"/>
      <c r="AY329" s="488" t="n"/>
    </row>
    <row r="330" ht="32" customHeight="1">
      <c r="B330" t="inlineStr">
        <is>
          <t>PCR</t>
        </is>
      </c>
      <c r="H330" s="147" t="n"/>
      <c r="K330" s="1992" t="n"/>
      <c r="L330" s="1992" t="n"/>
      <c r="M330" s="1992" t="n"/>
      <c r="N330" s="1740" t="n"/>
      <c r="O330" s="147" t="n"/>
      <c r="Q330" s="330" t="n"/>
      <c r="R330" s="147" t="n"/>
      <c r="T330" s="330" t="n"/>
      <c r="U330" s="1992" t="n"/>
      <c r="AC330" s="1013" t="n"/>
      <c r="AD330" s="1014" t="n"/>
      <c r="AE330" s="1013" t="n"/>
      <c r="AF330" s="1014" t="n"/>
      <c r="AG330" s="1013" t="n"/>
      <c r="AH330" s="1014" t="n"/>
      <c r="AJ330" s="10" t="n"/>
      <c r="AK330" s="10" t="n"/>
      <c r="AL330" s="10" t="n"/>
      <c r="AR330" s="849" t="n"/>
      <c r="AS330" s="111" t="n"/>
      <c r="AT330" s="487" t="n"/>
      <c r="AU330" s="114" t="n"/>
      <c r="AV330" s="491" t="n"/>
      <c r="AW330" s="114" t="n"/>
      <c r="AX330" s="492" t="n"/>
      <c r="AY330" s="488" t="n"/>
    </row>
    <row r="331" ht="32" customHeight="1">
      <c r="B331" s="1017" t="n"/>
      <c r="C331" s="1025" t="n"/>
      <c r="D331" s="1018" t="n"/>
      <c r="E331" s="1026" t="n"/>
      <c r="F331" s="1026" t="n"/>
      <c r="G331" s="1026" t="n"/>
      <c r="H331" s="1735" t="n">
        <v>11</v>
      </c>
      <c r="I331" s="1736" t="n">
        <v>11</v>
      </c>
      <c r="J331" s="46">
        <f>IF(AND(E331&gt;=H331,E331&lt;=I331),TRUE,FALSE)</f>
        <v/>
      </c>
      <c r="K331" s="33" t="n"/>
      <c r="L331" s="33" t="n"/>
      <c r="M331" s="33" t="n"/>
      <c r="N331" s="1720" t="n"/>
      <c r="O331" s="1735" t="n">
        <v>11</v>
      </c>
      <c r="P331" s="1736" t="n">
        <v>11</v>
      </c>
      <c r="Q331" s="1711">
        <f>IF(AND(E331&gt;=O331,E331&lt;=P331),TRUE,FALSE)</f>
        <v/>
      </c>
      <c r="R331" s="1735" t="n">
        <v>11</v>
      </c>
      <c r="S331" s="1736" t="n">
        <v>11</v>
      </c>
      <c r="T331" s="1711">
        <f>IF(AND(E331&gt;=R331,E331&lt;=S331),TRUE,FALSE)</f>
        <v/>
      </c>
      <c r="U331" s="1992" t="n"/>
      <c r="V331" s="1509" t="n"/>
      <c r="W331" s="1503" t="n">
        <v>11</v>
      </c>
      <c r="X331" s="1504" t="n"/>
      <c r="Y331" s="1505" t="n">
        <v>11</v>
      </c>
      <c r="Z331" s="1504" t="n"/>
      <c r="AA331" s="1497" t="n">
        <v>11</v>
      </c>
      <c r="AC331" s="1013" t="n"/>
      <c r="AD331" s="1014" t="n"/>
      <c r="AE331" s="1013" t="n"/>
      <c r="AF331" s="1014" t="n"/>
      <c r="AG331" s="1013" t="n"/>
      <c r="AH331" s="1014" t="n"/>
      <c r="AJ331" s="10" t="n"/>
      <c r="AK331" s="10" t="n"/>
      <c r="AL331" s="10" t="n"/>
      <c r="AR331" s="849" t="n"/>
      <c r="AS331" s="111" t="n"/>
      <c r="AT331" s="487" t="n"/>
      <c r="AU331" s="114" t="n"/>
      <c r="AV331" s="491" t="n"/>
      <c r="AW331" s="114" t="n"/>
      <c r="AX331" s="492" t="n"/>
      <c r="AY331" s="488" t="n"/>
    </row>
    <row r="332" ht="32" customHeight="1" thickBot="1">
      <c r="B332" s="1017" t="n"/>
      <c r="C332" s="1025" t="n"/>
      <c r="D332" s="1018" t="n"/>
      <c r="E332" s="1026" t="n"/>
      <c r="F332" s="1026" t="n"/>
      <c r="G332" s="1026" t="n"/>
      <c r="H332" s="1735" t="n">
        <v>11</v>
      </c>
      <c r="I332" s="1736" t="n">
        <v>11</v>
      </c>
      <c r="J332" s="46">
        <f>IF(AND(E332&gt;=H332,E332&lt;=I332),TRUE,FALSE)</f>
        <v/>
      </c>
      <c r="K332" s="33" t="n"/>
      <c r="L332" s="33" t="n"/>
      <c r="M332" s="33" t="n"/>
      <c r="N332" s="1720" t="n"/>
      <c r="O332" s="1735" t="n">
        <v>11</v>
      </c>
      <c r="P332" s="1736" t="n">
        <v>11</v>
      </c>
      <c r="Q332" s="1711">
        <f>IF(AND(E332&gt;=O332,E332&lt;=P332),TRUE,FALSE)</f>
        <v/>
      </c>
      <c r="R332" s="1735" t="n">
        <v>11</v>
      </c>
      <c r="S332" s="1736" t="n">
        <v>11</v>
      </c>
      <c r="T332" s="1711">
        <f>IF(AND(E332&gt;=R332,E332&lt;=S332),TRUE,FALSE)</f>
        <v/>
      </c>
      <c r="V332" s="1510" t="n"/>
      <c r="W332" s="1506" t="n">
        <v>11</v>
      </c>
      <c r="X332" s="1507" t="n"/>
      <c r="Y332" s="1508" t="n">
        <v>11</v>
      </c>
      <c r="Z332" s="1507" t="n"/>
      <c r="AA332" s="1502" t="n">
        <v>11</v>
      </c>
      <c r="AC332" s="1013" t="n"/>
      <c r="AD332" s="1014" t="n"/>
      <c r="AE332" s="1013" t="n"/>
      <c r="AF332" s="1014" t="n"/>
      <c r="AG332" s="1013" t="n"/>
      <c r="AH332" s="1014" t="n"/>
      <c r="AJ332" s="10" t="n"/>
      <c r="AK332" s="10" t="n"/>
      <c r="AL332" s="10" t="n"/>
      <c r="AR332" s="849" t="n"/>
      <c r="AS332" s="111" t="n"/>
      <c r="AT332" s="487" t="n"/>
      <c r="AU332" s="114" t="n"/>
      <c r="AV332" s="491" t="n"/>
      <c r="AW332" s="114" t="n"/>
      <c r="AX332" s="492" t="n"/>
      <c r="AY332" s="488" t="n"/>
    </row>
    <row r="333" ht="32" customHeight="1" thickBot="1">
      <c r="B333" s="7" t="n"/>
      <c r="C333" s="2059" t="n"/>
      <c r="D333" s="2059" t="n"/>
      <c r="E333" s="90" t="n"/>
      <c r="F333" s="2073" t="n"/>
      <c r="G333" s="90" t="n"/>
      <c r="H333" s="1732" t="n"/>
      <c r="I333" s="1733" t="n"/>
      <c r="J333" s="1739">
        <f>IF(AND(J331=FALSE,J332=FALSE),FALSE,TRUE)</f>
        <v/>
      </c>
      <c r="K333" s="1721" t="n"/>
      <c r="L333" s="1722" t="n"/>
      <c r="M333" s="1722" t="n"/>
      <c r="N333" s="1723" t="n"/>
      <c r="O333" s="1732" t="n"/>
      <c r="P333" s="1733" t="n"/>
      <c r="Q333" s="1739">
        <f>IF(AND(Q331=FALSE,Q332=FALSE),FALSE,TRUE)</f>
        <v/>
      </c>
      <c r="R333" s="1744" t="n"/>
      <c r="S333" s="1745" t="n"/>
      <c r="T333" s="1746">
        <f>IF(AND(T331=FALSE,T332=FALSE),FALSE,TRUE)</f>
        <v/>
      </c>
      <c r="AC333" s="1650">
        <f>IF(J333=TRUE,"V","F")</f>
        <v/>
      </c>
      <c r="AD333" s="1651" t="n"/>
      <c r="AE333" s="1650">
        <f>IF(Q333=TRUE,"V","F")</f>
        <v/>
      </c>
      <c r="AF333" s="1651" t="n"/>
      <c r="AG333" s="1650">
        <f>IF(T333=TRUE,"V","F")</f>
        <v/>
      </c>
      <c r="AH333" s="1651" t="n"/>
      <c r="AJ333" s="10" t="n"/>
      <c r="AK333" s="10" t="n"/>
      <c r="AL333" s="10" t="n"/>
      <c r="AR333" s="849" t="n"/>
      <c r="AS333" s="111" t="n"/>
      <c r="AT333" s="487" t="n"/>
      <c r="AU333" s="114" t="n"/>
      <c r="AV333" s="491" t="n"/>
      <c r="AW333" s="114" t="n"/>
      <c r="AX333" s="492" t="n"/>
      <c r="AY333" s="488" t="n"/>
    </row>
    <row r="334" ht="32" customHeight="1" thickBot="1">
      <c r="C334" s="2073" t="n"/>
      <c r="D334" s="2073" t="n"/>
      <c r="E334" s="90" t="n"/>
      <c r="F334" s="483" t="n"/>
      <c r="G334" s="483" t="n"/>
      <c r="H334" s="2002" t="n"/>
      <c r="I334" s="2002" t="n"/>
      <c r="J334" s="979" t="n"/>
      <c r="K334" s="980" t="n"/>
      <c r="L334" s="980" t="n"/>
      <c r="M334" s="980" t="n"/>
      <c r="N334" s="980" t="n"/>
      <c r="O334" s="980" t="n"/>
      <c r="P334" s="980" t="n"/>
      <c r="Q334" s="980" t="n"/>
      <c r="R334" s="980" t="n"/>
      <c r="S334" s="980" t="n"/>
      <c r="T334" s="980" t="n"/>
      <c r="U334" s="980" t="n"/>
      <c r="V334" s="980" t="n"/>
      <c r="AC334" s="1737" t="n"/>
      <c r="AD334" s="1738">
        <f>IF(AND(AC333="V",AC325="V"),AD329-1,AD329)</f>
        <v/>
      </c>
      <c r="AE334" s="1737" t="n"/>
      <c r="AF334" s="1738">
        <f>IF(OR(AE325="V",AE328="V",AE333="V"),1,0)</f>
        <v/>
      </c>
      <c r="AG334" s="1737" t="n"/>
      <c r="AH334" s="1738">
        <f>IF(AG325="V",1,IF(AG333="V",1,0))</f>
        <v/>
      </c>
      <c r="AJ334" s="10" t="n">
        <v>1</v>
      </c>
      <c r="AK334" s="10" t="n">
        <v>1</v>
      </c>
      <c r="AL334" s="10" t="n">
        <v>1</v>
      </c>
      <c r="AR334" s="849" t="n"/>
      <c r="AS334" s="111" t="n"/>
      <c r="AT334" s="487" t="n"/>
      <c r="AU334" s="114" t="n"/>
      <c r="AV334" s="491" t="n"/>
      <c r="AW334" s="114" t="n"/>
      <c r="AX334" s="492" t="n"/>
      <c r="AY334" s="488" t="n"/>
    </row>
    <row r="335" ht="32" customHeight="1">
      <c r="C335" s="2073" t="n"/>
      <c r="D335" s="2073" t="n"/>
      <c r="E335" s="90" t="n"/>
      <c r="F335" s="483" t="n"/>
      <c r="G335" s="483" t="n"/>
      <c r="H335" s="1704" t="n"/>
      <c r="I335" s="1705" t="n"/>
      <c r="J335" s="1706" t="n"/>
      <c r="K335" s="2056" t="n"/>
      <c r="L335" s="709" t="n"/>
      <c r="M335" s="709" t="n"/>
      <c r="N335" s="1707" t="n"/>
      <c r="O335" s="1724" t="n"/>
      <c r="P335" s="1706" t="n"/>
      <c r="Q335" s="1707" t="n"/>
      <c r="R335" s="1724" t="n"/>
      <c r="S335" s="1706" t="n"/>
      <c r="T335" s="1707" t="n"/>
      <c r="U335" s="980" t="n"/>
      <c r="V335" s="980" t="n"/>
      <c r="AC335" s="1756" t="n"/>
      <c r="AD335" s="1757" t="n"/>
      <c r="AE335" s="1490" t="n"/>
      <c r="AF335" s="1490" t="n"/>
      <c r="AG335" s="1490" t="n"/>
      <c r="AH335" s="1490" t="n"/>
      <c r="AJ335" s="10" t="n"/>
      <c r="AK335" s="10" t="n"/>
      <c r="AL335" s="10" t="n"/>
      <c r="AR335" s="849" t="n"/>
      <c r="AS335" s="111" t="n"/>
      <c r="AT335" s="487" t="n"/>
      <c r="AU335" s="114" t="n"/>
      <c r="AV335" s="491" t="n"/>
      <c r="AW335" s="114" t="n"/>
      <c r="AX335" s="492" t="n"/>
      <c r="AY335" s="488" t="n"/>
    </row>
    <row r="336" ht="32" customHeight="1">
      <c r="A336" s="853" t="n">
        <v>17</v>
      </c>
      <c r="C336" s="486">
        <f>'Action-Réaction finale'!F54</f>
        <v/>
      </c>
      <c r="D336" s="108" t="n"/>
      <c r="E336" s="66" t="n"/>
      <c r="F336" s="18" t="n"/>
      <c r="G336" s="18" t="n"/>
      <c r="H336" s="2052" t="inlineStr">
        <is>
          <t>AP</t>
        </is>
      </c>
      <c r="K336" s="2055" t="inlineStr">
        <is>
          <t>Dynamique d'AP</t>
        </is>
      </c>
      <c r="N336" s="330" t="n"/>
      <c r="O336" s="2122" t="inlineStr">
        <is>
          <t>CL</t>
        </is>
      </c>
      <c r="Q336" s="330" t="n"/>
      <c r="R336" s="2123" t="inlineStr">
        <is>
          <t>CSS</t>
        </is>
      </c>
      <c r="T336" s="330" t="n"/>
      <c r="U336" s="15" t="n"/>
      <c r="V336" s="15" t="n"/>
      <c r="AC336" s="1009" t="n"/>
      <c r="AD336" s="1009" t="n"/>
      <c r="AE336" s="1009" t="n"/>
      <c r="AF336" s="1009" t="n"/>
      <c r="AG336" s="1009" t="n"/>
      <c r="AH336" s="1010" t="n"/>
      <c r="AJ336" s="10" t="n"/>
      <c r="AK336" s="10" t="n"/>
      <c r="AL336" s="10" t="n"/>
      <c r="AR336" s="849" t="n"/>
      <c r="AS336" s="111" t="n"/>
      <c r="AT336" s="487" t="n"/>
      <c r="AU336" s="114" t="n"/>
      <c r="AV336" s="491" t="n"/>
      <c r="AW336" s="114" t="n"/>
      <c r="AX336" s="492" t="n"/>
      <c r="AY336" s="488" t="n"/>
    </row>
    <row r="337" ht="32" customHeight="1">
      <c r="C337" s="103" t="inlineStr">
        <is>
          <t>Questions et sous-questions</t>
        </is>
      </c>
      <c r="D337" s="1043" t="inlineStr">
        <is>
          <t>Texte écourté pour titrer dans les baromètres ou rapport</t>
        </is>
      </c>
      <c r="E337" s="33" t="inlineStr">
        <is>
          <t>Valeur de base
Fréquence (F)</t>
        </is>
      </c>
      <c r="F337" s="33" t="inlineStr">
        <is>
          <t>Valeur de base
intensité (I)</t>
        </is>
      </c>
      <c r="G337" s="33" t="inlineStr">
        <is>
          <t>F * I</t>
        </is>
      </c>
      <c r="H337" s="1708" t="inlineStr">
        <is>
          <t>Condition Fréq. 
&gt;= que</t>
        </is>
      </c>
      <c r="I337" s="44" t="inlineStr">
        <is>
          <t>Condition Fré
&lt;= que</t>
        </is>
      </c>
      <c r="J337" s="44" t="inlineStr">
        <is>
          <t>Condition respectée</t>
        </is>
      </c>
      <c r="K337" s="44" t="inlineStr">
        <is>
          <t>"VRAI" (PF&amp;NC) /  "VRAI" (Enf)</t>
        </is>
      </c>
      <c r="L337" s="44" t="inlineStr">
        <is>
          <t>Vrai (PF&amp;NC) /  Faux (Enf)</t>
        </is>
      </c>
      <c r="M337" s="44" t="inlineStr">
        <is>
          <t>Faux (PF&amp;NC) /  Vrai (Enf)</t>
        </is>
      </c>
      <c r="N337" s="1709" t="inlineStr">
        <is>
          <t>Faux (PF&amp;NC) /  Faux(Enf)</t>
        </is>
      </c>
      <c r="O337" s="1708" t="inlineStr">
        <is>
          <t>Condition Fréq. 
&gt;= que</t>
        </is>
      </c>
      <c r="P337" s="44" t="inlineStr">
        <is>
          <t>Condition Fré
&lt;= que</t>
        </is>
      </c>
      <c r="Q337" s="1709" t="inlineStr">
        <is>
          <t>Condition respectée</t>
        </is>
      </c>
      <c r="R337" s="1708" t="inlineStr">
        <is>
          <t>Condition Fréq. 
&gt;= que</t>
        </is>
      </c>
      <c r="S337" s="44" t="inlineStr">
        <is>
          <t>Condition Fré
&lt;= que</t>
        </is>
      </c>
      <c r="T337" s="1709" t="inlineStr">
        <is>
          <t>Condition respectée</t>
        </is>
      </c>
      <c r="U337" s="851" t="n"/>
      <c r="V337" s="1008" t="inlineStr">
        <is>
          <t>Condition</t>
        </is>
      </c>
      <c r="W337" s="1472" t="inlineStr">
        <is>
          <t>AP</t>
        </is>
      </c>
      <c r="X337" s="1008" t="inlineStr">
        <is>
          <t>Condition</t>
        </is>
      </c>
      <c r="Y337" s="1476" t="inlineStr">
        <is>
          <t>CL</t>
        </is>
      </c>
      <c r="Z337" s="1008" t="n"/>
      <c r="AA337" s="1480" t="inlineStr">
        <is>
          <t>CSS</t>
        </is>
      </c>
      <c r="AC337" s="1023" t="inlineStr">
        <is>
          <t>AP</t>
        </is>
      </c>
      <c r="AD337" s="1024" t="inlineStr">
        <is>
          <t>AP_F</t>
        </is>
      </c>
      <c r="AE337" s="1023" t="inlineStr">
        <is>
          <t>CL</t>
        </is>
      </c>
      <c r="AF337" s="1024" t="inlineStr">
        <is>
          <t>CL_F</t>
        </is>
      </c>
      <c r="AG337" s="1023" t="inlineStr">
        <is>
          <t>CSS</t>
        </is>
      </c>
      <c r="AH337" s="1024" t="inlineStr">
        <is>
          <t>CSS_F</t>
        </is>
      </c>
      <c r="AJ337" s="10" t="n"/>
      <c r="AK337" s="10" t="n"/>
      <c r="AL337" s="10" t="n"/>
      <c r="AR337" s="849" t="n"/>
      <c r="AS337" s="111" t="n"/>
      <c r="AT337" s="487" t="n"/>
      <c r="AU337" s="114" t="n"/>
      <c r="AV337" s="491" t="n"/>
      <c r="AW337" s="114" t="n"/>
      <c r="AX337" s="492" t="n"/>
      <c r="AY337" s="488" t="n"/>
    </row>
    <row r="338" ht="62" customHeight="1">
      <c r="B338" s="421">
        <f>'Action-Réaction finale'!G54</f>
        <v/>
      </c>
      <c r="C338" s="2066">
        <f>Test_Bible!B213</f>
        <v/>
      </c>
      <c r="D338" s="102" t="inlineStr">
        <is>
          <t>limite les contacts de l'enfant avec la famille élargie</t>
        </is>
      </c>
      <c r="E338" s="823">
        <f>Test_Bible!P213</f>
        <v/>
      </c>
      <c r="F338" s="822">
        <f>Test_Bible!D213</f>
        <v/>
      </c>
      <c r="G338" s="823">
        <f>Test_Bible!Q213</f>
        <v/>
      </c>
      <c r="H338" s="1710" t="n">
        <v>4</v>
      </c>
      <c r="I338" s="1703" t="n">
        <v>10</v>
      </c>
      <c r="J338" s="46">
        <f>IF(AND(E338&gt;=H338,E338&lt;=I338),TRUE,FALSE)</f>
        <v/>
      </c>
      <c r="K338" s="46" t="n"/>
      <c r="L338" s="46" t="n"/>
      <c r="M338" s="46" t="n"/>
      <c r="N338" s="1711" t="n"/>
      <c r="O338" s="1710" t="n">
        <v>4</v>
      </c>
      <c r="P338" s="1703" t="n">
        <v>7</v>
      </c>
      <c r="Q338" s="1711">
        <f>IF(AND(E338&gt;=O338,E338&lt;=P338),TRUE,FALSE)</f>
        <v/>
      </c>
      <c r="R338" s="1710" t="n">
        <v>4</v>
      </c>
      <c r="S338" s="1703" t="n">
        <v>7</v>
      </c>
      <c r="T338" s="1711">
        <f>IF(AND(E338&gt;=R338,E338&lt;=S338),TRUE,FALSE)</f>
        <v/>
      </c>
      <c r="U338" s="978" t="n"/>
      <c r="V338" s="1484" t="n"/>
      <c r="W338" s="1485" t="n">
        <v>4</v>
      </c>
      <c r="X338" s="2029" t="n"/>
      <c r="Y338" s="1489" t="n">
        <v>4</v>
      </c>
      <c r="Z338" s="2029" t="n"/>
      <c r="AA338" s="1496" t="n">
        <v>4</v>
      </c>
      <c r="AC338" s="1011" t="n"/>
      <c r="AD338" s="1012" t="n"/>
      <c r="AE338" s="1011" t="n"/>
      <c r="AF338" s="1012" t="n"/>
      <c r="AG338" s="1011" t="n"/>
      <c r="AH338" s="1012" t="n"/>
      <c r="AJ338" s="10" t="n"/>
      <c r="AK338" s="10" t="n"/>
      <c r="AL338" s="10" t="n"/>
      <c r="AR338" s="849" t="n"/>
      <c r="AS338" s="111" t="n"/>
      <c r="AT338" s="487" t="n"/>
      <c r="AU338" s="114" t="n"/>
      <c r="AV338" s="491" t="n"/>
      <c r="AW338" s="114" t="n"/>
      <c r="AX338" s="492" t="n"/>
      <c r="AY338" s="488" t="n"/>
    </row>
    <row r="339" ht="32" customHeight="1">
      <c r="B339" s="421" t="inlineStr">
        <is>
          <t>PFA</t>
        </is>
      </c>
      <c r="C339" s="2066" t="n"/>
      <c r="D339" s="102" t="n"/>
      <c r="E339" s="823" t="n"/>
      <c r="F339" s="822" t="n"/>
      <c r="G339" s="823" t="n"/>
      <c r="H339" s="1735" t="n">
        <v>11</v>
      </c>
      <c r="I339" s="1736" t="n">
        <v>11</v>
      </c>
      <c r="J339" s="46">
        <f>IF(AND(E339&gt;=H339,E339&lt;=I339),TRUE,FALSE)</f>
        <v/>
      </c>
      <c r="K339" s="46" t="n"/>
      <c r="L339" s="46" t="n"/>
      <c r="M339" s="46" t="n"/>
      <c r="N339" s="1711" t="n"/>
      <c r="O339" s="1735" t="n">
        <v>11</v>
      </c>
      <c r="P339" s="1736" t="n">
        <v>11</v>
      </c>
      <c r="Q339" s="1711">
        <f>IF(AND(E339&gt;=O339,E339&lt;=P339),TRUE,FALSE)</f>
        <v/>
      </c>
      <c r="R339" s="1735" t="n">
        <v>11</v>
      </c>
      <c r="S339" s="1736" t="n">
        <v>11</v>
      </c>
      <c r="T339" s="1711">
        <f>IF(AND(E339&gt;=R339,E339&lt;=S339),TRUE,FALSE)</f>
        <v/>
      </c>
      <c r="U339" s="978" t="n"/>
      <c r="V339" s="1487" t="inlineStr">
        <is>
          <t>ou</t>
        </is>
      </c>
      <c r="W339" s="1506" t="n">
        <v>11</v>
      </c>
      <c r="X339" s="1507" t="n"/>
      <c r="Y339" s="1508" t="n">
        <v>11</v>
      </c>
      <c r="Z339" s="1507" t="n"/>
      <c r="AA339" s="1502" t="n">
        <v>11</v>
      </c>
      <c r="AC339" s="1013" t="n"/>
      <c r="AD339" s="1014" t="n"/>
      <c r="AE339" s="1013" t="n"/>
      <c r="AF339" s="1014" t="n"/>
      <c r="AG339" s="1013" t="n"/>
      <c r="AH339" s="1014" t="n"/>
      <c r="AJ339" s="10" t="n"/>
      <c r="AK339" s="10" t="n"/>
      <c r="AL339" s="10" t="n"/>
      <c r="AR339" s="849" t="n"/>
      <c r="AS339" s="111" t="n"/>
      <c r="AT339" s="487" t="n"/>
      <c r="AU339" s="114" t="n"/>
      <c r="AV339" s="491" t="n"/>
      <c r="AW339" s="114" t="n"/>
      <c r="AX339" s="492" t="n"/>
      <c r="AY339" s="488" t="n"/>
    </row>
    <row r="340" ht="32" customHeight="1">
      <c r="B340" s="825" t="inlineStr">
        <is>
          <t>Max PFA</t>
        </is>
      </c>
      <c r="C340" s="826">
        <f>_xlfn.XLOOKUP(G340,G338:G339,C338:C339)</f>
        <v/>
      </c>
      <c r="D340" s="827">
        <f>_xlfn.XLOOKUP(G340,G338:G339,D338:D339)</f>
        <v/>
      </c>
      <c r="E340" s="828" t="n"/>
      <c r="F340" s="828" t="n"/>
      <c r="G340" s="828">
        <f>IF(AND(J338=TRUE,J339=FALSE),G338,IF(AND(J338=FALSE,J339=TRUE),G339,MAX(G338,G339)))</f>
        <v/>
      </c>
      <c r="H340" s="1712" t="n"/>
      <c r="I340" s="829" t="n"/>
      <c r="J340" s="830">
        <f>IF(AND(J338=FALSE,J339=FALSE),FALSE,TRUE)</f>
        <v/>
      </c>
      <c r="K340" s="46" t="n"/>
      <c r="L340" s="46" t="n"/>
      <c r="M340" s="46" t="n"/>
      <c r="N340" s="1711" t="n"/>
      <c r="O340" s="1712" t="n"/>
      <c r="P340" s="829" t="n"/>
      <c r="Q340" s="1725">
        <f>IF(AND(Q338=FALSE,Q339=FALSE),FALSE,TRUE)</f>
        <v/>
      </c>
      <c r="R340" s="1712" t="n"/>
      <c r="S340" s="829" t="n"/>
      <c r="T340" s="1725">
        <f>IF(AND(T338=FALSE,T339=FALSE),FALSE,TRUE)</f>
        <v/>
      </c>
      <c r="U340" s="978" t="n"/>
      <c r="V340" s="978" t="inlineStr">
        <is>
          <t>ou</t>
        </is>
      </c>
      <c r="W340" s="1473" t="n"/>
      <c r="X340" s="2002" t="n"/>
      <c r="Y340" s="1478" t="n"/>
      <c r="Z340" s="2002" t="n"/>
      <c r="AA340" s="1481" t="n"/>
      <c r="AC340" s="1013" t="n"/>
      <c r="AD340" s="1014" t="n"/>
      <c r="AE340" s="1013" t="n"/>
      <c r="AF340" s="1014" t="n"/>
      <c r="AG340" s="1013" t="n"/>
      <c r="AH340" s="1014" t="n"/>
      <c r="AJ340" s="10" t="n"/>
      <c r="AK340" s="10" t="n"/>
      <c r="AL340" s="10" t="n"/>
      <c r="AR340" s="849" t="n"/>
      <c r="AS340" s="111" t="n"/>
      <c r="AT340" s="487" t="n"/>
      <c r="AU340" s="114" t="n"/>
      <c r="AV340" s="491" t="n"/>
      <c r="AW340" s="114" t="n"/>
      <c r="AX340" s="492" t="n"/>
      <c r="AY340" s="488" t="n"/>
    </row>
    <row r="341" ht="32" customHeight="1">
      <c r="B341" s="53" t="inlineStr">
        <is>
          <t>NC</t>
        </is>
      </c>
      <c r="C341" s="2066" t="n"/>
      <c r="D341" s="102" t="n"/>
      <c r="E341" s="823" t="n"/>
      <c r="F341" s="822" t="n"/>
      <c r="G341" s="823" t="n"/>
      <c r="H341" s="1735" t="n">
        <v>11</v>
      </c>
      <c r="I341" s="1736" t="n">
        <v>11</v>
      </c>
      <c r="J341" s="46">
        <f>IF(AND(E341&gt;=H341,E341&lt;=I341),TRUE,FALSE)</f>
        <v/>
      </c>
      <c r="K341" s="46" t="n"/>
      <c r="L341" s="46" t="n"/>
      <c r="M341" s="46" t="n"/>
      <c r="N341" s="1711" t="n"/>
      <c r="O341" s="1735" t="n">
        <v>11</v>
      </c>
      <c r="P341" s="1736" t="n">
        <v>11</v>
      </c>
      <c r="Q341" s="1711">
        <f>IF(AND(E341&gt;=O341,E341&lt;=P341),TRUE,FALSE)</f>
        <v/>
      </c>
      <c r="R341" s="1735" t="n">
        <v>11</v>
      </c>
      <c r="S341" s="1736" t="n">
        <v>11</v>
      </c>
      <c r="T341" s="1711">
        <f>IF(AND(E341&gt;=R341,E341&lt;=S341),TRUE,FALSE)</f>
        <v/>
      </c>
      <c r="U341" s="978" t="n"/>
      <c r="V341" s="1484" t="n"/>
      <c r="W341" s="1503" t="n">
        <v>11</v>
      </c>
      <c r="X341" s="1504" t="n"/>
      <c r="Y341" s="1505" t="n">
        <v>11</v>
      </c>
      <c r="Z341" s="1504" t="n"/>
      <c r="AA341" s="1497" t="n">
        <v>11</v>
      </c>
      <c r="AC341" s="1013" t="n"/>
      <c r="AD341" s="1014" t="n"/>
      <c r="AE341" s="1013" t="n"/>
      <c r="AF341" s="1014" t="n"/>
      <c r="AG341" s="1013" t="n"/>
      <c r="AH341" s="1014" t="n"/>
      <c r="AJ341" s="10" t="n"/>
      <c r="AK341" s="10" t="n"/>
      <c r="AL341" s="10" t="n"/>
      <c r="AR341" s="849" t="n"/>
      <c r="AS341" s="111" t="n"/>
      <c r="AT341" s="487" t="n"/>
      <c r="AU341" s="114" t="n"/>
      <c r="AV341" s="491" t="n"/>
      <c r="AW341" s="114" t="n"/>
      <c r="AX341" s="492" t="n"/>
      <c r="AY341" s="488" t="n"/>
    </row>
    <row r="342" ht="32" customHeight="1">
      <c r="B342" s="53" t="inlineStr">
        <is>
          <t>NC</t>
        </is>
      </c>
      <c r="C342" s="2066" t="n"/>
      <c r="D342" s="63" t="n"/>
      <c r="E342" s="36" t="n"/>
      <c r="F342" s="36" t="n"/>
      <c r="G342" s="36" t="n"/>
      <c r="H342" s="1735" t="n">
        <v>11</v>
      </c>
      <c r="I342" s="1736" t="n">
        <v>11</v>
      </c>
      <c r="J342" s="46">
        <f>IF(AND(E342&gt;=H342,E342&lt;=I342),TRUE,FALSE)</f>
        <v/>
      </c>
      <c r="K342" s="46" t="n"/>
      <c r="L342" s="46" t="n"/>
      <c r="M342" s="46" t="n"/>
      <c r="N342" s="1711" t="n"/>
      <c r="O342" s="1735" t="n">
        <v>11</v>
      </c>
      <c r="P342" s="1736" t="n">
        <v>11</v>
      </c>
      <c r="Q342" s="1711">
        <f>IF(AND(E342&gt;=O342,E342&lt;=P342),TRUE,FALSE)</f>
        <v/>
      </c>
      <c r="R342" s="1735" t="n">
        <v>11</v>
      </c>
      <c r="S342" s="1736" t="n">
        <v>11</v>
      </c>
      <c r="T342" s="1711">
        <f>IF(AND(E342&gt;=R342,E342&lt;=S342),TRUE,FALSE)</f>
        <v/>
      </c>
      <c r="U342" s="978" t="n"/>
      <c r="V342" s="1487" t="inlineStr">
        <is>
          <t>ou</t>
        </is>
      </c>
      <c r="W342" s="1506" t="n">
        <v>11</v>
      </c>
      <c r="X342" s="1507" t="n"/>
      <c r="Y342" s="1508" t="n">
        <v>11</v>
      </c>
      <c r="Z342" s="1507" t="n"/>
      <c r="AA342" s="1502" t="n">
        <v>11</v>
      </c>
      <c r="AC342" s="1013" t="n"/>
      <c r="AD342" s="1014" t="n"/>
      <c r="AE342" s="1013" t="n"/>
      <c r="AF342" s="1014" t="n"/>
      <c r="AG342" s="1013" t="n"/>
      <c r="AH342" s="1014" t="n"/>
      <c r="AJ342" s="10" t="n"/>
      <c r="AK342" s="10" t="n"/>
      <c r="AL342" s="10" t="n"/>
      <c r="AQ342" s="7" t="n"/>
      <c r="AR342" s="849" t="n"/>
      <c r="AS342" s="111" t="n"/>
      <c r="AT342" s="487" t="n"/>
      <c r="AU342" s="114" t="n"/>
      <c r="AV342" s="491" t="n"/>
      <c r="AW342" s="114" t="n"/>
      <c r="AX342" s="492" t="n"/>
      <c r="AY342" s="488" t="n"/>
    </row>
    <row r="343" ht="32" customHeight="1" thickBot="1">
      <c r="B343" s="831" t="inlineStr">
        <is>
          <t>Max NC</t>
        </is>
      </c>
      <c r="C343" s="832">
        <f>_xlfn.XLOOKUP(G343,G341:G342,C341:C342)</f>
        <v/>
      </c>
      <c r="D343" s="833">
        <f>_xlfn.XLOOKUP(G343,G341:G342,D341:D342)</f>
        <v/>
      </c>
      <c r="E343" s="834" t="n"/>
      <c r="F343" s="834" t="n"/>
      <c r="G343" s="834">
        <f>IF(AND(J341=TRUE,J342=FALSE),G341,IF(AND(J341=FALSE,J342=TRUE),G342,MAX(G341,G342)))</f>
        <v/>
      </c>
      <c r="H343" s="1713" t="n"/>
      <c r="I343" s="835" t="n"/>
      <c r="J343" s="836">
        <f>IF(AND(J341=FALSE,J342=FALSE),FALSE,TRUE)</f>
        <v/>
      </c>
      <c r="K343" s="46" t="n"/>
      <c r="L343" s="46" t="n"/>
      <c r="M343" s="46" t="n"/>
      <c r="N343" s="1711" t="n"/>
      <c r="O343" s="1713" t="n"/>
      <c r="P343" s="835" t="n"/>
      <c r="Q343" s="1726">
        <f>IF(AND(Q341=FALSE,Q342=FALSE),FALSE,TRUE)</f>
        <v/>
      </c>
      <c r="R343" s="1713" t="n"/>
      <c r="S343" s="835" t="n"/>
      <c r="T343" s="1726">
        <f>IF(AND(T341=FALSE,T342=FALSE),FALSE,TRUE)</f>
        <v/>
      </c>
      <c r="U343" s="978" t="n"/>
      <c r="V343" s="978" t="n"/>
      <c r="W343" s="1473" t="n"/>
      <c r="X343" s="2002" t="n"/>
      <c r="Y343" s="1478" t="n"/>
      <c r="Z343" s="2002" t="n"/>
      <c r="AA343" s="1481" t="n"/>
      <c r="AC343" s="1013" t="n"/>
      <c r="AD343" s="1014" t="n"/>
      <c r="AE343" s="1013" t="n"/>
      <c r="AF343" s="1014" t="n"/>
      <c r="AG343" s="1013" t="n"/>
      <c r="AH343" s="1014" t="n"/>
      <c r="AJ343" s="10" t="n"/>
      <c r="AK343" s="10" t="n"/>
      <c r="AL343" s="10" t="n"/>
      <c r="AQ343" s="7" t="n"/>
      <c r="AR343" s="849" t="n"/>
      <c r="AS343" s="111" t="n"/>
      <c r="AT343" s="487" t="n"/>
      <c r="AU343" s="114" t="n"/>
      <c r="AV343" s="491" t="n"/>
      <c r="AW343" s="114" t="n"/>
      <c r="AX343" s="492" t="n"/>
      <c r="AY343" s="488" t="n"/>
    </row>
    <row r="344" ht="32" customHeight="1" thickBot="1">
      <c r="B344" s="837" t="inlineStr">
        <is>
          <t>Max PFA &amp; NC</t>
        </is>
      </c>
      <c r="C344" s="838" t="n"/>
      <c r="D344" s="838">
        <f>IF(G344=G340,D340,D343)</f>
        <v/>
      </c>
      <c r="E344" s="839" t="n"/>
      <c r="F344" s="839" t="n"/>
      <c r="G344" s="839">
        <f>IF(AND(J340=TRUE,J343=FALSE),G340,IF(AND(J340=FALSE,J343=TRUE),G343,IF(AND(J340=TRUE,J343=TRUE),G340+G343,MAX(G340,G343))))</f>
        <v/>
      </c>
      <c r="H344" s="1714" t="n"/>
      <c r="I344" s="840" t="n"/>
      <c r="J344" s="841">
        <f>IF(AND(J340=FALSE,J343=FALSE),FALSE,TRUE)</f>
        <v/>
      </c>
      <c r="K344" s="1698" t="n"/>
      <c r="L344" s="1698" t="n"/>
      <c r="M344" s="1698" t="n"/>
      <c r="N344" s="1715" t="n"/>
      <c r="O344" s="1714" t="n"/>
      <c r="P344" s="840" t="n"/>
      <c r="Q344" s="841">
        <f>IF(AND(Q340=FALSE,Q343=FALSE),FALSE,TRUE)</f>
        <v/>
      </c>
      <c r="R344" s="1714" t="n"/>
      <c r="S344" s="840" t="n"/>
      <c r="T344" s="841">
        <f>IF(AND(T340=FALSE,T343=FALSE),FALSE,TRUE)</f>
        <v/>
      </c>
      <c r="U344" s="978" t="n"/>
      <c r="V344" s="978" t="inlineStr">
        <is>
          <t>et</t>
        </is>
      </c>
      <c r="W344" s="1473" t="n"/>
      <c r="X344" s="2002" t="n"/>
      <c r="Y344" s="1478" t="n"/>
      <c r="Z344" s="2002" t="n"/>
      <c r="AA344" s="1481" t="n"/>
      <c r="AC344" s="1013">
        <f>IF(J344=TRUE,"V","F")</f>
        <v/>
      </c>
      <c r="AD344" s="1014" t="n"/>
      <c r="AE344" s="1013">
        <f>IF(Q344=TRUE,"V","F")</f>
        <v/>
      </c>
      <c r="AF344" s="1014" t="n"/>
      <c r="AG344" s="1013">
        <f>IF(T344=TRUE,"V","F")</f>
        <v/>
      </c>
      <c r="AH344" s="1014" t="n"/>
      <c r="AI344">
        <f>IF(OR(AC344="V",AE344="V"),IF(G343&gt;G340,"Le NC contribue plus que le coparent","Le coparent joue un plus grand rôle que le NC"),"pas de contexte significatif de la part du coparent et NC")</f>
        <v/>
      </c>
      <c r="AJ344" s="10" t="n"/>
      <c r="AK344" s="10" t="n"/>
      <c r="AL344" s="10" t="n"/>
      <c r="AQ344" s="7" t="n"/>
      <c r="AR344" s="849" t="n"/>
      <c r="AS344" s="111" t="n"/>
      <c r="AT344" s="487" t="n"/>
      <c r="AU344" s="114" t="n"/>
      <c r="AV344" s="491" t="n"/>
      <c r="AW344" s="114" t="n"/>
      <c r="AX344" s="492" t="n"/>
      <c r="AY344" s="488" t="n"/>
    </row>
    <row r="345" ht="40" customHeight="1">
      <c r="B345" s="316">
        <f>'Action-Réaction finale'!O54</f>
        <v/>
      </c>
      <c r="C345" s="2066">
        <f>Test_Bible!B325</f>
        <v/>
      </c>
      <c r="D345" s="102" t="inlineStr">
        <is>
          <t>refuse les contacts avec la famille élargie</t>
        </is>
      </c>
      <c r="E345" s="823">
        <f>Test_Bible!P325</f>
        <v/>
      </c>
      <c r="F345" s="823">
        <f>Test_Bible!E325</f>
        <v/>
      </c>
      <c r="G345" s="823">
        <f>Test_Bible!Q325</f>
        <v/>
      </c>
      <c r="H345" s="1710" t="n">
        <v>4</v>
      </c>
      <c r="I345" s="1703">
        <f>$I$18</f>
        <v/>
      </c>
      <c r="J345" s="46">
        <f>IF(AND(E345&gt;=H345,E345&lt;=I345),TRUE,FALSE)</f>
        <v/>
      </c>
      <c r="K345" s="46" t="n"/>
      <c r="L345" s="46" t="n"/>
      <c r="M345" s="46" t="n"/>
      <c r="N345" s="1711" t="n"/>
      <c r="O345" s="1710" t="n">
        <v>2</v>
      </c>
      <c r="P345" s="1703" t="n">
        <v>4</v>
      </c>
      <c r="Q345" s="1711">
        <f>IF(AND(E345&gt;=O345,E345&lt;=P345),TRUE,FALSE)</f>
        <v/>
      </c>
      <c r="R345" s="1710" t="n"/>
      <c r="S345" s="1703" t="n"/>
      <c r="T345" s="1711" t="n"/>
      <c r="U345" s="978" t="n"/>
      <c r="V345" s="1484" t="n"/>
      <c r="W345" s="1485" t="n">
        <v>4</v>
      </c>
      <c r="X345" s="2029" t="n"/>
      <c r="Y345" s="1489" t="n">
        <v>2</v>
      </c>
      <c r="Z345" s="2029" t="n"/>
      <c r="AA345" s="1497" t="n">
        <v>11</v>
      </c>
      <c r="AC345" s="1013" t="inlineStr">
        <is>
          <t> </t>
        </is>
      </c>
      <c r="AD345" s="1014" t="n"/>
      <c r="AE345" s="1013" t="n"/>
      <c r="AF345" s="1014" t="n"/>
      <c r="AG345" s="1013" t="n"/>
      <c r="AH345" s="1014" t="n"/>
      <c r="AJ345" s="10" t="n"/>
      <c r="AK345" s="10" t="n"/>
      <c r="AL345" s="10" t="n"/>
      <c r="AQ345" s="7" t="n"/>
      <c r="AR345" s="849" t="n"/>
      <c r="AS345" s="111" t="n"/>
      <c r="AT345" s="487" t="n"/>
      <c r="AU345" s="114" t="n"/>
      <c r="AV345" s="491" t="n"/>
      <c r="AW345" s="114" t="n"/>
      <c r="AX345" s="492" t="n"/>
      <c r="AY345" s="488" t="n"/>
    </row>
    <row r="346" ht="32" customHeight="1" thickBot="1">
      <c r="B346" s="316" t="inlineStr">
        <is>
          <t>Enf</t>
        </is>
      </c>
      <c r="C346" s="2066" t="n"/>
      <c r="D346" s="102" t="n"/>
      <c r="E346" s="823" t="n"/>
      <c r="F346" s="822" t="n"/>
      <c r="G346" s="823" t="n"/>
      <c r="H346" s="1735" t="n">
        <v>11</v>
      </c>
      <c r="I346" s="1736" t="n">
        <v>11</v>
      </c>
      <c r="J346" s="46">
        <f>IF(AND(E346&gt;=H346,E346&lt;=I346),TRUE,FALSE)</f>
        <v/>
      </c>
      <c r="K346" s="46" t="n"/>
      <c r="L346" s="46" t="n"/>
      <c r="M346" s="46" t="n"/>
      <c r="N346" s="1711" t="n"/>
      <c r="O346" s="1735" t="n">
        <v>11</v>
      </c>
      <c r="P346" s="1736" t="n">
        <v>11</v>
      </c>
      <c r="Q346" s="1711">
        <f>IF(AND(E346&gt;=O346,E346&lt;=P346),TRUE,FALSE)</f>
        <v/>
      </c>
      <c r="R346" s="1735" t="n"/>
      <c r="S346" s="1736" t="n"/>
      <c r="T346" s="1711" t="n"/>
      <c r="U346" s="978" t="n"/>
      <c r="V346" s="1487" t="inlineStr">
        <is>
          <t>ou</t>
        </is>
      </c>
      <c r="W346" s="1506" t="n">
        <v>11</v>
      </c>
      <c r="X346" s="1507" t="n"/>
      <c r="Y346" s="1508" t="n">
        <v>11</v>
      </c>
      <c r="Z346" s="1507" t="n"/>
      <c r="AA346" s="1502" t="n">
        <v>11</v>
      </c>
      <c r="AC346" s="1013" t="n"/>
      <c r="AD346" s="1014" t="n"/>
      <c r="AE346" s="1013" t="n"/>
      <c r="AF346" s="1014" t="n"/>
      <c r="AG346" s="1013" t="n"/>
      <c r="AH346" s="1014" t="n"/>
      <c r="AJ346" s="10" t="n"/>
      <c r="AK346" s="10" t="n"/>
      <c r="AL346" s="10" t="n"/>
      <c r="AQ346" s="7" t="n"/>
      <c r="AR346" s="849" t="n"/>
      <c r="AS346" s="111" t="n"/>
      <c r="AT346" s="487" t="n"/>
      <c r="AU346" s="114" t="n"/>
      <c r="AV346" s="491" t="n"/>
      <c r="AW346" s="114" t="n"/>
      <c r="AX346" s="492" t="n"/>
      <c r="AY346" s="488" t="n"/>
    </row>
    <row r="347" ht="32" customHeight="1" thickBot="1">
      <c r="B347" s="842" t="inlineStr">
        <is>
          <t>Max Enf</t>
        </is>
      </c>
      <c r="C347" s="843">
        <f>_xlfn.XLOOKUP(G347,G345:G346,C345:C346)</f>
        <v/>
      </c>
      <c r="D347" s="843">
        <f>_xlfn.XLOOKUP(G347,G345:G346,D345:D346)</f>
        <v/>
      </c>
      <c r="E347" s="844" t="n"/>
      <c r="F347" s="844" t="n"/>
      <c r="G347" s="844">
        <f>IF(AND(J345=TRUE,J346=FALSE),G345,IF(AND(J345=FALSE,J346=TRUE),G346,MAX(G345,G346)))</f>
        <v/>
      </c>
      <c r="H347" s="1716" t="n"/>
      <c r="I347" s="845" t="n"/>
      <c r="J347" s="846">
        <f>IF(AND(J345=FALSE,J346=FALSE),FALSE,TRUE)</f>
        <v/>
      </c>
      <c r="K347" s="1699" t="n"/>
      <c r="L347" s="1699" t="n"/>
      <c r="M347" s="1699" t="n"/>
      <c r="N347" s="1717" t="n"/>
      <c r="O347" s="1716" t="n"/>
      <c r="P347" s="845" t="n"/>
      <c r="Q347" s="846">
        <f>IF(AND(Q345=FALSE,Q346=FALSE),FALSE,TRUE)</f>
        <v/>
      </c>
      <c r="R347" s="1716" t="n"/>
      <c r="S347" s="845" t="n"/>
      <c r="T347" s="846" t="n"/>
      <c r="U347" s="978" t="n"/>
      <c r="V347" s="978" t="n"/>
      <c r="W347" s="1475" t="n"/>
      <c r="Y347" s="1479" t="n"/>
      <c r="AA347" s="1483" t="n"/>
      <c r="AC347" s="1013">
        <f>IF(J347=TRUE,"V","F")</f>
        <v/>
      </c>
      <c r="AD347" s="1014" t="n"/>
      <c r="AE347" s="1013">
        <f>IF(Q347=TRUE,"V","F")</f>
        <v/>
      </c>
      <c r="AF347" s="1014" t="n"/>
      <c r="AG347" s="1013" t="n"/>
      <c r="AH347" s="1014" t="n"/>
      <c r="AJ347" s="10" t="n"/>
      <c r="AK347" s="10" t="n"/>
      <c r="AL347" s="10" t="n"/>
      <c r="AR347" s="849" t="n"/>
      <c r="AS347" s="111" t="n"/>
      <c r="AT347" s="487" t="n"/>
      <c r="AU347" s="114" t="n"/>
      <c r="AV347" s="491" t="n"/>
      <c r="AW347" s="114" t="n"/>
      <c r="AX347" s="492" t="n"/>
      <c r="AY347" s="488" t="n"/>
    </row>
    <row r="348" ht="32" customHeight="1">
      <c r="C348" s="428" t="inlineStr">
        <is>
          <t>COMPARATIF Comportement PFA-Enf</t>
        </is>
      </c>
      <c r="D348" s="2058" t="n"/>
      <c r="E348" s="484" t="inlineStr">
        <is>
          <t>Valeur =&gt;</t>
        </is>
      </c>
      <c r="F348" s="48" t="n"/>
      <c r="G348" s="48">
        <f>G340+G343+G347</f>
        <v/>
      </c>
      <c r="H348" s="1718" t="n"/>
      <c r="I348" s="485" t="n"/>
      <c r="J348" s="1701" t="n"/>
      <c r="K348" s="1702">
        <f>IF(AND(J347=TRUE,J344=TRUE),D347,"")</f>
        <v/>
      </c>
      <c r="L348" s="1702">
        <f>IF(AND(J344=TRUE,J347=FALSE),"Bien que le parent "&amp;D344&amp;" l'enfant ne semble pas s'ingérer","")</f>
        <v/>
      </c>
      <c r="M348" s="1702">
        <f>IF(AND(J344=FALSE,J347=TRUE),D347&amp;" sans signe de la participation du parent favorisé et|ou nouveau conjoint.e","")</f>
        <v/>
      </c>
      <c r="N348" s="1719">
        <f>IF(AND(J344=FALSE,J347=FALSE),"aucun comportement significatif de cette nature","")</f>
        <v/>
      </c>
      <c r="O348" s="1718" t="n"/>
      <c r="P348" s="485" t="n"/>
      <c r="Q348" s="1727" t="n"/>
      <c r="R348" s="1718" t="n"/>
      <c r="S348" s="485" t="n"/>
      <c r="T348" s="1727" t="n"/>
      <c r="U348" s="980" t="n"/>
      <c r="V348" s="980" t="n"/>
      <c r="W348" s="1475" t="n"/>
      <c r="Y348" s="1479" t="n"/>
      <c r="AA348" s="1483" t="n"/>
      <c r="AC348" s="1015" t="n"/>
      <c r="AD348" s="1016">
        <f>IF(AND(AC344="V",AC347="V"),2,IF(OR(AC344="V",AC347="V"),1,0))</f>
        <v/>
      </c>
      <c r="AE348" s="1015" t="n"/>
      <c r="AF348" s="1016">
        <f>IF(OR(AE344="V",AE347="V"),1,0)</f>
        <v/>
      </c>
      <c r="AG348" s="1015" t="n"/>
      <c r="AH348" s="1016" t="n"/>
      <c r="AJ348" s="10" t="n"/>
      <c r="AK348" s="10" t="n"/>
      <c r="AL348" s="10" t="n"/>
      <c r="AR348" s="849" t="n"/>
      <c r="AS348" s="111" t="n"/>
      <c r="AT348" s="487" t="n"/>
      <c r="AU348" s="114" t="n"/>
      <c r="AV348" s="491" t="n"/>
      <c r="AW348" s="114" t="n"/>
      <c r="AX348" s="492" t="n"/>
      <c r="AY348" s="488" t="n"/>
    </row>
    <row r="349" ht="32" customHeight="1">
      <c r="B349" t="inlineStr">
        <is>
          <t>PCR</t>
        </is>
      </c>
      <c r="H349" s="147" t="n"/>
      <c r="K349" s="1992" t="n"/>
      <c r="L349" s="1992" t="n"/>
      <c r="M349" s="1992" t="n"/>
      <c r="N349" s="1740" t="n"/>
      <c r="O349" s="147" t="n"/>
      <c r="Q349" s="330" t="n"/>
      <c r="R349" s="147" t="n"/>
      <c r="T349" s="330" t="n"/>
      <c r="U349" s="1992" t="n"/>
      <c r="AC349" s="1013" t="n"/>
      <c r="AD349" s="1014" t="n"/>
      <c r="AE349" s="1013" t="n"/>
      <c r="AF349" s="1014" t="n"/>
      <c r="AG349" s="1013" t="n"/>
      <c r="AH349" s="1014" t="n"/>
      <c r="AJ349" s="10" t="n"/>
      <c r="AK349" s="10" t="n"/>
      <c r="AL349" s="10" t="n"/>
      <c r="AR349" s="849" t="n"/>
      <c r="AS349" s="111" t="n"/>
      <c r="AT349" s="487" t="n"/>
      <c r="AU349" s="114" t="n"/>
      <c r="AV349" s="491" t="n"/>
      <c r="AW349" s="114" t="n"/>
      <c r="AX349" s="492" t="n"/>
      <c r="AY349" s="488" t="n"/>
    </row>
    <row r="350" ht="32" customHeight="1">
      <c r="B350" s="1017" t="n"/>
      <c r="C350" s="1025" t="n"/>
      <c r="D350" s="1018" t="n"/>
      <c r="E350" s="1026" t="n"/>
      <c r="F350" s="1026" t="n"/>
      <c r="G350" s="1026" t="n"/>
      <c r="H350" s="1735" t="n">
        <v>11</v>
      </c>
      <c r="I350" s="1736" t="n">
        <v>11</v>
      </c>
      <c r="J350" s="46">
        <f>IF(AND(E350&gt;=H350,E350&lt;=I350),TRUE,FALSE)</f>
        <v/>
      </c>
      <c r="K350" s="33" t="n"/>
      <c r="L350" s="33" t="n"/>
      <c r="M350" s="33" t="n"/>
      <c r="N350" s="1720" t="n"/>
      <c r="O350" s="1735" t="n">
        <v>11</v>
      </c>
      <c r="P350" s="1736" t="n">
        <v>11</v>
      </c>
      <c r="Q350" s="1711">
        <f>IF(AND(E350&gt;=O350,E350&lt;=P350),TRUE,FALSE)</f>
        <v/>
      </c>
      <c r="R350" s="1735" t="n">
        <v>11</v>
      </c>
      <c r="S350" s="1736" t="n">
        <v>11</v>
      </c>
      <c r="T350" s="1711">
        <f>IF(AND(E350&gt;=R350,E350&lt;=S350),TRUE,FALSE)</f>
        <v/>
      </c>
      <c r="U350" s="1992" t="n"/>
      <c r="V350" s="1509" t="n"/>
      <c r="W350" s="1503" t="n">
        <v>11</v>
      </c>
      <c r="X350" s="1504" t="n"/>
      <c r="Y350" s="1505" t="n">
        <v>11</v>
      </c>
      <c r="Z350" s="1504" t="n"/>
      <c r="AA350" s="1497" t="n">
        <v>11</v>
      </c>
      <c r="AC350" s="1013" t="n"/>
      <c r="AD350" s="1014" t="n"/>
      <c r="AE350" s="1013" t="n"/>
      <c r="AF350" s="1014" t="n"/>
      <c r="AG350" s="1013" t="n"/>
      <c r="AH350" s="1014" t="n"/>
      <c r="AJ350" s="10" t="n"/>
      <c r="AK350" s="10" t="n"/>
      <c r="AL350" s="10" t="n"/>
      <c r="AR350" s="849" t="n"/>
      <c r="AS350" s="111" t="n"/>
      <c r="AT350" s="487" t="n"/>
      <c r="AU350" s="114" t="n"/>
      <c r="AV350" s="491" t="n"/>
      <c r="AW350" s="114" t="n"/>
      <c r="AX350" s="492" t="n"/>
      <c r="AY350" s="488" t="n"/>
    </row>
    <row r="351" ht="32" customHeight="1" thickBot="1">
      <c r="B351" s="1017" t="n"/>
      <c r="C351" s="1025" t="n"/>
      <c r="D351" s="1018" t="n"/>
      <c r="E351" s="1026" t="n"/>
      <c r="F351" s="1026" t="n"/>
      <c r="G351" s="1026" t="n"/>
      <c r="H351" s="1735" t="n">
        <v>11</v>
      </c>
      <c r="I351" s="1736" t="n">
        <v>11</v>
      </c>
      <c r="J351" s="46">
        <f>IF(AND(E351&gt;=H351,E351&lt;=I351),TRUE,FALSE)</f>
        <v/>
      </c>
      <c r="K351" s="33" t="n"/>
      <c r="L351" s="33" t="n"/>
      <c r="M351" s="33" t="n"/>
      <c r="N351" s="1720" t="n"/>
      <c r="O351" s="1735" t="n">
        <v>11</v>
      </c>
      <c r="P351" s="1736" t="n">
        <v>11</v>
      </c>
      <c r="Q351" s="1711">
        <f>IF(AND(E351&gt;=O351,E351&lt;=P351),TRUE,FALSE)</f>
        <v/>
      </c>
      <c r="R351" s="1735" t="n">
        <v>11</v>
      </c>
      <c r="S351" s="1736" t="n">
        <v>11</v>
      </c>
      <c r="T351" s="1711">
        <f>IF(AND(E351&gt;=R351,E351&lt;=S351),TRUE,FALSE)</f>
        <v/>
      </c>
      <c r="V351" s="1510" t="n"/>
      <c r="W351" s="1506" t="n">
        <v>11</v>
      </c>
      <c r="X351" s="1507" t="n"/>
      <c r="Y351" s="1508" t="n">
        <v>11</v>
      </c>
      <c r="Z351" s="1507" t="n"/>
      <c r="AA351" s="1502" t="n">
        <v>11</v>
      </c>
      <c r="AC351" s="1013" t="n"/>
      <c r="AD351" s="1014" t="n"/>
      <c r="AE351" s="1013" t="n"/>
      <c r="AF351" s="1014" t="n"/>
      <c r="AG351" s="1013" t="n"/>
      <c r="AH351" s="1014" t="n"/>
      <c r="AJ351" s="10" t="n"/>
      <c r="AK351" s="10" t="n"/>
      <c r="AL351" s="10" t="n"/>
      <c r="AR351" s="849" t="n"/>
      <c r="AS351" s="111" t="n"/>
      <c r="AT351" s="487" t="n"/>
      <c r="AU351" s="114" t="n"/>
      <c r="AV351" s="491" t="n"/>
      <c r="AW351" s="114" t="n"/>
      <c r="AX351" s="492" t="n"/>
      <c r="AY351" s="488" t="n"/>
    </row>
    <row r="352" ht="32" customHeight="1" thickBot="1">
      <c r="B352" s="7" t="n"/>
      <c r="C352" s="2059" t="n"/>
      <c r="D352" s="2059" t="n"/>
      <c r="E352" s="90" t="n"/>
      <c r="F352" s="2073" t="n"/>
      <c r="G352" s="90" t="n"/>
      <c r="H352" s="1732" t="n"/>
      <c r="I352" s="1733" t="n"/>
      <c r="J352" s="1739">
        <f>IF(AND(J350=FALSE,J351=FALSE),FALSE,TRUE)</f>
        <v/>
      </c>
      <c r="K352" s="1721" t="n"/>
      <c r="L352" s="1722" t="n"/>
      <c r="M352" s="1722" t="n"/>
      <c r="N352" s="1723" t="n"/>
      <c r="O352" s="1732" t="n"/>
      <c r="P352" s="1733" t="n"/>
      <c r="Q352" s="1739">
        <f>IF(AND(Q350=FALSE,Q351=FALSE),FALSE,TRUE)</f>
        <v/>
      </c>
      <c r="R352" s="1744" t="n"/>
      <c r="S352" s="1745" t="n"/>
      <c r="T352" s="1746">
        <f>IF(AND(T350=FALSE,T351=FALSE),FALSE,TRUE)</f>
        <v/>
      </c>
      <c r="AC352" s="1650">
        <f>IF(J352=TRUE,"V","F")</f>
        <v/>
      </c>
      <c r="AD352" s="1651" t="n"/>
      <c r="AE352" s="1650">
        <f>IF(Q352=TRUE,"V","F")</f>
        <v/>
      </c>
      <c r="AF352" s="1651" t="n"/>
      <c r="AG352" s="1650">
        <f>IF(T352=TRUE,"V","F")</f>
        <v/>
      </c>
      <c r="AH352" s="1651" t="n"/>
      <c r="AJ352" s="10" t="n"/>
      <c r="AK352" s="10" t="n"/>
      <c r="AL352" s="10" t="n"/>
      <c r="AR352" s="849" t="n"/>
      <c r="AS352" s="111" t="n"/>
      <c r="AT352" s="487" t="n"/>
      <c r="AU352" s="114" t="n"/>
      <c r="AV352" s="491" t="n"/>
      <c r="AW352" s="114" t="n"/>
      <c r="AX352" s="492" t="n"/>
      <c r="AY352" s="488" t="n"/>
    </row>
    <row r="353" ht="32" customHeight="1" thickBot="1">
      <c r="C353" s="2073" t="n"/>
      <c r="D353" s="2073" t="n"/>
      <c r="E353" s="90" t="n"/>
      <c r="F353" s="483" t="n"/>
      <c r="G353" s="483" t="n"/>
      <c r="H353" s="2002" t="n"/>
      <c r="I353" s="2002" t="n"/>
      <c r="J353" s="979" t="n"/>
      <c r="K353" s="980" t="n"/>
      <c r="L353" s="980" t="n"/>
      <c r="M353" s="980" t="n"/>
      <c r="N353" s="980" t="n"/>
      <c r="O353" s="980" t="n"/>
      <c r="P353" s="980" t="n"/>
      <c r="Q353" s="980" t="n"/>
      <c r="R353" s="980" t="n"/>
      <c r="S353" s="980" t="n"/>
      <c r="T353" s="980" t="n"/>
      <c r="U353" s="980" t="n"/>
      <c r="V353" s="980" t="n"/>
      <c r="AC353" s="1737" t="n"/>
      <c r="AD353" s="1738">
        <f>IF(AND(AC352="V",AC344="V"),AD348-1,AD348)</f>
        <v/>
      </c>
      <c r="AE353" s="1737" t="n"/>
      <c r="AF353" s="1738">
        <f>IF(OR(AE344="V",AE347="V",AE352="V"),1,0)</f>
        <v/>
      </c>
      <c r="AG353" s="1737" t="n"/>
      <c r="AH353" s="1738">
        <f>IF(AG344="V",1,IF(AG352="V",1,0))</f>
        <v/>
      </c>
      <c r="AJ353" s="10" t="n">
        <v>1</v>
      </c>
      <c r="AK353" s="10" t="n">
        <v>1</v>
      </c>
      <c r="AL353" s="10" t="n">
        <v>1</v>
      </c>
      <c r="AR353" s="849" t="n"/>
      <c r="AS353" s="111" t="n"/>
      <c r="AT353" s="487" t="n"/>
      <c r="AU353" s="114" t="n"/>
      <c r="AV353" s="491" t="n"/>
      <c r="AW353" s="114" t="n"/>
      <c r="AX353" s="492" t="n"/>
      <c r="AY353" s="488" t="n"/>
    </row>
    <row r="354" ht="32" customHeight="1">
      <c r="C354" s="2073" t="n"/>
      <c r="D354" s="2073" t="n"/>
      <c r="E354" s="90" t="n"/>
      <c r="F354" s="483" t="n"/>
      <c r="G354" s="483" t="n"/>
      <c r="H354" s="1704" t="n"/>
      <c r="I354" s="1705" t="n"/>
      <c r="J354" s="1706" t="n"/>
      <c r="K354" s="2056" t="n"/>
      <c r="L354" s="709" t="n"/>
      <c r="M354" s="709" t="n"/>
      <c r="N354" s="1707" t="n"/>
      <c r="O354" s="1724" t="n"/>
      <c r="P354" s="1706" t="n"/>
      <c r="Q354" s="1707" t="n"/>
      <c r="R354" s="1724" t="n"/>
      <c r="S354" s="1706" t="n"/>
      <c r="T354" s="1707" t="n"/>
      <c r="U354" s="980" t="n"/>
      <c r="V354" s="980" t="n"/>
      <c r="W354" s="2002" t="n"/>
      <c r="X354" s="2002" t="n"/>
      <c r="Y354" s="2002" t="n"/>
      <c r="Z354" s="2002" t="n"/>
      <c r="AA354" s="2002" t="n"/>
      <c r="AC354" s="1756" t="n"/>
      <c r="AD354" s="1757" t="n"/>
      <c r="AE354" s="1490" t="n"/>
      <c r="AF354" s="1490" t="n"/>
      <c r="AG354" s="1490" t="n"/>
      <c r="AH354" s="1490" t="n"/>
      <c r="AJ354" s="10" t="n"/>
      <c r="AK354" s="10" t="n"/>
      <c r="AL354" s="10" t="n"/>
      <c r="AR354" s="849" t="n"/>
      <c r="AS354" s="111" t="n"/>
      <c r="AT354" s="487" t="n"/>
      <c r="AU354" s="114" t="n"/>
      <c r="AV354" s="491" t="n"/>
      <c r="AW354" s="114" t="n"/>
      <c r="AX354" s="492" t="n"/>
      <c r="AY354" s="488" t="n"/>
    </row>
    <row r="355" ht="32" customHeight="1">
      <c r="A355" s="853" t="n">
        <v>18</v>
      </c>
      <c r="C355" s="486">
        <f>'Action-Réaction finale'!F56</f>
        <v/>
      </c>
      <c r="D355" s="108" t="n"/>
      <c r="E355" s="66" t="n"/>
      <c r="F355" s="18" t="n"/>
      <c r="G355" s="18" t="n"/>
      <c r="H355" s="2052" t="inlineStr">
        <is>
          <t>AP</t>
        </is>
      </c>
      <c r="K355" s="2055" t="inlineStr">
        <is>
          <t>Dynamique d'AP</t>
        </is>
      </c>
      <c r="N355" s="330" t="n"/>
      <c r="O355" s="2122" t="inlineStr">
        <is>
          <t>CL</t>
        </is>
      </c>
      <c r="Q355" s="330" t="n"/>
      <c r="R355" s="2123" t="inlineStr">
        <is>
          <t>CSS</t>
        </is>
      </c>
      <c r="T355" s="330" t="n"/>
      <c r="U355" s="15" t="n"/>
      <c r="V355" s="15" t="n"/>
      <c r="AC355" s="1009" t="n"/>
      <c r="AD355" s="1009" t="n"/>
      <c r="AE355" s="1009" t="n"/>
      <c r="AF355" s="1009" t="n"/>
      <c r="AG355" s="1009" t="n"/>
      <c r="AH355" s="1010" t="n"/>
      <c r="AJ355" s="10" t="n"/>
      <c r="AK355" s="10" t="n"/>
      <c r="AL355" s="10" t="n"/>
      <c r="AR355" s="849" t="n"/>
      <c r="AS355" s="111" t="n"/>
      <c r="AT355" s="487" t="n"/>
      <c r="AU355" s="114" t="n"/>
      <c r="AV355" s="491" t="n"/>
      <c r="AW355" s="114" t="n"/>
      <c r="AX355" s="492" t="n"/>
      <c r="AY355" s="488" t="n"/>
    </row>
    <row r="356" ht="32" customHeight="1">
      <c r="C356" s="103" t="inlineStr">
        <is>
          <t>Questions et sous-questions</t>
        </is>
      </c>
      <c r="D356" s="1043" t="inlineStr">
        <is>
          <t>Texte écourté pour titrer dans les baromètres ou rapport</t>
        </is>
      </c>
      <c r="E356" s="33" t="inlineStr">
        <is>
          <t>Valeur de base
Fréquence (F)</t>
        </is>
      </c>
      <c r="F356" s="33" t="inlineStr">
        <is>
          <t>Valeur de base
intensité (I)</t>
        </is>
      </c>
      <c r="G356" s="33" t="inlineStr">
        <is>
          <t>F * I</t>
        </is>
      </c>
      <c r="H356" s="1708" t="inlineStr">
        <is>
          <t>Condition Fréq. 
&gt;= que</t>
        </is>
      </c>
      <c r="I356" s="44" t="inlineStr">
        <is>
          <t>Condition Fré
&lt;= que</t>
        </is>
      </c>
      <c r="J356" s="44" t="inlineStr">
        <is>
          <t>Condition respectée</t>
        </is>
      </c>
      <c r="K356" s="44" t="inlineStr">
        <is>
          <t>"VRAI" (PF&amp;NC) /  "VRAI" (Enf)</t>
        </is>
      </c>
      <c r="L356" s="44" t="inlineStr">
        <is>
          <t>Vrai (PF&amp;NC) /  Faux (Enf)</t>
        </is>
      </c>
      <c r="M356" s="44" t="inlineStr">
        <is>
          <t>Faux (PF&amp;NC) /  Vrai (Enf)</t>
        </is>
      </c>
      <c r="N356" s="1709" t="inlineStr">
        <is>
          <t>Faux (PF&amp;NC) /  Faux(Enf)</t>
        </is>
      </c>
      <c r="O356" s="1708" t="inlineStr">
        <is>
          <t>Condition Fréq. 
&gt;= que</t>
        </is>
      </c>
      <c r="P356" s="44" t="inlineStr">
        <is>
          <t>Condition Fré
&lt;= que</t>
        </is>
      </c>
      <c r="Q356" s="1709" t="inlineStr">
        <is>
          <t>Condition respectée</t>
        </is>
      </c>
      <c r="R356" s="1708" t="inlineStr">
        <is>
          <t>Condition Fréq. 
&gt;= que</t>
        </is>
      </c>
      <c r="S356" s="44" t="inlineStr">
        <is>
          <t>Condition Fré
&lt;= que</t>
        </is>
      </c>
      <c r="T356" s="1709" t="inlineStr">
        <is>
          <t>Condition respectée</t>
        </is>
      </c>
      <c r="U356" s="851" t="n"/>
      <c r="V356" s="1008" t="inlineStr">
        <is>
          <t>Condition</t>
        </is>
      </c>
      <c r="W356" s="1472" t="inlineStr">
        <is>
          <t>AP</t>
        </is>
      </c>
      <c r="X356" s="1008" t="inlineStr">
        <is>
          <t>Condition</t>
        </is>
      </c>
      <c r="Y356" s="1476" t="inlineStr">
        <is>
          <t>CL</t>
        </is>
      </c>
      <c r="Z356" s="1008" t="n"/>
      <c r="AA356" s="1480" t="inlineStr">
        <is>
          <t>CSS</t>
        </is>
      </c>
      <c r="AC356" s="1023" t="inlineStr">
        <is>
          <t>AP</t>
        </is>
      </c>
      <c r="AD356" s="1024" t="inlineStr">
        <is>
          <t>AP_F</t>
        </is>
      </c>
      <c r="AE356" s="1023" t="inlineStr">
        <is>
          <t>CL</t>
        </is>
      </c>
      <c r="AF356" s="1024" t="inlineStr">
        <is>
          <t>CL_F</t>
        </is>
      </c>
      <c r="AG356" s="1023" t="inlineStr">
        <is>
          <t>CSS</t>
        </is>
      </c>
      <c r="AH356" s="1024" t="inlineStr">
        <is>
          <t>CSS_F</t>
        </is>
      </c>
      <c r="AJ356" s="10" t="n"/>
      <c r="AK356" s="10" t="n"/>
      <c r="AL356" s="10" t="n"/>
      <c r="AR356" s="849" t="n"/>
      <c r="AS356" s="111" t="n"/>
      <c r="AT356" s="487" t="n"/>
      <c r="AU356" s="114" t="n"/>
      <c r="AV356" s="491" t="n"/>
      <c r="AW356" s="114" t="n"/>
      <c r="AX356" s="492" t="n"/>
      <c r="AY356" s="488" t="n"/>
    </row>
    <row r="357" ht="32" customHeight="1">
      <c r="B357" s="421">
        <f>'Action-Réaction finale'!G56</f>
        <v/>
      </c>
      <c r="C357" s="799">
        <f>Test_Bible!B241</f>
        <v/>
      </c>
      <c r="D357" s="102" t="inlineStr">
        <is>
          <t>se confie à l'enfant sur des sujets personnels</t>
        </is>
      </c>
      <c r="E357" s="823">
        <f>Test_Bible!P241</f>
        <v/>
      </c>
      <c r="F357" s="822">
        <f>Test_Bible!D241</f>
        <v/>
      </c>
      <c r="G357" s="823">
        <f>Test_Bible!Q241</f>
        <v/>
      </c>
      <c r="H357" s="1710" t="n">
        <v>7</v>
      </c>
      <c r="I357" s="1703" t="n">
        <v>10</v>
      </c>
      <c r="J357" s="46">
        <f>IF(AND(E357&gt;=H357,E357&lt;=I357),TRUE,FALSE)</f>
        <v/>
      </c>
      <c r="K357" s="46" t="n"/>
      <c r="L357" s="46" t="n"/>
      <c r="M357" s="46" t="n"/>
      <c r="N357" s="1711" t="n"/>
      <c r="O357" s="1710" t="n">
        <v>2</v>
      </c>
      <c r="P357" s="1703" t="n">
        <v>7</v>
      </c>
      <c r="Q357" s="1711">
        <f>IF(AND(E357&gt;=O357,E357&lt;=P357),TRUE,FALSE)</f>
        <v/>
      </c>
      <c r="R357" s="1735" t="n">
        <v>11</v>
      </c>
      <c r="S357" s="1736" t="n">
        <v>11</v>
      </c>
      <c r="T357" s="1711">
        <f>IF(AND(E357&gt;=R357,E357&lt;=S357),TRUE,FALSE)</f>
        <v/>
      </c>
      <c r="U357" s="978" t="n"/>
      <c r="V357" s="1484" t="n"/>
      <c r="W357" s="1485" t="n">
        <v>4</v>
      </c>
      <c r="X357" s="2029" t="n"/>
      <c r="Y357" s="1489" t="n">
        <v>2</v>
      </c>
      <c r="Z357" s="2029" t="n"/>
      <c r="AA357" s="1497" t="n">
        <v>11</v>
      </c>
      <c r="AC357" s="1011" t="n"/>
      <c r="AD357" s="1012" t="n"/>
      <c r="AE357" s="1011" t="n"/>
      <c r="AF357" s="1012" t="n"/>
      <c r="AG357" s="1011" t="n"/>
      <c r="AH357" s="1012" t="n"/>
      <c r="AJ357" s="10" t="n"/>
      <c r="AK357" s="10" t="n"/>
      <c r="AL357" s="10" t="n"/>
      <c r="AR357" s="849" t="n"/>
      <c r="AS357" s="111" t="n"/>
      <c r="AT357" s="487" t="n"/>
      <c r="AU357" s="114" t="n"/>
      <c r="AV357" s="491" t="n"/>
      <c r="AW357" s="114" t="n"/>
      <c r="AX357" s="492" t="n"/>
      <c r="AY357" s="488" t="n"/>
    </row>
    <row r="358" ht="32" customHeight="1">
      <c r="B358" s="421" t="inlineStr">
        <is>
          <t>PFA</t>
        </is>
      </c>
      <c r="C358" s="2066" t="n"/>
      <c r="D358" s="102" t="n"/>
      <c r="E358" s="823" t="n"/>
      <c r="F358" s="822" t="n"/>
      <c r="G358" s="823" t="n"/>
      <c r="H358" s="1735" t="n">
        <v>11</v>
      </c>
      <c r="I358" s="1736" t="n">
        <v>11</v>
      </c>
      <c r="J358" s="46">
        <f>IF(AND(E358&gt;=H358,E358&lt;=I358),TRUE,FALSE)</f>
        <v/>
      </c>
      <c r="K358" s="46" t="n"/>
      <c r="L358" s="46" t="n"/>
      <c r="M358" s="46" t="n"/>
      <c r="N358" s="1711" t="n"/>
      <c r="O358" s="1735" t="n">
        <v>11</v>
      </c>
      <c r="P358" s="1736" t="n">
        <v>11</v>
      </c>
      <c r="Q358" s="1711">
        <f>IF(AND(E358&gt;=O358,E358&lt;=P358),TRUE,FALSE)</f>
        <v/>
      </c>
      <c r="R358" s="1735" t="n">
        <v>11</v>
      </c>
      <c r="S358" s="1736" t="n">
        <v>11</v>
      </c>
      <c r="T358" s="1711">
        <f>IF(AND(E358&gt;=R358,E358&lt;=S358),TRUE,FALSE)</f>
        <v/>
      </c>
      <c r="U358" s="978" t="n"/>
      <c r="V358" s="1487" t="inlineStr">
        <is>
          <t>ou</t>
        </is>
      </c>
      <c r="W358" s="1506" t="n">
        <v>11</v>
      </c>
      <c r="X358" s="1507" t="n"/>
      <c r="Y358" s="1508" t="n">
        <v>11</v>
      </c>
      <c r="Z358" s="1507" t="n"/>
      <c r="AA358" s="1502" t="n">
        <v>11</v>
      </c>
      <c r="AC358" s="1013" t="n"/>
      <c r="AD358" s="1014" t="n"/>
      <c r="AE358" s="1013" t="n"/>
      <c r="AF358" s="1014" t="n"/>
      <c r="AG358" s="1013" t="n"/>
      <c r="AH358" s="1014" t="n"/>
      <c r="AJ358" s="10" t="n"/>
      <c r="AK358" s="10" t="n"/>
      <c r="AL358" s="10" t="n"/>
      <c r="AR358" s="849" t="n"/>
      <c r="AS358" s="111" t="n"/>
      <c r="AT358" s="487" t="n"/>
      <c r="AU358" s="114" t="n"/>
      <c r="AV358" s="491" t="n"/>
      <c r="AW358" s="114" t="n"/>
      <c r="AX358" s="492" t="n"/>
      <c r="AY358" s="488" t="n"/>
    </row>
    <row r="359" ht="32" customHeight="1">
      <c r="B359" s="825" t="inlineStr">
        <is>
          <t>Max PFA</t>
        </is>
      </c>
      <c r="C359" s="826">
        <f>_xlfn.XLOOKUP(G359,G357:G358,C357:C358)</f>
        <v/>
      </c>
      <c r="D359" s="827">
        <f>_xlfn.XLOOKUP(G359,G357:G358,D357:D358)</f>
        <v/>
      </c>
      <c r="E359" s="828" t="n"/>
      <c r="F359" s="828" t="n"/>
      <c r="G359" s="828">
        <f>IF(AND(J357=TRUE,J358=FALSE),G357,IF(AND(J357=FALSE,J358=TRUE),G358,MAX(G357,G358)))</f>
        <v/>
      </c>
      <c r="H359" s="1712" t="n"/>
      <c r="I359" s="829" t="n"/>
      <c r="J359" s="830">
        <f>IF(AND(J357=FALSE,J358=FALSE),FALSE,TRUE)</f>
        <v/>
      </c>
      <c r="K359" s="46" t="n"/>
      <c r="L359" s="46" t="n"/>
      <c r="M359" s="46" t="n"/>
      <c r="N359" s="1711" t="n"/>
      <c r="O359" s="1712" t="n"/>
      <c r="P359" s="829" t="n"/>
      <c r="Q359" s="1725">
        <f>IF(AND(Q357=FALSE,Q358=FALSE),FALSE,TRUE)</f>
        <v/>
      </c>
      <c r="R359" s="1712" t="n"/>
      <c r="S359" s="829" t="n"/>
      <c r="T359" s="1725">
        <f>IF(AND(T357=FALSE,T358=FALSE),FALSE,TRUE)</f>
        <v/>
      </c>
      <c r="U359" s="978" t="n"/>
      <c r="V359" s="978" t="inlineStr">
        <is>
          <t>ou</t>
        </is>
      </c>
      <c r="W359" s="1473" t="n"/>
      <c r="X359" s="2002" t="n"/>
      <c r="Y359" s="1478" t="n"/>
      <c r="Z359" s="2002" t="n"/>
      <c r="AA359" s="1481" t="n"/>
      <c r="AC359" s="1013" t="n"/>
      <c r="AD359" s="1014" t="n"/>
      <c r="AE359" s="1013" t="n"/>
      <c r="AF359" s="1014" t="n"/>
      <c r="AG359" s="1013" t="n"/>
      <c r="AH359" s="1014" t="n"/>
      <c r="AJ359" s="10" t="n"/>
      <c r="AK359" s="10" t="n"/>
      <c r="AL359" s="10" t="n"/>
      <c r="AR359" s="849" t="n"/>
      <c r="AS359" s="111" t="n"/>
      <c r="AT359" s="487" t="n"/>
      <c r="AU359" s="114" t="n"/>
      <c r="AV359" s="491" t="n"/>
      <c r="AW359" s="114" t="n"/>
      <c r="AX359" s="492" t="n"/>
      <c r="AY359" s="488" t="n"/>
    </row>
    <row r="360" ht="32" customHeight="1">
      <c r="B360" s="53" t="inlineStr">
        <is>
          <t>NC</t>
        </is>
      </c>
      <c r="C360" s="2066" t="n"/>
      <c r="D360" s="102" t="n"/>
      <c r="E360" s="823" t="n"/>
      <c r="F360" s="822" t="n"/>
      <c r="G360" s="823" t="n"/>
      <c r="H360" s="1735" t="n">
        <v>11</v>
      </c>
      <c r="I360" s="1736" t="n">
        <v>11</v>
      </c>
      <c r="J360" s="46">
        <f>IF(AND(E360&gt;=H360,E360&lt;=I360),TRUE,FALSE)</f>
        <v/>
      </c>
      <c r="K360" s="46" t="n"/>
      <c r="L360" s="46" t="n"/>
      <c r="M360" s="46" t="n"/>
      <c r="N360" s="1711" t="n"/>
      <c r="O360" s="1735" t="n">
        <v>11</v>
      </c>
      <c r="P360" s="1736" t="n">
        <v>11</v>
      </c>
      <c r="Q360" s="1711">
        <f>IF(AND(E360&gt;=O360,E360&lt;=P360),TRUE,FALSE)</f>
        <v/>
      </c>
      <c r="R360" s="1735" t="n">
        <v>11</v>
      </c>
      <c r="S360" s="1736" t="n">
        <v>11</v>
      </c>
      <c r="T360" s="1711">
        <f>IF(AND(E360&gt;=R360,E360&lt;=S360),TRUE,FALSE)</f>
        <v/>
      </c>
      <c r="U360" s="978" t="n"/>
      <c r="V360" s="1484" t="n"/>
      <c r="W360" s="1503" t="n">
        <v>11</v>
      </c>
      <c r="X360" s="1504" t="n"/>
      <c r="Y360" s="1505" t="n">
        <v>11</v>
      </c>
      <c r="Z360" s="1504" t="n"/>
      <c r="AA360" s="1497" t="n">
        <v>11</v>
      </c>
      <c r="AC360" s="1013" t="n"/>
      <c r="AD360" s="1014" t="n"/>
      <c r="AE360" s="1013" t="n"/>
      <c r="AF360" s="1014" t="n"/>
      <c r="AG360" s="1013" t="n"/>
      <c r="AH360" s="1014" t="n"/>
      <c r="AJ360" s="10" t="n"/>
      <c r="AK360" s="10" t="n"/>
      <c r="AL360" s="10" t="n"/>
      <c r="AR360" s="849" t="n"/>
      <c r="AS360" s="111" t="n"/>
      <c r="AT360" s="487" t="n"/>
      <c r="AU360" s="114" t="n"/>
      <c r="AV360" s="491" t="n"/>
      <c r="AW360" s="114" t="n"/>
      <c r="AX360" s="492" t="n"/>
      <c r="AY360" s="488" t="n"/>
    </row>
    <row r="361" ht="32" customHeight="1">
      <c r="B361" s="53" t="inlineStr">
        <is>
          <t>NC</t>
        </is>
      </c>
      <c r="C361" s="2066" t="n"/>
      <c r="D361" s="63" t="n"/>
      <c r="E361" s="36" t="n"/>
      <c r="F361" s="36" t="n"/>
      <c r="G361" s="36" t="n"/>
      <c r="H361" s="1735" t="n">
        <v>11</v>
      </c>
      <c r="I361" s="1736" t="n">
        <v>11</v>
      </c>
      <c r="J361" s="46">
        <f>IF(AND(E361&gt;=H361,E361&lt;=I361),TRUE,FALSE)</f>
        <v/>
      </c>
      <c r="K361" s="46" t="n"/>
      <c r="L361" s="46" t="n"/>
      <c r="M361" s="46" t="n"/>
      <c r="N361" s="1711" t="n"/>
      <c r="O361" s="1735" t="n">
        <v>11</v>
      </c>
      <c r="P361" s="1736" t="n">
        <v>11</v>
      </c>
      <c r="Q361" s="1711">
        <f>IF(AND(E361&gt;=O361,E361&lt;=P361),TRUE,FALSE)</f>
        <v/>
      </c>
      <c r="R361" s="1735" t="n">
        <v>11</v>
      </c>
      <c r="S361" s="1736" t="n">
        <v>11</v>
      </c>
      <c r="T361" s="1711">
        <f>IF(AND(E361&gt;=R361,E361&lt;=S361),TRUE,FALSE)</f>
        <v/>
      </c>
      <c r="U361" s="978" t="n"/>
      <c r="V361" s="1487" t="inlineStr">
        <is>
          <t>ou</t>
        </is>
      </c>
      <c r="W361" s="1506" t="n">
        <v>11</v>
      </c>
      <c r="X361" s="1507" t="n"/>
      <c r="Y361" s="1508" t="n">
        <v>11</v>
      </c>
      <c r="Z361" s="1507" t="n"/>
      <c r="AA361" s="1502" t="n">
        <v>11</v>
      </c>
      <c r="AC361" s="1013" t="n"/>
      <c r="AD361" s="1014" t="n"/>
      <c r="AE361" s="1013" t="n"/>
      <c r="AF361" s="1014" t="n"/>
      <c r="AG361" s="1013" t="n"/>
      <c r="AH361" s="1014" t="n"/>
      <c r="AJ361" s="10" t="n"/>
      <c r="AK361" s="10" t="n"/>
      <c r="AL361" s="10" t="n"/>
      <c r="AQ361" s="7" t="n"/>
      <c r="AR361" s="849" t="n"/>
      <c r="AS361" s="111" t="n"/>
      <c r="AT361" s="487" t="n"/>
      <c r="AU361" s="114" t="n"/>
      <c r="AV361" s="491" t="n"/>
      <c r="AW361" s="114" t="n"/>
      <c r="AX361" s="492" t="n"/>
      <c r="AY361" s="488" t="n"/>
    </row>
    <row r="362" ht="32" customHeight="1" thickBot="1">
      <c r="B362" s="831" t="inlineStr">
        <is>
          <t>Max NC</t>
        </is>
      </c>
      <c r="C362" s="832">
        <f>_xlfn.XLOOKUP(G362,G360:G361,C360:C361)</f>
        <v/>
      </c>
      <c r="D362" s="833">
        <f>_xlfn.XLOOKUP(G362,G360:G361,D360:D361)</f>
        <v/>
      </c>
      <c r="E362" s="834" t="n"/>
      <c r="F362" s="834" t="n"/>
      <c r="G362" s="834">
        <f>IF(AND(J360=TRUE,J361=FALSE),G360,IF(AND(J360=FALSE,J361=TRUE),G361,MAX(G360,G361)))</f>
        <v/>
      </c>
      <c r="H362" s="1713" t="n"/>
      <c r="I362" s="835" t="n"/>
      <c r="J362" s="836">
        <f>IF(AND(J360=FALSE,J361=FALSE),FALSE,TRUE)</f>
        <v/>
      </c>
      <c r="K362" s="46" t="n"/>
      <c r="L362" s="46" t="n"/>
      <c r="M362" s="46" t="n"/>
      <c r="N362" s="1711" t="n"/>
      <c r="O362" s="1713" t="n"/>
      <c r="P362" s="835" t="n"/>
      <c r="Q362" s="1726">
        <f>IF(AND(Q360=FALSE,Q361=FALSE),FALSE,TRUE)</f>
        <v/>
      </c>
      <c r="R362" s="1713" t="n"/>
      <c r="S362" s="835" t="n"/>
      <c r="T362" s="1726">
        <f>IF(AND(T360=FALSE,T361=FALSE),FALSE,TRUE)</f>
        <v/>
      </c>
      <c r="U362" s="978" t="n"/>
      <c r="V362" s="978" t="n"/>
      <c r="W362" s="1473" t="n"/>
      <c r="X362" s="2002" t="n"/>
      <c r="Y362" s="1478" t="n"/>
      <c r="Z362" s="2002" t="n"/>
      <c r="AA362" s="1481" t="n"/>
      <c r="AC362" s="1013" t="n"/>
      <c r="AD362" s="1014" t="n"/>
      <c r="AE362" s="1013" t="n"/>
      <c r="AF362" s="1014" t="n"/>
      <c r="AG362" s="1013" t="n"/>
      <c r="AH362" s="1014" t="n"/>
      <c r="AJ362" s="10" t="n"/>
      <c r="AK362" s="10" t="n"/>
      <c r="AL362" s="10" t="n"/>
      <c r="AQ362" s="7" t="n"/>
      <c r="AR362" s="849" t="n"/>
      <c r="AS362" s="111" t="n"/>
      <c r="AT362" s="487" t="n"/>
      <c r="AU362" s="114" t="n"/>
      <c r="AV362" s="491" t="n"/>
      <c r="AW362" s="114" t="n"/>
      <c r="AX362" s="492" t="n"/>
      <c r="AY362" s="488" t="n"/>
    </row>
    <row r="363" ht="32" customHeight="1" thickBot="1">
      <c r="B363" s="837" t="inlineStr">
        <is>
          <t>Max PFA &amp; NC</t>
        </is>
      </c>
      <c r="C363" s="838" t="n"/>
      <c r="D363" s="838">
        <f>IF(G363=G359,D359,D362)</f>
        <v/>
      </c>
      <c r="E363" s="839" t="n"/>
      <c r="F363" s="839" t="n"/>
      <c r="G363" s="839">
        <f>IF(AND(J359=TRUE,J362=FALSE),G359,IF(AND(J359=FALSE,J362=TRUE),G362,IF(AND(J359=TRUE,J362=TRUE),G359+G362,MAX(G359,G362))))</f>
        <v/>
      </c>
      <c r="H363" s="1714" t="n"/>
      <c r="I363" s="840" t="n"/>
      <c r="J363" s="841">
        <f>IF(AND(J359=FALSE,J362=FALSE),FALSE,TRUE)</f>
        <v/>
      </c>
      <c r="K363" s="1698" t="n"/>
      <c r="L363" s="1698" t="n"/>
      <c r="M363" s="1698" t="n"/>
      <c r="N363" s="1715" t="n"/>
      <c r="O363" s="1714" t="n"/>
      <c r="P363" s="840" t="n"/>
      <c r="Q363" s="841">
        <f>IF(AND(Q359=FALSE,Q362=FALSE),FALSE,TRUE)</f>
        <v/>
      </c>
      <c r="R363" s="1714" t="n"/>
      <c r="S363" s="840" t="n"/>
      <c r="T363" s="841">
        <f>IF(AND(T359=FALSE,T362=FALSE),FALSE,TRUE)</f>
        <v/>
      </c>
      <c r="U363" s="978" t="n"/>
      <c r="V363" s="978" t="inlineStr">
        <is>
          <t>et</t>
        </is>
      </c>
      <c r="W363" s="1473" t="n"/>
      <c r="X363" s="2002" t="n"/>
      <c r="Y363" s="1478" t="n"/>
      <c r="Z363" s="2002" t="n"/>
      <c r="AA363" s="1481" t="n"/>
      <c r="AC363" s="1013">
        <f>IF(J363=TRUE,"V","F")</f>
        <v/>
      </c>
      <c r="AD363" s="1014" t="n"/>
      <c r="AE363" s="1013">
        <f>IF(Q363=TRUE,"V","F")</f>
        <v/>
      </c>
      <c r="AF363" s="1014" t="n"/>
      <c r="AG363" s="1013">
        <f>IF(T363=TRUE,"V","F")</f>
        <v/>
      </c>
      <c r="AH363" s="1014" t="n"/>
      <c r="AI363">
        <f>IF(OR(AC363="V",AE363="V"),IF(G362&gt;G359,"Le NC contribue plus que le coparent","Le coparent joue un plus grand rôle que le NC"),"pas de contexte significatif de la part du coparent et NC")</f>
        <v/>
      </c>
      <c r="AJ363" s="10" t="n"/>
      <c r="AK363" s="10" t="n"/>
      <c r="AL363" s="10" t="n"/>
      <c r="AQ363" s="7" t="n"/>
      <c r="AR363" s="849" t="n"/>
      <c r="AS363" s="111" t="n"/>
      <c r="AT363" s="487" t="n"/>
      <c r="AU363" s="114" t="n"/>
      <c r="AV363" s="491" t="n"/>
      <c r="AW363" s="114" t="n"/>
      <c r="AX363" s="492" t="n"/>
      <c r="AY363" s="488" t="n"/>
    </row>
    <row r="364" ht="32" customHeight="1">
      <c r="B364" s="316">
        <f>'Action-Réaction finale'!O56</f>
        <v/>
      </c>
      <c r="C364" s="2066">
        <f>Test_Bible!B299</f>
        <v/>
      </c>
      <c r="D364" s="102" t="inlineStr">
        <is>
          <t>connait des informations personnelles sur vous que vous n'avez jamais discuté avec lui</t>
        </is>
      </c>
      <c r="E364" s="823">
        <f>Test_Bible!P299</f>
        <v/>
      </c>
      <c r="F364" s="822">
        <f>Test_Bible!D299</f>
        <v/>
      </c>
      <c r="G364" s="823">
        <f>Test_Bible!Q299</f>
        <v/>
      </c>
      <c r="H364" s="1710" t="n">
        <v>7</v>
      </c>
      <c r="I364" s="1703">
        <f>$I$18</f>
        <v/>
      </c>
      <c r="J364" s="46">
        <f>IF(AND(E364&gt;=H364,E364&lt;=I364),TRUE,FALSE)</f>
        <v/>
      </c>
      <c r="K364" s="46" t="n"/>
      <c r="L364" s="46" t="n"/>
      <c r="M364" s="46" t="n"/>
      <c r="N364" s="1711" t="n"/>
      <c r="O364" s="1710" t="n">
        <v>4</v>
      </c>
      <c r="P364" s="1703" t="n">
        <v>7</v>
      </c>
      <c r="Q364" s="1711">
        <f>IF(AND(E364&gt;=O364,E364&lt;=P364),TRUE,FALSE)</f>
        <v/>
      </c>
      <c r="R364" s="1710" t="n"/>
      <c r="S364" s="1703" t="n"/>
      <c r="T364" s="1711" t="n"/>
      <c r="U364" s="978" t="n"/>
      <c r="V364" s="1484" t="n"/>
      <c r="W364" s="1485" t="n">
        <v>4</v>
      </c>
      <c r="X364" s="2029" t="n"/>
      <c r="Y364" s="1489" t="n">
        <v>2</v>
      </c>
      <c r="Z364" s="2029" t="n"/>
      <c r="AA364" s="1497" t="n">
        <v>11</v>
      </c>
      <c r="AC364" s="1013" t="inlineStr">
        <is>
          <t> </t>
        </is>
      </c>
      <c r="AD364" s="1014" t="n"/>
      <c r="AE364" s="1013" t="n"/>
      <c r="AF364" s="1014" t="n"/>
      <c r="AG364" s="1013" t="n"/>
      <c r="AH364" s="1014" t="n"/>
      <c r="AJ364" s="10" t="n"/>
      <c r="AK364" s="10" t="n"/>
      <c r="AL364" s="10" t="n"/>
      <c r="AQ364" s="7" t="n"/>
      <c r="AR364" s="849" t="n"/>
      <c r="AS364" s="111" t="n"/>
      <c r="AT364" s="487" t="n"/>
      <c r="AU364" s="114" t="n"/>
      <c r="AV364" s="491" t="n"/>
      <c r="AW364" s="114" t="n"/>
      <c r="AX364" s="492" t="n"/>
      <c r="AY364" s="488" t="n"/>
    </row>
    <row r="365" ht="32" customHeight="1" thickBot="1">
      <c r="B365" s="316" t="inlineStr">
        <is>
          <t>Enf</t>
        </is>
      </c>
      <c r="C365" s="2066" t="n"/>
      <c r="D365" s="102" t="n"/>
      <c r="E365" s="823" t="n"/>
      <c r="F365" s="822" t="n"/>
      <c r="G365" s="823" t="n"/>
      <c r="H365" s="1735" t="n">
        <v>11</v>
      </c>
      <c r="I365" s="1736" t="n">
        <v>11</v>
      </c>
      <c r="J365" s="46">
        <f>IF(AND(E365&gt;=H365,E365&lt;=I365),TRUE,FALSE)</f>
        <v/>
      </c>
      <c r="K365" s="46" t="n"/>
      <c r="L365" s="46" t="n"/>
      <c r="M365" s="46" t="n"/>
      <c r="N365" s="1711" t="n"/>
      <c r="O365" s="1735" t="n">
        <v>11</v>
      </c>
      <c r="P365" s="1736" t="n">
        <v>11</v>
      </c>
      <c r="Q365" s="1711">
        <f>IF(AND(E365&gt;=O365,E365&lt;=P365),TRUE,FALSE)</f>
        <v/>
      </c>
      <c r="R365" s="1735" t="n"/>
      <c r="S365" s="1736" t="n"/>
      <c r="T365" s="1711" t="n"/>
      <c r="U365" s="978" t="n"/>
      <c r="V365" s="1487" t="inlineStr">
        <is>
          <t>ou</t>
        </is>
      </c>
      <c r="W365" s="1506" t="n">
        <v>11</v>
      </c>
      <c r="X365" s="1507" t="n"/>
      <c r="Y365" s="1508" t="n">
        <v>11</v>
      </c>
      <c r="Z365" s="1507" t="n"/>
      <c r="AA365" s="1502" t="n">
        <v>11</v>
      </c>
      <c r="AC365" s="1013" t="n"/>
      <c r="AD365" s="1014" t="n"/>
      <c r="AE365" s="1013" t="n"/>
      <c r="AF365" s="1014" t="n"/>
      <c r="AG365" s="1013" t="n"/>
      <c r="AH365" s="1014" t="n"/>
      <c r="AJ365" s="10" t="n"/>
      <c r="AK365" s="10" t="n"/>
      <c r="AL365" s="10" t="n"/>
      <c r="AQ365" s="7" t="n"/>
      <c r="AR365" s="849" t="n"/>
      <c r="AS365" s="111" t="n"/>
      <c r="AT365" s="487" t="n"/>
      <c r="AU365" s="114" t="n"/>
      <c r="AV365" s="491" t="n"/>
      <c r="AW365" s="114" t="n"/>
      <c r="AX365" s="492" t="n"/>
      <c r="AY365" s="488" t="n"/>
    </row>
    <row r="366" ht="32" customHeight="1" thickBot="1">
      <c r="B366" s="842" t="inlineStr">
        <is>
          <t>Max Enf</t>
        </is>
      </c>
      <c r="C366" s="843">
        <f>_xlfn.XLOOKUP(G366,G364:G365,C364:C365)</f>
        <v/>
      </c>
      <c r="D366" s="843">
        <f>_xlfn.XLOOKUP(G366,G364:G365,D364:D365)</f>
        <v/>
      </c>
      <c r="E366" s="844" t="n"/>
      <c r="F366" s="844" t="n"/>
      <c r="G366" s="844">
        <f>IF(AND(J364=TRUE,J365=FALSE),G364,IF(AND(J364=FALSE,J365=TRUE),G365,MAX(G364,G365)))</f>
        <v/>
      </c>
      <c r="H366" s="1716" t="n"/>
      <c r="I366" s="845" t="n"/>
      <c r="J366" s="846">
        <f>IF(AND(J364=FALSE,J365=FALSE),FALSE,TRUE)</f>
        <v/>
      </c>
      <c r="K366" s="1699" t="n"/>
      <c r="L366" s="1699" t="n"/>
      <c r="M366" s="1699" t="n"/>
      <c r="N366" s="1717" t="n"/>
      <c r="O366" s="1716" t="n"/>
      <c r="P366" s="845" t="n"/>
      <c r="Q366" s="846">
        <f>IF(AND(Q364=FALSE,Q365=FALSE),FALSE,TRUE)</f>
        <v/>
      </c>
      <c r="R366" s="1716" t="n"/>
      <c r="S366" s="845" t="n"/>
      <c r="T366" s="846" t="n"/>
      <c r="U366" s="978" t="n"/>
      <c r="V366" s="978" t="n"/>
      <c r="W366" s="1475" t="n"/>
      <c r="Y366" s="1479" t="n"/>
      <c r="AA366" s="1483" t="n"/>
      <c r="AC366" s="1013">
        <f>IF(J366=TRUE,"V","F")</f>
        <v/>
      </c>
      <c r="AD366" s="1014" t="n"/>
      <c r="AE366" s="1013">
        <f>IF(Q366=TRUE,"V","F")</f>
        <v/>
      </c>
      <c r="AF366" s="1014" t="n"/>
      <c r="AG366" s="1013" t="n"/>
      <c r="AH366" s="1014" t="n"/>
      <c r="AJ366" s="10" t="n"/>
      <c r="AK366" s="10" t="n"/>
      <c r="AL366" s="10" t="n"/>
      <c r="AR366" s="849" t="n"/>
      <c r="AS366" s="111" t="n"/>
      <c r="AT366" s="487" t="n"/>
      <c r="AU366" s="114" t="n"/>
      <c r="AV366" s="491" t="n"/>
      <c r="AW366" s="114" t="n"/>
      <c r="AX366" s="492" t="n"/>
      <c r="AY366" s="488" t="n"/>
    </row>
    <row r="367" ht="32" customHeight="1">
      <c r="C367" s="428" t="inlineStr">
        <is>
          <t>COMPARATIF Comportement PFA-Enf</t>
        </is>
      </c>
      <c r="D367" s="2058" t="n"/>
      <c r="E367" s="484" t="inlineStr">
        <is>
          <t>Valeur =&gt;</t>
        </is>
      </c>
      <c r="F367" s="48" t="n"/>
      <c r="G367" s="48">
        <f>G359+G362+G366</f>
        <v/>
      </c>
      <c r="H367" s="1718" t="n"/>
      <c r="I367" s="485" t="n"/>
      <c r="J367" s="1701" t="n"/>
      <c r="K367" s="1702">
        <f>IF(AND(J366=TRUE,J363=TRUE),D366,"")</f>
        <v/>
      </c>
      <c r="L367" s="1702">
        <f>IF(AND(J363=TRUE,J366=FALSE),"Bien que le parent "&amp;D363&amp;" l'enfant ne semble pas s'ingérer","")</f>
        <v/>
      </c>
      <c r="M367" s="1702">
        <f>IF(AND(J363=FALSE,J366=TRUE),D366&amp;" sans signe de la participation du parent favorisé et|ou nouveau conjoint.e","")</f>
        <v/>
      </c>
      <c r="N367" s="1719">
        <f>IF(AND(J363=FALSE,J366=FALSE),"aucun comportement significatif de cette nature","")</f>
        <v/>
      </c>
      <c r="O367" s="1718" t="n"/>
      <c r="P367" s="485" t="n"/>
      <c r="Q367" s="1727" t="n"/>
      <c r="R367" s="1718" t="n"/>
      <c r="S367" s="485" t="n"/>
      <c r="T367" s="1727" t="n"/>
      <c r="U367" s="980" t="n"/>
      <c r="V367" s="980" t="n"/>
      <c r="W367" s="1475" t="n"/>
      <c r="Y367" s="1479" t="n"/>
      <c r="AA367" s="1483" t="n"/>
      <c r="AC367" s="1015" t="n"/>
      <c r="AD367" s="1016">
        <f>IF(AND(AC363="V",AC366="V"),2,IF(OR(AC363="V",AC366="V"),1,0))</f>
        <v/>
      </c>
      <c r="AE367" s="1015" t="n"/>
      <c r="AF367" s="1016">
        <f>IF(OR(AE363="V",AE366="V"),1,0)</f>
        <v/>
      </c>
      <c r="AG367" s="1015" t="n"/>
      <c r="AH367" s="1016" t="n"/>
      <c r="AJ367" s="10" t="n"/>
      <c r="AK367" s="10" t="n"/>
      <c r="AL367" s="10" t="n"/>
      <c r="AR367" s="849" t="n"/>
      <c r="AS367" s="111" t="n"/>
      <c r="AT367" s="487" t="n"/>
      <c r="AU367" s="114" t="n"/>
      <c r="AV367" s="491" t="n"/>
      <c r="AW367" s="114" t="n"/>
      <c r="AX367" s="492" t="n"/>
      <c r="AY367" s="488" t="n"/>
    </row>
    <row r="368" ht="32" customHeight="1">
      <c r="B368" t="inlineStr">
        <is>
          <t>PCR</t>
        </is>
      </c>
      <c r="H368" s="147" t="n"/>
      <c r="K368" s="1992" t="n"/>
      <c r="L368" s="1992" t="n"/>
      <c r="M368" s="1992" t="n"/>
      <c r="N368" s="1740" t="n"/>
      <c r="O368" s="147" t="n"/>
      <c r="Q368" s="330" t="n"/>
      <c r="R368" s="147" t="n"/>
      <c r="T368" s="330" t="n"/>
      <c r="U368" s="1992" t="n"/>
      <c r="AC368" s="1013" t="n"/>
      <c r="AD368" s="1014" t="n"/>
      <c r="AE368" s="1013" t="n"/>
      <c r="AF368" s="1014" t="n"/>
      <c r="AG368" s="1013" t="n"/>
      <c r="AH368" s="1014" t="n"/>
      <c r="AJ368" s="10" t="n"/>
      <c r="AK368" s="10" t="n"/>
      <c r="AL368" s="10" t="n"/>
      <c r="AR368" s="849" t="n"/>
      <c r="AS368" s="111" t="n"/>
      <c r="AT368" s="487" t="n"/>
      <c r="AU368" s="114" t="n"/>
      <c r="AV368" s="491" t="n"/>
      <c r="AW368" s="114" t="n"/>
      <c r="AX368" s="492" t="n"/>
      <c r="AY368" s="488" t="n"/>
    </row>
    <row r="369" ht="32" customHeight="1">
      <c r="B369" s="1017" t="n"/>
      <c r="C369" s="1025" t="n"/>
      <c r="D369" s="1018" t="n"/>
      <c r="E369" s="1026" t="n"/>
      <c r="F369" s="1026" t="n"/>
      <c r="G369" s="1026" t="n"/>
      <c r="H369" s="1735" t="n">
        <v>11</v>
      </c>
      <c r="I369" s="1736" t="n">
        <v>11</v>
      </c>
      <c r="J369" s="46">
        <f>IF(AND(E369&gt;=H369,E369&lt;=I369),TRUE,FALSE)</f>
        <v/>
      </c>
      <c r="K369" s="33" t="n"/>
      <c r="L369" s="33" t="n"/>
      <c r="M369" s="33" t="n"/>
      <c r="N369" s="1720" t="n"/>
      <c r="O369" s="1735" t="n">
        <v>11</v>
      </c>
      <c r="P369" s="1736" t="n">
        <v>11</v>
      </c>
      <c r="Q369" s="1711">
        <f>IF(AND(E369&gt;=O369,E369&lt;=P369),TRUE,FALSE)</f>
        <v/>
      </c>
      <c r="R369" s="1735" t="n">
        <v>11</v>
      </c>
      <c r="S369" s="1736" t="n">
        <v>11</v>
      </c>
      <c r="T369" s="1711">
        <f>IF(AND(E369&gt;=R369,E369&lt;=S369),TRUE,FALSE)</f>
        <v/>
      </c>
      <c r="U369" s="1992" t="n"/>
      <c r="V369" s="1509" t="n"/>
      <c r="W369" s="1503" t="n">
        <v>11</v>
      </c>
      <c r="X369" s="1504" t="n"/>
      <c r="Y369" s="1505" t="n">
        <v>11</v>
      </c>
      <c r="Z369" s="1504" t="n"/>
      <c r="AA369" s="1497" t="n">
        <v>11</v>
      </c>
      <c r="AC369" s="1013" t="n"/>
      <c r="AD369" s="1014" t="n"/>
      <c r="AE369" s="1013" t="n"/>
      <c r="AF369" s="1014" t="n"/>
      <c r="AG369" s="1013" t="n"/>
      <c r="AH369" s="1014" t="n"/>
      <c r="AJ369" s="10" t="n"/>
      <c r="AK369" s="10" t="n"/>
      <c r="AL369" s="10" t="n"/>
      <c r="AR369" s="849" t="n"/>
      <c r="AS369" s="111" t="n"/>
      <c r="AT369" s="487" t="n"/>
      <c r="AU369" s="114" t="n"/>
      <c r="AV369" s="491" t="n"/>
      <c r="AW369" s="114" t="n"/>
      <c r="AX369" s="492" t="n"/>
      <c r="AY369" s="488" t="n"/>
    </row>
    <row r="370" ht="32" customHeight="1" thickBot="1">
      <c r="B370" s="1017" t="n"/>
      <c r="C370" s="1025" t="n"/>
      <c r="D370" s="1018" t="n"/>
      <c r="E370" s="1026" t="n"/>
      <c r="F370" s="1026" t="n"/>
      <c r="G370" s="1026" t="n"/>
      <c r="H370" s="1735" t="n">
        <v>11</v>
      </c>
      <c r="I370" s="1736" t="n">
        <v>11</v>
      </c>
      <c r="J370" s="46">
        <f>IF(AND(E370&gt;=H370,E370&lt;=I370),TRUE,FALSE)</f>
        <v/>
      </c>
      <c r="K370" s="33" t="n"/>
      <c r="L370" s="33" t="n"/>
      <c r="M370" s="33" t="n"/>
      <c r="N370" s="1720" t="n"/>
      <c r="O370" s="1735" t="n">
        <v>11</v>
      </c>
      <c r="P370" s="1736" t="n">
        <v>11</v>
      </c>
      <c r="Q370" s="1711">
        <f>IF(AND(E370&gt;=O370,E370&lt;=P370),TRUE,FALSE)</f>
        <v/>
      </c>
      <c r="R370" s="1735" t="n">
        <v>11</v>
      </c>
      <c r="S370" s="1736" t="n">
        <v>11</v>
      </c>
      <c r="T370" s="1711">
        <f>IF(AND(E370&gt;=R370,E370&lt;=S370),TRUE,FALSE)</f>
        <v/>
      </c>
      <c r="V370" s="1510" t="n"/>
      <c r="W370" s="1506" t="n">
        <v>11</v>
      </c>
      <c r="X370" s="1507" t="n"/>
      <c r="Y370" s="1508" t="n">
        <v>11</v>
      </c>
      <c r="Z370" s="1507" t="n"/>
      <c r="AA370" s="1502" t="n">
        <v>11</v>
      </c>
      <c r="AC370" s="1013" t="n"/>
      <c r="AD370" s="1014" t="n"/>
      <c r="AE370" s="1013" t="n"/>
      <c r="AF370" s="1014" t="n"/>
      <c r="AG370" s="1013" t="n"/>
      <c r="AH370" s="1014" t="n"/>
      <c r="AJ370" s="10" t="n"/>
      <c r="AK370" s="10" t="n"/>
      <c r="AL370" s="10" t="n"/>
      <c r="AR370" s="849" t="n"/>
      <c r="AS370" s="111" t="n"/>
      <c r="AT370" s="487" t="n"/>
      <c r="AU370" s="114" t="n"/>
      <c r="AV370" s="491" t="n"/>
      <c r="AW370" s="114" t="n"/>
      <c r="AX370" s="492" t="n"/>
      <c r="AY370" s="488" t="n"/>
    </row>
    <row r="371" ht="32" customHeight="1" thickBot="1">
      <c r="B371" s="7" t="n"/>
      <c r="C371" s="2059" t="n"/>
      <c r="D371" s="2059" t="n"/>
      <c r="E371" s="90" t="n"/>
      <c r="F371" s="2073" t="n"/>
      <c r="G371" s="90" t="n"/>
      <c r="H371" s="1732" t="n"/>
      <c r="I371" s="1733" t="n"/>
      <c r="J371" s="1739">
        <f>IF(AND(J369=FALSE,J370=FALSE),FALSE,TRUE)</f>
        <v/>
      </c>
      <c r="K371" s="1721" t="n"/>
      <c r="L371" s="1722" t="n"/>
      <c r="M371" s="1722" t="n"/>
      <c r="N371" s="1723" t="n"/>
      <c r="O371" s="1732" t="n"/>
      <c r="P371" s="1733" t="n"/>
      <c r="Q371" s="1739">
        <f>IF(AND(Q369=FALSE,Q370=FALSE),FALSE,TRUE)</f>
        <v/>
      </c>
      <c r="R371" s="1744" t="n"/>
      <c r="S371" s="1745" t="n"/>
      <c r="T371" s="1746">
        <f>IF(AND(T369=FALSE,T370=FALSE),FALSE,TRUE)</f>
        <v/>
      </c>
      <c r="AC371" s="1650">
        <f>IF(J371=TRUE,"V","F")</f>
        <v/>
      </c>
      <c r="AD371" s="1651" t="n"/>
      <c r="AE371" s="1650">
        <f>IF(Q371=TRUE,"V","F")</f>
        <v/>
      </c>
      <c r="AF371" s="1651" t="n"/>
      <c r="AG371" s="1650">
        <f>IF(T371=TRUE,"V","F")</f>
        <v/>
      </c>
      <c r="AH371" s="1651" t="n"/>
      <c r="AJ371" s="10" t="n"/>
      <c r="AK371" s="10" t="n"/>
      <c r="AL371" s="10" t="n"/>
      <c r="AR371" s="849" t="n"/>
      <c r="AS371" s="111" t="n"/>
      <c r="AT371" s="487" t="n"/>
      <c r="AU371" s="114" t="n"/>
      <c r="AV371" s="491" t="n"/>
      <c r="AW371" s="114" t="n"/>
      <c r="AX371" s="492" t="n"/>
      <c r="AY371" s="488" t="n"/>
    </row>
    <row r="372" ht="32" customHeight="1" thickBot="1">
      <c r="C372" s="2073" t="n"/>
      <c r="D372" s="2073" t="n"/>
      <c r="E372" s="90" t="n"/>
      <c r="F372" s="483" t="n"/>
      <c r="G372" s="483" t="n"/>
      <c r="H372" s="2002" t="n"/>
      <c r="I372" s="2002" t="n"/>
      <c r="J372" s="979" t="n"/>
      <c r="K372" s="980" t="n"/>
      <c r="L372" s="980" t="n"/>
      <c r="M372" s="980" t="n"/>
      <c r="N372" s="980" t="n"/>
      <c r="O372" s="980" t="n"/>
      <c r="P372" s="980" t="n"/>
      <c r="Q372" s="980" t="n"/>
      <c r="R372" s="980" t="n"/>
      <c r="S372" s="980" t="n"/>
      <c r="T372" s="980" t="n"/>
      <c r="U372" s="980" t="n"/>
      <c r="V372" s="980" t="n"/>
      <c r="AC372" s="1737" t="n"/>
      <c r="AD372" s="1738">
        <f>IF(AND(AC371="V",AC363="V"),AD367-1,AD367)</f>
        <v/>
      </c>
      <c r="AE372" s="1737" t="n"/>
      <c r="AF372" s="1738">
        <f>IF(OR(AE363="V",AE366="V",AE371="V"),1,0)</f>
        <v/>
      </c>
      <c r="AG372" s="1737" t="n"/>
      <c r="AH372" s="1738">
        <f>IF(AG363="V",1,IF(AG371="V",1,0))</f>
        <v/>
      </c>
      <c r="AJ372" s="10" t="n">
        <v>1</v>
      </c>
      <c r="AK372" s="10" t="n">
        <v>1</v>
      </c>
      <c r="AL372" s="10" t="n"/>
      <c r="AR372" s="849" t="n"/>
      <c r="AS372" s="111" t="n"/>
      <c r="AT372" s="487" t="n"/>
      <c r="AU372" s="114" t="n"/>
      <c r="AV372" s="491" t="n"/>
      <c r="AW372" s="114" t="n"/>
      <c r="AX372" s="492" t="n"/>
      <c r="AY372" s="488" t="n"/>
    </row>
    <row r="373" ht="32" customHeight="1">
      <c r="C373" s="2073" t="n"/>
      <c r="D373" s="2073" t="n"/>
      <c r="E373" s="90" t="n"/>
      <c r="F373" s="483" t="n"/>
      <c r="G373" s="483" t="n"/>
      <c r="H373" s="1704" t="n"/>
      <c r="I373" s="1705" t="n"/>
      <c r="J373" s="1706" t="n"/>
      <c r="K373" s="2056" t="n"/>
      <c r="L373" s="709" t="n"/>
      <c r="M373" s="709" t="n"/>
      <c r="N373" s="1707" t="n"/>
      <c r="O373" s="1724" t="n"/>
      <c r="P373" s="1706" t="n"/>
      <c r="Q373" s="1707" t="n"/>
      <c r="R373" s="1724" t="n"/>
      <c r="S373" s="1706" t="n"/>
      <c r="T373" s="1707" t="n"/>
      <c r="U373" s="980" t="n"/>
      <c r="V373" s="980" t="n"/>
      <c r="AC373" s="1756" t="n"/>
      <c r="AD373" s="1757" t="n"/>
      <c r="AE373" s="1490" t="n"/>
      <c r="AF373" s="1490" t="n"/>
      <c r="AG373" s="1490" t="n"/>
      <c r="AH373" s="1490" t="n"/>
      <c r="AJ373" s="10" t="n"/>
      <c r="AK373" s="10" t="n"/>
      <c r="AL373" s="10" t="n"/>
      <c r="AR373" s="849" t="n"/>
      <c r="AS373" s="111" t="n"/>
      <c r="AT373" s="487" t="n"/>
      <c r="AU373" s="114" t="n"/>
      <c r="AV373" s="491" t="n"/>
      <c r="AW373" s="114" t="n"/>
      <c r="AX373" s="492" t="n"/>
      <c r="AY373" s="488" t="n"/>
    </row>
    <row r="374" ht="32" customHeight="1">
      <c r="A374" s="853" t="n">
        <v>19</v>
      </c>
      <c r="C374" s="486">
        <f>'Action-Réaction finale'!F59</f>
        <v/>
      </c>
      <c r="D374" s="108" t="n"/>
      <c r="E374" s="66" t="n"/>
      <c r="F374" s="18" t="n"/>
      <c r="G374" s="18" t="n"/>
      <c r="H374" s="2052" t="inlineStr">
        <is>
          <t>AP</t>
        </is>
      </c>
      <c r="K374" s="2055" t="inlineStr">
        <is>
          <t>Dynamique d'AP</t>
        </is>
      </c>
      <c r="N374" s="330" t="n"/>
      <c r="O374" s="2122" t="inlineStr">
        <is>
          <t>CL</t>
        </is>
      </c>
      <c r="Q374" s="330" t="n"/>
      <c r="R374" s="2123" t="inlineStr">
        <is>
          <t>CSS</t>
        </is>
      </c>
      <c r="T374" s="330" t="n"/>
      <c r="U374" s="15" t="n"/>
      <c r="V374" s="15" t="n"/>
      <c r="AC374" s="1009" t="n"/>
      <c r="AD374" s="1009" t="n"/>
      <c r="AE374" s="1009" t="n"/>
      <c r="AF374" s="1009" t="n"/>
      <c r="AG374" s="1009" t="n"/>
      <c r="AH374" s="1010" t="n"/>
      <c r="AJ374" s="10" t="n"/>
      <c r="AK374" s="10" t="n"/>
      <c r="AL374" s="10" t="n"/>
      <c r="AR374" s="849" t="n"/>
      <c r="AS374" s="111" t="n"/>
      <c r="AT374" s="487" t="n"/>
      <c r="AU374" s="114" t="n"/>
      <c r="AV374" s="491" t="n"/>
      <c r="AW374" s="114" t="n"/>
      <c r="AX374" s="492" t="n"/>
      <c r="AY374" s="488" t="n"/>
    </row>
    <row r="375" ht="32" customHeight="1">
      <c r="C375" s="103" t="inlineStr">
        <is>
          <t>Questions et sous-questions</t>
        </is>
      </c>
      <c r="D375" s="1043" t="inlineStr">
        <is>
          <t>Texte écourté pour titrer dans les baromètres ou rapport</t>
        </is>
      </c>
      <c r="E375" s="33" t="inlineStr">
        <is>
          <t>Valeur de base
Fréquence (F)</t>
        </is>
      </c>
      <c r="F375" s="33" t="inlineStr">
        <is>
          <t>Valeur de base
intensité (I)</t>
        </is>
      </c>
      <c r="G375" s="33" t="inlineStr">
        <is>
          <t>F * I</t>
        </is>
      </c>
      <c r="H375" s="1708" t="inlineStr">
        <is>
          <t>Condition Fréq. 
&gt;= que</t>
        </is>
      </c>
      <c r="I375" s="44" t="inlineStr">
        <is>
          <t>Condition Fré
&lt;= que</t>
        </is>
      </c>
      <c r="J375" s="44" t="inlineStr">
        <is>
          <t>Condition respectée</t>
        </is>
      </c>
      <c r="K375" s="44" t="inlineStr">
        <is>
          <t>"VRAI" (PF&amp;NC) /  "VRAI" (Enf)</t>
        </is>
      </c>
      <c r="L375" s="44" t="inlineStr">
        <is>
          <t>Vrai (PF&amp;NC) /  Faux (Enf)</t>
        </is>
      </c>
      <c r="M375" s="44" t="inlineStr">
        <is>
          <t>Faux (PF&amp;NC) /  Vrai (Enf)</t>
        </is>
      </c>
      <c r="N375" s="1709" t="inlineStr">
        <is>
          <t>Faux (PF&amp;NC) /  Faux(Enf)</t>
        </is>
      </c>
      <c r="O375" s="1708" t="inlineStr">
        <is>
          <t>Condition Fréq. 
&gt;= que</t>
        </is>
      </c>
      <c r="P375" s="44" t="inlineStr">
        <is>
          <t>Condition Fré
&lt;= que</t>
        </is>
      </c>
      <c r="Q375" s="1709" t="inlineStr">
        <is>
          <t>Condition respectée</t>
        </is>
      </c>
      <c r="R375" s="1708" t="inlineStr">
        <is>
          <t>Condition Fréq. 
&gt;= que</t>
        </is>
      </c>
      <c r="S375" s="44" t="inlineStr">
        <is>
          <t>Condition Fré
&lt;= que</t>
        </is>
      </c>
      <c r="T375" s="1709" t="inlineStr">
        <is>
          <t>Condition respectée</t>
        </is>
      </c>
      <c r="U375" s="851" t="n"/>
      <c r="V375" s="1008" t="inlineStr">
        <is>
          <t>Condition</t>
        </is>
      </c>
      <c r="W375" s="1472" t="inlineStr">
        <is>
          <t>AP</t>
        </is>
      </c>
      <c r="X375" s="1008" t="inlineStr">
        <is>
          <t>Condition</t>
        </is>
      </c>
      <c r="Y375" s="1476" t="inlineStr">
        <is>
          <t>CL</t>
        </is>
      </c>
      <c r="Z375" s="1008" t="n"/>
      <c r="AA375" s="1480" t="inlineStr">
        <is>
          <t>CSS</t>
        </is>
      </c>
      <c r="AC375" s="1023" t="inlineStr">
        <is>
          <t>AP</t>
        </is>
      </c>
      <c r="AD375" s="1024" t="inlineStr">
        <is>
          <t>AP_F</t>
        </is>
      </c>
      <c r="AE375" s="1023" t="inlineStr">
        <is>
          <t>CL</t>
        </is>
      </c>
      <c r="AF375" s="1024" t="inlineStr">
        <is>
          <t>CL_F</t>
        </is>
      </c>
      <c r="AG375" s="1023" t="inlineStr">
        <is>
          <t>CSS</t>
        </is>
      </c>
      <c r="AH375" s="1024" t="inlineStr">
        <is>
          <t>CSS_F</t>
        </is>
      </c>
      <c r="AJ375" s="10" t="n"/>
      <c r="AK375" s="10" t="n"/>
      <c r="AL375" s="10" t="n"/>
      <c r="AR375" s="849" t="n"/>
      <c r="AS375" s="111" t="n"/>
      <c r="AT375" s="487" t="n"/>
      <c r="AU375" s="114" t="n"/>
      <c r="AV375" s="491" t="n"/>
      <c r="AW375" s="114" t="n"/>
      <c r="AX375" s="492" t="n"/>
      <c r="AY375" s="488" t="n"/>
    </row>
    <row r="376" ht="32" customHeight="1">
      <c r="B376" s="421">
        <f>'Action-Réaction finale'!G59</f>
        <v/>
      </c>
      <c r="C376" s="2066">
        <f>Test_Bible!B242</f>
        <v/>
      </c>
      <c r="D376" s="102" t="inlineStr">
        <is>
          <t>fait lire vos échanges à votre enfant</t>
        </is>
      </c>
      <c r="E376" s="823">
        <f>Test_Bible!P242</f>
        <v/>
      </c>
      <c r="F376" s="822">
        <f>Test_Bible!D242</f>
        <v/>
      </c>
      <c r="G376" s="823">
        <f>Test_Bible!Q242</f>
        <v/>
      </c>
      <c r="H376" s="1710" t="n">
        <v>4</v>
      </c>
      <c r="I376" s="1703" t="n">
        <v>10</v>
      </c>
      <c r="J376" s="46">
        <f>IF(AND(E376&gt;=H376,E376&lt;=I376),TRUE,FALSE)</f>
        <v/>
      </c>
      <c r="K376" s="46" t="n"/>
      <c r="L376" s="46" t="n"/>
      <c r="M376" s="46" t="n"/>
      <c r="N376" s="1711" t="n"/>
      <c r="O376" s="1710" t="n">
        <v>2</v>
      </c>
      <c r="P376" s="1703" t="n">
        <v>7</v>
      </c>
      <c r="Q376" s="1711">
        <f>IF(AND(E376&gt;=O376,E376&lt;=P376),TRUE,FALSE)</f>
        <v/>
      </c>
      <c r="R376" s="1710" t="n">
        <v>4</v>
      </c>
      <c r="S376" s="1703" t="n">
        <v>7</v>
      </c>
      <c r="T376" s="1711">
        <f>IF(AND(E376&gt;=R376,E376&lt;=S376),TRUE,FALSE)</f>
        <v/>
      </c>
      <c r="U376" s="978" t="n"/>
      <c r="V376" s="1484" t="n"/>
      <c r="W376" s="1485" t="n">
        <v>4</v>
      </c>
      <c r="X376" s="2029" t="n"/>
      <c r="Y376" s="1489" t="n">
        <v>2</v>
      </c>
      <c r="Z376" s="2029" t="n"/>
      <c r="AA376" s="1496" t="n">
        <v>4</v>
      </c>
      <c r="AC376" s="1011" t="n"/>
      <c r="AD376" s="1012" t="n"/>
      <c r="AE376" s="1011" t="n"/>
      <c r="AF376" s="1012" t="n"/>
      <c r="AG376" s="1011" t="n"/>
      <c r="AH376" s="1012" t="n"/>
      <c r="AJ376" s="10" t="n"/>
      <c r="AK376" s="10" t="n"/>
      <c r="AL376" s="10" t="n"/>
      <c r="AR376" s="849" t="n"/>
      <c r="AS376" s="111" t="n"/>
      <c r="AT376" s="487" t="n"/>
      <c r="AU376" s="114" t="n"/>
      <c r="AV376" s="491" t="n"/>
      <c r="AW376" s="114" t="n"/>
      <c r="AX376" s="492" t="n"/>
      <c r="AY376" s="488" t="n"/>
    </row>
    <row r="377" ht="32" customHeight="1">
      <c r="B377" s="421" t="inlineStr">
        <is>
          <t>PFA</t>
        </is>
      </c>
      <c r="C377" s="2066" t="n"/>
      <c r="D377" s="102" t="n"/>
      <c r="E377" s="823" t="n"/>
      <c r="F377" s="822" t="n"/>
      <c r="G377" s="823" t="n"/>
      <c r="H377" s="1735" t="n">
        <v>11</v>
      </c>
      <c r="I377" s="1736" t="n">
        <v>11</v>
      </c>
      <c r="J377" s="46">
        <f>IF(AND(E377&gt;=H377,E377&lt;=I377),TRUE,FALSE)</f>
        <v/>
      </c>
      <c r="K377" s="46" t="n"/>
      <c r="L377" s="46" t="n"/>
      <c r="M377" s="46" t="n"/>
      <c r="N377" s="1711" t="n"/>
      <c r="O377" s="1735" t="n">
        <v>11</v>
      </c>
      <c r="P377" s="1736" t="n">
        <v>11</v>
      </c>
      <c r="Q377" s="1711">
        <f>IF(AND(E377&gt;=O377,E377&lt;=P377),TRUE,FALSE)</f>
        <v/>
      </c>
      <c r="R377" s="1735" t="n">
        <v>11</v>
      </c>
      <c r="S377" s="1736" t="n">
        <v>11</v>
      </c>
      <c r="T377" s="1711">
        <f>IF(AND(E377&gt;=R377,E377&lt;=S377),TRUE,FALSE)</f>
        <v/>
      </c>
      <c r="U377" s="978" t="n"/>
      <c r="V377" s="1487" t="inlineStr">
        <is>
          <t>ou</t>
        </is>
      </c>
      <c r="W377" s="1506" t="n">
        <v>11</v>
      </c>
      <c r="X377" s="1507" t="n"/>
      <c r="Y377" s="1508" t="n">
        <v>11</v>
      </c>
      <c r="Z377" s="1507" t="n"/>
      <c r="AA377" s="1502" t="n">
        <v>11</v>
      </c>
      <c r="AC377" s="1013" t="n"/>
      <c r="AD377" s="1014" t="n"/>
      <c r="AE377" s="1013" t="n"/>
      <c r="AF377" s="1014" t="n"/>
      <c r="AG377" s="1013" t="n"/>
      <c r="AH377" s="1014" t="n"/>
      <c r="AJ377" s="10" t="n"/>
      <c r="AK377" s="10" t="n"/>
      <c r="AL377" s="10" t="n"/>
      <c r="AR377" s="849" t="n"/>
      <c r="AS377" s="111" t="n"/>
      <c r="AT377" s="487" t="n"/>
      <c r="AU377" s="114" t="n"/>
      <c r="AV377" s="491" t="n"/>
      <c r="AW377" s="114" t="n"/>
      <c r="AX377" s="492" t="n"/>
      <c r="AY377" s="488" t="n"/>
    </row>
    <row r="378" ht="32" customHeight="1">
      <c r="B378" s="825" t="inlineStr">
        <is>
          <t>Max PFA</t>
        </is>
      </c>
      <c r="C378" s="826">
        <f>_xlfn.XLOOKUP(G378,G376:G377,C376:C377)</f>
        <v/>
      </c>
      <c r="D378" s="827">
        <f>_xlfn.XLOOKUP(G378,G376:G377,D376:D377)</f>
        <v/>
      </c>
      <c r="E378" s="828" t="n"/>
      <c r="F378" s="828" t="n"/>
      <c r="G378" s="828">
        <f>IF(AND(J376=TRUE,J377=FALSE),G376,IF(AND(J376=FALSE,J377=TRUE),G377,MAX(G376,G377)))</f>
        <v/>
      </c>
      <c r="H378" s="1712" t="n"/>
      <c r="I378" s="829" t="n"/>
      <c r="J378" s="830">
        <f>IF(AND(J376=FALSE,J377=FALSE),FALSE,TRUE)</f>
        <v/>
      </c>
      <c r="K378" s="46" t="n"/>
      <c r="L378" s="46" t="n"/>
      <c r="M378" s="46" t="n"/>
      <c r="N378" s="1711" t="n"/>
      <c r="O378" s="1712" t="n"/>
      <c r="P378" s="829" t="n"/>
      <c r="Q378" s="1725">
        <f>IF(AND(Q376=FALSE,Q377=FALSE),FALSE,TRUE)</f>
        <v/>
      </c>
      <c r="R378" s="1712" t="n"/>
      <c r="S378" s="829" t="n"/>
      <c r="T378" s="1725">
        <f>IF(AND(T376=FALSE,T377=FALSE),FALSE,TRUE)</f>
        <v/>
      </c>
      <c r="U378" s="978" t="n"/>
      <c r="V378" s="978" t="inlineStr">
        <is>
          <t>ou</t>
        </is>
      </c>
      <c r="W378" s="1473" t="n"/>
      <c r="X378" s="2002" t="n"/>
      <c r="Y378" s="1478" t="n"/>
      <c r="Z378" s="2002" t="n"/>
      <c r="AA378" s="1481" t="n"/>
      <c r="AC378" s="1013" t="n"/>
      <c r="AD378" s="1014" t="n"/>
      <c r="AE378" s="1013" t="n"/>
      <c r="AF378" s="1014" t="n"/>
      <c r="AG378" s="1013" t="n"/>
      <c r="AH378" s="1014" t="n"/>
      <c r="AJ378" s="10" t="n"/>
      <c r="AK378" s="10" t="n"/>
      <c r="AL378" s="10" t="n"/>
      <c r="AR378" s="849" t="n"/>
      <c r="AS378" s="111" t="n"/>
      <c r="AT378" s="487" t="n"/>
      <c r="AU378" s="114" t="n"/>
      <c r="AV378" s="491" t="n"/>
      <c r="AW378" s="114" t="n"/>
      <c r="AX378" s="492" t="n"/>
      <c r="AY378" s="488" t="n"/>
    </row>
    <row r="379" ht="32" customHeight="1">
      <c r="B379" s="53" t="inlineStr">
        <is>
          <t>NC</t>
        </is>
      </c>
      <c r="C379" s="2066" t="n"/>
      <c r="D379" s="102" t="n"/>
      <c r="E379" s="823" t="n"/>
      <c r="F379" s="822" t="n"/>
      <c r="G379" s="823" t="n"/>
      <c r="H379" s="1735" t="n">
        <v>11</v>
      </c>
      <c r="I379" s="1736" t="n">
        <v>11</v>
      </c>
      <c r="J379" s="46">
        <f>IF(AND(E379&gt;=H379,E379&lt;=I379),TRUE,FALSE)</f>
        <v/>
      </c>
      <c r="K379" s="46" t="n"/>
      <c r="L379" s="46" t="n"/>
      <c r="M379" s="46" t="n"/>
      <c r="N379" s="1711" t="n"/>
      <c r="O379" s="1735" t="n">
        <v>11</v>
      </c>
      <c r="P379" s="1736" t="n">
        <v>11</v>
      </c>
      <c r="Q379" s="1711">
        <f>IF(AND(E379&gt;=O379,E379&lt;=P379),TRUE,FALSE)</f>
        <v/>
      </c>
      <c r="R379" s="1735" t="n">
        <v>11</v>
      </c>
      <c r="S379" s="1736" t="n">
        <v>11</v>
      </c>
      <c r="T379" s="1711">
        <f>IF(AND(E379&gt;=R379,E379&lt;=S379),TRUE,FALSE)</f>
        <v/>
      </c>
      <c r="U379" s="978" t="n"/>
      <c r="V379" s="1484" t="n"/>
      <c r="W379" s="1503" t="n">
        <v>11</v>
      </c>
      <c r="X379" s="1504" t="n"/>
      <c r="Y379" s="1505" t="n">
        <v>11</v>
      </c>
      <c r="Z379" s="1504" t="n"/>
      <c r="AA379" s="1497" t="n">
        <v>11</v>
      </c>
      <c r="AC379" s="1013" t="n"/>
      <c r="AD379" s="1014" t="n"/>
      <c r="AE379" s="1013" t="n"/>
      <c r="AF379" s="1014" t="n"/>
      <c r="AG379" s="1013" t="n"/>
      <c r="AH379" s="1014" t="n"/>
      <c r="AJ379" s="10" t="n"/>
      <c r="AK379" s="10" t="n"/>
      <c r="AL379" s="10" t="n"/>
      <c r="AR379" s="849" t="n"/>
      <c r="AS379" s="111" t="n"/>
      <c r="AT379" s="487" t="n"/>
      <c r="AU379" s="114" t="n"/>
      <c r="AV379" s="491" t="n"/>
      <c r="AW379" s="114" t="n"/>
      <c r="AX379" s="492" t="n"/>
      <c r="AY379" s="488" t="n"/>
    </row>
    <row r="380" ht="32" customHeight="1">
      <c r="B380" s="53" t="inlineStr">
        <is>
          <t>NC</t>
        </is>
      </c>
      <c r="C380" s="2066" t="n"/>
      <c r="D380" s="63" t="n"/>
      <c r="E380" s="36" t="n"/>
      <c r="F380" s="36" t="n"/>
      <c r="G380" s="36" t="n"/>
      <c r="H380" s="1735" t="n">
        <v>11</v>
      </c>
      <c r="I380" s="1736" t="n">
        <v>11</v>
      </c>
      <c r="J380" s="46">
        <f>IF(AND(E380&gt;=H380,E380&lt;=I380),TRUE,FALSE)</f>
        <v/>
      </c>
      <c r="K380" s="46" t="n"/>
      <c r="L380" s="46" t="n"/>
      <c r="M380" s="46" t="n"/>
      <c r="N380" s="1711" t="n"/>
      <c r="O380" s="1735" t="n">
        <v>11</v>
      </c>
      <c r="P380" s="1736" t="n">
        <v>11</v>
      </c>
      <c r="Q380" s="1711">
        <f>IF(AND(E380&gt;=O380,E380&lt;=P380),TRUE,FALSE)</f>
        <v/>
      </c>
      <c r="R380" s="1735" t="n">
        <v>11</v>
      </c>
      <c r="S380" s="1736" t="n">
        <v>11</v>
      </c>
      <c r="T380" s="1711">
        <f>IF(AND(E380&gt;=R380,E380&lt;=S380),TRUE,FALSE)</f>
        <v/>
      </c>
      <c r="U380" s="978" t="n"/>
      <c r="V380" s="1487" t="inlineStr">
        <is>
          <t>ou</t>
        </is>
      </c>
      <c r="W380" s="1506" t="n">
        <v>11</v>
      </c>
      <c r="X380" s="1507" t="n"/>
      <c r="Y380" s="1508" t="n">
        <v>11</v>
      </c>
      <c r="Z380" s="1507" t="n"/>
      <c r="AA380" s="1502" t="n">
        <v>11</v>
      </c>
      <c r="AC380" s="1013" t="n"/>
      <c r="AD380" s="1014" t="n"/>
      <c r="AE380" s="1013" t="n"/>
      <c r="AF380" s="1014" t="n"/>
      <c r="AG380" s="1013" t="n"/>
      <c r="AH380" s="1014" t="n"/>
      <c r="AJ380" s="10" t="n"/>
      <c r="AK380" s="10" t="n"/>
      <c r="AL380" s="10" t="n"/>
      <c r="AQ380" s="7" t="n"/>
      <c r="AR380" s="849" t="n"/>
      <c r="AS380" s="111" t="n"/>
      <c r="AT380" s="487" t="n"/>
      <c r="AU380" s="114" t="n"/>
      <c r="AV380" s="491" t="n"/>
      <c r="AW380" s="114" t="n"/>
      <c r="AX380" s="492" t="n"/>
      <c r="AY380" s="488" t="n"/>
    </row>
    <row r="381" ht="32" customHeight="1" thickBot="1">
      <c r="B381" s="831" t="inlineStr">
        <is>
          <t>Max NC</t>
        </is>
      </c>
      <c r="C381" s="832">
        <f>_xlfn.XLOOKUP(G381,G379:G380,C379:C380)</f>
        <v/>
      </c>
      <c r="D381" s="833">
        <f>_xlfn.XLOOKUP(G381,G379:G380,D379:D380)</f>
        <v/>
      </c>
      <c r="E381" s="834" t="n"/>
      <c r="F381" s="834" t="n"/>
      <c r="G381" s="834">
        <f>IF(AND(J379=TRUE,J380=FALSE),G379,IF(AND(J379=FALSE,J380=TRUE),G380,MAX(G379,G380)))</f>
        <v/>
      </c>
      <c r="H381" s="1713" t="n"/>
      <c r="I381" s="835" t="n"/>
      <c r="J381" s="836">
        <f>IF(AND(J379=FALSE,J380=FALSE),FALSE,TRUE)</f>
        <v/>
      </c>
      <c r="K381" s="46" t="n"/>
      <c r="L381" s="46" t="n"/>
      <c r="M381" s="46" t="n"/>
      <c r="N381" s="1711" t="n"/>
      <c r="O381" s="1713" t="n"/>
      <c r="P381" s="835" t="n"/>
      <c r="Q381" s="1726">
        <f>IF(AND(Q379=FALSE,Q380=FALSE),FALSE,TRUE)</f>
        <v/>
      </c>
      <c r="R381" s="1713" t="n"/>
      <c r="S381" s="835" t="n"/>
      <c r="T381" s="1726">
        <f>IF(AND(T379=FALSE,T380=FALSE),FALSE,TRUE)</f>
        <v/>
      </c>
      <c r="U381" s="978" t="n"/>
      <c r="V381" s="978" t="n"/>
      <c r="W381" s="1473" t="n"/>
      <c r="X381" s="2002" t="n"/>
      <c r="Y381" s="1478" t="n"/>
      <c r="Z381" s="2002" t="n"/>
      <c r="AA381" s="1481" t="n"/>
      <c r="AC381" s="1013" t="n"/>
      <c r="AD381" s="1014" t="n"/>
      <c r="AE381" s="1013" t="n"/>
      <c r="AF381" s="1014" t="n"/>
      <c r="AG381" s="1013" t="n"/>
      <c r="AH381" s="1014" t="n"/>
      <c r="AJ381" s="10" t="n"/>
      <c r="AK381" s="10" t="n"/>
      <c r="AL381" s="10" t="n"/>
      <c r="AQ381" s="7" t="n"/>
      <c r="AR381" s="849" t="n"/>
      <c r="AS381" s="111" t="n"/>
      <c r="AT381" s="487" t="n"/>
      <c r="AU381" s="114" t="n"/>
      <c r="AV381" s="491" t="n"/>
      <c r="AW381" s="114" t="n"/>
      <c r="AX381" s="492" t="n"/>
      <c r="AY381" s="488" t="n"/>
    </row>
    <row r="382" ht="32" customHeight="1" thickBot="1">
      <c r="B382" s="837" t="inlineStr">
        <is>
          <t>Max PFA &amp; NC</t>
        </is>
      </c>
      <c r="C382" s="838" t="n"/>
      <c r="D382" s="838">
        <f>IF(G382=G378,D378,D381)</f>
        <v/>
      </c>
      <c r="E382" s="839" t="n"/>
      <c r="F382" s="839" t="n"/>
      <c r="G382" s="839">
        <f>IF(AND(J378=TRUE,J381=FALSE),G378,IF(AND(J378=FALSE,J381=TRUE),G381,IF(AND(J378=TRUE,J381=TRUE),G378+G381,MAX(G378,G381))))</f>
        <v/>
      </c>
      <c r="H382" s="1714" t="n"/>
      <c r="I382" s="840" t="n"/>
      <c r="J382" s="841">
        <f>IF(AND(J378=FALSE,J381=FALSE),FALSE,TRUE)</f>
        <v/>
      </c>
      <c r="K382" s="1698" t="n"/>
      <c r="L382" s="1698" t="n"/>
      <c r="M382" s="1698" t="n"/>
      <c r="N382" s="1715" t="n"/>
      <c r="O382" s="1714" t="n"/>
      <c r="P382" s="840" t="n"/>
      <c r="Q382" s="841">
        <f>IF(AND(Q378=FALSE,Q381=FALSE),FALSE,TRUE)</f>
        <v/>
      </c>
      <c r="R382" s="1714" t="n"/>
      <c r="S382" s="840" t="n"/>
      <c r="T382" s="841">
        <f>IF(AND(T378=FALSE,T381=FALSE),FALSE,TRUE)</f>
        <v/>
      </c>
      <c r="U382" s="978" t="n"/>
      <c r="V382" s="978" t="inlineStr">
        <is>
          <t>et</t>
        </is>
      </c>
      <c r="W382" s="1473" t="n"/>
      <c r="X382" s="2002" t="n"/>
      <c r="Y382" s="1478" t="n"/>
      <c r="Z382" s="2002" t="n"/>
      <c r="AA382" s="1481" t="n"/>
      <c r="AC382" s="1013">
        <f>IF(J382=TRUE,"V","F")</f>
        <v/>
      </c>
      <c r="AD382" s="1014" t="n"/>
      <c r="AE382" s="1013">
        <f>IF(Q382=TRUE,"V","F")</f>
        <v/>
      </c>
      <c r="AF382" s="1014" t="n"/>
      <c r="AG382" s="1013">
        <f>IF(T382=TRUE,"V","F")</f>
        <v/>
      </c>
      <c r="AH382" s="1014" t="n"/>
      <c r="AI382">
        <f>IF(OR(AC382="V",AE382="V"),IF(G381&gt;G378,"Le NC contribue plus que le coparent","Le coparent joue un plus grand rôle que le NC"),"pas de contexte significatif de la part du coparent et NC")</f>
        <v/>
      </c>
      <c r="AJ382" s="10" t="n"/>
      <c r="AK382" s="10" t="n"/>
      <c r="AL382" s="10" t="n"/>
      <c r="AQ382" s="7" t="n"/>
      <c r="AR382" s="849" t="n"/>
      <c r="AS382" s="111" t="n"/>
      <c r="AT382" s="487" t="n"/>
      <c r="AU382" s="114" t="n"/>
      <c r="AV382" s="491" t="n"/>
      <c r="AW382" s="114" t="n"/>
      <c r="AX382" s="492" t="n"/>
      <c r="AY382" s="488" t="n"/>
    </row>
    <row r="383" ht="54" customHeight="1">
      <c r="B383" s="316">
        <f>'Action-Réaction finale'!O59</f>
        <v/>
      </c>
      <c r="C383" s="2066">
        <f>Test_Bible!B303</f>
        <v/>
      </c>
      <c r="D383" s="102" t="inlineStr">
        <is>
          <t>est informé du contexte juridique ou autre sujet associé au conflit</t>
        </is>
      </c>
      <c r="E383" s="823">
        <f>Test_Bible!P303</f>
        <v/>
      </c>
      <c r="F383" s="822">
        <f>Test_Bible!D303</f>
        <v/>
      </c>
      <c r="G383" s="823">
        <f>Test_Bible!Q303</f>
        <v/>
      </c>
      <c r="H383" s="1710" t="n">
        <v>4</v>
      </c>
      <c r="I383" s="1703">
        <f>$I$18</f>
        <v/>
      </c>
      <c r="J383" s="46">
        <f>IF(AND(E383&gt;=H383,E383&lt;=I383),TRUE,FALSE)</f>
        <v/>
      </c>
      <c r="K383" s="46" t="n"/>
      <c r="L383" s="46" t="n"/>
      <c r="M383" s="46" t="n"/>
      <c r="N383" s="1711" t="n"/>
      <c r="O383" s="1710" t="n">
        <v>2</v>
      </c>
      <c r="P383" s="1703" t="n">
        <v>7</v>
      </c>
      <c r="Q383" s="1711">
        <f>IF(AND(E383&gt;=O383,E383&lt;=P383),TRUE,FALSE)</f>
        <v/>
      </c>
      <c r="R383" s="1710" t="n"/>
      <c r="S383" s="1703" t="n"/>
      <c r="T383" s="1711" t="n"/>
      <c r="U383" s="978" t="n"/>
      <c r="V383" s="1484" t="n"/>
      <c r="W383" s="1485" t="n">
        <v>2</v>
      </c>
      <c r="X383" s="2029" t="n"/>
      <c r="Y383" s="1489" t="n">
        <v>2</v>
      </c>
      <c r="Z383" s="2029" t="n"/>
      <c r="AA383" s="1497" t="n">
        <v>11</v>
      </c>
      <c r="AC383" s="1013" t="inlineStr">
        <is>
          <t> </t>
        </is>
      </c>
      <c r="AD383" s="1014" t="n"/>
      <c r="AE383" s="1013" t="n"/>
      <c r="AF383" s="1014" t="n"/>
      <c r="AG383" s="1013" t="n"/>
      <c r="AH383" s="1014" t="n"/>
      <c r="AJ383" s="10" t="n"/>
      <c r="AK383" s="10" t="n"/>
      <c r="AL383" s="10" t="n"/>
      <c r="AQ383" s="7" t="n"/>
      <c r="AR383" s="849" t="n"/>
      <c r="AS383" s="111" t="n"/>
      <c r="AT383" s="487" t="n"/>
      <c r="AU383" s="114" t="n"/>
      <c r="AV383" s="491" t="n"/>
      <c r="AW383" s="114" t="n"/>
      <c r="AX383" s="492" t="n"/>
      <c r="AY383" s="488" t="n"/>
    </row>
    <row r="384" ht="41" customHeight="1">
      <c r="B384" s="316">
        <f>Test_Bible!A285</f>
        <v/>
      </c>
      <c r="C384" s="2066">
        <f>Test_Bible!B285</f>
        <v/>
      </c>
      <c r="D384" s="102" t="n"/>
      <c r="E384" s="823">
        <f>Test_Bible!P285</f>
        <v/>
      </c>
      <c r="F384" s="822">
        <f>Test_Bible!D285</f>
        <v/>
      </c>
      <c r="G384" s="823">
        <f>Test_Bible!Q285</f>
        <v/>
      </c>
      <c r="H384" s="1710" t="n">
        <v>4</v>
      </c>
      <c r="I384" s="1703">
        <f>$I$18</f>
        <v/>
      </c>
      <c r="J384" s="46">
        <f>IF(AND(E384&gt;=H384,E384&lt;=I384),TRUE,FALSE)</f>
        <v/>
      </c>
      <c r="K384" s="46" t="n"/>
      <c r="L384" s="46" t="n"/>
      <c r="M384" s="46" t="n"/>
      <c r="N384" s="1711" t="n"/>
      <c r="O384" s="1710" t="n">
        <v>2</v>
      </c>
      <c r="P384" s="1703" t="n">
        <v>7</v>
      </c>
      <c r="Q384" s="1711">
        <f>IF(AND(E384&gt;=O384,E384&lt;=P384),TRUE,FALSE)</f>
        <v/>
      </c>
      <c r="R384" s="1710" t="n"/>
      <c r="S384" s="1703" t="n"/>
      <c r="T384" s="1711" t="n"/>
      <c r="U384" s="978" t="n"/>
      <c r="V384" s="1491" t="n"/>
      <c r="W384" s="1473" t="n"/>
      <c r="X384" s="2002" t="n"/>
      <c r="Y384" s="1478" t="n"/>
      <c r="Z384" s="2002" t="n"/>
      <c r="AA384" s="1513" t="n"/>
      <c r="AC384" s="1013" t="n"/>
      <c r="AD384" s="1014" t="n"/>
      <c r="AE384" s="1013" t="n"/>
      <c r="AF384" s="1014" t="n"/>
      <c r="AG384" s="1013" t="n"/>
      <c r="AH384" s="1014" t="n"/>
      <c r="AJ384" s="10" t="n"/>
      <c r="AK384" s="10" t="n"/>
      <c r="AL384" s="10" t="n"/>
      <c r="AQ384" s="7" t="n"/>
      <c r="AR384" s="849" t="n"/>
      <c r="AS384" s="111" t="n"/>
      <c r="AT384" s="487" t="n"/>
      <c r="AU384" s="114" t="n"/>
      <c r="AV384" s="491" t="n"/>
      <c r="AW384" s="114" t="n"/>
      <c r="AX384" s="492" t="n"/>
      <c r="AY384" s="488" t="n"/>
    </row>
    <row r="385" ht="45" customHeight="1" thickBot="1">
      <c r="B385" s="316">
        <f>Test_Bible!A320</f>
        <v/>
      </c>
      <c r="C385" s="2066">
        <f>Test_Bible!B320</f>
        <v/>
      </c>
      <c r="D385" s="102" t="n"/>
      <c r="E385" s="823">
        <f>Test_Bible!P320</f>
        <v/>
      </c>
      <c r="F385" s="822">
        <f>Test_Bible!D320</f>
        <v/>
      </c>
      <c r="G385" s="823">
        <f>Test_Bible!Q320</f>
        <v/>
      </c>
      <c r="H385" s="1710" t="n">
        <v>4</v>
      </c>
      <c r="I385" s="1703">
        <f>$I$18</f>
        <v/>
      </c>
      <c r="J385" s="46">
        <f>IF(AND(E385&gt;=H385,E385&lt;=I385),TRUE,FALSE)</f>
        <v/>
      </c>
      <c r="K385" s="46" t="n"/>
      <c r="L385" s="46" t="n"/>
      <c r="M385" s="46" t="n"/>
      <c r="N385" s="1711" t="n"/>
      <c r="O385" s="1710" t="n">
        <v>2</v>
      </c>
      <c r="P385" s="1703" t="n">
        <v>7</v>
      </c>
      <c r="Q385" s="1711">
        <f>IF(AND(E385&gt;=O385,E385&lt;=P385),TRUE,FALSE)</f>
        <v/>
      </c>
      <c r="R385" s="1735" t="n"/>
      <c r="S385" s="1736" t="n"/>
      <c r="T385" s="1711" t="n"/>
      <c r="U385" s="978" t="n"/>
      <c r="V385" s="1487" t="inlineStr">
        <is>
          <t>ou</t>
        </is>
      </c>
      <c r="W385" s="1506" t="n">
        <v>11</v>
      </c>
      <c r="X385" s="1507" t="n"/>
      <c r="Y385" s="1508" t="n">
        <v>11</v>
      </c>
      <c r="Z385" s="1507" t="n"/>
      <c r="AA385" s="1502" t="n">
        <v>11</v>
      </c>
      <c r="AC385" s="1013" t="n"/>
      <c r="AD385" s="1014" t="n"/>
      <c r="AE385" s="1013" t="n"/>
      <c r="AF385" s="1014" t="n"/>
      <c r="AG385" s="1013" t="n"/>
      <c r="AH385" s="1014" t="n"/>
      <c r="AJ385" s="10" t="n"/>
      <c r="AK385" s="10" t="n"/>
      <c r="AL385" s="10" t="n"/>
      <c r="AQ385" s="7" t="n"/>
      <c r="AR385" s="849" t="n"/>
      <c r="AS385" s="111" t="n"/>
      <c r="AT385" s="487" t="n"/>
      <c r="AU385" s="114" t="n"/>
      <c r="AV385" s="491" t="n"/>
      <c r="AW385" s="114" t="n"/>
      <c r="AX385" s="492" t="n"/>
      <c r="AY385" s="488" t="n"/>
    </row>
    <row r="386" ht="32" customHeight="1" thickBot="1">
      <c r="B386" s="842" t="inlineStr">
        <is>
          <t>Max Enf</t>
        </is>
      </c>
      <c r="C386" s="843">
        <f>_xlfn.XLOOKUP(G386,G383:G385,C383:C385)</f>
        <v/>
      </c>
      <c r="D386" s="843">
        <f>_xlfn.XLOOKUP(G386,G383:G385,D383:D385)</f>
        <v/>
      </c>
      <c r="E386" s="844" t="n"/>
      <c r="F386" s="844" t="n"/>
      <c r="G386" s="844">
        <f>IF(AND(J383=TRUE,J385=FALSE),G383,IF(AND(J383=FALSE,J385=TRUE),G385,MAX(G383,G385)))</f>
        <v/>
      </c>
      <c r="H386" s="1716" t="n"/>
      <c r="I386" s="845" t="n"/>
      <c r="J386" s="846">
        <f>IF(AND(J383=FALSE,J385=FALSE),FALSE,TRUE)</f>
        <v/>
      </c>
      <c r="K386" s="1699" t="n"/>
      <c r="L386" s="1699" t="n"/>
      <c r="M386" s="1699" t="n"/>
      <c r="N386" s="1717" t="n"/>
      <c r="O386" s="1716" t="n"/>
      <c r="P386" s="845" t="n"/>
      <c r="Q386" s="846">
        <f>IF(AND(Q383=FALSE,Q385=FALSE),FALSE,TRUE)</f>
        <v/>
      </c>
      <c r="R386" s="1716" t="n"/>
      <c r="S386" s="845" t="n"/>
      <c r="T386" s="846" t="n"/>
      <c r="U386" s="978" t="n"/>
      <c r="V386" s="978" t="n"/>
      <c r="W386" s="1475" t="n"/>
      <c r="Y386" s="1479" t="n"/>
      <c r="AA386" s="1483" t="n"/>
      <c r="AC386" s="1013">
        <f>IF(J386=TRUE,"V","F")</f>
        <v/>
      </c>
      <c r="AD386" s="1014" t="n"/>
      <c r="AE386" s="1013">
        <f>IF(Q386=TRUE,"V","F")</f>
        <v/>
      </c>
      <c r="AF386" s="1014" t="n"/>
      <c r="AG386" s="1013" t="n"/>
      <c r="AH386" s="1014" t="n"/>
      <c r="AJ386" s="10" t="n"/>
      <c r="AK386" s="10" t="n"/>
      <c r="AL386" s="10" t="n"/>
      <c r="AR386" s="849" t="n"/>
      <c r="AS386" s="111" t="n"/>
      <c r="AT386" s="487" t="n"/>
      <c r="AU386" s="114" t="n"/>
      <c r="AV386" s="491" t="n"/>
      <c r="AW386" s="114" t="n"/>
      <c r="AX386" s="492" t="n"/>
      <c r="AY386" s="488" t="n"/>
    </row>
    <row r="387" ht="32" customHeight="1">
      <c r="C387" s="428" t="inlineStr">
        <is>
          <t>COMPARATIF Comportement PFA-Enf</t>
        </is>
      </c>
      <c r="D387" s="2058" t="n"/>
      <c r="E387" s="484" t="inlineStr">
        <is>
          <t>Valeur =&gt;</t>
        </is>
      </c>
      <c r="F387" s="48" t="n"/>
      <c r="G387" s="48">
        <f>G378+G381+G386</f>
        <v/>
      </c>
      <c r="H387" s="1718" t="n"/>
      <c r="I387" s="485" t="n"/>
      <c r="J387" s="1701" t="n"/>
      <c r="K387" s="1702">
        <f>IF(AND(J386=TRUE,J382=TRUE),D386,"")</f>
        <v/>
      </c>
      <c r="L387" s="1702">
        <f>IF(AND(J382=TRUE,J386=FALSE),"Bien que le parent "&amp;D382&amp;" l'enfant ne semble pas s'ingérer","")</f>
        <v/>
      </c>
      <c r="M387" s="1702">
        <f>IF(AND(J382=FALSE,J386=TRUE),D386&amp;" sans signe de la participation du parent favorisé et|ou nouveau conjoint.e","")</f>
        <v/>
      </c>
      <c r="N387" s="1719">
        <f>IF(AND(J382=FALSE,J386=FALSE),"aucun comportement significatif de cette nature","")</f>
        <v/>
      </c>
      <c r="O387" s="1718" t="n"/>
      <c r="P387" s="485" t="n"/>
      <c r="Q387" s="1727" t="n"/>
      <c r="R387" s="1718" t="n"/>
      <c r="S387" s="485" t="n"/>
      <c r="T387" s="1727" t="n"/>
      <c r="U387" s="980" t="n"/>
      <c r="V387" s="980" t="n"/>
      <c r="W387" s="1475" t="n"/>
      <c r="Y387" s="1479" t="n"/>
      <c r="AA387" s="1483" t="n"/>
      <c r="AC387" s="1015" t="n"/>
      <c r="AD387" s="1016">
        <f>IF(AND(AC382="V",AC386="V"),2,IF(OR(AC382="V",AC386="V"),1,0))</f>
        <v/>
      </c>
      <c r="AE387" s="1015" t="n"/>
      <c r="AF387" s="1016">
        <f>IF(OR(AE382="V",AE386="V"),1,0)</f>
        <v/>
      </c>
      <c r="AG387" s="1015" t="n"/>
      <c r="AH387" s="1016" t="n"/>
      <c r="AJ387" s="10" t="n"/>
      <c r="AK387" s="10" t="n"/>
      <c r="AL387" s="10" t="n"/>
      <c r="AR387" s="849" t="n"/>
      <c r="AS387" s="111" t="n"/>
      <c r="AT387" s="487" t="n"/>
      <c r="AU387" s="114" t="n"/>
      <c r="AV387" s="491" t="n"/>
      <c r="AW387" s="114" t="n"/>
      <c r="AX387" s="492" t="n"/>
      <c r="AY387" s="488" t="n"/>
    </row>
    <row r="388" ht="32" customHeight="1">
      <c r="B388" t="inlineStr">
        <is>
          <t>PCR</t>
        </is>
      </c>
      <c r="H388" s="147" t="n"/>
      <c r="K388" s="1992" t="n"/>
      <c r="L388" s="1992" t="n"/>
      <c r="M388" s="1992" t="n"/>
      <c r="N388" s="1740" t="n"/>
      <c r="O388" s="147" t="n"/>
      <c r="Q388" s="330" t="n"/>
      <c r="R388" s="147" t="n"/>
      <c r="T388" s="330" t="n"/>
      <c r="U388" s="1992" t="n"/>
      <c r="AC388" s="1013" t="n"/>
      <c r="AD388" s="1014" t="n"/>
      <c r="AE388" s="1013" t="n"/>
      <c r="AF388" s="1014" t="n"/>
      <c r="AG388" s="1013" t="n"/>
      <c r="AH388" s="1014" t="n"/>
      <c r="AJ388" s="10" t="n"/>
      <c r="AK388" s="10" t="n"/>
      <c r="AL388" s="10" t="n"/>
      <c r="AR388" s="849" t="n"/>
      <c r="AS388" s="111" t="n"/>
      <c r="AT388" s="487" t="n"/>
      <c r="AU388" s="114" t="n"/>
      <c r="AV388" s="491" t="n"/>
      <c r="AW388" s="114" t="n"/>
      <c r="AX388" s="492" t="n"/>
      <c r="AY388" s="488" t="n"/>
    </row>
    <row r="389" ht="32" customHeight="1">
      <c r="B389" s="1017">
        <f>'Action-Réaction finale'!S59</f>
        <v/>
      </c>
      <c r="C389" s="1018">
        <f>Test_Bible!B147</f>
        <v/>
      </c>
      <c r="D389" s="1018" t="n"/>
      <c r="E389" s="1026">
        <f>Test_Bible!P147</f>
        <v/>
      </c>
      <c r="F389" s="1026">
        <f>Test_Bible!D147</f>
        <v/>
      </c>
      <c r="G389" s="1026">
        <f>Test_Bible!Q147</f>
        <v/>
      </c>
      <c r="H389" s="1710" t="n">
        <v>4</v>
      </c>
      <c r="I389" s="1703" t="n">
        <v>10</v>
      </c>
      <c r="J389" s="46">
        <f>IF(AND(E389&gt;=H389,E389&lt;=I389),TRUE,FALSE)</f>
        <v/>
      </c>
      <c r="K389" s="33" t="n"/>
      <c r="L389" s="33" t="n"/>
      <c r="M389" s="33" t="n"/>
      <c r="N389" s="1720" t="n"/>
      <c r="O389" s="1735" t="n">
        <v>11</v>
      </c>
      <c r="P389" s="1736" t="n">
        <v>11</v>
      </c>
      <c r="Q389" s="1711">
        <f>IF(AND(E389&gt;=O389,E389&lt;=P389),TRUE,FALSE)</f>
        <v/>
      </c>
      <c r="R389" s="1710" t="n">
        <v>4</v>
      </c>
      <c r="S389" s="1703" t="n">
        <v>7</v>
      </c>
      <c r="T389" s="1711">
        <f>IF(AND(E389&gt;=R389,E389&lt;=S389),TRUE,FALSE)</f>
        <v/>
      </c>
      <c r="U389" s="1992" t="n"/>
      <c r="V389" s="1509" t="n"/>
      <c r="W389" s="1485" t="n">
        <v>4</v>
      </c>
      <c r="X389" s="1504" t="n"/>
      <c r="Y389" s="1505" t="n">
        <v>11</v>
      </c>
      <c r="Z389" s="1504" t="n"/>
      <c r="AA389" s="1496" t="n">
        <v>4</v>
      </c>
      <c r="AC389" s="1013" t="n"/>
      <c r="AD389" s="1014" t="n"/>
      <c r="AE389" s="1013" t="n"/>
      <c r="AF389" s="1014" t="n"/>
      <c r="AG389" s="1013" t="n"/>
      <c r="AH389" s="1014" t="n"/>
      <c r="AJ389" s="10" t="n"/>
      <c r="AK389" s="10" t="n"/>
      <c r="AL389" s="10" t="n"/>
      <c r="AR389" s="849" t="n"/>
      <c r="AS389" s="111" t="n"/>
      <c r="AT389" s="487" t="n"/>
      <c r="AU389" s="114" t="n"/>
      <c r="AV389" s="491" t="n"/>
      <c r="AW389" s="114" t="n"/>
      <c r="AX389" s="492" t="n"/>
      <c r="AY389" s="488" t="n"/>
    </row>
    <row r="390" ht="32" customHeight="1" thickBot="1">
      <c r="B390" s="1017" t="n"/>
      <c r="C390" s="1025" t="n"/>
      <c r="D390" s="1018" t="n"/>
      <c r="E390" s="1026" t="n"/>
      <c r="F390" s="1026" t="n"/>
      <c r="G390" s="1026" t="n"/>
      <c r="H390" s="1735" t="n">
        <v>11</v>
      </c>
      <c r="I390" s="1736" t="n">
        <v>11</v>
      </c>
      <c r="J390" s="46">
        <f>IF(AND(E390&gt;=H390,E390&lt;=I390),TRUE,FALSE)</f>
        <v/>
      </c>
      <c r="K390" s="33" t="n"/>
      <c r="L390" s="33" t="n"/>
      <c r="M390" s="33" t="n"/>
      <c r="N390" s="1720" t="n"/>
      <c r="O390" s="1735" t="n">
        <v>11</v>
      </c>
      <c r="P390" s="1736" t="n">
        <v>11</v>
      </c>
      <c r="Q390" s="1711">
        <f>IF(AND(E390&gt;=O390,E390&lt;=P390),TRUE,FALSE)</f>
        <v/>
      </c>
      <c r="R390" s="1735" t="n">
        <v>11</v>
      </c>
      <c r="S390" s="1736" t="n">
        <v>11</v>
      </c>
      <c r="T390" s="1711">
        <f>IF(AND(E390&gt;=R390,E390&lt;=S390),TRUE,FALSE)</f>
        <v/>
      </c>
      <c r="V390" s="1510" t="n"/>
      <c r="W390" s="1506" t="n">
        <v>11</v>
      </c>
      <c r="X390" s="1507" t="n"/>
      <c r="Y390" s="1508" t="n">
        <v>11</v>
      </c>
      <c r="Z390" s="1507" t="n"/>
      <c r="AA390" s="1502" t="n">
        <v>11</v>
      </c>
      <c r="AC390" s="1013" t="n"/>
      <c r="AD390" s="1014" t="n"/>
      <c r="AE390" s="1013" t="n"/>
      <c r="AF390" s="1014" t="n"/>
      <c r="AG390" s="1013" t="n"/>
      <c r="AH390" s="1014" t="n"/>
      <c r="AJ390" s="10" t="n"/>
      <c r="AK390" s="10" t="n"/>
      <c r="AL390" s="10" t="n"/>
      <c r="AR390" s="849" t="n"/>
      <c r="AS390" s="111" t="n"/>
      <c r="AT390" s="487" t="n"/>
      <c r="AU390" s="114" t="n"/>
      <c r="AV390" s="491" t="n"/>
      <c r="AW390" s="114" t="n"/>
      <c r="AX390" s="492" t="n"/>
      <c r="AY390" s="488" t="n"/>
    </row>
    <row r="391" ht="32" customHeight="1" thickBot="1">
      <c r="C391" s="2073" t="n"/>
      <c r="D391" s="2073" t="n"/>
      <c r="E391" s="90" t="n"/>
      <c r="F391" s="483" t="n"/>
      <c r="G391" s="483" t="n"/>
      <c r="H391" s="1732" t="n"/>
      <c r="I391" s="1733" t="n"/>
      <c r="J391" s="1739">
        <f>IF(AND(J389=FALSE,J390=FALSE),FALSE,TRUE)</f>
        <v/>
      </c>
      <c r="K391" s="1721" t="n"/>
      <c r="L391" s="1722" t="n"/>
      <c r="M391" s="1722" t="n"/>
      <c r="N391" s="1723" t="n"/>
      <c r="O391" s="1732" t="n"/>
      <c r="P391" s="1733" t="n"/>
      <c r="Q391" s="1739">
        <f>IF(AND(Q389=FALSE,Q390=FALSE),FALSE,TRUE)</f>
        <v/>
      </c>
      <c r="R391" s="1744" t="n"/>
      <c r="S391" s="1745" t="n"/>
      <c r="T391" s="1746">
        <f>IF(AND(T389=FALSE,T390=FALSE),FALSE,TRUE)</f>
        <v/>
      </c>
      <c r="U391" s="980" t="n"/>
      <c r="AC391" s="1650">
        <f>IF(J391=TRUE,"V","F")</f>
        <v/>
      </c>
      <c r="AD391" s="1651" t="n"/>
      <c r="AE391" s="1650">
        <f>IF(Q391=TRUE,"V","F")</f>
        <v/>
      </c>
      <c r="AF391" s="1651" t="n"/>
      <c r="AG391" s="1650">
        <f>IF(T391=TRUE,"V","F")</f>
        <v/>
      </c>
      <c r="AH391" s="1651" t="n"/>
      <c r="AJ391" s="10" t="n"/>
      <c r="AK391" s="10" t="n"/>
      <c r="AL391" s="10" t="n"/>
      <c r="AR391" s="849" t="n"/>
      <c r="AS391" s="111" t="n"/>
      <c r="AT391" s="487" t="n"/>
      <c r="AU391" s="114" t="n"/>
      <c r="AV391" s="491" t="n"/>
      <c r="AW391" s="114" t="n"/>
      <c r="AX391" s="492" t="n"/>
      <c r="AY391" s="488" t="n"/>
    </row>
    <row r="392" ht="32" customHeight="1" thickBot="1">
      <c r="C392" s="2073" t="n"/>
      <c r="D392" s="2073" t="n"/>
      <c r="E392" s="90" t="n"/>
      <c r="F392" s="483" t="n"/>
      <c r="G392" s="483" t="n"/>
      <c r="H392" s="2002" t="n"/>
      <c r="I392" s="2002" t="n"/>
      <c r="J392" s="979" t="n"/>
      <c r="K392" s="980" t="n"/>
      <c r="L392" s="980" t="n"/>
      <c r="M392" s="980" t="n"/>
      <c r="N392" s="980" t="n"/>
      <c r="O392" s="980" t="n"/>
      <c r="P392" s="980" t="n"/>
      <c r="Q392" s="980" t="n"/>
      <c r="R392" s="980" t="n"/>
      <c r="S392" s="980" t="n"/>
      <c r="T392" s="980" t="n"/>
      <c r="U392" s="980" t="n"/>
      <c r="V392" s="980" t="n"/>
      <c r="AC392" s="1737" t="n"/>
      <c r="AD392" s="1738">
        <f>IF(AND(AC391="V",AC382="V"),AD387-1,AD387)</f>
        <v/>
      </c>
      <c r="AE392" s="1737" t="n"/>
      <c r="AF392" s="1738">
        <f>IF(OR(AE382="V",AE386="V",AE391="V"),1,0)</f>
        <v/>
      </c>
      <c r="AG392" s="1737" t="n"/>
      <c r="AH392" s="1738">
        <f>IF(AG382="V",1,IF(AG391="V",1,0))</f>
        <v/>
      </c>
      <c r="AJ392" s="10" t="n">
        <v>1</v>
      </c>
      <c r="AK392" s="10" t="n">
        <v>1</v>
      </c>
      <c r="AL392" s="10" t="n">
        <v>1</v>
      </c>
      <c r="AR392" s="849" t="n"/>
      <c r="AS392" s="111" t="n"/>
      <c r="AT392" s="487" t="n"/>
      <c r="AU392" s="114" t="n"/>
      <c r="AV392" s="491" t="n"/>
      <c r="AW392" s="114" t="n"/>
      <c r="AX392" s="492" t="n"/>
      <c r="AY392" s="488" t="n"/>
    </row>
    <row r="393" ht="32" customHeight="1">
      <c r="C393" s="2073" t="n"/>
      <c r="D393" s="2073" t="n"/>
      <c r="E393" s="90" t="n"/>
      <c r="F393" s="483" t="n"/>
      <c r="G393" s="483" t="n"/>
      <c r="H393" s="1704" t="n"/>
      <c r="I393" s="1705" t="n"/>
      <c r="J393" s="1706" t="n"/>
      <c r="K393" s="2056" t="n"/>
      <c r="L393" s="709" t="n"/>
      <c r="M393" s="709" t="n"/>
      <c r="N393" s="1707" t="n"/>
      <c r="O393" s="1724" t="n"/>
      <c r="P393" s="1706" t="n"/>
      <c r="Q393" s="1707" t="n"/>
      <c r="R393" s="1724" t="n"/>
      <c r="S393" s="1706" t="n"/>
      <c r="T393" s="1707" t="n"/>
      <c r="U393" s="980" t="n"/>
      <c r="V393" s="980" t="n"/>
      <c r="AC393" s="1756" t="n"/>
      <c r="AD393" s="1757" t="n"/>
      <c r="AE393" s="1490" t="n"/>
      <c r="AF393" s="1490" t="n"/>
      <c r="AG393" s="1490" t="n"/>
      <c r="AH393" s="1490" t="n"/>
      <c r="AJ393" s="10" t="n"/>
      <c r="AK393" s="10" t="n"/>
      <c r="AL393" s="10" t="n"/>
      <c r="AR393" s="849" t="n"/>
      <c r="AS393" s="111" t="n"/>
      <c r="AT393" s="487" t="n"/>
      <c r="AU393" s="114" t="n"/>
      <c r="AV393" s="491" t="n"/>
      <c r="AW393" s="114" t="n"/>
      <c r="AX393" s="492" t="n"/>
      <c r="AY393" s="488" t="n"/>
    </row>
    <row r="394" ht="32" customHeight="1">
      <c r="A394" s="853" t="n">
        <v>20</v>
      </c>
      <c r="C394" s="486">
        <f>'Action-Réaction finale'!F63</f>
        <v/>
      </c>
      <c r="D394" s="108" t="n"/>
      <c r="E394" s="66" t="n"/>
      <c r="F394" s="18" t="n"/>
      <c r="G394" s="18" t="n"/>
      <c r="H394" s="2052" t="inlineStr">
        <is>
          <t>AP</t>
        </is>
      </c>
      <c r="K394" s="2055" t="inlineStr">
        <is>
          <t>Dynamique d'AP</t>
        </is>
      </c>
      <c r="N394" s="330" t="n"/>
      <c r="O394" s="2122" t="inlineStr">
        <is>
          <t>CL</t>
        </is>
      </c>
      <c r="Q394" s="330" t="n"/>
      <c r="R394" s="2123" t="inlineStr">
        <is>
          <t>CSS</t>
        </is>
      </c>
      <c r="T394" s="330" t="n"/>
      <c r="U394" s="15" t="n"/>
      <c r="V394" s="15" t="n"/>
      <c r="AC394" s="1009" t="n"/>
      <c r="AD394" s="1009" t="n"/>
      <c r="AE394" s="1009" t="n"/>
      <c r="AF394" s="1009" t="n"/>
      <c r="AG394" s="1009" t="n"/>
      <c r="AH394" s="1010" t="n"/>
      <c r="AJ394" s="10" t="n"/>
      <c r="AK394" s="10" t="n"/>
      <c r="AL394" s="10" t="n"/>
      <c r="AR394" s="849" t="n"/>
      <c r="AS394" s="111" t="n"/>
      <c r="AT394" s="487" t="n"/>
      <c r="AU394" s="114" t="n"/>
      <c r="AV394" s="491" t="n"/>
      <c r="AW394" s="114" t="n"/>
      <c r="AX394" s="492" t="n"/>
      <c r="AY394" s="488" t="n"/>
    </row>
    <row r="395" ht="32" customHeight="1">
      <c r="C395" s="103" t="inlineStr">
        <is>
          <t>Questions et sous-questions</t>
        </is>
      </c>
      <c r="D395" s="1043" t="inlineStr">
        <is>
          <t>Texte écourté pour titrer dans les baromètres ou rapport</t>
        </is>
      </c>
      <c r="E395" s="33" t="inlineStr">
        <is>
          <t>Valeur de base
Fréquence (F)</t>
        </is>
      </c>
      <c r="F395" s="33" t="inlineStr">
        <is>
          <t>Valeur de base
intensité (I)</t>
        </is>
      </c>
      <c r="G395" s="33" t="inlineStr">
        <is>
          <t>F * I</t>
        </is>
      </c>
      <c r="H395" s="1708" t="inlineStr">
        <is>
          <t>Condition Fréq. 
&gt;= que</t>
        </is>
      </c>
      <c r="I395" s="44" t="inlineStr">
        <is>
          <t>Condition Fré
&lt;= que</t>
        </is>
      </c>
      <c r="J395" s="44" t="inlineStr">
        <is>
          <t>Condition respectée</t>
        </is>
      </c>
      <c r="K395" s="44" t="inlineStr">
        <is>
          <t>"VRAI" (PF&amp;NC) /  "VRAI" (Enf)</t>
        </is>
      </c>
      <c r="L395" s="44" t="inlineStr">
        <is>
          <t>Vrai (PF&amp;NC) /  Faux (Enf)</t>
        </is>
      </c>
      <c r="M395" s="44" t="inlineStr">
        <is>
          <t>Faux (PF&amp;NC) /  Vrai (Enf)</t>
        </is>
      </c>
      <c r="N395" s="1709" t="inlineStr">
        <is>
          <t>Faux (PF&amp;NC) /  Faux(Enf)</t>
        </is>
      </c>
      <c r="O395" s="1708" t="inlineStr">
        <is>
          <t>Condition Fréq. 
&gt;= que</t>
        </is>
      </c>
      <c r="P395" s="44" t="inlineStr">
        <is>
          <t>Condition Fré
&lt;= que</t>
        </is>
      </c>
      <c r="Q395" s="1709" t="inlineStr">
        <is>
          <t>Condition respectée</t>
        </is>
      </c>
      <c r="R395" s="1708" t="inlineStr">
        <is>
          <t>Condition Fréq. 
&gt;= que</t>
        </is>
      </c>
      <c r="S395" s="44" t="inlineStr">
        <is>
          <t>Condition Fré
&lt;= que</t>
        </is>
      </c>
      <c r="T395" s="1709" t="inlineStr">
        <is>
          <t>Condition respectée</t>
        </is>
      </c>
      <c r="U395" s="851" t="n"/>
      <c r="V395" s="1008" t="inlineStr">
        <is>
          <t>Condition</t>
        </is>
      </c>
      <c r="W395" s="1472" t="inlineStr">
        <is>
          <t>AP</t>
        </is>
      </c>
      <c r="X395" s="1008" t="inlineStr">
        <is>
          <t>Condition</t>
        </is>
      </c>
      <c r="Y395" s="1476" t="inlineStr">
        <is>
          <t>CL</t>
        </is>
      </c>
      <c r="Z395" s="1008" t="n"/>
      <c r="AA395" s="1480" t="inlineStr">
        <is>
          <t>CSS</t>
        </is>
      </c>
      <c r="AC395" s="1023" t="inlineStr">
        <is>
          <t>AP</t>
        </is>
      </c>
      <c r="AD395" s="1024" t="inlineStr">
        <is>
          <t>AP_F</t>
        </is>
      </c>
      <c r="AE395" s="1023" t="inlineStr">
        <is>
          <t>CL</t>
        </is>
      </c>
      <c r="AF395" s="1024" t="inlineStr">
        <is>
          <t>CL_F</t>
        </is>
      </c>
      <c r="AG395" s="1023" t="inlineStr">
        <is>
          <t>CSS</t>
        </is>
      </c>
      <c r="AH395" s="1024" t="inlineStr">
        <is>
          <t>CSS_F</t>
        </is>
      </c>
      <c r="AJ395" s="10" t="n"/>
      <c r="AK395" s="10" t="n"/>
      <c r="AL395" s="10" t="n"/>
      <c r="AR395" s="849" t="n"/>
      <c r="AS395" s="111" t="n"/>
      <c r="AT395" s="487" t="n"/>
      <c r="AU395" s="114" t="n"/>
      <c r="AV395" s="491" t="n"/>
      <c r="AW395" s="114" t="n"/>
      <c r="AX395" s="492" t="n"/>
      <c r="AY395" s="488" t="n"/>
    </row>
    <row r="396" ht="54" customHeight="1">
      <c r="B396" s="421">
        <f>'Action-Réaction finale'!G63</f>
        <v/>
      </c>
      <c r="C396" s="2066">
        <f>Test_Bible!B244</f>
        <v/>
      </c>
      <c r="D396" s="102" t="inlineStr">
        <is>
          <t>demande à l'enfant de faire les messages entourant la logistique</t>
        </is>
      </c>
      <c r="E396" s="823">
        <f>Test_Bible!P244</f>
        <v/>
      </c>
      <c r="F396" s="822">
        <f>Test_Bible!D244</f>
        <v/>
      </c>
      <c r="G396" s="823">
        <f>Test_Bible!Q244</f>
        <v/>
      </c>
      <c r="H396" s="1735" t="n">
        <v>11</v>
      </c>
      <c r="I396" s="1736" t="n">
        <v>11</v>
      </c>
      <c r="J396" s="46">
        <f>IF(AND(E396&gt;=H396,E396&lt;=I396),TRUE,FALSE)</f>
        <v/>
      </c>
      <c r="K396" s="46" t="n"/>
      <c r="L396" s="46" t="n"/>
      <c r="M396" s="46" t="n"/>
      <c r="N396" s="1711" t="n"/>
      <c r="O396" s="1710" t="n">
        <v>2</v>
      </c>
      <c r="P396" s="1703" t="n">
        <v>10</v>
      </c>
      <c r="Q396" s="1711">
        <f>IF(AND(E396&gt;=O396,E396&lt;=P396),TRUE,FALSE)</f>
        <v/>
      </c>
      <c r="R396" s="1710" t="n">
        <v>7</v>
      </c>
      <c r="S396" s="1703" t="n">
        <v>10</v>
      </c>
      <c r="T396" s="1711">
        <f>IF(AND(E396&gt;=R396,E396&lt;=S396),TRUE,FALSE)</f>
        <v/>
      </c>
      <c r="U396" s="978" t="n"/>
      <c r="V396" s="1484" t="n"/>
      <c r="W396" s="1503" t="n">
        <v>11</v>
      </c>
      <c r="X396" s="2029" t="n"/>
      <c r="Y396" s="1489" t="n">
        <v>4</v>
      </c>
      <c r="Z396" s="2029" t="n"/>
      <c r="AA396" s="1496" t="n">
        <v>4</v>
      </c>
      <c r="AC396" s="1011" t="n"/>
      <c r="AD396" s="1012" t="n"/>
      <c r="AE396" s="1011" t="n"/>
      <c r="AF396" s="1012" t="n"/>
      <c r="AG396" s="1011" t="n"/>
      <c r="AH396" s="1012" t="n"/>
      <c r="AJ396" s="10" t="n"/>
      <c r="AK396" s="10" t="n"/>
      <c r="AL396" s="10" t="n"/>
      <c r="AR396" s="849" t="n"/>
      <c r="AS396" s="111" t="n"/>
      <c r="AT396" s="487" t="n"/>
      <c r="AU396" s="114" t="n"/>
      <c r="AV396" s="491" t="n"/>
      <c r="AW396" s="114" t="n"/>
      <c r="AX396" s="492" t="n"/>
      <c r="AY396" s="488" t="n"/>
    </row>
    <row r="397" ht="32" customHeight="1">
      <c r="B397" s="421" t="inlineStr">
        <is>
          <t>PFA</t>
        </is>
      </c>
      <c r="C397" s="2066" t="n"/>
      <c r="D397" s="102" t="n"/>
      <c r="E397" s="823" t="n"/>
      <c r="F397" s="822" t="n"/>
      <c r="G397" s="823" t="n"/>
      <c r="H397" s="1735" t="n">
        <v>11</v>
      </c>
      <c r="I397" s="1736" t="n">
        <v>11</v>
      </c>
      <c r="J397" s="46">
        <f>IF(AND(E397&gt;=H397,E397&lt;=I397),TRUE,FALSE)</f>
        <v/>
      </c>
      <c r="K397" s="46" t="n"/>
      <c r="L397" s="46" t="n"/>
      <c r="M397" s="46" t="n"/>
      <c r="N397" s="1711" t="n"/>
      <c r="O397" s="1735" t="n">
        <v>11</v>
      </c>
      <c r="P397" s="1736" t="n">
        <v>11</v>
      </c>
      <c r="Q397" s="1711">
        <f>IF(AND(E397&gt;=O397,E397&lt;=P397),TRUE,FALSE)</f>
        <v/>
      </c>
      <c r="R397" s="1735" t="n">
        <v>11</v>
      </c>
      <c r="S397" s="1736" t="n">
        <v>11</v>
      </c>
      <c r="T397" s="1711">
        <f>IF(AND(E397&gt;=R397,E397&lt;=S397),TRUE,FALSE)</f>
        <v/>
      </c>
      <c r="U397" s="978" t="n"/>
      <c r="V397" s="1487" t="inlineStr">
        <is>
          <t>ou</t>
        </is>
      </c>
      <c r="W397" s="1506" t="n">
        <v>11</v>
      </c>
      <c r="X397" s="1507" t="n"/>
      <c r="Y397" s="1508" t="n">
        <v>11</v>
      </c>
      <c r="Z397" s="1507" t="n"/>
      <c r="AA397" s="1502" t="n">
        <v>11</v>
      </c>
      <c r="AC397" s="1013" t="n"/>
      <c r="AD397" s="1014" t="n"/>
      <c r="AE397" s="1013" t="n"/>
      <c r="AF397" s="1014" t="n"/>
      <c r="AG397" s="1013" t="n"/>
      <c r="AH397" s="1014" t="n"/>
      <c r="AJ397" s="10" t="n"/>
      <c r="AK397" s="10" t="n"/>
      <c r="AL397" s="10" t="n"/>
      <c r="AR397" s="849" t="n"/>
      <c r="AS397" s="111" t="n"/>
      <c r="AT397" s="487" t="n"/>
      <c r="AU397" s="114" t="n"/>
      <c r="AV397" s="491" t="n"/>
      <c r="AW397" s="114" t="n"/>
      <c r="AX397" s="492" t="n"/>
      <c r="AY397" s="488" t="n"/>
    </row>
    <row r="398" ht="32" customHeight="1">
      <c r="B398" s="825" t="inlineStr">
        <is>
          <t>Max PFA</t>
        </is>
      </c>
      <c r="C398" s="826">
        <f>_xlfn.XLOOKUP(G398,G396:G397,C396:C397)</f>
        <v/>
      </c>
      <c r="D398" s="827">
        <f>_xlfn.XLOOKUP(G398,G396:G397,D396:D397)</f>
        <v/>
      </c>
      <c r="E398" s="828" t="n"/>
      <c r="F398" s="828" t="n"/>
      <c r="G398" s="828">
        <f>IF(AND(J396=TRUE,J397=FALSE),G396,IF(AND(J396=FALSE,J397=TRUE),G397,MAX(G396,G397)))</f>
        <v/>
      </c>
      <c r="H398" s="1712" t="n"/>
      <c r="I398" s="829" t="n"/>
      <c r="J398" s="830">
        <f>IF(AND(J396=FALSE,J397=FALSE),FALSE,TRUE)</f>
        <v/>
      </c>
      <c r="K398" s="46" t="n"/>
      <c r="L398" s="46" t="n"/>
      <c r="M398" s="46" t="n"/>
      <c r="N398" s="1711" t="n"/>
      <c r="O398" s="1712" t="n"/>
      <c r="P398" s="829" t="n"/>
      <c r="Q398" s="1725">
        <f>IF(AND(Q396=FALSE,Q397=FALSE),FALSE,TRUE)</f>
        <v/>
      </c>
      <c r="R398" s="1712" t="n"/>
      <c r="S398" s="829" t="n"/>
      <c r="T398" s="1725">
        <f>IF(AND(T396=FALSE,T397=FALSE),FALSE,TRUE)</f>
        <v/>
      </c>
      <c r="U398" s="978" t="n"/>
      <c r="V398" s="978" t="inlineStr">
        <is>
          <t>ou</t>
        </is>
      </c>
      <c r="W398" s="1473" t="n"/>
      <c r="X398" s="2002" t="n"/>
      <c r="Y398" s="1478" t="n"/>
      <c r="Z398" s="2002" t="n"/>
      <c r="AA398" s="1481" t="n"/>
      <c r="AC398" s="1013" t="n"/>
      <c r="AD398" s="1014" t="n"/>
      <c r="AE398" s="1013" t="n"/>
      <c r="AF398" s="1014" t="n"/>
      <c r="AG398" s="1013" t="n"/>
      <c r="AH398" s="1014" t="n"/>
      <c r="AJ398" s="10" t="n"/>
      <c r="AK398" s="10" t="n"/>
      <c r="AL398" s="10" t="n"/>
      <c r="AR398" s="849" t="n"/>
      <c r="AS398" s="111" t="n"/>
      <c r="AT398" s="487" t="n"/>
      <c r="AU398" s="114" t="n"/>
      <c r="AV398" s="491" t="n"/>
      <c r="AW398" s="114" t="n"/>
      <c r="AX398" s="492" t="n"/>
      <c r="AY398" s="488" t="n"/>
    </row>
    <row r="399" ht="52" customHeight="1">
      <c r="B399" s="53">
        <f>'Action-Réaction finale'!K63</f>
        <v/>
      </c>
      <c r="C399" s="2066">
        <f>Test_Bible!B406</f>
        <v/>
      </c>
      <c r="D399" s="102" t="inlineStr">
        <is>
          <t>Le nouveau conjoint.e est responsable de la logistique familiale</t>
        </is>
      </c>
      <c r="E399" s="823">
        <f>Test_Bible!P406</f>
        <v/>
      </c>
      <c r="F399" s="822">
        <f>Test_Bible!D406</f>
        <v/>
      </c>
      <c r="G399" s="823">
        <f>Test_Bible!Q406</f>
        <v/>
      </c>
      <c r="H399" s="1710" t="n">
        <v>7</v>
      </c>
      <c r="I399" s="1703" t="n">
        <v>10</v>
      </c>
      <c r="J399" s="46">
        <f>IF(AND(E399&gt;=H399,E399&lt;=I399),TRUE,FALSE)</f>
        <v/>
      </c>
      <c r="K399" s="46" t="n"/>
      <c r="L399" s="46" t="n"/>
      <c r="M399" s="46" t="n"/>
      <c r="N399" s="1711" t="n"/>
      <c r="O399" s="1735" t="n">
        <v>11</v>
      </c>
      <c r="P399" s="1736" t="n">
        <v>11</v>
      </c>
      <c r="Q399" s="1711">
        <f>IF(AND(E399&gt;=O399,E399&lt;=P399),TRUE,FALSE)</f>
        <v/>
      </c>
      <c r="R399" s="1710" t="n">
        <v>7</v>
      </c>
      <c r="S399" s="1703" t="n">
        <v>10</v>
      </c>
      <c r="T399" s="1711">
        <f>IF(AND(E399&gt;=R399,E399&lt;=S399),TRUE,FALSE)</f>
        <v/>
      </c>
      <c r="U399" s="978" t="n"/>
      <c r="V399" s="1484" t="n"/>
      <c r="W399" s="1485" t="n">
        <v>7</v>
      </c>
      <c r="X399" s="2029" t="n"/>
      <c r="Y399" s="1505" t="n">
        <v>11</v>
      </c>
      <c r="Z399" s="2029" t="n"/>
      <c r="AA399" s="1497" t="n">
        <v>11</v>
      </c>
      <c r="AC399" s="1013" t="n"/>
      <c r="AD399" s="1014" t="n"/>
      <c r="AE399" s="1013" t="n"/>
      <c r="AF399" s="1014" t="n"/>
      <c r="AG399" s="1013" t="n"/>
      <c r="AH399" s="1014" t="n"/>
      <c r="AJ399" s="10" t="n"/>
      <c r="AK399" s="10" t="n"/>
      <c r="AL399" s="10" t="n"/>
      <c r="AR399" s="849" t="n"/>
      <c r="AS399" s="111" t="n"/>
      <c r="AT399" s="487" t="n"/>
      <c r="AU399" s="114" t="n"/>
      <c r="AV399" s="491" t="n"/>
      <c r="AW399" s="114" t="n"/>
      <c r="AX399" s="492" t="n"/>
      <c r="AY399" s="488" t="n"/>
    </row>
    <row r="400" ht="42" customHeight="1">
      <c r="A400" s="1815" t="n"/>
      <c r="B400" s="22">
        <f>Test_Bible!A399</f>
        <v/>
      </c>
      <c r="C400" s="799">
        <f>Test_Bible!B399</f>
        <v/>
      </c>
      <c r="D400" s="102" t="n"/>
      <c r="E400" s="823">
        <f>Test_Bible!P399</f>
        <v/>
      </c>
      <c r="F400" s="822">
        <f>Test_Bible!D399</f>
        <v/>
      </c>
      <c r="G400" s="823">
        <f>Test_Bible!Q399</f>
        <v/>
      </c>
      <c r="H400" s="1710" t="n">
        <v>4</v>
      </c>
      <c r="I400" s="1703" t="n">
        <v>10</v>
      </c>
      <c r="J400" s="46">
        <f>IF(AND(E400&gt;=H400,E400&lt;=I400),TRUE,FALSE)</f>
        <v/>
      </c>
      <c r="K400" s="46" t="n"/>
      <c r="L400" s="46" t="n"/>
      <c r="M400" s="46" t="n"/>
      <c r="N400" s="1711" t="n"/>
      <c r="O400" s="1735" t="n">
        <v>11</v>
      </c>
      <c r="P400" s="1736" t="n">
        <v>11</v>
      </c>
      <c r="Q400" s="1711">
        <f>IF(AND(E400&gt;=O400,E400&lt;=P400),TRUE,FALSE)</f>
        <v/>
      </c>
      <c r="R400" s="1710" t="n">
        <v>4</v>
      </c>
      <c r="S400" s="1703" t="n">
        <v>10</v>
      </c>
      <c r="T400" s="1711">
        <f>IF(AND(E400&gt;=R400,E400&lt;=S400),TRUE,FALSE)</f>
        <v/>
      </c>
      <c r="U400" s="978" t="n"/>
      <c r="V400" s="1491" t="n"/>
      <c r="W400" s="1473" t="n"/>
      <c r="X400" s="2002" t="n"/>
      <c r="Y400" s="1511" t="n"/>
      <c r="Z400" s="2002" t="n"/>
      <c r="AA400" s="1513" t="n"/>
      <c r="AC400" s="1013" t="n"/>
      <c r="AD400" s="1014" t="n"/>
      <c r="AE400" s="1013" t="n"/>
      <c r="AF400" s="1014" t="n"/>
      <c r="AG400" s="1013" t="n"/>
      <c r="AH400" s="1014" t="n"/>
      <c r="AJ400" s="10" t="n"/>
      <c r="AK400" s="10" t="n"/>
      <c r="AL400" s="10" t="n"/>
      <c r="AR400" s="849" t="n"/>
      <c r="AS400" s="111" t="n"/>
      <c r="AT400" s="487" t="n"/>
      <c r="AU400" s="114" t="n"/>
      <c r="AV400" s="491" t="n"/>
      <c r="AW400" s="114" t="n"/>
      <c r="AX400" s="492" t="n"/>
      <c r="AY400" s="488" t="n"/>
    </row>
    <row r="401" ht="58" customHeight="1">
      <c r="A401" s="1815" t="n"/>
      <c r="B401" s="22">
        <f>Test_Bible!A400</f>
        <v/>
      </c>
      <c r="C401" s="799">
        <f>Test_Bible!B400</f>
        <v/>
      </c>
      <c r="D401" s="63" t="n"/>
      <c r="E401" s="823">
        <f>Test_Bible!P400</f>
        <v/>
      </c>
      <c r="F401" s="822">
        <f>Test_Bible!D400</f>
        <v/>
      </c>
      <c r="G401" s="823">
        <f>Test_Bible!Q400</f>
        <v/>
      </c>
      <c r="H401" s="1710" t="n">
        <v>4</v>
      </c>
      <c r="I401" s="1703" t="n">
        <v>10</v>
      </c>
      <c r="J401" s="46">
        <f>IF(AND(E401&gt;=H401,E401&lt;=I401),TRUE,FALSE)</f>
        <v/>
      </c>
      <c r="K401" s="46" t="n"/>
      <c r="L401" s="46" t="n"/>
      <c r="M401" s="46" t="n"/>
      <c r="N401" s="1711" t="n"/>
      <c r="O401" s="1735" t="n">
        <v>11</v>
      </c>
      <c r="P401" s="1736" t="n">
        <v>11</v>
      </c>
      <c r="Q401" s="1711">
        <f>IF(AND(E401&gt;=O401,E401&lt;=P401),TRUE,FALSE)</f>
        <v/>
      </c>
      <c r="R401" s="1710" t="n">
        <v>4</v>
      </c>
      <c r="S401" s="1703" t="n">
        <v>10</v>
      </c>
      <c r="T401" s="1711">
        <f>IF(AND(E401&gt;=R401,E401&lt;=S401),TRUE,FALSE)</f>
        <v/>
      </c>
      <c r="U401" s="978" t="n"/>
      <c r="V401" s="1487" t="inlineStr">
        <is>
          <t>ou</t>
        </is>
      </c>
      <c r="W401" s="1506" t="n">
        <v>11</v>
      </c>
      <c r="X401" s="1507" t="n"/>
      <c r="Y401" s="1508" t="n">
        <v>11</v>
      </c>
      <c r="Z401" s="1507" t="n"/>
      <c r="AA401" s="1502" t="n">
        <v>11</v>
      </c>
      <c r="AC401" s="1013" t="n"/>
      <c r="AD401" s="1014" t="n"/>
      <c r="AE401" s="1013" t="n"/>
      <c r="AF401" s="1014" t="n"/>
      <c r="AG401" s="1013" t="n"/>
      <c r="AH401" s="1014" t="n"/>
      <c r="AJ401" s="10" t="n"/>
      <c r="AK401" s="10" t="n"/>
      <c r="AL401" s="10" t="n"/>
      <c r="AQ401" s="7" t="n"/>
      <c r="AR401" s="849" t="n"/>
      <c r="AS401" s="111" t="n"/>
      <c r="AT401" s="487" t="n"/>
      <c r="AU401" s="114" t="n"/>
      <c r="AV401" s="491" t="n"/>
      <c r="AW401" s="114" t="n"/>
      <c r="AX401" s="492" t="n"/>
      <c r="AY401" s="488" t="n"/>
    </row>
    <row r="402" ht="32" customHeight="1" thickBot="1">
      <c r="B402" s="831" t="inlineStr">
        <is>
          <t>Max NC</t>
        </is>
      </c>
      <c r="C402" s="832">
        <f>_xlfn.XLOOKUP(G402,G399:G401,C399:C401)</f>
        <v/>
      </c>
      <c r="D402" s="833">
        <f>_xlfn.XLOOKUP(G402,G399:G401,D399:D401)</f>
        <v/>
      </c>
      <c r="E402" s="834" t="n"/>
      <c r="F402" s="834" t="n"/>
      <c r="G402" s="834">
        <f>IF(AND(J399=TRUE,J401=FALSE),G399,IF(AND(J399=FALSE,J401=TRUE),G401,MAX(G399,G401)))</f>
        <v/>
      </c>
      <c r="H402" s="1713" t="n"/>
      <c r="I402" s="835" t="n"/>
      <c r="J402" s="836">
        <f>IF(AND(J399=FALSE,J400=FALSE,J401=FALSE),FALSE,TRUE)</f>
        <v/>
      </c>
      <c r="K402" s="46" t="n"/>
      <c r="L402" s="46" t="n"/>
      <c r="M402" s="46" t="n"/>
      <c r="N402" s="1711" t="n"/>
      <c r="O402" s="1713" t="n"/>
      <c r="P402" s="835" t="n"/>
      <c r="Q402" s="1726">
        <f>IF(AND(Q399=FALSE,Q400=FALSE,Q401=FALSE),FALSE,TRUE)</f>
        <v/>
      </c>
      <c r="R402" s="1713" t="n"/>
      <c r="S402" s="835" t="n"/>
      <c r="T402" s="1726">
        <f>IF(AND(T399=FALSE,T400=FALSE,T401=FALSE),FALSE,TRUE)</f>
        <v/>
      </c>
      <c r="U402" s="978" t="n"/>
      <c r="V402" s="978" t="n"/>
      <c r="W402" s="1473" t="n"/>
      <c r="X402" s="2002" t="n"/>
      <c r="Y402" s="1478" t="n"/>
      <c r="Z402" s="2002" t="n"/>
      <c r="AA402" s="1481" t="n"/>
      <c r="AC402" s="1013" t="n"/>
      <c r="AD402" s="1014" t="n"/>
      <c r="AE402" s="1013" t="n"/>
      <c r="AF402" s="1014" t="n"/>
      <c r="AG402" s="1013" t="n"/>
      <c r="AH402" s="1014" t="n"/>
      <c r="AJ402" s="10" t="n"/>
      <c r="AK402" s="10" t="n"/>
      <c r="AL402" s="10" t="n"/>
      <c r="AQ402" s="7" t="n"/>
      <c r="AR402" s="849" t="n"/>
      <c r="AS402" s="111" t="n"/>
      <c r="AT402" s="487" t="n"/>
      <c r="AU402" s="114" t="n"/>
      <c r="AV402" s="491" t="n"/>
      <c r="AW402" s="114" t="n"/>
      <c r="AX402" s="492" t="n"/>
      <c r="AY402" s="488" t="n"/>
    </row>
    <row r="403" ht="32" customHeight="1" thickBot="1">
      <c r="B403" s="837" t="inlineStr">
        <is>
          <t>Max PFA &amp; NC</t>
        </is>
      </c>
      <c r="C403" s="838" t="n"/>
      <c r="D403" s="838">
        <f>IF(G403=G398,D398,D402)</f>
        <v/>
      </c>
      <c r="E403" s="839" t="n"/>
      <c r="F403" s="839" t="n"/>
      <c r="G403" s="839">
        <f>IF(AND(J399=TRUE,J402=FALSE),G399,IF(AND(J399=FALSE,J402=TRUE),G402,IF(AND(J399=TRUE,J402=TRUE),G399+G402,MAX(G399,G402))))</f>
        <v/>
      </c>
      <c r="H403" s="1714" t="n"/>
      <c r="I403" s="840" t="n"/>
      <c r="J403" s="841">
        <f>IF(AND(J398=FALSE,J402=FALSE),FALSE,TRUE)</f>
        <v/>
      </c>
      <c r="K403" s="1698" t="n"/>
      <c r="L403" s="1698" t="n"/>
      <c r="M403" s="1698" t="n"/>
      <c r="N403" s="1715" t="n"/>
      <c r="O403" s="1714" t="n"/>
      <c r="P403" s="840" t="n"/>
      <c r="Q403" s="841">
        <f>IF(AND(Q398=FALSE,Q402=FALSE),FALSE,TRUE)</f>
        <v/>
      </c>
      <c r="R403" s="1714" t="n"/>
      <c r="S403" s="840" t="n"/>
      <c r="T403" s="841">
        <f>IF(AND(T398=FALSE,T402=FALSE),FALSE,TRUE)</f>
        <v/>
      </c>
      <c r="U403" s="978" t="n"/>
      <c r="V403" s="978" t="inlineStr">
        <is>
          <t>et</t>
        </is>
      </c>
      <c r="W403" s="1473" t="n"/>
      <c r="X403" s="2002" t="n"/>
      <c r="Y403" s="1478" t="n"/>
      <c r="Z403" s="2002" t="n"/>
      <c r="AA403" s="1481" t="n"/>
      <c r="AC403" s="1013">
        <f>IF(J403=TRUE,"V","F")</f>
        <v/>
      </c>
      <c r="AD403" s="1014" t="n"/>
      <c r="AE403" s="1013">
        <f>IF(Q403=TRUE,"V","F")</f>
        <v/>
      </c>
      <c r="AF403" s="1014" t="n"/>
      <c r="AG403" s="1013">
        <f>IF(T403=TRUE,"V","F")</f>
        <v/>
      </c>
      <c r="AH403" s="1014" t="n"/>
      <c r="AI403">
        <f>IF(OR(AC403="V",AE403="V"),IF(G402&gt;G398,"Le NC contribue plus que le coparent","Le coparent joue un plus grand rôle que le NC"),"pas de contexte significatif de la part du coparent et NC")</f>
        <v/>
      </c>
      <c r="AJ403" s="10" t="n"/>
      <c r="AK403" s="10" t="n"/>
      <c r="AL403" s="10" t="n"/>
      <c r="AQ403" s="7" t="n"/>
      <c r="AR403" s="849" t="n"/>
      <c r="AS403" s="111" t="n"/>
      <c r="AT403" s="487" t="n"/>
      <c r="AU403" s="114" t="n"/>
      <c r="AV403" s="491" t="n"/>
      <c r="AW403" s="114" t="n"/>
      <c r="AX403" s="492" t="n"/>
      <c r="AY403" s="488" t="n"/>
    </row>
    <row r="404" ht="32" customHeight="1">
      <c r="B404" s="316">
        <f>'Action-Réaction finale'!O63</f>
        <v/>
      </c>
      <c r="C404" s="2066">
        <f>Test_Bible!B301</f>
        <v/>
      </c>
      <c r="D404" s="102" t="inlineStr">
        <is>
          <t>a la responsabilité de communiquer les informations concernant la logistique familiale</t>
        </is>
      </c>
      <c r="E404" s="823">
        <f>Test_Bible!P301</f>
        <v/>
      </c>
      <c r="F404" s="822">
        <f>Test_Bible!D301</f>
        <v/>
      </c>
      <c r="G404" s="823">
        <f>Test_Bible!Q301</f>
        <v/>
      </c>
      <c r="H404" s="1735" t="n">
        <v>11</v>
      </c>
      <c r="I404" s="1736" t="n">
        <v>11</v>
      </c>
      <c r="J404" s="46">
        <f>IF(AND(E404&gt;=H404,E404&lt;=I404),TRUE,FALSE)</f>
        <v/>
      </c>
      <c r="K404" s="46" t="n"/>
      <c r="L404" s="46" t="n"/>
      <c r="M404" s="46" t="n"/>
      <c r="N404" s="1711" t="n"/>
      <c r="O404" s="1710" t="n">
        <v>4</v>
      </c>
      <c r="P404" s="1703" t="n">
        <v>10</v>
      </c>
      <c r="Q404" s="1711">
        <f>IF(AND(E404&gt;=O404,E404&lt;=P404),TRUE,FALSE)</f>
        <v/>
      </c>
      <c r="R404" s="1710" t="n"/>
      <c r="S404" s="1703" t="n"/>
      <c r="T404" s="1711" t="n"/>
      <c r="U404" s="978" t="n"/>
      <c r="V404" s="1484" t="n"/>
      <c r="W404" s="1485" t="n">
        <v>4</v>
      </c>
      <c r="X404" s="2029" t="n"/>
      <c r="Y404" s="1489" t="n">
        <v>4</v>
      </c>
      <c r="Z404" s="2029" t="n"/>
      <c r="AA404" s="1497" t="n">
        <v>11</v>
      </c>
      <c r="AC404" s="1013" t="inlineStr">
        <is>
          <t> </t>
        </is>
      </c>
      <c r="AD404" s="1014" t="n"/>
      <c r="AE404" s="1013" t="n"/>
      <c r="AF404" s="1014" t="n"/>
      <c r="AG404" s="1013" t="n"/>
      <c r="AH404" s="1014" t="n"/>
      <c r="AJ404" s="10" t="n"/>
      <c r="AK404" s="10" t="n"/>
      <c r="AL404" s="10" t="n"/>
      <c r="AQ404" s="7" t="n"/>
      <c r="AR404" s="849" t="n"/>
      <c r="AS404" s="111" t="n"/>
      <c r="AT404" s="487" t="n"/>
      <c r="AU404" s="114" t="n"/>
      <c r="AV404" s="491" t="n"/>
      <c r="AW404" s="114" t="n"/>
      <c r="AX404" s="492" t="n"/>
      <c r="AY404" s="488" t="n"/>
    </row>
    <row r="405" ht="32" customHeight="1" thickBot="1">
      <c r="B405" s="316" t="inlineStr">
        <is>
          <t>Enf</t>
        </is>
      </c>
      <c r="C405" s="2066" t="n"/>
      <c r="D405" s="102" t="n"/>
      <c r="E405" s="823" t="n"/>
      <c r="F405" s="822" t="n"/>
      <c r="G405" s="823" t="n"/>
      <c r="H405" s="1735" t="n">
        <v>11</v>
      </c>
      <c r="I405" s="1736" t="n">
        <v>11</v>
      </c>
      <c r="J405" s="46">
        <f>IF(AND(E405&gt;=H405,E405&lt;=I405),TRUE,FALSE)</f>
        <v/>
      </c>
      <c r="K405" s="46" t="n"/>
      <c r="L405" s="46" t="n"/>
      <c r="M405" s="46" t="n"/>
      <c r="N405" s="1711" t="n"/>
      <c r="O405" s="1735" t="n">
        <v>11</v>
      </c>
      <c r="P405" s="1736" t="n">
        <v>11</v>
      </c>
      <c r="Q405" s="1711">
        <f>IF(AND(E405&gt;=O405,E405&lt;=P405),TRUE,FALSE)</f>
        <v/>
      </c>
      <c r="R405" s="1735" t="n"/>
      <c r="S405" s="1736" t="n"/>
      <c r="T405" s="1711" t="n"/>
      <c r="U405" s="978" t="n"/>
      <c r="V405" s="1487" t="inlineStr">
        <is>
          <t>ou</t>
        </is>
      </c>
      <c r="W405" s="1506" t="n">
        <v>11</v>
      </c>
      <c r="X405" s="1507" t="n"/>
      <c r="Y405" s="1508" t="n">
        <v>11</v>
      </c>
      <c r="Z405" s="1507" t="n"/>
      <c r="AA405" s="1502" t="n">
        <v>11</v>
      </c>
      <c r="AC405" s="1013" t="n"/>
      <c r="AD405" s="1014" t="n"/>
      <c r="AE405" s="1013" t="n"/>
      <c r="AF405" s="1014" t="n"/>
      <c r="AG405" s="1013" t="n"/>
      <c r="AH405" s="1014" t="n"/>
      <c r="AJ405" s="10" t="n"/>
      <c r="AK405" s="10" t="n"/>
      <c r="AL405" s="10" t="n"/>
      <c r="AQ405" s="7" t="n"/>
      <c r="AR405" s="849" t="n"/>
      <c r="AS405" s="111" t="n"/>
      <c r="AT405" s="487" t="n"/>
      <c r="AU405" s="114" t="n"/>
      <c r="AV405" s="491" t="n"/>
      <c r="AW405" s="114" t="n"/>
      <c r="AX405" s="492" t="n"/>
      <c r="AY405" s="488" t="n"/>
    </row>
    <row r="406" ht="32" customHeight="1" thickBot="1">
      <c r="B406" s="842" t="inlineStr">
        <is>
          <t>Max Enf</t>
        </is>
      </c>
      <c r="C406" s="843">
        <f>_xlfn.XLOOKUP(G406,G404:G405,C404:C405)</f>
        <v/>
      </c>
      <c r="D406" s="843">
        <f>_xlfn.XLOOKUP(G406,G404:G405,D404:D405)</f>
        <v/>
      </c>
      <c r="E406" s="844" t="n"/>
      <c r="F406" s="844" t="n"/>
      <c r="G406" s="844">
        <f>IF(AND(J404=TRUE,J405=FALSE),G404,IF(AND(J404=FALSE,J405=TRUE),G405,MAX(G404,G405)))</f>
        <v/>
      </c>
      <c r="H406" s="1716" t="n"/>
      <c r="I406" s="845" t="n"/>
      <c r="J406" s="846">
        <f>IF(AND(J404=FALSE,J405=FALSE),FALSE,TRUE)</f>
        <v/>
      </c>
      <c r="K406" s="1699" t="n"/>
      <c r="L406" s="1699" t="n"/>
      <c r="M406" s="1699" t="n"/>
      <c r="N406" s="1717" t="n"/>
      <c r="O406" s="1716" t="n"/>
      <c r="P406" s="845" t="n"/>
      <c r="Q406" s="846">
        <f>IF(AND(Q404=FALSE,Q405=FALSE),FALSE,TRUE)</f>
        <v/>
      </c>
      <c r="R406" s="1716" t="n"/>
      <c r="S406" s="845" t="n"/>
      <c r="T406" s="846" t="n"/>
      <c r="U406" s="978" t="n"/>
      <c r="V406" s="978" t="n"/>
      <c r="W406" s="1475" t="n"/>
      <c r="Y406" s="1479" t="n"/>
      <c r="AA406" s="1483" t="n"/>
      <c r="AC406" s="1013">
        <f>IF(J406=TRUE,"V","F")</f>
        <v/>
      </c>
      <c r="AD406" s="1014" t="n"/>
      <c r="AE406" s="1013">
        <f>IF(Q406=TRUE,"V","F")</f>
        <v/>
      </c>
      <c r="AF406" s="1014" t="n"/>
      <c r="AG406" s="1013" t="n"/>
      <c r="AH406" s="1014" t="n"/>
      <c r="AJ406" s="10" t="n"/>
      <c r="AK406" s="10" t="n"/>
      <c r="AL406" s="10" t="n"/>
      <c r="AR406" s="849" t="n"/>
      <c r="AS406" s="111" t="n"/>
      <c r="AT406" s="487" t="n"/>
      <c r="AU406" s="114" t="n"/>
      <c r="AV406" s="491" t="n"/>
      <c r="AW406" s="114" t="n"/>
      <c r="AX406" s="492" t="n"/>
      <c r="AY406" s="488" t="n"/>
    </row>
    <row r="407" ht="32" customHeight="1">
      <c r="C407" s="428" t="inlineStr">
        <is>
          <t>COMPARATIF Comportement PFA-Enf</t>
        </is>
      </c>
      <c r="D407" s="2058" t="n"/>
      <c r="E407" s="484" t="inlineStr">
        <is>
          <t>Valeur =&gt;</t>
        </is>
      </c>
      <c r="F407" s="48" t="n"/>
      <c r="G407" s="48">
        <f>G398+G402+G406</f>
        <v/>
      </c>
      <c r="H407" s="1718" t="n"/>
      <c r="I407" s="485" t="n"/>
      <c r="J407" s="1701" t="n"/>
      <c r="K407" s="1702">
        <f>IF(AND(J406=TRUE,J403=TRUE),D406,"")</f>
        <v/>
      </c>
      <c r="L407" s="1702">
        <f>IF(AND(J403=TRUE,J406=FALSE),"Bien que le parent "&amp;D403&amp;" l'enfant ne semble pas s'ingérer","")</f>
        <v/>
      </c>
      <c r="M407" s="1702">
        <f>IF(AND(J403=FALSE,J406=TRUE),D406&amp;" sans signe de la participation du parent favorisé et|ou nouveau conjoint.e","")</f>
        <v/>
      </c>
      <c r="N407" s="1719">
        <f>IF(AND(J403=FALSE,J406=FALSE),"aucun comportement significatif de cette nature","")</f>
        <v/>
      </c>
      <c r="O407" s="1718" t="n"/>
      <c r="P407" s="485" t="n"/>
      <c r="Q407" s="1727" t="n"/>
      <c r="R407" s="1718" t="n"/>
      <c r="S407" s="485" t="n"/>
      <c r="T407" s="1727" t="n"/>
      <c r="U407" s="980" t="n"/>
      <c r="V407" s="980" t="n"/>
      <c r="W407" s="1475" t="n"/>
      <c r="Y407" s="1479" t="n"/>
      <c r="AA407" s="1483" t="n"/>
      <c r="AC407" s="1015" t="n"/>
      <c r="AD407" s="1016">
        <f>IF(AND(AC403="V",AC406="V"),2,IF(OR(AC403="V",AC406="V"),1,0))</f>
        <v/>
      </c>
      <c r="AE407" s="1015" t="n"/>
      <c r="AF407" s="1016">
        <f>IF(OR(AE403="V",AE406="V"),1,0)</f>
        <v/>
      </c>
      <c r="AG407" s="1015" t="n"/>
      <c r="AH407" s="1016" t="n"/>
      <c r="AJ407" s="10" t="n"/>
      <c r="AK407" s="10" t="n"/>
      <c r="AL407" s="10" t="n"/>
      <c r="AR407" s="849" t="n"/>
      <c r="AS407" s="111" t="n"/>
      <c r="AT407" s="487" t="n"/>
      <c r="AU407" s="114" t="n"/>
      <c r="AV407" s="491" t="n"/>
      <c r="AW407" s="114" t="n"/>
      <c r="AX407" s="492" t="n"/>
      <c r="AY407" s="488" t="n"/>
    </row>
    <row r="408" ht="32" customHeight="1">
      <c r="B408" t="inlineStr">
        <is>
          <t>PCR</t>
        </is>
      </c>
      <c r="H408" s="147" t="n"/>
      <c r="K408" s="1992" t="n"/>
      <c r="L408" s="1992" t="n"/>
      <c r="M408" s="1992" t="n"/>
      <c r="N408" s="1740" t="n"/>
      <c r="O408" s="147" t="n"/>
      <c r="Q408" s="330" t="n"/>
      <c r="R408" s="147" t="n"/>
      <c r="T408" s="330" t="n"/>
      <c r="U408" s="1992" t="n"/>
      <c r="AC408" s="1013" t="n"/>
      <c r="AD408" s="1014" t="n"/>
      <c r="AE408" s="1013" t="n"/>
      <c r="AF408" s="1014" t="n"/>
      <c r="AG408" s="1013" t="n"/>
      <c r="AH408" s="1014" t="n"/>
      <c r="AJ408" s="10" t="n"/>
      <c r="AK408" s="10" t="n"/>
      <c r="AL408" s="10" t="n"/>
      <c r="AR408" s="849" t="n"/>
      <c r="AS408" s="111" t="n"/>
      <c r="AT408" s="487" t="n"/>
      <c r="AU408" s="114" t="n"/>
      <c r="AV408" s="491" t="n"/>
      <c r="AW408" s="114" t="n"/>
      <c r="AX408" s="492" t="n"/>
      <c r="AY408" s="488" t="n"/>
    </row>
    <row r="409" ht="50" customHeight="1">
      <c r="B409" s="1017">
        <f>'Action-Réaction finale'!S63</f>
        <v/>
      </c>
      <c r="C409" s="1018">
        <f>Test_Bible!B145</f>
        <v/>
      </c>
      <c r="D409" s="1018" t="n"/>
      <c r="E409" s="1026">
        <f>Test_Bible!P145</f>
        <v/>
      </c>
      <c r="F409" s="1026">
        <f>Test_Bible!D145</f>
        <v/>
      </c>
      <c r="G409" s="1026">
        <f>Test_Bible!Q145</f>
        <v/>
      </c>
      <c r="H409" s="1735" t="n">
        <v>11</v>
      </c>
      <c r="I409" s="1736" t="n">
        <v>11</v>
      </c>
      <c r="J409" s="46">
        <f>IF(AND(E409&gt;=H409,E409&lt;=I409),TRUE,FALSE)</f>
        <v/>
      </c>
      <c r="K409" s="33" t="n"/>
      <c r="L409" s="33" t="n"/>
      <c r="M409" s="33" t="n"/>
      <c r="N409" s="1720" t="n"/>
      <c r="O409" s="1710" t="n">
        <v>2</v>
      </c>
      <c r="P409" s="1703" t="n">
        <v>10</v>
      </c>
      <c r="Q409" s="1711">
        <f>IF(AND(E409&gt;=O409,E409&lt;=P409),TRUE,FALSE)</f>
        <v/>
      </c>
      <c r="R409" s="1710" t="n">
        <v>7</v>
      </c>
      <c r="S409" s="1703" t="n">
        <v>10</v>
      </c>
      <c r="T409" s="1711">
        <f>IF(AND(E409&gt;=R409,E409&lt;=S409),TRUE,FALSE)</f>
        <v/>
      </c>
      <c r="U409" s="1992" t="n"/>
      <c r="V409" s="1509" t="n"/>
      <c r="W409" s="1503" t="n">
        <v>11</v>
      </c>
      <c r="X409" s="1504" t="n"/>
      <c r="Y409" s="1489" t="n">
        <v>4</v>
      </c>
      <c r="Z409" s="2029" t="n"/>
      <c r="AA409" s="1496" t="n">
        <v>4</v>
      </c>
      <c r="AC409" s="1013" t="n"/>
      <c r="AD409" s="1014" t="n"/>
      <c r="AE409" s="1013" t="n"/>
      <c r="AF409" s="1014" t="n"/>
      <c r="AG409" s="1013" t="n"/>
      <c r="AH409" s="1014" t="n"/>
      <c r="AJ409" s="10" t="n"/>
      <c r="AK409" s="10" t="n"/>
      <c r="AL409" s="10" t="n"/>
      <c r="AR409" s="849" t="n"/>
      <c r="AS409" s="111" t="n"/>
      <c r="AT409" s="487" t="n"/>
      <c r="AU409" s="114" t="n"/>
      <c r="AV409" s="491" t="n"/>
      <c r="AW409" s="114" t="n"/>
      <c r="AX409" s="492" t="n"/>
      <c r="AY409" s="488" t="n"/>
    </row>
    <row r="410" ht="32" customHeight="1" thickBot="1">
      <c r="B410" s="1017" t="n"/>
      <c r="C410" s="1025" t="n"/>
      <c r="D410" s="1018" t="n"/>
      <c r="E410" s="1026" t="n"/>
      <c r="F410" s="1026" t="n"/>
      <c r="G410" s="1026" t="n"/>
      <c r="H410" s="1735" t="n">
        <v>11</v>
      </c>
      <c r="I410" s="1736" t="n">
        <v>11</v>
      </c>
      <c r="J410" s="46">
        <f>IF(AND(E410&gt;=H410,E410&lt;=I410),TRUE,FALSE)</f>
        <v/>
      </c>
      <c r="K410" s="33" t="n"/>
      <c r="L410" s="33" t="n"/>
      <c r="M410" s="33" t="n"/>
      <c r="N410" s="1720" t="n"/>
      <c r="O410" s="1735" t="n">
        <v>11</v>
      </c>
      <c r="P410" s="1736" t="n">
        <v>11</v>
      </c>
      <c r="Q410" s="1711">
        <f>IF(AND(E410&gt;=O410,E410&lt;=P410),TRUE,FALSE)</f>
        <v/>
      </c>
      <c r="R410" s="1735" t="n">
        <v>11</v>
      </c>
      <c r="S410" s="1736" t="n">
        <v>11</v>
      </c>
      <c r="T410" s="1711">
        <f>IF(AND(E410&gt;=R410,E410&lt;=S410),TRUE,FALSE)</f>
        <v/>
      </c>
      <c r="V410" s="1510" t="n"/>
      <c r="W410" s="1506" t="n">
        <v>11</v>
      </c>
      <c r="X410" s="1507" t="n"/>
      <c r="Y410" s="1508" t="n">
        <v>11</v>
      </c>
      <c r="Z410" s="1507" t="n"/>
      <c r="AA410" s="1502" t="n">
        <v>11</v>
      </c>
      <c r="AC410" s="1013" t="n"/>
      <c r="AD410" s="1014" t="n"/>
      <c r="AE410" s="1013" t="n"/>
      <c r="AF410" s="1014" t="n"/>
      <c r="AG410" s="1013" t="n"/>
      <c r="AH410" s="1014" t="n"/>
      <c r="AJ410" s="10" t="n"/>
      <c r="AK410" s="10" t="n"/>
      <c r="AL410" s="10" t="n"/>
      <c r="AR410" s="849" t="n"/>
      <c r="AS410" s="111" t="n"/>
      <c r="AT410" s="487" t="n"/>
      <c r="AU410" s="114" t="n"/>
      <c r="AV410" s="491" t="n"/>
      <c r="AW410" s="114" t="n"/>
      <c r="AX410" s="492" t="n"/>
      <c r="AY410" s="488" t="n"/>
    </row>
    <row r="411" ht="32" customHeight="1" thickBot="1">
      <c r="C411" s="2073" t="n"/>
      <c r="D411" s="2073" t="n"/>
      <c r="E411" s="90" t="n"/>
      <c r="F411" s="483" t="n"/>
      <c r="G411" s="483" t="n"/>
      <c r="H411" s="1732" t="n"/>
      <c r="I411" s="1733" t="n"/>
      <c r="J411" s="1739">
        <f>IF(AND(J409=FALSE,J410=FALSE),FALSE,TRUE)</f>
        <v/>
      </c>
      <c r="K411" s="1721" t="n"/>
      <c r="L411" s="1722" t="n"/>
      <c r="M411" s="1722" t="n"/>
      <c r="N411" s="1723" t="n"/>
      <c r="O411" s="1732" t="n"/>
      <c r="P411" s="1733" t="n"/>
      <c r="Q411" s="1739">
        <f>IF(AND(Q409=FALSE,Q410=FALSE),FALSE,TRUE)</f>
        <v/>
      </c>
      <c r="R411" s="1744" t="n"/>
      <c r="S411" s="1745" t="n"/>
      <c r="T411" s="1746">
        <f>IF(AND(T409=FALSE,T410=FALSE),FALSE,TRUE)</f>
        <v/>
      </c>
      <c r="U411" s="980" t="n"/>
      <c r="AC411" s="1650">
        <f>IF(J411=TRUE,"V","F")</f>
        <v/>
      </c>
      <c r="AD411" s="1651" t="n"/>
      <c r="AE411" s="1650">
        <f>IF(Q411=TRUE,"V","F")</f>
        <v/>
      </c>
      <c r="AF411" s="1651" t="n"/>
      <c r="AG411" s="1650">
        <f>IF(T411=TRUE,"V","F")</f>
        <v/>
      </c>
      <c r="AH411" s="1651" t="n"/>
      <c r="AJ411" s="10" t="n"/>
      <c r="AK411" s="10" t="n"/>
      <c r="AL411" s="10" t="n"/>
      <c r="AR411" s="849" t="n"/>
      <c r="AS411" s="111" t="n"/>
      <c r="AT411" s="487" t="n"/>
      <c r="AU411" s="114" t="n"/>
      <c r="AV411" s="491" t="n"/>
      <c r="AW411" s="114" t="n"/>
      <c r="AX411" s="492" t="n"/>
      <c r="AY411" s="488" t="n"/>
    </row>
    <row r="412" ht="32" customHeight="1" thickBot="1">
      <c r="C412" s="2073" t="n"/>
      <c r="D412" s="2073" t="n"/>
      <c r="E412" s="90" t="n"/>
      <c r="F412" s="483" t="n"/>
      <c r="G412" s="483" t="n"/>
      <c r="H412" s="2002" t="n"/>
      <c r="I412" s="2002" t="n"/>
      <c r="J412" s="979" t="n"/>
      <c r="K412" s="980" t="n"/>
      <c r="L412" s="980" t="n"/>
      <c r="M412" s="980" t="n"/>
      <c r="N412" s="980" t="n"/>
      <c r="O412" s="980" t="n"/>
      <c r="P412" s="980" t="n"/>
      <c r="Q412" s="980" t="n"/>
      <c r="R412" s="980" t="n"/>
      <c r="S412" s="980" t="n"/>
      <c r="T412" s="980" t="n"/>
      <c r="U412" s="980" t="n"/>
      <c r="V412" s="980" t="n"/>
      <c r="AC412" s="1737" t="n"/>
      <c r="AD412" s="1738">
        <f>IF(AND(AC411="V",AC403="V"),AD407-1,AD407)</f>
        <v/>
      </c>
      <c r="AE412" s="1737" t="n"/>
      <c r="AF412" s="1738">
        <f>IF(OR(AE403="V",AE406="V",AE411="V"),1,0)</f>
        <v/>
      </c>
      <c r="AG412" s="1737" t="n"/>
      <c r="AH412" s="1738">
        <f>IF(AG403="V",1,IF(AG411="V",1,0))</f>
        <v/>
      </c>
      <c r="AJ412" s="10" t="n">
        <v>1</v>
      </c>
      <c r="AK412" s="10" t="n">
        <v>1</v>
      </c>
      <c r="AL412" s="10" t="n">
        <v>1</v>
      </c>
      <c r="AR412" s="849" t="n"/>
      <c r="AS412" s="111" t="n"/>
      <c r="AT412" s="487" t="n"/>
      <c r="AU412" s="114" t="n"/>
      <c r="AV412" s="491" t="n"/>
      <c r="AW412" s="114" t="n"/>
      <c r="AX412" s="492" t="n"/>
      <c r="AY412" s="488" t="n"/>
    </row>
    <row r="413" ht="32" customHeight="1">
      <c r="C413" s="2073" t="n"/>
      <c r="D413" s="2073" t="n"/>
      <c r="E413" s="90" t="n"/>
      <c r="F413" s="483" t="n"/>
      <c r="G413" s="483" t="n"/>
      <c r="H413" s="1704" t="n"/>
      <c r="I413" s="1705" t="n"/>
      <c r="J413" s="1706" t="n"/>
      <c r="K413" s="2056" t="n"/>
      <c r="L413" s="709" t="n"/>
      <c r="M413" s="709" t="n"/>
      <c r="N413" s="1707" t="n"/>
      <c r="O413" s="1724" t="n"/>
      <c r="P413" s="1706" t="n"/>
      <c r="Q413" s="1707" t="n"/>
      <c r="R413" s="1724" t="n"/>
      <c r="S413" s="1706" t="n"/>
      <c r="T413" s="1707" t="n"/>
      <c r="U413" s="980" t="n"/>
      <c r="V413" s="980" t="n"/>
      <c r="AC413" s="1756" t="n"/>
      <c r="AD413" s="1757" t="n"/>
      <c r="AE413" s="1490" t="n"/>
      <c r="AF413" s="1490" t="n"/>
      <c r="AG413" s="1490" t="n"/>
      <c r="AH413" s="1490" t="n"/>
      <c r="AJ413" s="10" t="n"/>
      <c r="AK413" s="10" t="n"/>
      <c r="AL413" s="10" t="n"/>
      <c r="AR413" s="849" t="n"/>
      <c r="AS413" s="111" t="n"/>
      <c r="AT413" s="487" t="n"/>
      <c r="AU413" s="114" t="n"/>
      <c r="AV413" s="491" t="n"/>
      <c r="AW413" s="114" t="n"/>
      <c r="AX413" s="492" t="n"/>
      <c r="AY413" s="488" t="n"/>
    </row>
    <row r="414" ht="32" customHeight="1">
      <c r="A414" s="853" t="n">
        <v>21</v>
      </c>
      <c r="C414" s="486">
        <f>'Action-Réaction finale'!F67</f>
        <v/>
      </c>
      <c r="D414" s="108" t="n"/>
      <c r="E414" s="66" t="n"/>
      <c r="F414" s="18" t="n"/>
      <c r="G414" s="18" t="n"/>
      <c r="H414" s="2052" t="inlineStr">
        <is>
          <t>AP</t>
        </is>
      </c>
      <c r="K414" s="2055" t="inlineStr">
        <is>
          <t>Dynamique d'AP</t>
        </is>
      </c>
      <c r="N414" s="330" t="n"/>
      <c r="O414" s="2122" t="inlineStr">
        <is>
          <t>CL</t>
        </is>
      </c>
      <c r="Q414" s="330" t="n"/>
      <c r="R414" s="2123" t="inlineStr">
        <is>
          <t>CSS</t>
        </is>
      </c>
      <c r="T414" s="330" t="n"/>
      <c r="U414" s="15" t="n"/>
      <c r="V414" s="15" t="n"/>
      <c r="AC414" s="1009" t="n"/>
      <c r="AD414" s="1009" t="n"/>
      <c r="AE414" s="1009" t="n"/>
      <c r="AF414" s="1009" t="n"/>
      <c r="AG414" s="1009" t="n"/>
      <c r="AH414" s="1010" t="n"/>
      <c r="AJ414" s="10" t="n"/>
      <c r="AK414" s="10" t="n"/>
      <c r="AL414" s="10" t="n"/>
      <c r="AR414" s="849" t="n"/>
      <c r="AS414" s="111" t="n"/>
      <c r="AT414" s="487" t="n"/>
      <c r="AU414" s="114" t="n"/>
      <c r="AV414" s="491" t="n"/>
      <c r="AW414" s="114" t="n"/>
      <c r="AX414" s="492" t="n"/>
      <c r="AY414" s="488" t="n"/>
    </row>
    <row r="415" ht="32" customHeight="1">
      <c r="C415" s="103" t="inlineStr">
        <is>
          <t>Questions et sous-questions</t>
        </is>
      </c>
      <c r="D415" s="1043" t="inlineStr">
        <is>
          <t>Texte écourté pour titrer dans les baromètres ou rapport</t>
        </is>
      </c>
      <c r="E415" s="33" t="inlineStr">
        <is>
          <t>Valeur de base
Fréquence (F)</t>
        </is>
      </c>
      <c r="F415" s="33" t="inlineStr">
        <is>
          <t>Valeur de base
intensité (I)</t>
        </is>
      </c>
      <c r="G415" s="33" t="inlineStr">
        <is>
          <t>F * I</t>
        </is>
      </c>
      <c r="H415" s="1708" t="inlineStr">
        <is>
          <t>Condition Fréq. 
&gt;= que</t>
        </is>
      </c>
      <c r="I415" s="44" t="inlineStr">
        <is>
          <t>Condition Fré
&lt;= que</t>
        </is>
      </c>
      <c r="J415" s="44" t="inlineStr">
        <is>
          <t>Condition respectée</t>
        </is>
      </c>
      <c r="K415" s="44" t="inlineStr">
        <is>
          <t>"VRAI" (PF&amp;NC) /  "VRAI" (Enf)</t>
        </is>
      </c>
      <c r="L415" s="44" t="inlineStr">
        <is>
          <t>Vrai (PF&amp;NC) /  Faux (Enf)</t>
        </is>
      </c>
      <c r="M415" s="44" t="inlineStr">
        <is>
          <t>Faux (PF&amp;NC) /  Vrai (Enf)</t>
        </is>
      </c>
      <c r="N415" s="1709" t="inlineStr">
        <is>
          <t>Faux (PF&amp;NC) /  Faux(Enf)</t>
        </is>
      </c>
      <c r="O415" s="1708" t="inlineStr">
        <is>
          <t>Condition Fréq. 
&gt;= que</t>
        </is>
      </c>
      <c r="P415" s="44" t="inlineStr">
        <is>
          <t>Condition Fré
&lt;= que</t>
        </is>
      </c>
      <c r="Q415" s="1709" t="inlineStr">
        <is>
          <t>Condition respectée</t>
        </is>
      </c>
      <c r="R415" s="1708" t="inlineStr">
        <is>
          <t>Condition Fréq. 
&gt;= que</t>
        </is>
      </c>
      <c r="S415" s="44" t="inlineStr">
        <is>
          <t>Condition Fré
&lt;= que</t>
        </is>
      </c>
      <c r="T415" s="1709" t="inlineStr">
        <is>
          <t>Condition respectée</t>
        </is>
      </c>
      <c r="U415" s="851" t="n"/>
      <c r="V415" s="1008" t="inlineStr">
        <is>
          <t>Condition</t>
        </is>
      </c>
      <c r="W415" s="1472" t="inlineStr">
        <is>
          <t>AP</t>
        </is>
      </c>
      <c r="X415" s="1008" t="inlineStr">
        <is>
          <t>Condition</t>
        </is>
      </c>
      <c r="Y415" s="1476" t="inlineStr">
        <is>
          <t>CL</t>
        </is>
      </c>
      <c r="Z415" s="1008" t="n"/>
      <c r="AA415" s="1480" t="inlineStr">
        <is>
          <t>CSS</t>
        </is>
      </c>
      <c r="AC415" s="1023" t="inlineStr">
        <is>
          <t>AP</t>
        </is>
      </c>
      <c r="AD415" s="1024" t="inlineStr">
        <is>
          <t>AP_F</t>
        </is>
      </c>
      <c r="AE415" s="1023" t="inlineStr">
        <is>
          <t>CL</t>
        </is>
      </c>
      <c r="AF415" s="1024" t="inlineStr">
        <is>
          <t>CL_F</t>
        </is>
      </c>
      <c r="AG415" s="1023" t="inlineStr">
        <is>
          <t>CSS</t>
        </is>
      </c>
      <c r="AH415" s="1024" t="inlineStr">
        <is>
          <t>CSS_F</t>
        </is>
      </c>
      <c r="AJ415" s="10" t="n"/>
      <c r="AK415" s="10" t="n"/>
      <c r="AL415" s="10" t="n"/>
      <c r="AR415" s="849" t="n"/>
      <c r="AS415" s="111" t="n"/>
      <c r="AT415" s="487" t="n"/>
      <c r="AU415" s="114" t="n"/>
      <c r="AV415" s="491" t="n"/>
      <c r="AW415" s="114" t="n"/>
      <c r="AX415" s="492" t="n"/>
      <c r="AY415" s="488" t="n"/>
    </row>
    <row r="416" ht="58" customHeight="1">
      <c r="B416" s="421">
        <f>'Action-Réaction finale'!G67</f>
        <v/>
      </c>
      <c r="C416" s="2066">
        <f>Test_Bible!B245</f>
        <v/>
      </c>
      <c r="D416" s="102" t="inlineStr">
        <is>
          <t>a le droit de choisir de respecter ou non l'entente de garde</t>
        </is>
      </c>
      <c r="E416" s="823">
        <f>Test_Bible!P245</f>
        <v/>
      </c>
      <c r="F416" s="822">
        <f>Test_Bible!D245</f>
        <v/>
      </c>
      <c r="G416" s="823">
        <f>Test_Bible!Q245</f>
        <v/>
      </c>
      <c r="H416" s="1710" t="n">
        <v>4</v>
      </c>
      <c r="I416" s="1703" t="n">
        <v>10</v>
      </c>
      <c r="J416" s="46">
        <f>IF(AND(E416&gt;=H416,E416&lt;=I416),TRUE,FALSE)</f>
        <v/>
      </c>
      <c r="K416" s="46" t="n"/>
      <c r="L416" s="46" t="n"/>
      <c r="M416" s="46" t="n"/>
      <c r="N416" s="1711" t="n"/>
      <c r="O416" s="1710" t="n">
        <v>2</v>
      </c>
      <c r="P416" s="1703" t="n">
        <v>7</v>
      </c>
      <c r="Q416" s="1711">
        <f>IF(AND(E416&gt;=O416,E416&lt;=P416),TRUE,FALSE)</f>
        <v/>
      </c>
      <c r="R416" s="1710" t="n">
        <v>4</v>
      </c>
      <c r="S416" s="1703" t="n">
        <v>7</v>
      </c>
      <c r="T416" s="1711">
        <f>IF(AND(E416&gt;=R416,E416&lt;=S416),TRUE,FALSE)</f>
        <v/>
      </c>
      <c r="U416" s="978" t="n"/>
      <c r="V416" s="1484" t="n"/>
      <c r="W416" s="1485" t="n">
        <v>4</v>
      </c>
      <c r="X416" s="2029" t="n"/>
      <c r="Y416" s="1489" t="n">
        <v>2</v>
      </c>
      <c r="Z416" s="2029" t="n"/>
      <c r="AA416" s="1497" t="n">
        <v>11</v>
      </c>
      <c r="AC416" s="1011" t="n"/>
      <c r="AD416" s="1012" t="n"/>
      <c r="AE416" s="1011" t="n"/>
      <c r="AF416" s="1012" t="n"/>
      <c r="AG416" s="1011" t="n"/>
      <c r="AH416" s="1012" t="n"/>
      <c r="AJ416" s="10" t="n"/>
      <c r="AK416" s="10" t="n"/>
      <c r="AL416" s="10" t="n"/>
      <c r="AR416" s="849" t="n"/>
      <c r="AS416" s="111" t="n"/>
      <c r="AT416" s="487" t="n"/>
      <c r="AU416" s="114" t="n"/>
      <c r="AV416" s="491" t="n"/>
      <c r="AW416" s="114" t="n"/>
      <c r="AX416" s="492" t="n"/>
      <c r="AY416" s="488" t="n"/>
    </row>
    <row r="417" ht="32" customHeight="1">
      <c r="B417" s="421" t="inlineStr">
        <is>
          <t>PFA</t>
        </is>
      </c>
      <c r="C417" s="2066" t="n"/>
      <c r="D417" s="102" t="n"/>
      <c r="E417" s="823" t="n"/>
      <c r="F417" s="822" t="n"/>
      <c r="G417" s="823" t="n"/>
      <c r="H417" s="1735" t="n">
        <v>11</v>
      </c>
      <c r="I417" s="1736" t="n">
        <v>11</v>
      </c>
      <c r="J417" s="46">
        <f>IF(AND(E417&gt;=H417,E417&lt;=I417),TRUE,FALSE)</f>
        <v/>
      </c>
      <c r="K417" s="46" t="n"/>
      <c r="L417" s="46" t="n"/>
      <c r="M417" s="46" t="n"/>
      <c r="N417" s="1711" t="n"/>
      <c r="O417" s="1735" t="n">
        <v>11</v>
      </c>
      <c r="P417" s="1736" t="n">
        <v>11</v>
      </c>
      <c r="Q417" s="1711">
        <f>IF(AND(E417&gt;=O417,E417&lt;=P417),TRUE,FALSE)</f>
        <v/>
      </c>
      <c r="R417" s="1735" t="n">
        <v>11</v>
      </c>
      <c r="S417" s="1736" t="n">
        <v>11</v>
      </c>
      <c r="T417" s="1711">
        <f>IF(AND(E417&gt;=R417,E417&lt;=S417),TRUE,FALSE)</f>
        <v/>
      </c>
      <c r="U417" s="978" t="n"/>
      <c r="V417" s="1487" t="inlineStr">
        <is>
          <t>ou</t>
        </is>
      </c>
      <c r="W417" s="1506" t="n">
        <v>11</v>
      </c>
      <c r="X417" s="1507" t="n"/>
      <c r="Y417" s="1508" t="n">
        <v>11</v>
      </c>
      <c r="Z417" s="1507" t="n"/>
      <c r="AA417" s="1502" t="n">
        <v>11</v>
      </c>
      <c r="AC417" s="1013" t="n"/>
      <c r="AD417" s="1014" t="n"/>
      <c r="AE417" s="1013" t="n"/>
      <c r="AF417" s="1014" t="n"/>
      <c r="AG417" s="1013" t="n"/>
      <c r="AH417" s="1014" t="n"/>
      <c r="AJ417" s="10" t="n"/>
      <c r="AK417" s="10" t="n"/>
      <c r="AL417" s="10" t="n"/>
      <c r="AR417" s="849" t="n"/>
      <c r="AS417" s="111" t="n"/>
      <c r="AT417" s="487" t="n"/>
      <c r="AU417" s="114" t="n"/>
      <c r="AV417" s="491" t="n"/>
      <c r="AW417" s="114" t="n"/>
      <c r="AX417" s="492" t="n"/>
      <c r="AY417" s="488" t="n"/>
    </row>
    <row r="418" ht="32" customHeight="1">
      <c r="B418" s="825" t="inlineStr">
        <is>
          <t>Max PFA</t>
        </is>
      </c>
      <c r="C418" s="826">
        <f>_xlfn.XLOOKUP(G418,G416:G417,C416:C417)</f>
        <v/>
      </c>
      <c r="D418" s="827">
        <f>_xlfn.XLOOKUP(G418,G416:G417,D416:D417)</f>
        <v/>
      </c>
      <c r="E418" s="828" t="n"/>
      <c r="F418" s="828" t="n"/>
      <c r="G418" s="828">
        <f>IF(AND(J416=TRUE,J417=FALSE),G416,IF(AND(J416=FALSE,J417=TRUE),G417,MAX(G416,G417)))</f>
        <v/>
      </c>
      <c r="H418" s="1712" t="n"/>
      <c r="I418" s="829" t="n"/>
      <c r="J418" s="830">
        <f>IF(AND(J416=FALSE,J417=FALSE),FALSE,TRUE)</f>
        <v/>
      </c>
      <c r="K418" s="46" t="n"/>
      <c r="L418" s="46" t="n"/>
      <c r="M418" s="46" t="n"/>
      <c r="N418" s="1711" t="n"/>
      <c r="O418" s="1712" t="n"/>
      <c r="P418" s="829" t="n"/>
      <c r="Q418" s="1725">
        <f>IF(AND(Q416=FALSE,Q417=FALSE),FALSE,TRUE)</f>
        <v/>
      </c>
      <c r="R418" s="1712" t="n"/>
      <c r="S418" s="829" t="n"/>
      <c r="T418" s="1725">
        <f>IF(AND(T416=FALSE,T417=FALSE),FALSE,TRUE)</f>
        <v/>
      </c>
      <c r="U418" s="978" t="n"/>
      <c r="V418" s="978" t="inlineStr">
        <is>
          <t>ou</t>
        </is>
      </c>
      <c r="W418" s="1473" t="n"/>
      <c r="X418" s="2002" t="n"/>
      <c r="Y418" s="1478" t="n"/>
      <c r="Z418" s="2002" t="n"/>
      <c r="AA418" s="1481" t="n"/>
      <c r="AC418" s="1013" t="n"/>
      <c r="AD418" s="1014" t="n"/>
      <c r="AE418" s="1013" t="n"/>
      <c r="AF418" s="1014" t="n"/>
      <c r="AG418" s="1013" t="n"/>
      <c r="AH418" s="1014" t="n"/>
      <c r="AJ418" s="10" t="n"/>
      <c r="AK418" s="10" t="n"/>
      <c r="AL418" s="10" t="n"/>
      <c r="AR418" s="849" t="n"/>
      <c r="AS418" s="111" t="n"/>
      <c r="AT418" s="487" t="n"/>
      <c r="AU418" s="114" t="n"/>
      <c r="AV418" s="491" t="n"/>
      <c r="AW418" s="114" t="n"/>
      <c r="AX418" s="492" t="n"/>
      <c r="AY418" s="488" t="n"/>
    </row>
    <row r="419" ht="32" customHeight="1">
      <c r="B419" s="53" t="inlineStr">
        <is>
          <t>NC</t>
        </is>
      </c>
      <c r="C419" s="2066" t="n"/>
      <c r="D419" s="102" t="n"/>
      <c r="E419" s="823" t="n"/>
      <c r="F419" s="822" t="n"/>
      <c r="G419" s="823" t="n"/>
      <c r="H419" s="1735" t="n">
        <v>11</v>
      </c>
      <c r="I419" s="1736" t="n">
        <v>11</v>
      </c>
      <c r="J419" s="46">
        <f>IF(AND(E419&gt;=H419,E419&lt;=I419),TRUE,FALSE)</f>
        <v/>
      </c>
      <c r="K419" s="46" t="n"/>
      <c r="L419" s="46" t="n"/>
      <c r="M419" s="46" t="n"/>
      <c r="N419" s="1711" t="n"/>
      <c r="O419" s="1735" t="n">
        <v>11</v>
      </c>
      <c r="P419" s="1736" t="n">
        <v>11</v>
      </c>
      <c r="Q419" s="1711">
        <f>IF(AND(E419&gt;=O419,E419&lt;=P419),TRUE,FALSE)</f>
        <v/>
      </c>
      <c r="R419" s="1735" t="n">
        <v>11</v>
      </c>
      <c r="S419" s="1736" t="n">
        <v>11</v>
      </c>
      <c r="T419" s="1711">
        <f>IF(AND(E419&gt;=R419,E419&lt;=S419),TRUE,FALSE)</f>
        <v/>
      </c>
      <c r="U419" s="978" t="n"/>
      <c r="V419" s="1484" t="n"/>
      <c r="W419" s="1503" t="n">
        <v>11</v>
      </c>
      <c r="X419" s="1504" t="n"/>
      <c r="Y419" s="1505" t="n">
        <v>11</v>
      </c>
      <c r="Z419" s="1504" t="n"/>
      <c r="AA419" s="1497" t="n">
        <v>11</v>
      </c>
      <c r="AC419" s="1013" t="n"/>
      <c r="AD419" s="1014" t="n"/>
      <c r="AE419" s="1013" t="n"/>
      <c r="AF419" s="1014" t="n"/>
      <c r="AG419" s="1013" t="n"/>
      <c r="AH419" s="1014" t="n"/>
      <c r="AJ419" s="10" t="n"/>
      <c r="AK419" s="10" t="n"/>
      <c r="AL419" s="10" t="n"/>
      <c r="AR419" s="849" t="n"/>
      <c r="AS419" s="111" t="n"/>
      <c r="AT419" s="487" t="n"/>
      <c r="AU419" s="114" t="n"/>
      <c r="AV419" s="491" t="n"/>
      <c r="AW419" s="114" t="n"/>
      <c r="AX419" s="492" t="n"/>
      <c r="AY419" s="488" t="n"/>
    </row>
    <row r="420" ht="32" customHeight="1">
      <c r="B420" s="53" t="inlineStr">
        <is>
          <t>NC</t>
        </is>
      </c>
      <c r="C420" s="2066" t="n"/>
      <c r="D420" s="63" t="n"/>
      <c r="E420" s="36" t="n"/>
      <c r="F420" s="36" t="n"/>
      <c r="G420" s="36" t="n"/>
      <c r="H420" s="1735" t="n">
        <v>11</v>
      </c>
      <c r="I420" s="1736" t="n">
        <v>11</v>
      </c>
      <c r="J420" s="46">
        <f>IF(AND(E420&gt;=H420,E420&lt;=I420),TRUE,FALSE)</f>
        <v/>
      </c>
      <c r="K420" s="46" t="n"/>
      <c r="L420" s="46" t="n"/>
      <c r="M420" s="46" t="n"/>
      <c r="N420" s="1711" t="n"/>
      <c r="O420" s="1735" t="n">
        <v>11</v>
      </c>
      <c r="P420" s="1736" t="n">
        <v>11</v>
      </c>
      <c r="Q420" s="1711">
        <f>IF(AND(E420&gt;=O420,E420&lt;=P420),TRUE,FALSE)</f>
        <v/>
      </c>
      <c r="R420" s="1735" t="n">
        <v>11</v>
      </c>
      <c r="S420" s="1736" t="n">
        <v>11</v>
      </c>
      <c r="T420" s="1711">
        <f>IF(AND(E420&gt;=R420,E420&lt;=S420),TRUE,FALSE)</f>
        <v/>
      </c>
      <c r="U420" s="978" t="n"/>
      <c r="V420" s="1487" t="inlineStr">
        <is>
          <t>ou</t>
        </is>
      </c>
      <c r="W420" s="1506" t="n">
        <v>11</v>
      </c>
      <c r="X420" s="1507" t="n"/>
      <c r="Y420" s="1508" t="n">
        <v>11</v>
      </c>
      <c r="Z420" s="1507" t="n"/>
      <c r="AA420" s="1502" t="n">
        <v>11</v>
      </c>
      <c r="AC420" s="1013" t="n"/>
      <c r="AD420" s="1014" t="n"/>
      <c r="AE420" s="1013" t="n"/>
      <c r="AF420" s="1014" t="n"/>
      <c r="AG420" s="1013" t="n"/>
      <c r="AH420" s="1014" t="n"/>
      <c r="AJ420" s="10" t="n"/>
      <c r="AK420" s="10" t="n"/>
      <c r="AL420" s="10" t="n"/>
      <c r="AQ420" s="7" t="n"/>
      <c r="AR420" s="849" t="n"/>
      <c r="AS420" s="111" t="n"/>
      <c r="AT420" s="487" t="n"/>
      <c r="AU420" s="114" t="n"/>
      <c r="AV420" s="491" t="n"/>
      <c r="AW420" s="114" t="n"/>
      <c r="AX420" s="492" t="n"/>
      <c r="AY420" s="488" t="n"/>
    </row>
    <row r="421" ht="32" customHeight="1" thickBot="1">
      <c r="B421" s="831" t="inlineStr">
        <is>
          <t>Max NC</t>
        </is>
      </c>
      <c r="C421" s="832">
        <f>_xlfn.XLOOKUP(G421,G419:G420,C419:C420)</f>
        <v/>
      </c>
      <c r="D421" s="833">
        <f>_xlfn.XLOOKUP(G421,G419:G420,D419:D420)</f>
        <v/>
      </c>
      <c r="E421" s="834" t="n"/>
      <c r="F421" s="834" t="n"/>
      <c r="G421" s="834">
        <f>IF(AND(J419=TRUE,J420=FALSE),G419,IF(AND(J419=FALSE,J420=TRUE),G420,MAX(G419,G420)))</f>
        <v/>
      </c>
      <c r="H421" s="1713" t="n"/>
      <c r="I421" s="835" t="n"/>
      <c r="J421" s="836">
        <f>IF(AND(J419=FALSE,J420=FALSE),FALSE,TRUE)</f>
        <v/>
      </c>
      <c r="K421" s="46" t="n"/>
      <c r="L421" s="46" t="n"/>
      <c r="M421" s="46" t="n"/>
      <c r="N421" s="1711" t="n"/>
      <c r="O421" s="1713" t="n"/>
      <c r="P421" s="835" t="n"/>
      <c r="Q421" s="1726">
        <f>IF(AND(Q419=FALSE,Q420=FALSE),FALSE,TRUE)</f>
        <v/>
      </c>
      <c r="R421" s="1713" t="n"/>
      <c r="S421" s="835" t="n"/>
      <c r="T421" s="1726">
        <f>IF(AND(T419=FALSE,T420=FALSE),FALSE,TRUE)</f>
        <v/>
      </c>
      <c r="U421" s="978" t="n"/>
      <c r="V421" s="978" t="n"/>
      <c r="W421" s="1473" t="n"/>
      <c r="X421" s="2002" t="n"/>
      <c r="Y421" s="1478" t="n"/>
      <c r="Z421" s="2002" t="n"/>
      <c r="AA421" s="1481" t="n"/>
      <c r="AC421" s="1013" t="n"/>
      <c r="AD421" s="1014" t="n"/>
      <c r="AE421" s="1013" t="n"/>
      <c r="AF421" s="1014" t="n"/>
      <c r="AG421" s="1013" t="n"/>
      <c r="AH421" s="1014" t="n"/>
      <c r="AJ421" s="10" t="n"/>
      <c r="AK421" s="10" t="n"/>
      <c r="AL421" s="10" t="n"/>
      <c r="AQ421" s="7" t="n"/>
      <c r="AR421" s="849" t="n"/>
      <c r="AS421" s="111" t="n"/>
      <c r="AT421" s="487" t="n"/>
      <c r="AU421" s="114" t="n"/>
      <c r="AV421" s="491" t="n"/>
      <c r="AW421" s="114" t="n"/>
      <c r="AX421" s="492" t="n"/>
      <c r="AY421" s="488" t="n"/>
    </row>
    <row r="422" ht="32" customHeight="1" thickBot="1">
      <c r="B422" s="837" t="inlineStr">
        <is>
          <t>Max PFA &amp; NC</t>
        </is>
      </c>
      <c r="C422" s="838" t="n"/>
      <c r="D422" s="838">
        <f>IF(G422=G418,D418,D421)</f>
        <v/>
      </c>
      <c r="E422" s="839" t="n"/>
      <c r="F422" s="839" t="n"/>
      <c r="G422" s="839">
        <f>IF(AND(J418=TRUE,J421=FALSE),G418,IF(AND(J418=FALSE,J421=TRUE),G421,IF(AND(J418=TRUE,J421=TRUE),G418+G421,MAX(G418,G421))))</f>
        <v/>
      </c>
      <c r="H422" s="1714" t="n"/>
      <c r="I422" s="840" t="n"/>
      <c r="J422" s="841">
        <f>IF(AND(J418=FALSE,J421=FALSE),FALSE,TRUE)</f>
        <v/>
      </c>
      <c r="K422" s="1698" t="n"/>
      <c r="L422" s="1698" t="n"/>
      <c r="M422" s="1698" t="n"/>
      <c r="N422" s="1715" t="n"/>
      <c r="O422" s="1714" t="n"/>
      <c r="P422" s="840" t="n"/>
      <c r="Q422" s="841">
        <f>IF(AND(Q418=FALSE,Q421=FALSE),FALSE,TRUE)</f>
        <v/>
      </c>
      <c r="R422" s="1714" t="n"/>
      <c r="S422" s="840" t="n"/>
      <c r="T422" s="841">
        <f>IF(AND(T418=FALSE,T421=FALSE),FALSE,TRUE)</f>
        <v/>
      </c>
      <c r="U422" s="978" t="n"/>
      <c r="V422" s="978" t="inlineStr">
        <is>
          <t>et</t>
        </is>
      </c>
      <c r="W422" s="1473" t="n"/>
      <c r="X422" s="2002" t="n"/>
      <c r="Y422" s="1478" t="n"/>
      <c r="Z422" s="2002" t="n"/>
      <c r="AA422" s="1481" t="n"/>
      <c r="AC422" s="1013">
        <f>IF(J422=TRUE,"V","F")</f>
        <v/>
      </c>
      <c r="AD422" s="1014" t="n"/>
      <c r="AE422" s="1013">
        <f>IF(Q422=TRUE,"V","F")</f>
        <v/>
      </c>
      <c r="AF422" s="1014" t="n"/>
      <c r="AG422" s="1013">
        <f>IF(T422=TRUE,"V","F")</f>
        <v/>
      </c>
      <c r="AH422" s="1014" t="n"/>
      <c r="AI422">
        <f>IF(OR(AC422="V",AE422="V"),IF(G421&gt;G418,"Le NC contribue plus que le coparent","Le coparent joue un plus grand rôle que le NC"),"pas de contexte significatif de la part du coparent et NC")</f>
        <v/>
      </c>
      <c r="AJ422" s="10" t="n"/>
      <c r="AK422" s="10" t="n"/>
      <c r="AL422" s="10" t="n"/>
      <c r="AQ422" s="7" t="n"/>
      <c r="AR422" s="849" t="n"/>
      <c r="AS422" s="111" t="n"/>
      <c r="AT422" s="487" t="n"/>
      <c r="AU422" s="114" t="n"/>
      <c r="AV422" s="491" t="n"/>
      <c r="AW422" s="114" t="n"/>
      <c r="AX422" s="492" t="n"/>
      <c r="AY422" s="488" t="n"/>
    </row>
    <row r="423" ht="72" customHeight="1">
      <c r="B423" s="316">
        <f>'Action-Réaction finale'!O67</f>
        <v/>
      </c>
      <c r="C423" s="799">
        <f>Test_Bible!B322</f>
        <v/>
      </c>
      <c r="D423" s="102" t="inlineStr">
        <is>
          <t>a demandé de changer les termes de la garde pour favoriser l'autre</t>
        </is>
      </c>
      <c r="E423" s="823">
        <f>Test_Bible!P322</f>
        <v/>
      </c>
      <c r="F423" s="822">
        <f>Test_Bible!D322</f>
        <v/>
      </c>
      <c r="G423" s="823">
        <f>Test_Bible!Q322</f>
        <v/>
      </c>
      <c r="H423" s="1710" t="n">
        <v>4</v>
      </c>
      <c r="I423" s="1703">
        <f>$I$18</f>
        <v/>
      </c>
      <c r="J423" s="46">
        <f>IF(AND(E423&gt;=H423,E423&lt;=I423),TRUE,FALSE)</f>
        <v/>
      </c>
      <c r="K423" s="46" t="n"/>
      <c r="L423" s="46" t="n"/>
      <c r="M423" s="46" t="n"/>
      <c r="N423" s="1711" t="n"/>
      <c r="O423" s="1710" t="n">
        <v>2</v>
      </c>
      <c r="P423" s="1703" t="n">
        <v>7</v>
      </c>
      <c r="Q423" s="1711">
        <f>IF(AND(E423&gt;=O423,E423&lt;=P423),TRUE,FALSE)</f>
        <v/>
      </c>
      <c r="R423" s="1710" t="n"/>
      <c r="S423" s="1703" t="n"/>
      <c r="T423" s="1711" t="n"/>
      <c r="U423" s="978" t="n"/>
      <c r="V423" s="1484" t="n"/>
      <c r="W423" s="1485" t="n">
        <v>4</v>
      </c>
      <c r="X423" s="2029" t="n"/>
      <c r="Y423" s="1489" t="n">
        <v>2</v>
      </c>
      <c r="Z423" s="2029" t="n"/>
      <c r="AA423" s="1497" t="n">
        <v>11</v>
      </c>
      <c r="AC423" s="1013" t="inlineStr">
        <is>
          <t> </t>
        </is>
      </c>
      <c r="AD423" s="1014" t="n"/>
      <c r="AE423" s="1013" t="n"/>
      <c r="AF423" s="1014" t="n"/>
      <c r="AG423" s="1013" t="n"/>
      <c r="AH423" s="1014" t="n"/>
      <c r="AJ423" s="10" t="n"/>
      <c r="AK423" s="10" t="n"/>
      <c r="AL423" s="10" t="n"/>
      <c r="AQ423" s="7" t="n"/>
      <c r="AR423" s="849" t="n"/>
      <c r="AS423" s="111" t="n"/>
      <c r="AT423" s="487" t="n"/>
      <c r="AU423" s="114" t="n"/>
      <c r="AV423" s="491" t="n"/>
      <c r="AW423" s="114" t="n"/>
      <c r="AX423" s="492" t="n"/>
      <c r="AY423" s="488" t="n"/>
    </row>
    <row r="424" ht="39" customHeight="1" thickBot="1">
      <c r="B424" s="316" t="n"/>
      <c r="C424" s="799" t="n"/>
      <c r="D424" s="102" t="n"/>
      <c r="E424" s="823" t="n"/>
      <c r="F424" s="822" t="n"/>
      <c r="G424" s="823" t="n"/>
      <c r="H424" s="1710" t="n"/>
      <c r="I424" s="1703" t="n"/>
      <c r="J424" s="46" t="n"/>
      <c r="K424" s="46" t="n"/>
      <c r="L424" s="46" t="n"/>
      <c r="M424" s="46" t="n"/>
      <c r="N424" s="1711" t="n"/>
      <c r="O424" s="1710" t="n"/>
      <c r="P424" s="1703" t="n"/>
      <c r="Q424" s="1711" t="n"/>
      <c r="R424" s="1735" t="n"/>
      <c r="S424" s="1736" t="n"/>
      <c r="T424" s="1711" t="n"/>
      <c r="U424" s="978" t="n"/>
      <c r="V424" s="1487" t="inlineStr">
        <is>
          <t>ou</t>
        </is>
      </c>
      <c r="W424" s="1492" t="n">
        <v>2</v>
      </c>
      <c r="X424" s="1493" t="n"/>
      <c r="Y424" s="1494" t="n">
        <v>2</v>
      </c>
      <c r="Z424" s="1493" t="n"/>
      <c r="AA424" s="1502" t="n">
        <v>11</v>
      </c>
      <c r="AC424" s="1013" t="n"/>
      <c r="AD424" s="1014" t="n"/>
      <c r="AE424" s="1013" t="n"/>
      <c r="AF424" s="1014" t="n"/>
      <c r="AG424" s="1013" t="n"/>
      <c r="AH424" s="1014" t="n"/>
      <c r="AJ424" s="10" t="n"/>
      <c r="AK424" s="10" t="n"/>
      <c r="AL424" s="10" t="n"/>
      <c r="AQ424" s="7" t="n"/>
      <c r="AR424" s="849" t="n"/>
      <c r="AS424" s="111" t="n"/>
      <c r="AT424" s="487" t="n"/>
      <c r="AU424" s="114" t="n"/>
      <c r="AV424" s="491" t="n"/>
      <c r="AW424" s="114" t="n"/>
      <c r="AX424" s="492" t="n"/>
      <c r="AY424" s="488" t="n"/>
    </row>
    <row r="425" ht="32" customHeight="1" thickBot="1">
      <c r="B425" s="842" t="inlineStr">
        <is>
          <t>Max Enf</t>
        </is>
      </c>
      <c r="C425" s="843">
        <f>_xlfn.XLOOKUP(G425,G423:G424,C423:C424)</f>
        <v/>
      </c>
      <c r="D425" s="843">
        <f>_xlfn.XLOOKUP(G425,G423:G424,D423:D424)</f>
        <v/>
      </c>
      <c r="E425" s="844" t="n"/>
      <c r="F425" s="844" t="n"/>
      <c r="G425" s="844">
        <f>IF(AND(J423=TRUE,J424=FALSE),G423,IF(AND(J423=FALSE,J424=TRUE),G424,MAX(G423,G424)))</f>
        <v/>
      </c>
      <c r="H425" s="1716" t="n"/>
      <c r="I425" s="845" t="n"/>
      <c r="J425" s="846">
        <f>IF(AND(J423=FALSE,J424=FALSE),FALSE,TRUE)</f>
        <v/>
      </c>
      <c r="K425" s="1699" t="n"/>
      <c r="L425" s="1699" t="n"/>
      <c r="M425" s="1699" t="n"/>
      <c r="N425" s="1717" t="n"/>
      <c r="O425" s="1716" t="n"/>
      <c r="P425" s="845" t="n"/>
      <c r="Q425" s="846">
        <f>IF(AND(Q423=FALSE,Q424=FALSE),FALSE,TRUE)</f>
        <v/>
      </c>
      <c r="R425" s="1716" t="n"/>
      <c r="S425" s="845" t="n"/>
      <c r="T425" s="846" t="n"/>
      <c r="U425" s="978" t="n"/>
      <c r="V425" s="978" t="n"/>
      <c r="W425" s="1475" t="n"/>
      <c r="Y425" s="1479" t="n"/>
      <c r="AA425" s="1483" t="n"/>
      <c r="AC425" s="1013">
        <f>IF(J425=TRUE,"V","F")</f>
        <v/>
      </c>
      <c r="AD425" s="1014" t="n"/>
      <c r="AE425" s="1013">
        <f>IF(Q425=TRUE,"V","F")</f>
        <v/>
      </c>
      <c r="AF425" s="1014" t="n"/>
      <c r="AG425" s="1013" t="n"/>
      <c r="AH425" s="1014" t="n"/>
      <c r="AJ425" s="10" t="n"/>
      <c r="AK425" s="10" t="n"/>
      <c r="AL425" s="10" t="n"/>
      <c r="AR425" s="849" t="n"/>
      <c r="AS425" s="111" t="n"/>
      <c r="AT425" s="487" t="n"/>
      <c r="AU425" s="114" t="n"/>
      <c r="AV425" s="491" t="n"/>
      <c r="AW425" s="114" t="n"/>
      <c r="AX425" s="492" t="n"/>
      <c r="AY425" s="488" t="n"/>
    </row>
    <row r="426" ht="32" customHeight="1">
      <c r="C426" s="428" t="inlineStr">
        <is>
          <t>COMPARATIF Comportement PFA-Enf</t>
        </is>
      </c>
      <c r="D426" s="2058" t="n"/>
      <c r="E426" s="484" t="inlineStr">
        <is>
          <t>Valeur =&gt;</t>
        </is>
      </c>
      <c r="F426" s="48" t="n"/>
      <c r="G426" s="48">
        <f>G418+G421+G425</f>
        <v/>
      </c>
      <c r="H426" s="1718" t="n"/>
      <c r="I426" s="485" t="n"/>
      <c r="J426" s="1701" t="n"/>
      <c r="K426" s="1702">
        <f>IF(AND(J425=TRUE,J422=TRUE),D425,"")</f>
        <v/>
      </c>
      <c r="L426" s="1702">
        <f>IF(AND(J422=TRUE,J425=FALSE),"Bien que le parent "&amp;D422&amp;" l'enfant ne semble pas s'ingérer","")</f>
        <v/>
      </c>
      <c r="M426" s="1702">
        <f>IF(AND(J422=FALSE,J425=TRUE),D425&amp;" sans signe de la participation du parent favorisé et|ou nouveau conjoint.e","")</f>
        <v/>
      </c>
      <c r="N426" s="1719">
        <f>IF(AND(J422=FALSE,J425=FALSE),"aucun comportement significatif de cette nature","")</f>
        <v/>
      </c>
      <c r="O426" s="1718" t="n"/>
      <c r="P426" s="485" t="n"/>
      <c r="Q426" s="1727" t="n"/>
      <c r="R426" s="1718" t="n"/>
      <c r="S426" s="485" t="n"/>
      <c r="T426" s="1727" t="n"/>
      <c r="U426" s="980" t="n"/>
      <c r="V426" s="980" t="n"/>
      <c r="W426" s="1475" t="n"/>
      <c r="Y426" s="1479" t="n"/>
      <c r="AA426" s="1483" t="n"/>
      <c r="AC426" s="1015" t="n"/>
      <c r="AD426" s="1016">
        <f>IF(AND(AC422="V",AC425="V"),2,IF(OR(AC422="V",AC425="V"),1,0))</f>
        <v/>
      </c>
      <c r="AE426" s="1015" t="n"/>
      <c r="AF426" s="1016">
        <f>IF(OR(AE422="V",AE425="V"),1,0)</f>
        <v/>
      </c>
      <c r="AG426" s="1015" t="n"/>
      <c r="AH426" s="1016" t="n"/>
      <c r="AJ426" s="10" t="n"/>
      <c r="AK426" s="10" t="n"/>
      <c r="AL426" s="10" t="n"/>
      <c r="AR426" s="849" t="n"/>
      <c r="AS426" s="111" t="n"/>
      <c r="AT426" s="487" t="n"/>
      <c r="AU426" s="114" t="n"/>
      <c r="AV426" s="491" t="n"/>
      <c r="AW426" s="114" t="n"/>
      <c r="AX426" s="492" t="n"/>
      <c r="AY426" s="488" t="n"/>
    </row>
    <row r="427" ht="32" customHeight="1">
      <c r="B427" t="inlineStr">
        <is>
          <t>PCR</t>
        </is>
      </c>
      <c r="H427" s="147" t="n"/>
      <c r="K427" s="1992" t="n"/>
      <c r="L427" s="1992" t="n"/>
      <c r="M427" s="1992" t="n"/>
      <c r="N427" s="1740" t="n"/>
      <c r="O427" s="147" t="n"/>
      <c r="Q427" s="330" t="n"/>
      <c r="R427" s="147" t="n"/>
      <c r="T427" s="330" t="n"/>
      <c r="U427" s="1992" t="n"/>
      <c r="AC427" s="1013" t="n"/>
      <c r="AD427" s="1014" t="n"/>
      <c r="AE427" s="1013" t="n"/>
      <c r="AF427" s="1014" t="n"/>
      <c r="AG427" s="1013" t="n"/>
      <c r="AH427" s="1014" t="n"/>
      <c r="AJ427" s="10" t="n"/>
      <c r="AK427" s="10" t="n"/>
      <c r="AL427" s="10" t="n"/>
      <c r="AR427" s="849" t="n"/>
      <c r="AS427" s="111" t="n"/>
      <c r="AT427" s="487" t="n"/>
      <c r="AU427" s="114" t="n"/>
      <c r="AV427" s="491" t="n"/>
      <c r="AW427" s="114" t="n"/>
      <c r="AX427" s="492" t="n"/>
      <c r="AY427" s="488" t="n"/>
    </row>
    <row r="428" ht="32" customHeight="1">
      <c r="B428" s="1017">
        <f>'Action-Réaction finale'!S67</f>
        <v/>
      </c>
      <c r="C428" s="1018">
        <f>Test_Bible!B132</f>
        <v/>
      </c>
      <c r="D428" s="1018" t="n"/>
      <c r="E428" s="1026">
        <f>Test_Bible!P132</f>
        <v/>
      </c>
      <c r="F428" s="1026">
        <f>Test_Bible!D132</f>
        <v/>
      </c>
      <c r="G428" s="1026">
        <f>Test_Bible!Q132</f>
        <v/>
      </c>
      <c r="H428" s="1710" t="n">
        <v>4</v>
      </c>
      <c r="I428" s="1703" t="n">
        <v>10</v>
      </c>
      <c r="J428" s="46">
        <f>IF(AND(E428&gt;=H428,E428&lt;=I428),TRUE,FALSE)</f>
        <v/>
      </c>
      <c r="K428" s="33" t="n"/>
      <c r="L428" s="33" t="n"/>
      <c r="M428" s="33" t="n"/>
      <c r="N428" s="1720" t="n"/>
      <c r="O428" s="1735" t="n">
        <v>11</v>
      </c>
      <c r="P428" s="1736" t="n">
        <v>11</v>
      </c>
      <c r="Q428" s="1711">
        <f>IF(AND(E428&gt;=O428,E428&lt;=P428),TRUE,FALSE)</f>
        <v/>
      </c>
      <c r="R428" s="1710" t="n">
        <v>4</v>
      </c>
      <c r="S428" s="1703" t="n">
        <v>7</v>
      </c>
      <c r="T428" s="1711">
        <f>IF(AND(E428&gt;=R428,E428&lt;=S428),TRUE,FALSE)</f>
        <v/>
      </c>
      <c r="U428" s="1992" t="n"/>
      <c r="V428" s="1509" t="n"/>
      <c r="W428" s="1485" t="n">
        <v>4</v>
      </c>
      <c r="X428" s="1504" t="n"/>
      <c r="Y428" s="1505" t="n">
        <v>11</v>
      </c>
      <c r="Z428" s="1504" t="n"/>
      <c r="AA428" s="1496" t="n">
        <v>4</v>
      </c>
      <c r="AC428" s="1013" t="n"/>
      <c r="AD428" s="1014" t="n"/>
      <c r="AE428" s="1013" t="n"/>
      <c r="AF428" s="1014" t="n"/>
      <c r="AG428" s="1013" t="n"/>
      <c r="AH428" s="1014" t="n"/>
      <c r="AJ428" s="10" t="n"/>
      <c r="AK428" s="10" t="n"/>
      <c r="AL428" s="10" t="n"/>
      <c r="AR428" s="849" t="n"/>
      <c r="AS428" s="111" t="n"/>
      <c r="AT428" s="487" t="n"/>
      <c r="AU428" s="114" t="n"/>
      <c r="AV428" s="491" t="n"/>
      <c r="AW428" s="114" t="n"/>
      <c r="AX428" s="492" t="n"/>
      <c r="AY428" s="488" t="n"/>
    </row>
    <row r="429" ht="32" customHeight="1" thickBot="1">
      <c r="B429" s="1017" t="n"/>
      <c r="C429" s="1025" t="n"/>
      <c r="D429" s="1018" t="n"/>
      <c r="E429" s="1026" t="n"/>
      <c r="F429" s="1026" t="n"/>
      <c r="G429" s="1026" t="n"/>
      <c r="H429" s="1735" t="n">
        <v>11</v>
      </c>
      <c r="I429" s="1736" t="n">
        <v>11</v>
      </c>
      <c r="J429" s="46">
        <f>IF(AND(E429&gt;=H429,E429&lt;=I429),TRUE,FALSE)</f>
        <v/>
      </c>
      <c r="K429" s="33" t="n"/>
      <c r="L429" s="33" t="n"/>
      <c r="M429" s="33" t="n"/>
      <c r="N429" s="1720" t="n"/>
      <c r="O429" s="1735" t="n">
        <v>11</v>
      </c>
      <c r="P429" s="1736" t="n">
        <v>11</v>
      </c>
      <c r="Q429" s="1711">
        <f>IF(AND(E429&gt;=O429,E429&lt;=P429),TRUE,FALSE)</f>
        <v/>
      </c>
      <c r="R429" s="1735" t="n">
        <v>11</v>
      </c>
      <c r="S429" s="1736" t="n">
        <v>11</v>
      </c>
      <c r="T429" s="1711">
        <f>IF(AND(E429&gt;=R429,E429&lt;=S429),TRUE,FALSE)</f>
        <v/>
      </c>
      <c r="V429" s="1510" t="n"/>
      <c r="W429" s="1506" t="n">
        <v>11</v>
      </c>
      <c r="X429" s="1507" t="n"/>
      <c r="Y429" s="1508" t="n">
        <v>11</v>
      </c>
      <c r="Z429" s="1507" t="n"/>
      <c r="AA429" s="1502" t="n">
        <v>11</v>
      </c>
      <c r="AC429" s="1013" t="n"/>
      <c r="AD429" s="1014" t="n"/>
      <c r="AE429" s="1013" t="n"/>
      <c r="AF429" s="1014" t="n"/>
      <c r="AG429" s="1013" t="n"/>
      <c r="AH429" s="1014" t="n"/>
      <c r="AJ429" s="10" t="n"/>
      <c r="AK429" s="10" t="n"/>
      <c r="AL429" s="10" t="n"/>
      <c r="AR429" s="849" t="n"/>
      <c r="AS429" s="111" t="n"/>
      <c r="AT429" s="487" t="n"/>
      <c r="AU429" s="114" t="n"/>
      <c r="AV429" s="491" t="n"/>
      <c r="AW429" s="114" t="n"/>
      <c r="AX429" s="492" t="n"/>
      <c r="AY429" s="488" t="n"/>
    </row>
    <row r="430" ht="32" customHeight="1" thickBot="1">
      <c r="C430" s="2073" t="n"/>
      <c r="D430" s="2073" t="n"/>
      <c r="E430" s="90" t="n"/>
      <c r="F430" s="483" t="n"/>
      <c r="G430" s="483" t="n"/>
      <c r="H430" s="1732" t="n"/>
      <c r="I430" s="1733" t="n"/>
      <c r="J430" s="1739">
        <f>IF(AND(J428=FALSE,J429=FALSE),FALSE,TRUE)</f>
        <v/>
      </c>
      <c r="K430" s="1721" t="n"/>
      <c r="L430" s="1722" t="n"/>
      <c r="M430" s="1722" t="n"/>
      <c r="N430" s="1723" t="n"/>
      <c r="O430" s="1732" t="n"/>
      <c r="P430" s="1733" t="n"/>
      <c r="Q430" s="1739">
        <f>IF(AND(Q428=FALSE,Q429=FALSE),FALSE,TRUE)</f>
        <v/>
      </c>
      <c r="R430" s="1744" t="n"/>
      <c r="S430" s="1745" t="n"/>
      <c r="T430" s="1746">
        <f>IF(AND(T428=FALSE,T429=FALSE),FALSE,TRUE)</f>
        <v/>
      </c>
      <c r="U430" s="980" t="n"/>
      <c r="AC430" s="1650">
        <f>IF(J430=TRUE,"V","F")</f>
        <v/>
      </c>
      <c r="AD430" s="1651" t="n"/>
      <c r="AE430" s="1650">
        <f>IF(Q430=TRUE,"V","F")</f>
        <v/>
      </c>
      <c r="AF430" s="1651" t="n"/>
      <c r="AG430" s="1650">
        <f>IF(T430=TRUE,"V","F")</f>
        <v/>
      </c>
      <c r="AH430" s="1651" t="n"/>
      <c r="AJ430" s="10" t="n"/>
      <c r="AK430" s="10" t="n"/>
      <c r="AL430" s="10" t="n"/>
      <c r="AR430" s="849" t="n"/>
      <c r="AS430" s="111" t="n"/>
      <c r="AT430" s="487" t="n"/>
      <c r="AU430" s="114" t="n"/>
      <c r="AV430" s="491" t="n"/>
      <c r="AW430" s="114" t="n"/>
      <c r="AX430" s="492" t="n"/>
      <c r="AY430" s="488" t="n"/>
    </row>
    <row r="431" ht="32" customHeight="1" thickBot="1">
      <c r="C431" s="2073" t="n"/>
      <c r="D431" s="2073" t="n"/>
      <c r="E431" s="90" t="n"/>
      <c r="F431" s="483" t="n"/>
      <c r="G431" s="483" t="n"/>
      <c r="H431" s="2002" t="n"/>
      <c r="I431" s="2002" t="n"/>
      <c r="J431" s="979" t="n"/>
      <c r="K431" s="980" t="n"/>
      <c r="L431" s="980" t="n"/>
      <c r="M431" s="980" t="n"/>
      <c r="N431" s="980" t="n"/>
      <c r="O431" s="980" t="n"/>
      <c r="P431" s="980" t="n"/>
      <c r="Q431" s="980" t="n"/>
      <c r="R431" s="980" t="n"/>
      <c r="S431" s="980" t="n"/>
      <c r="T431" s="980" t="n"/>
      <c r="U431" s="980" t="n"/>
      <c r="V431" s="980" t="n"/>
      <c r="AC431" s="1737" t="n"/>
      <c r="AD431" s="1738">
        <f>IF(AND(AC430="V",AC422="V"),AD426-1,AD426)</f>
        <v/>
      </c>
      <c r="AE431" s="1737" t="n"/>
      <c r="AF431" s="1738">
        <f>IF(OR(AE422="V",AE425="V",AE430="V"),1,0)</f>
        <v/>
      </c>
      <c r="AG431" s="1737" t="n"/>
      <c r="AH431" s="1738">
        <f>IF(AG422="V",1,IF(AG430="V",1,0))</f>
        <v/>
      </c>
      <c r="AJ431" s="10" t="n">
        <v>1</v>
      </c>
      <c r="AK431" s="10" t="n">
        <v>1</v>
      </c>
      <c r="AL431" s="10" t="n">
        <v>1</v>
      </c>
      <c r="AR431" s="849" t="n"/>
      <c r="AS431" s="111" t="n"/>
      <c r="AT431" s="487" t="n"/>
      <c r="AU431" s="114" t="n"/>
      <c r="AV431" s="491" t="n"/>
      <c r="AW431" s="114" t="n"/>
      <c r="AX431" s="492" t="n"/>
      <c r="AY431" s="488" t="n"/>
    </row>
    <row r="432" ht="32" customHeight="1">
      <c r="C432" s="2073" t="n"/>
      <c r="D432" s="2073" t="n"/>
      <c r="E432" s="90" t="n"/>
      <c r="F432" s="483" t="n"/>
      <c r="G432" s="483" t="n"/>
      <c r="H432" s="1704" t="n"/>
      <c r="I432" s="1705" t="n"/>
      <c r="J432" s="1706" t="n"/>
      <c r="K432" s="2056" t="n"/>
      <c r="L432" s="709" t="n"/>
      <c r="M432" s="709" t="n"/>
      <c r="N432" s="1707" t="n"/>
      <c r="O432" s="1724" t="n"/>
      <c r="P432" s="1706" t="n"/>
      <c r="Q432" s="1707" t="n"/>
      <c r="R432" s="1724" t="n"/>
      <c r="S432" s="1706" t="n"/>
      <c r="T432" s="1707" t="n"/>
      <c r="U432" s="980" t="n"/>
      <c r="V432" s="980" t="n"/>
      <c r="AC432" s="1756" t="n"/>
      <c r="AD432" s="1757" t="n"/>
      <c r="AE432" s="1490" t="n"/>
      <c r="AF432" s="1490" t="n"/>
      <c r="AG432" s="1490" t="n"/>
      <c r="AH432" s="1490" t="n"/>
      <c r="AJ432" s="10" t="n"/>
      <c r="AK432" s="10" t="n"/>
      <c r="AL432" s="10" t="n"/>
      <c r="AR432" s="849" t="n"/>
      <c r="AS432" s="111" t="n"/>
      <c r="AT432" s="487" t="n"/>
      <c r="AU432" s="114" t="n"/>
      <c r="AV432" s="491" t="n"/>
      <c r="AW432" s="114" t="n"/>
      <c r="AX432" s="492" t="n"/>
      <c r="AY432" s="488" t="n"/>
    </row>
    <row r="433" ht="32" customHeight="1">
      <c r="A433" s="853" t="n">
        <v>22</v>
      </c>
      <c r="C433" s="486">
        <f>'Action-Réaction finale'!F70</f>
        <v/>
      </c>
      <c r="D433" s="108" t="n"/>
      <c r="E433" s="66" t="n"/>
      <c r="F433" s="18" t="n"/>
      <c r="G433" s="18" t="n"/>
      <c r="H433" s="2052" t="inlineStr">
        <is>
          <t>AP</t>
        </is>
      </c>
      <c r="K433" s="2055" t="inlineStr">
        <is>
          <t>Dynamique d'AP</t>
        </is>
      </c>
      <c r="N433" s="330" t="n"/>
      <c r="O433" s="2122" t="inlineStr">
        <is>
          <t>CL</t>
        </is>
      </c>
      <c r="Q433" s="330" t="n"/>
      <c r="R433" s="2123" t="inlineStr">
        <is>
          <t>CSS</t>
        </is>
      </c>
      <c r="T433" s="330" t="n"/>
      <c r="U433" s="15" t="n"/>
      <c r="V433" s="15" t="n"/>
      <c r="AC433" s="1009" t="n"/>
      <c r="AD433" s="1009" t="n"/>
      <c r="AE433" s="1009" t="n"/>
      <c r="AF433" s="1009" t="n"/>
      <c r="AG433" s="1009" t="n"/>
      <c r="AH433" s="1010" t="n"/>
      <c r="AJ433" s="10" t="n"/>
      <c r="AK433" s="10" t="n"/>
      <c r="AL433" s="10" t="n"/>
      <c r="AR433" s="849" t="n"/>
      <c r="AS433" s="111" t="n"/>
      <c r="AT433" s="487" t="n"/>
      <c r="AU433" s="114" t="n"/>
      <c r="AV433" s="491" t="n"/>
      <c r="AW433" s="114" t="n"/>
      <c r="AX433" s="492" t="n"/>
      <c r="AY433" s="488" t="n"/>
    </row>
    <row r="434" ht="32" customHeight="1">
      <c r="C434" s="103" t="inlineStr">
        <is>
          <t>Questions et sous-questions</t>
        </is>
      </c>
      <c r="D434" s="1043" t="inlineStr">
        <is>
          <t>Texte écourté pour titrer dans les baromètres ou rapport</t>
        </is>
      </c>
      <c r="E434" s="33" t="inlineStr">
        <is>
          <t>Valeur de base
Fréquence (F)</t>
        </is>
      </c>
      <c r="F434" s="33" t="inlineStr">
        <is>
          <t>Valeur de base
intensité (I)</t>
        </is>
      </c>
      <c r="G434" s="33" t="inlineStr">
        <is>
          <t>F * I</t>
        </is>
      </c>
      <c r="H434" s="1708" t="inlineStr">
        <is>
          <t>Condition Fréq. 
&gt;= que</t>
        </is>
      </c>
      <c r="I434" s="44" t="inlineStr">
        <is>
          <t>Condition Fré
&lt;= que</t>
        </is>
      </c>
      <c r="J434" s="44" t="inlineStr">
        <is>
          <t>Condition respectée</t>
        </is>
      </c>
      <c r="K434" s="44" t="inlineStr">
        <is>
          <t>"VRAI" (PF&amp;NC) /  "VRAI" (Enf)</t>
        </is>
      </c>
      <c r="L434" s="44" t="inlineStr">
        <is>
          <t>Vrai (PF&amp;NC) /  Faux (Enf)</t>
        </is>
      </c>
      <c r="M434" s="44" t="inlineStr">
        <is>
          <t>Faux (PF&amp;NC) /  Vrai (Enf)</t>
        </is>
      </c>
      <c r="N434" s="1709" t="inlineStr">
        <is>
          <t>Faux (PF&amp;NC) /  Faux(Enf)</t>
        </is>
      </c>
      <c r="O434" s="1708" t="inlineStr">
        <is>
          <t>Condition Fréq. 
&gt;= que</t>
        </is>
      </c>
      <c r="P434" s="44" t="inlineStr">
        <is>
          <t>Condition Fré
&lt;= que</t>
        </is>
      </c>
      <c r="Q434" s="1709" t="inlineStr">
        <is>
          <t>Condition respectée</t>
        </is>
      </c>
      <c r="R434" s="1708" t="inlineStr">
        <is>
          <t>Condition Fréq. 
&gt;= que</t>
        </is>
      </c>
      <c r="S434" s="44" t="inlineStr">
        <is>
          <t>Condition Fré
&lt;= que</t>
        </is>
      </c>
      <c r="T434" s="1709" t="inlineStr">
        <is>
          <t>Condition respectée</t>
        </is>
      </c>
      <c r="U434" s="851" t="n"/>
      <c r="V434" s="1008" t="inlineStr">
        <is>
          <t>Condition</t>
        </is>
      </c>
      <c r="W434" s="1472" t="inlineStr">
        <is>
          <t>AP</t>
        </is>
      </c>
      <c r="X434" s="1008" t="inlineStr">
        <is>
          <t>Condition</t>
        </is>
      </c>
      <c r="Y434" s="1476" t="inlineStr">
        <is>
          <t>CL</t>
        </is>
      </c>
      <c r="Z434" s="1008" t="n"/>
      <c r="AA434" s="1480" t="inlineStr">
        <is>
          <t>CSS</t>
        </is>
      </c>
      <c r="AC434" s="1023" t="inlineStr">
        <is>
          <t>AP</t>
        </is>
      </c>
      <c r="AD434" s="1024" t="inlineStr">
        <is>
          <t>AP_F</t>
        </is>
      </c>
      <c r="AE434" s="1023" t="inlineStr">
        <is>
          <t>CL</t>
        </is>
      </c>
      <c r="AF434" s="1024" t="inlineStr">
        <is>
          <t>CL_F</t>
        </is>
      </c>
      <c r="AG434" s="1023" t="inlineStr">
        <is>
          <t>CSS</t>
        </is>
      </c>
      <c r="AH434" s="1024" t="inlineStr">
        <is>
          <t>CSS_F</t>
        </is>
      </c>
      <c r="AJ434" s="10" t="n"/>
      <c r="AK434" s="10" t="n"/>
      <c r="AL434" s="10" t="n"/>
      <c r="AR434" s="849" t="n"/>
      <c r="AS434" s="111" t="n"/>
      <c r="AT434" s="487" t="n"/>
      <c r="AU434" s="114" t="n"/>
      <c r="AV434" s="491" t="n"/>
      <c r="AW434" s="114" t="n"/>
      <c r="AX434" s="492" t="n"/>
      <c r="AY434" s="488" t="n"/>
    </row>
    <row r="435" ht="32" customHeight="1">
      <c r="B435" s="421">
        <f>'Action-Réaction finale'!G70</f>
        <v/>
      </c>
      <c r="C435" s="2066">
        <f>Test_Bible!B179</f>
        <v/>
      </c>
      <c r="D435" s="102" t="inlineStr">
        <is>
          <t>demande à l'enfant avec qui il veut vivre</t>
        </is>
      </c>
      <c r="E435" s="823">
        <f>Test_Bible!P179</f>
        <v/>
      </c>
      <c r="F435" s="822">
        <f>Test_Bible!D179</f>
        <v/>
      </c>
      <c r="G435" s="823">
        <f>Test_Bible!Q179</f>
        <v/>
      </c>
      <c r="H435" s="1710" t="n">
        <v>7</v>
      </c>
      <c r="I435" s="1703" t="n">
        <v>10</v>
      </c>
      <c r="J435" s="46">
        <f>IF(AND(E435&gt;=H435,E435&lt;=I435),TRUE,FALSE)</f>
        <v/>
      </c>
      <c r="K435" s="46" t="n"/>
      <c r="L435" s="46" t="n"/>
      <c r="M435" s="46" t="n"/>
      <c r="N435" s="1711" t="n"/>
      <c r="O435" s="1735" t="n">
        <v>11</v>
      </c>
      <c r="P435" s="1736" t="n">
        <v>11</v>
      </c>
      <c r="Q435" s="1711">
        <f>IF(AND(E435&gt;=O435,E435&lt;=P435),TRUE,FALSE)</f>
        <v/>
      </c>
      <c r="R435" s="1735" t="n">
        <v>11</v>
      </c>
      <c r="S435" s="1736" t="n">
        <v>11</v>
      </c>
      <c r="T435" s="1711">
        <f>IF(AND(E435&gt;=R435,E435&lt;=S435),TRUE,FALSE)</f>
        <v/>
      </c>
      <c r="U435" s="978" t="n"/>
      <c r="V435" s="1484" t="n"/>
      <c r="W435" s="1485" t="n">
        <v>7</v>
      </c>
      <c r="X435" s="2029" t="n"/>
      <c r="Y435" s="1505" t="n">
        <v>11</v>
      </c>
      <c r="Z435" s="2029" t="n"/>
      <c r="AA435" s="1497" t="n">
        <v>11</v>
      </c>
      <c r="AC435" s="1011" t="n"/>
      <c r="AD435" s="1012" t="n"/>
      <c r="AE435" s="1011" t="n"/>
      <c r="AF435" s="1012" t="n"/>
      <c r="AG435" s="1011" t="n"/>
      <c r="AH435" s="1012" t="n"/>
      <c r="AJ435" s="10" t="n"/>
      <c r="AK435" s="10" t="n"/>
      <c r="AL435" s="10" t="n"/>
      <c r="AR435" s="849" t="n"/>
      <c r="AS435" s="111" t="n"/>
      <c r="AT435" s="487" t="n"/>
      <c r="AU435" s="114" t="n"/>
      <c r="AV435" s="491" t="n"/>
      <c r="AW435" s="114" t="n"/>
      <c r="AX435" s="492" t="n"/>
      <c r="AY435" s="488" t="n"/>
    </row>
    <row r="436" ht="32" customHeight="1">
      <c r="B436" s="421">
        <f>'Action-Réaction finale'!G71</f>
        <v/>
      </c>
      <c r="C436" s="2066">
        <f>Test_Bible!B216</f>
        <v/>
      </c>
      <c r="D436" s="102" t="inlineStr">
        <is>
          <t>se dit impuissant devant la décision de l'enfant de ne pas respecter l'entente</t>
        </is>
      </c>
      <c r="E436" s="823">
        <f>Test_Bible!P216</f>
        <v/>
      </c>
      <c r="F436" s="822">
        <f>Test_Bible!D216</f>
        <v/>
      </c>
      <c r="G436" s="823">
        <f>Test_Bible!Q216</f>
        <v/>
      </c>
      <c r="H436" s="1710" t="n">
        <v>4</v>
      </c>
      <c r="I436" s="1703" t="n">
        <v>10</v>
      </c>
      <c r="J436" s="46">
        <f>IF(AND(E436&gt;=H436,E436&lt;=I436),TRUE,FALSE)</f>
        <v/>
      </c>
      <c r="K436" s="46" t="n"/>
      <c r="L436" s="46" t="n"/>
      <c r="M436" s="46" t="n"/>
      <c r="N436" s="1711" t="n"/>
      <c r="O436" s="1735" t="n">
        <v>11</v>
      </c>
      <c r="P436" s="1736" t="n">
        <v>11</v>
      </c>
      <c r="Q436" s="1711">
        <f>IF(AND(E436&gt;=O436,E436&lt;=P436),TRUE,FALSE)</f>
        <v/>
      </c>
      <c r="R436" s="1735" t="n">
        <v>11</v>
      </c>
      <c r="S436" s="1736" t="n">
        <v>11</v>
      </c>
      <c r="T436" s="1711">
        <f>IF(AND(E436&gt;=R436,E436&lt;=S436),TRUE,FALSE)</f>
        <v/>
      </c>
      <c r="U436" s="978" t="n"/>
      <c r="V436" s="1487" t="inlineStr">
        <is>
          <t>ou</t>
        </is>
      </c>
      <c r="W436" s="1492" t="n">
        <v>4</v>
      </c>
      <c r="X436" s="1493" t="n"/>
      <c r="Y436" s="1508" t="n">
        <v>11</v>
      </c>
      <c r="Z436" s="1493" t="n"/>
      <c r="AA436" s="1502" t="n">
        <v>11</v>
      </c>
      <c r="AC436" s="1013" t="n"/>
      <c r="AD436" s="1014" t="n"/>
      <c r="AE436" s="1013" t="n"/>
      <c r="AF436" s="1014" t="n"/>
      <c r="AG436" s="1013" t="n"/>
      <c r="AH436" s="1014" t="n"/>
      <c r="AJ436" s="10" t="n"/>
      <c r="AK436" s="10" t="n"/>
      <c r="AL436" s="10" t="n"/>
      <c r="AR436" s="849" t="n"/>
      <c r="AS436" s="111" t="n"/>
      <c r="AT436" s="487" t="n"/>
      <c r="AU436" s="114" t="n"/>
      <c r="AV436" s="491" t="n"/>
      <c r="AW436" s="114" t="n"/>
      <c r="AX436" s="492" t="n"/>
      <c r="AY436" s="488" t="n"/>
    </row>
    <row r="437" ht="32" customHeight="1">
      <c r="B437" s="825" t="inlineStr">
        <is>
          <t>Max PFA</t>
        </is>
      </c>
      <c r="C437" s="826">
        <f>_xlfn.XLOOKUP(G437,G435:G436,C435:C436)</f>
        <v/>
      </c>
      <c r="D437" s="827">
        <f>_xlfn.XLOOKUP(G437,G435:G436,D435:D436)</f>
        <v/>
      </c>
      <c r="E437" s="828" t="n"/>
      <c r="F437" s="828" t="n"/>
      <c r="G437" s="828">
        <f>IF(AND(J435=TRUE,J436=FALSE),G435,IF(AND(J435=FALSE,J436=TRUE),G436,MAX(G435,G436)))</f>
        <v/>
      </c>
      <c r="H437" s="1712" t="n"/>
      <c r="I437" s="829" t="n"/>
      <c r="J437" s="830">
        <f>IF(AND(J435=FALSE,J436=FALSE),FALSE,TRUE)</f>
        <v/>
      </c>
      <c r="K437" s="46" t="n"/>
      <c r="L437" s="46" t="n"/>
      <c r="M437" s="46" t="n"/>
      <c r="N437" s="1711" t="n"/>
      <c r="O437" s="1712" t="n"/>
      <c r="P437" s="829" t="n"/>
      <c r="Q437" s="1725">
        <f>IF(AND(Q435=FALSE,Q436=FALSE),FALSE,TRUE)</f>
        <v/>
      </c>
      <c r="R437" s="1712" t="n"/>
      <c r="S437" s="829" t="n"/>
      <c r="T437" s="1725">
        <f>IF(AND(T435=FALSE,T436=FALSE),FALSE,TRUE)</f>
        <v/>
      </c>
      <c r="U437" s="978" t="n"/>
      <c r="V437" s="978" t="inlineStr">
        <is>
          <t>ou</t>
        </is>
      </c>
      <c r="W437" s="1473" t="n"/>
      <c r="X437" s="2002" t="n"/>
      <c r="Y437" s="1478" t="n"/>
      <c r="Z437" s="2002" t="n"/>
      <c r="AA437" s="1481" t="n"/>
      <c r="AC437" s="1013" t="n"/>
      <c r="AD437" s="1014" t="n"/>
      <c r="AE437" s="1013" t="n"/>
      <c r="AF437" s="1014" t="n"/>
      <c r="AG437" s="1013" t="n"/>
      <c r="AH437" s="1014" t="n"/>
      <c r="AJ437" s="10" t="n"/>
      <c r="AK437" s="10" t="n"/>
      <c r="AL437" s="10" t="n"/>
      <c r="AR437" s="849" t="n"/>
      <c r="AS437" s="111" t="n"/>
      <c r="AT437" s="487" t="n"/>
      <c r="AU437" s="114" t="n"/>
      <c r="AV437" s="491" t="n"/>
      <c r="AW437" s="114" t="n"/>
      <c r="AX437" s="492" t="n"/>
      <c r="AY437" s="488" t="n"/>
    </row>
    <row r="438" ht="32" customHeight="1">
      <c r="B438" s="53" t="inlineStr">
        <is>
          <t>NC</t>
        </is>
      </c>
      <c r="C438" s="2066" t="n"/>
      <c r="D438" s="102" t="n"/>
      <c r="E438" s="823" t="n"/>
      <c r="F438" s="822" t="n"/>
      <c r="G438" s="823" t="n"/>
      <c r="H438" s="1735" t="n">
        <v>11</v>
      </c>
      <c r="I438" s="1736" t="n">
        <v>11</v>
      </c>
      <c r="J438" s="46">
        <f>IF(AND(E438&gt;=H438,E438&lt;=I438),TRUE,FALSE)</f>
        <v/>
      </c>
      <c r="K438" s="46" t="n"/>
      <c r="L438" s="46" t="n"/>
      <c r="M438" s="46" t="n"/>
      <c r="N438" s="1711" t="n"/>
      <c r="O438" s="1735" t="n">
        <v>11</v>
      </c>
      <c r="P438" s="1736" t="n">
        <v>11</v>
      </c>
      <c r="Q438" s="1711">
        <f>IF(AND(E438&gt;=O438,E438&lt;=P438),TRUE,FALSE)</f>
        <v/>
      </c>
      <c r="R438" s="1735" t="n">
        <v>11</v>
      </c>
      <c r="S438" s="1736" t="n">
        <v>11</v>
      </c>
      <c r="T438" s="1711">
        <f>IF(AND(E438&gt;=R438,E438&lt;=S438),TRUE,FALSE)</f>
        <v/>
      </c>
      <c r="U438" s="978" t="n"/>
      <c r="V438" s="1484" t="n"/>
      <c r="W438" s="1498" t="n">
        <v>11</v>
      </c>
      <c r="X438" s="1499" t="n"/>
      <c r="Y438" s="1500" t="n">
        <v>11</v>
      </c>
      <c r="Z438" s="1499" t="n"/>
      <c r="AA438" s="1501" t="n">
        <v>11</v>
      </c>
      <c r="AC438" s="1013" t="n"/>
      <c r="AD438" s="1014" t="n"/>
      <c r="AE438" s="1013" t="n"/>
      <c r="AF438" s="1014" t="n"/>
      <c r="AG438" s="1013" t="n"/>
      <c r="AH438" s="1014" t="n"/>
      <c r="AJ438" s="10" t="n"/>
      <c r="AK438" s="10" t="n"/>
      <c r="AL438" s="10" t="n"/>
      <c r="AR438" s="849" t="n"/>
      <c r="AS438" s="111" t="n"/>
      <c r="AT438" s="487" t="n"/>
      <c r="AU438" s="114" t="n"/>
      <c r="AV438" s="491" t="n"/>
      <c r="AW438" s="114" t="n"/>
      <c r="AX438" s="492" t="n"/>
      <c r="AY438" s="488" t="n"/>
    </row>
    <row r="439" ht="32" customHeight="1">
      <c r="B439" s="53" t="inlineStr">
        <is>
          <t>NC</t>
        </is>
      </c>
      <c r="C439" s="2066" t="n"/>
      <c r="D439" s="63" t="n"/>
      <c r="E439" s="36" t="n"/>
      <c r="F439" s="36" t="n"/>
      <c r="G439" s="36" t="n"/>
      <c r="H439" s="1735" t="n">
        <v>11</v>
      </c>
      <c r="I439" s="1736" t="n">
        <v>11</v>
      </c>
      <c r="J439" s="46">
        <f>IF(AND(E439&gt;=H439,E439&lt;=I439),TRUE,FALSE)</f>
        <v/>
      </c>
      <c r="K439" s="46" t="n"/>
      <c r="L439" s="46" t="n"/>
      <c r="M439" s="46" t="n"/>
      <c r="N439" s="1711" t="n"/>
      <c r="O439" s="1735" t="n">
        <v>11</v>
      </c>
      <c r="P439" s="1736" t="n">
        <v>11</v>
      </c>
      <c r="Q439" s="1711">
        <f>IF(AND(E439&gt;=O439,E439&lt;=P439),TRUE,FALSE)</f>
        <v/>
      </c>
      <c r="R439" s="1735" t="n">
        <v>11</v>
      </c>
      <c r="S439" s="1736" t="n">
        <v>11</v>
      </c>
      <c r="T439" s="1711">
        <f>IF(AND(E439&gt;=R439,E439&lt;=S439),TRUE,FALSE)</f>
        <v/>
      </c>
      <c r="U439" s="978" t="n"/>
      <c r="V439" s="1487" t="inlineStr">
        <is>
          <t>ou</t>
        </is>
      </c>
      <c r="W439" s="1506" t="n">
        <v>11</v>
      </c>
      <c r="X439" s="1507" t="n"/>
      <c r="Y439" s="1508" t="n">
        <v>11</v>
      </c>
      <c r="Z439" s="1507" t="n"/>
      <c r="AA439" s="1502" t="n">
        <v>11</v>
      </c>
      <c r="AC439" s="1013" t="n"/>
      <c r="AD439" s="1014" t="n"/>
      <c r="AE439" s="1013" t="n"/>
      <c r="AF439" s="1014" t="n"/>
      <c r="AG439" s="1013" t="n"/>
      <c r="AH439" s="1014" t="n"/>
      <c r="AJ439" s="10" t="n"/>
      <c r="AK439" s="10" t="n"/>
      <c r="AL439" s="10" t="n"/>
      <c r="AQ439" s="7" t="n"/>
      <c r="AR439" s="849" t="n"/>
      <c r="AS439" s="111" t="n"/>
      <c r="AT439" s="487" t="n"/>
      <c r="AU439" s="114" t="n"/>
      <c r="AV439" s="491" t="n"/>
      <c r="AW439" s="114" t="n"/>
      <c r="AX439" s="492" t="n"/>
      <c r="AY439" s="488" t="n"/>
    </row>
    <row r="440" ht="32" customHeight="1" thickBot="1">
      <c r="B440" s="831" t="inlineStr">
        <is>
          <t>Max NC</t>
        </is>
      </c>
      <c r="C440" s="832">
        <f>_xlfn.XLOOKUP(G440,G438:G439,C438:C439)</f>
        <v/>
      </c>
      <c r="D440" s="833">
        <f>_xlfn.XLOOKUP(G440,G438:G439,D438:D439)</f>
        <v/>
      </c>
      <c r="E440" s="834" t="n"/>
      <c r="F440" s="834" t="n"/>
      <c r="G440" s="834">
        <f>IF(AND(J438=TRUE,J439=FALSE),G438,IF(AND(J438=FALSE,J439=TRUE),G439,MAX(G438,G439)))</f>
        <v/>
      </c>
      <c r="H440" s="1713" t="n"/>
      <c r="I440" s="835" t="n"/>
      <c r="J440" s="836">
        <f>IF(AND(J438=FALSE,J439=FALSE),FALSE,TRUE)</f>
        <v/>
      </c>
      <c r="K440" s="46" t="n"/>
      <c r="L440" s="46" t="n"/>
      <c r="M440" s="46" t="n"/>
      <c r="N440" s="1711" t="n"/>
      <c r="O440" s="1713" t="n"/>
      <c r="P440" s="835" t="n"/>
      <c r="Q440" s="1726">
        <f>IF(AND(Q438=FALSE,Q439=FALSE),FALSE,TRUE)</f>
        <v/>
      </c>
      <c r="R440" s="1713" t="n"/>
      <c r="S440" s="835" t="n"/>
      <c r="T440" s="1726">
        <f>IF(AND(T438=FALSE,T439=FALSE),FALSE,TRUE)</f>
        <v/>
      </c>
      <c r="U440" s="978" t="n"/>
      <c r="V440" s="978" t="n"/>
      <c r="W440" s="1473" t="n"/>
      <c r="X440" s="2002" t="n"/>
      <c r="Y440" s="1478" t="n"/>
      <c r="Z440" s="2002" t="n"/>
      <c r="AA440" s="1481" t="n"/>
      <c r="AC440" s="1013" t="n"/>
      <c r="AD440" s="1014" t="n"/>
      <c r="AE440" s="1013" t="n"/>
      <c r="AF440" s="1014" t="n"/>
      <c r="AG440" s="1013" t="n"/>
      <c r="AH440" s="1014" t="n"/>
      <c r="AJ440" s="10" t="n"/>
      <c r="AK440" s="10" t="n"/>
      <c r="AL440" s="10" t="n"/>
      <c r="AQ440" s="7" t="n"/>
      <c r="AR440" s="849" t="n"/>
      <c r="AS440" s="111" t="n"/>
      <c r="AT440" s="487" t="n"/>
      <c r="AU440" s="114" t="n"/>
      <c r="AV440" s="491" t="n"/>
      <c r="AW440" s="114" t="n"/>
      <c r="AX440" s="492" t="n"/>
      <c r="AY440" s="488" t="n"/>
    </row>
    <row r="441" ht="32" customHeight="1" thickBot="1">
      <c r="B441" s="837" t="inlineStr">
        <is>
          <t>Max PFA &amp; NC</t>
        </is>
      </c>
      <c r="C441" s="838" t="n"/>
      <c r="D441" s="838">
        <f>IF(G441=G437,D437,D440)</f>
        <v/>
      </c>
      <c r="E441" s="839" t="n"/>
      <c r="F441" s="839" t="n"/>
      <c r="G441" s="839">
        <f>IF(AND(J437=TRUE,J440=FALSE),G437,IF(AND(J437=FALSE,J440=TRUE),G440,IF(AND(J437=TRUE,J440=TRUE),G437+G440,MAX(G437,G440))))</f>
        <v/>
      </c>
      <c r="H441" s="1714" t="n"/>
      <c r="I441" s="840" t="n"/>
      <c r="J441" s="841">
        <f>IF(AND(J437=FALSE,J440=FALSE),FALSE,TRUE)</f>
        <v/>
      </c>
      <c r="K441" s="1698" t="n"/>
      <c r="L441" s="1698" t="n"/>
      <c r="M441" s="1698" t="n"/>
      <c r="N441" s="1715" t="n"/>
      <c r="O441" s="1714" t="n"/>
      <c r="P441" s="840" t="n"/>
      <c r="Q441" s="841">
        <f>IF(AND(Q437=FALSE,Q440=FALSE),FALSE,TRUE)</f>
        <v/>
      </c>
      <c r="R441" s="1714" t="n"/>
      <c r="S441" s="840" t="n"/>
      <c r="T441" s="841">
        <f>IF(AND(T437=FALSE,T440=FALSE),FALSE,TRUE)</f>
        <v/>
      </c>
      <c r="U441" s="978" t="n"/>
      <c r="V441" s="978" t="inlineStr">
        <is>
          <t>et</t>
        </is>
      </c>
      <c r="W441" s="1473" t="n"/>
      <c r="X441" s="2002" t="n"/>
      <c r="Y441" s="1478" t="n"/>
      <c r="Z441" s="2002" t="n"/>
      <c r="AA441" s="1481" t="n"/>
      <c r="AC441" s="1013">
        <f>IF(J441=TRUE,"V","F")</f>
        <v/>
      </c>
      <c r="AD441" s="1014" t="n"/>
      <c r="AE441" s="1013">
        <f>IF(Q441=TRUE,"V","F")</f>
        <v/>
      </c>
      <c r="AF441" s="1014" t="n"/>
      <c r="AG441" s="1013">
        <f>IF(T441=TRUE,"V","F")</f>
        <v/>
      </c>
      <c r="AH441" s="1014" t="n"/>
      <c r="AI441">
        <f>IF(OR(AC441="V",AE441="V"),IF(G440&gt;G437,"Le NC contribue plus que le coparent","Le coparent joue un plus grand rôle que le NC"),"pas de contexte significatif de la part du coparent et NC")</f>
        <v/>
      </c>
      <c r="AJ441" s="10" t="n"/>
      <c r="AK441" s="10" t="n"/>
      <c r="AL441" s="10" t="n"/>
      <c r="AQ441" s="7" t="n"/>
      <c r="AR441" s="849" t="n"/>
      <c r="AS441" s="111" t="n"/>
      <c r="AT441" s="487" t="n"/>
      <c r="AU441" s="114" t="n"/>
      <c r="AV441" s="491" t="n"/>
      <c r="AW441" s="114" t="n"/>
      <c r="AX441" s="492" t="n"/>
      <c r="AY441" s="488" t="n"/>
    </row>
    <row r="442" ht="32" customHeight="1">
      <c r="B442" s="316">
        <f>Test_Bible!A323</f>
        <v/>
      </c>
      <c r="C442" s="2066">
        <f>Test_Bible!B323</f>
        <v/>
      </c>
      <c r="D442" s="102" t="inlineStr">
        <is>
          <t>réclame le droit de choisir quand et la durée de ses visites chez vous</t>
        </is>
      </c>
      <c r="E442" s="823">
        <f>Test_Bible!P323</f>
        <v/>
      </c>
      <c r="F442" s="822">
        <f>Test_Bible!D323</f>
        <v/>
      </c>
      <c r="G442" s="823">
        <f>Test_Bible!Q323</f>
        <v/>
      </c>
      <c r="H442" s="1710" t="n">
        <v>2</v>
      </c>
      <c r="I442" s="1703">
        <f>$I$18</f>
        <v/>
      </c>
      <c r="J442" s="46">
        <f>IF(AND(E442&gt;=H442,E442&lt;=I442),TRUE,FALSE)</f>
        <v/>
      </c>
      <c r="K442" s="46" t="n"/>
      <c r="L442" s="46" t="n"/>
      <c r="M442" s="46" t="n"/>
      <c r="N442" s="1711" t="n"/>
      <c r="O442" s="1710" t="n">
        <v>2</v>
      </c>
      <c r="P442" s="1703" t="n">
        <v>7</v>
      </c>
      <c r="Q442" s="1711">
        <f>IF(AND(E442&gt;=O442,E442&lt;=P442),TRUE,FALSE)</f>
        <v/>
      </c>
      <c r="R442" s="1710" t="n"/>
      <c r="S442" s="1703" t="n"/>
      <c r="T442" s="1711" t="n"/>
      <c r="U442" s="978" t="n"/>
      <c r="V442" s="1484" t="n"/>
      <c r="W442" s="1485" t="n">
        <v>4</v>
      </c>
      <c r="X442" s="2029" t="n"/>
      <c r="Y442" s="1489" t="n">
        <v>4</v>
      </c>
      <c r="Z442" s="2029" t="n"/>
      <c r="AA442" s="1497" t="n">
        <v>11</v>
      </c>
      <c r="AC442" s="1013" t="inlineStr">
        <is>
          <t> </t>
        </is>
      </c>
      <c r="AD442" s="1014" t="n"/>
      <c r="AE442" s="1013" t="n"/>
      <c r="AF442" s="1014" t="n"/>
      <c r="AG442" s="1013" t="n"/>
      <c r="AH442" s="1014" t="n"/>
      <c r="AJ442" s="10" t="n"/>
      <c r="AK442" s="10" t="n"/>
      <c r="AL442" s="10" t="n"/>
      <c r="AQ442" s="7" t="n"/>
      <c r="AR442" s="849" t="n"/>
      <c r="AS442" s="111" t="n"/>
      <c r="AT442" s="487" t="n"/>
      <c r="AU442" s="114" t="n"/>
      <c r="AV442" s="491" t="n"/>
      <c r="AW442" s="114" t="n"/>
      <c r="AX442" s="492" t="n"/>
      <c r="AY442" s="488" t="n"/>
    </row>
    <row r="443" ht="32" customHeight="1" thickBot="1">
      <c r="B443" s="316" t="inlineStr">
        <is>
          <t>Enf</t>
        </is>
      </c>
      <c r="C443" s="2066" t="n"/>
      <c r="D443" s="102" t="n"/>
      <c r="E443" s="823" t="n"/>
      <c r="F443" s="822" t="n"/>
      <c r="G443" s="823" t="n"/>
      <c r="H443" s="1735" t="n">
        <v>11</v>
      </c>
      <c r="I443" s="1736" t="n">
        <v>11</v>
      </c>
      <c r="J443" s="46">
        <f>IF(AND(E443&gt;=H443,E443&lt;=I443),TRUE,FALSE)</f>
        <v/>
      </c>
      <c r="K443" s="46" t="n"/>
      <c r="L443" s="46" t="n"/>
      <c r="M443" s="46" t="n"/>
      <c r="N443" s="1711" t="n"/>
      <c r="O443" s="1735" t="n">
        <v>11</v>
      </c>
      <c r="P443" s="1736" t="n">
        <v>11</v>
      </c>
      <c r="Q443" s="1711">
        <f>IF(AND(E443&gt;=O443,E443&lt;=P443),TRUE,FALSE)</f>
        <v/>
      </c>
      <c r="R443" s="1735" t="n"/>
      <c r="S443" s="1736" t="n"/>
      <c r="T443" s="1711" t="n"/>
      <c r="U443" s="978" t="n"/>
      <c r="V443" s="1487" t="inlineStr">
        <is>
          <t>ou</t>
        </is>
      </c>
      <c r="W443" s="1506" t="n">
        <v>11</v>
      </c>
      <c r="X443" s="1507" t="n"/>
      <c r="Y443" s="1508" t="n">
        <v>11</v>
      </c>
      <c r="Z443" s="1507" t="n"/>
      <c r="AA443" s="1502" t="n">
        <v>11</v>
      </c>
      <c r="AC443" s="1013" t="n"/>
      <c r="AD443" s="1014" t="n"/>
      <c r="AE443" s="1013" t="n"/>
      <c r="AF443" s="1014" t="n"/>
      <c r="AG443" s="1013" t="n"/>
      <c r="AH443" s="1014" t="n"/>
      <c r="AJ443" s="10" t="n"/>
      <c r="AK443" s="10" t="n"/>
      <c r="AL443" s="10" t="n"/>
      <c r="AQ443" s="7" t="n"/>
      <c r="AR443" s="849" t="n"/>
      <c r="AS443" s="111" t="n"/>
      <c r="AT443" s="487" t="n"/>
      <c r="AU443" s="114" t="n"/>
      <c r="AV443" s="491" t="n"/>
      <c r="AW443" s="114" t="n"/>
      <c r="AX443" s="492" t="n"/>
      <c r="AY443" s="488" t="n"/>
    </row>
    <row r="444" ht="32" customHeight="1" thickBot="1">
      <c r="B444" s="842" t="inlineStr">
        <is>
          <t>Max Enf</t>
        </is>
      </c>
      <c r="C444" s="843">
        <f>_xlfn.XLOOKUP(G444,G442:G443,C442:C443)</f>
        <v/>
      </c>
      <c r="D444" s="843">
        <f>_xlfn.XLOOKUP(G444,G442:G443,D442:D443)</f>
        <v/>
      </c>
      <c r="E444" s="844" t="n"/>
      <c r="F444" s="844" t="n"/>
      <c r="G444" s="844">
        <f>IF(AND(J442=TRUE,J443=FALSE),G442,IF(AND(J442=FALSE,J443=TRUE),G443,MAX(G442,G443)))</f>
        <v/>
      </c>
      <c r="H444" s="1716" t="n"/>
      <c r="I444" s="845" t="n"/>
      <c r="J444" s="846">
        <f>IF(AND(J442=FALSE,J443=FALSE),FALSE,TRUE)</f>
        <v/>
      </c>
      <c r="K444" s="1699" t="n"/>
      <c r="L444" s="1699" t="n"/>
      <c r="M444" s="1699" t="n"/>
      <c r="N444" s="1717" t="n"/>
      <c r="O444" s="1716" t="n"/>
      <c r="P444" s="845" t="n"/>
      <c r="Q444" s="846">
        <f>IF(AND(Q442=FALSE,Q443=FALSE),FALSE,TRUE)</f>
        <v/>
      </c>
      <c r="R444" s="1716" t="n"/>
      <c r="S444" s="845" t="n"/>
      <c r="T444" s="846" t="n"/>
      <c r="U444" s="978" t="n"/>
      <c r="V444" s="978" t="n"/>
      <c r="W444" s="1475" t="n"/>
      <c r="Y444" s="1479" t="n"/>
      <c r="AA444" s="1483" t="n"/>
      <c r="AC444" s="1013">
        <f>IF(J444=TRUE,"V","F")</f>
        <v/>
      </c>
      <c r="AD444" s="1014" t="n"/>
      <c r="AE444" s="1013">
        <f>IF(Q444=TRUE,"V","F")</f>
        <v/>
      </c>
      <c r="AF444" s="1014" t="n"/>
      <c r="AG444" s="1013" t="n"/>
      <c r="AH444" s="1014" t="n"/>
      <c r="AJ444" s="10" t="n"/>
      <c r="AK444" s="10" t="n"/>
      <c r="AL444" s="10" t="n"/>
      <c r="AR444" s="849" t="n"/>
      <c r="AS444" s="111" t="n"/>
      <c r="AT444" s="487" t="n"/>
      <c r="AU444" s="114" t="n"/>
      <c r="AV444" s="491" t="n"/>
      <c r="AW444" s="114" t="n"/>
      <c r="AX444" s="492" t="n"/>
      <c r="AY444" s="488" t="n"/>
    </row>
    <row r="445" ht="32" customHeight="1">
      <c r="C445" s="428" t="inlineStr">
        <is>
          <t>COMPARATIF Comportement PFA-Enf</t>
        </is>
      </c>
      <c r="D445" s="2058" t="n"/>
      <c r="E445" s="484" t="inlineStr">
        <is>
          <t>Valeur =&gt;</t>
        </is>
      </c>
      <c r="F445" s="48" t="n"/>
      <c r="G445" s="48">
        <f>G437+G440+G444</f>
        <v/>
      </c>
      <c r="H445" s="1718" t="n"/>
      <c r="I445" s="485" t="n"/>
      <c r="J445" s="1701" t="n"/>
      <c r="K445" s="1702">
        <f>IF(AND(J444=TRUE,J441=TRUE),D444,"")</f>
        <v/>
      </c>
      <c r="L445" s="1702">
        <f>IF(AND(J441=TRUE,J444=FALSE),"Bien que le parent "&amp;D441&amp;" l'enfant ne semble pas s'ingérer","")</f>
        <v/>
      </c>
      <c r="M445" s="1702">
        <f>IF(AND(J441=FALSE,J444=TRUE),D444&amp;" sans signe de la participation du parent favorisé et|ou nouveau conjoint.e","")</f>
        <v/>
      </c>
      <c r="N445" s="1719">
        <f>IF(AND(J441=FALSE,J444=FALSE),"aucun comportement significatif de cette nature","")</f>
        <v/>
      </c>
      <c r="O445" s="1718" t="n"/>
      <c r="P445" s="485" t="n"/>
      <c r="Q445" s="1727" t="n"/>
      <c r="R445" s="1718" t="n"/>
      <c r="S445" s="485" t="n"/>
      <c r="T445" s="1727" t="n"/>
      <c r="U445" s="980" t="n"/>
      <c r="V445" s="980" t="n"/>
      <c r="W445" s="1475" t="n"/>
      <c r="Y445" s="1479" t="n"/>
      <c r="AA445" s="1483" t="n"/>
      <c r="AC445" s="1015" t="n"/>
      <c r="AD445" s="1016">
        <f>IF(AND(AC441="V",AC444="V"),2,IF(OR(AC441="V",AC444="V"),1,0))</f>
        <v/>
      </c>
      <c r="AE445" s="1015" t="n"/>
      <c r="AF445" s="1016">
        <f>IF(OR(AE441="V",AE444="V"),1,0)</f>
        <v/>
      </c>
      <c r="AG445" s="1015" t="n"/>
      <c r="AH445" s="1016" t="n"/>
      <c r="AJ445" s="10" t="n"/>
      <c r="AK445" s="10" t="n"/>
      <c r="AL445" s="10" t="n"/>
      <c r="AR445" s="849" t="n"/>
      <c r="AS445" s="111" t="n"/>
      <c r="AT445" s="487" t="n"/>
      <c r="AU445" s="114" t="n"/>
      <c r="AV445" s="491" t="n"/>
      <c r="AW445" s="114" t="n"/>
      <c r="AX445" s="492" t="n"/>
      <c r="AY445" s="488" t="n"/>
    </row>
    <row r="446" ht="32" customHeight="1">
      <c r="B446" t="inlineStr">
        <is>
          <t>PCR</t>
        </is>
      </c>
      <c r="H446" s="147" t="n"/>
      <c r="K446" s="1992" t="n"/>
      <c r="L446" s="1992" t="n"/>
      <c r="M446" s="1992" t="n"/>
      <c r="N446" s="1740" t="n"/>
      <c r="O446" s="147" t="n"/>
      <c r="Q446" s="330" t="n"/>
      <c r="R446" s="147" t="n"/>
      <c r="T446" s="330" t="n"/>
      <c r="U446" s="1992" t="n"/>
      <c r="AC446" s="1013" t="n"/>
      <c r="AD446" s="1014" t="n"/>
      <c r="AE446" s="1013" t="n"/>
      <c r="AF446" s="1014" t="n"/>
      <c r="AG446" s="1013" t="n"/>
      <c r="AH446" s="1014" t="n"/>
      <c r="AJ446" s="10" t="n"/>
      <c r="AK446" s="10" t="n"/>
      <c r="AL446" s="10" t="n"/>
      <c r="AR446" s="849" t="n"/>
      <c r="AS446" s="111" t="n"/>
      <c r="AT446" s="487" t="n"/>
      <c r="AU446" s="114" t="n"/>
      <c r="AV446" s="491" t="n"/>
      <c r="AW446" s="114" t="n"/>
      <c r="AX446" s="492" t="n"/>
      <c r="AY446" s="488" t="n"/>
    </row>
    <row r="447" ht="32" customHeight="1">
      <c r="B447" s="1017">
        <f>'Action-Réaction finale'!S70</f>
        <v/>
      </c>
      <c r="C447" s="1018">
        <f>Test_Bible!B146</f>
        <v/>
      </c>
      <c r="D447" s="1018" t="n"/>
      <c r="E447" s="1026">
        <f>Test_Bible!P146</f>
        <v/>
      </c>
      <c r="F447" s="1026">
        <f>Test_Bible!D146</f>
        <v/>
      </c>
      <c r="G447" s="1026">
        <f>Test_Bible!Q146</f>
        <v/>
      </c>
      <c r="H447" s="1710" t="n">
        <v>4</v>
      </c>
      <c r="I447" s="1703" t="n">
        <v>10</v>
      </c>
      <c r="J447" s="46">
        <f>IF(AND(E447&gt;=H447,E447&lt;=I447),TRUE,FALSE)</f>
        <v/>
      </c>
      <c r="K447" s="33" t="n"/>
      <c r="L447" s="33" t="n"/>
      <c r="M447" s="33" t="n"/>
      <c r="N447" s="1720" t="n"/>
      <c r="O447" s="1735" t="n">
        <v>11</v>
      </c>
      <c r="P447" s="1736" t="n">
        <v>11</v>
      </c>
      <c r="Q447" s="1711">
        <f>IF(AND(E447&gt;=O447,E447&lt;=P447),TRUE,FALSE)</f>
        <v/>
      </c>
      <c r="R447" s="1735" t="n">
        <v>11</v>
      </c>
      <c r="S447" s="1736" t="n">
        <v>11</v>
      </c>
      <c r="T447" s="1711">
        <f>IF(AND(E447&gt;=R447,E447&lt;=S447),TRUE,FALSE)</f>
        <v/>
      </c>
      <c r="U447" s="1992" t="n"/>
      <c r="V447" s="1509" t="n"/>
      <c r="W447" s="1485" t="n">
        <v>4</v>
      </c>
      <c r="X447" s="1504" t="n"/>
      <c r="Y447" s="1505" t="n">
        <v>11</v>
      </c>
      <c r="Z447" s="1504" t="n"/>
      <c r="AA447" s="1496" t="n">
        <v>4</v>
      </c>
      <c r="AC447" s="1013" t="n"/>
      <c r="AD447" s="1014" t="n"/>
      <c r="AE447" s="1013" t="n"/>
      <c r="AF447" s="1014" t="n"/>
      <c r="AG447" s="1013" t="n"/>
      <c r="AH447" s="1014" t="n"/>
      <c r="AJ447" s="10" t="n"/>
      <c r="AK447" s="10" t="n"/>
      <c r="AL447" s="10" t="n"/>
      <c r="AR447" s="849" t="n"/>
      <c r="AS447" s="111" t="n"/>
      <c r="AT447" s="487" t="n"/>
      <c r="AU447" s="114" t="n"/>
      <c r="AV447" s="491" t="n"/>
      <c r="AW447" s="114" t="n"/>
      <c r="AX447" s="492" t="n"/>
      <c r="AY447" s="488" t="n"/>
    </row>
    <row r="448" ht="32" customHeight="1" thickBot="1">
      <c r="B448" s="1017" t="n"/>
      <c r="C448" s="1025" t="n"/>
      <c r="D448" s="1018" t="n"/>
      <c r="E448" s="1026" t="n"/>
      <c r="F448" s="1026" t="n"/>
      <c r="G448" s="1026" t="n"/>
      <c r="H448" s="1735" t="n">
        <v>11</v>
      </c>
      <c r="I448" s="1736" t="n">
        <v>11</v>
      </c>
      <c r="J448" s="46">
        <f>IF(AND(E448&gt;=H448,E448&lt;=I448),TRUE,FALSE)</f>
        <v/>
      </c>
      <c r="K448" s="33" t="n"/>
      <c r="L448" s="33" t="n"/>
      <c r="M448" s="33" t="n"/>
      <c r="N448" s="1720" t="n"/>
      <c r="O448" s="1735" t="n">
        <v>11</v>
      </c>
      <c r="P448" s="1736" t="n">
        <v>11</v>
      </c>
      <c r="Q448" s="1711">
        <f>IF(AND(E448&gt;=O448,E448&lt;=P448),TRUE,FALSE)</f>
        <v/>
      </c>
      <c r="R448" s="1735" t="n">
        <v>11</v>
      </c>
      <c r="S448" s="1736" t="n">
        <v>11</v>
      </c>
      <c r="T448" s="1711">
        <f>IF(AND(E448&gt;=R448,E448&lt;=S448),TRUE,FALSE)</f>
        <v/>
      </c>
      <c r="V448" s="1510" t="n"/>
      <c r="W448" s="1506" t="n">
        <v>11</v>
      </c>
      <c r="X448" s="1507" t="n"/>
      <c r="Y448" s="1508" t="n">
        <v>11</v>
      </c>
      <c r="Z448" s="1507" t="n"/>
      <c r="AA448" s="1502" t="n">
        <v>11</v>
      </c>
      <c r="AC448" s="1013" t="n"/>
      <c r="AD448" s="1014" t="n"/>
      <c r="AE448" s="1013" t="n"/>
      <c r="AF448" s="1014" t="n"/>
      <c r="AG448" s="1013" t="n"/>
      <c r="AH448" s="1014" t="n"/>
      <c r="AJ448" s="10" t="n"/>
      <c r="AK448" s="10" t="n"/>
      <c r="AL448" s="10" t="n"/>
      <c r="AR448" s="849" t="n"/>
      <c r="AS448" s="111" t="n"/>
      <c r="AT448" s="487" t="n"/>
      <c r="AU448" s="114" t="n"/>
      <c r="AV448" s="491" t="n"/>
      <c r="AW448" s="114" t="n"/>
      <c r="AX448" s="492" t="n"/>
      <c r="AY448" s="488" t="n"/>
    </row>
    <row r="449" ht="32" customHeight="1" thickBot="1">
      <c r="C449" s="2073" t="n"/>
      <c r="D449" s="2073" t="n"/>
      <c r="E449" s="90" t="n"/>
      <c r="F449" s="483" t="n"/>
      <c r="G449" s="483" t="n"/>
      <c r="H449" s="1732" t="n"/>
      <c r="I449" s="1733" t="n"/>
      <c r="J449" s="1739">
        <f>IF(AND(J447=FALSE,J448=FALSE),FALSE,TRUE)</f>
        <v/>
      </c>
      <c r="K449" s="1721" t="n"/>
      <c r="L449" s="1722" t="n"/>
      <c r="M449" s="1722" t="n"/>
      <c r="N449" s="1723" t="n"/>
      <c r="O449" s="1732" t="n"/>
      <c r="P449" s="1733" t="n"/>
      <c r="Q449" s="1739">
        <f>IF(AND(Q447=FALSE,Q448=FALSE),FALSE,TRUE)</f>
        <v/>
      </c>
      <c r="R449" s="1744" t="n"/>
      <c r="S449" s="1745" t="n"/>
      <c r="T449" s="1746">
        <f>IF(AND(T447=FALSE,T448=FALSE),FALSE,TRUE)</f>
        <v/>
      </c>
      <c r="U449" s="980" t="n"/>
      <c r="AC449" s="1650">
        <f>IF(J449=TRUE,"V","F")</f>
        <v/>
      </c>
      <c r="AD449" s="1651" t="n"/>
      <c r="AE449" s="1650">
        <f>IF(Q449=TRUE,"V","F")</f>
        <v/>
      </c>
      <c r="AF449" s="1651" t="n"/>
      <c r="AG449" s="1650">
        <f>IF(T449=TRUE,"V","F")</f>
        <v/>
      </c>
      <c r="AH449" s="1651" t="n"/>
      <c r="AJ449" s="10" t="n"/>
      <c r="AK449" s="10" t="n"/>
      <c r="AL449" s="10" t="n"/>
      <c r="AR449" s="849" t="n"/>
      <c r="AS449" s="111" t="n"/>
      <c r="AT449" s="487" t="n"/>
      <c r="AU449" s="114" t="n"/>
      <c r="AV449" s="491" t="n"/>
      <c r="AW449" s="114" t="n"/>
      <c r="AX449" s="492" t="n"/>
      <c r="AY449" s="488" t="n"/>
    </row>
    <row r="450" ht="32" customHeight="1" thickBot="1">
      <c r="C450" s="2073" t="n"/>
      <c r="D450" s="2073" t="n"/>
      <c r="E450" s="90" t="n"/>
      <c r="F450" s="483" t="n"/>
      <c r="G450" s="483" t="n"/>
      <c r="H450" s="2002" t="n"/>
      <c r="I450" s="2002" t="n"/>
      <c r="J450" s="979" t="n"/>
      <c r="K450" s="980" t="n"/>
      <c r="L450" s="980" t="n"/>
      <c r="M450" s="980" t="n"/>
      <c r="N450" s="980" t="n"/>
      <c r="O450" s="980" t="n"/>
      <c r="P450" s="980" t="n"/>
      <c r="Q450" s="980" t="n"/>
      <c r="R450" s="980" t="n"/>
      <c r="S450" s="980" t="n"/>
      <c r="T450" s="980" t="n"/>
      <c r="U450" s="980" t="n"/>
      <c r="V450" s="980" t="n"/>
      <c r="AC450" s="1737" t="n"/>
      <c r="AD450" s="1738">
        <f>IF(AND(AC449="V",AC441="V"),AD445-1,AD445)</f>
        <v/>
      </c>
      <c r="AE450" s="1737" t="n"/>
      <c r="AF450" s="1738">
        <f>IF(OR(AE441="V",AE444="V",AE449="V"),1,0)</f>
        <v/>
      </c>
      <c r="AG450" s="1737" t="n"/>
      <c r="AH450" s="1738">
        <f>IF(AG441="V",1,IF(AG449="V",1,0))</f>
        <v/>
      </c>
      <c r="AJ450" s="10" t="n">
        <v>1</v>
      </c>
      <c r="AK450" s="10" t="n">
        <v>1</v>
      </c>
      <c r="AL450" s="10" t="n"/>
      <c r="AR450" s="849" t="n"/>
      <c r="AS450" s="111" t="n"/>
      <c r="AT450" s="487" t="n"/>
      <c r="AU450" s="114" t="n"/>
      <c r="AV450" s="491" t="n"/>
      <c r="AW450" s="114" t="n"/>
      <c r="AX450" s="492" t="n"/>
      <c r="AY450" s="488" t="n"/>
    </row>
    <row r="451" ht="32" customHeight="1">
      <c r="C451" s="2073" t="n"/>
      <c r="D451" s="2073" t="n"/>
      <c r="E451" s="90" t="n"/>
      <c r="F451" s="483" t="n"/>
      <c r="G451" s="483" t="n"/>
      <c r="H451" s="1704" t="n"/>
      <c r="I451" s="1705" t="n"/>
      <c r="J451" s="1706" t="n"/>
      <c r="K451" s="2056" t="n"/>
      <c r="L451" s="709" t="n"/>
      <c r="M451" s="709" t="n"/>
      <c r="N451" s="1707" t="n"/>
      <c r="O451" s="1724" t="n"/>
      <c r="P451" s="1706" t="n"/>
      <c r="Q451" s="1707" t="n"/>
      <c r="R451" s="1724" t="n"/>
      <c r="S451" s="1706" t="n"/>
      <c r="T451" s="1707" t="n"/>
      <c r="U451" s="980" t="n"/>
      <c r="V451" s="980" t="n"/>
      <c r="AC451" s="1756" t="n"/>
      <c r="AD451" s="1757" t="n"/>
      <c r="AE451" s="1490" t="n"/>
      <c r="AF451" s="1490" t="n"/>
      <c r="AG451" s="1490" t="n"/>
      <c r="AH451" s="1490" t="n"/>
      <c r="AJ451" s="10" t="n"/>
      <c r="AK451" s="10" t="n"/>
      <c r="AL451" s="10" t="n"/>
      <c r="AR451" s="849" t="n"/>
      <c r="AS451" s="111" t="n"/>
      <c r="AT451" s="487" t="n"/>
      <c r="AU451" s="114" t="n"/>
      <c r="AV451" s="491" t="n"/>
      <c r="AW451" s="114" t="n"/>
      <c r="AX451" s="492" t="n"/>
      <c r="AY451" s="488" t="n"/>
    </row>
    <row r="452" ht="32" customHeight="1">
      <c r="A452" s="853" t="n">
        <v>23</v>
      </c>
      <c r="C452" s="486">
        <f>'Action-Réaction finale'!F73</f>
        <v/>
      </c>
      <c r="D452" s="108" t="n"/>
      <c r="E452" s="66" t="n"/>
      <c r="F452" s="18" t="n"/>
      <c r="G452" s="18" t="n"/>
      <c r="H452" s="2052" t="inlineStr">
        <is>
          <t>AP</t>
        </is>
      </c>
      <c r="K452" s="2055" t="inlineStr">
        <is>
          <t>Dynamique d'AP</t>
        </is>
      </c>
      <c r="N452" s="330" t="n"/>
      <c r="O452" s="2122" t="inlineStr">
        <is>
          <t>CL</t>
        </is>
      </c>
      <c r="Q452" s="330" t="n"/>
      <c r="R452" s="2123" t="inlineStr">
        <is>
          <t>CSS</t>
        </is>
      </c>
      <c r="T452" s="330" t="n"/>
      <c r="U452" s="15" t="n"/>
      <c r="V452" s="15" t="n"/>
      <c r="AC452" s="1009" t="n"/>
      <c r="AD452" s="1009" t="n"/>
      <c r="AE452" s="1009" t="n"/>
      <c r="AF452" s="1009" t="n"/>
      <c r="AG452" s="1009" t="n"/>
      <c r="AH452" s="1010" t="n"/>
      <c r="AJ452" s="10" t="n"/>
      <c r="AK452" s="10" t="n"/>
      <c r="AL452" s="10" t="n"/>
      <c r="AR452" s="849" t="n"/>
      <c r="AS452" s="111" t="n"/>
      <c r="AT452" s="487" t="n"/>
      <c r="AU452" s="114" t="n"/>
      <c r="AV452" s="491" t="n"/>
      <c r="AW452" s="114" t="n"/>
      <c r="AX452" s="492" t="n"/>
      <c r="AY452" s="488" t="n"/>
    </row>
    <row r="453" ht="32" customHeight="1">
      <c r="C453" s="103" t="inlineStr">
        <is>
          <t>Questions et sous-questions</t>
        </is>
      </c>
      <c r="D453" s="1043" t="inlineStr">
        <is>
          <t>Texte écourté pour titrer dans les baromètres ou rapport</t>
        </is>
      </c>
      <c r="E453" s="33" t="inlineStr">
        <is>
          <t>Valeur de base
Fréquence (F)</t>
        </is>
      </c>
      <c r="F453" s="33" t="inlineStr">
        <is>
          <t>Valeur de base
intensité (I)</t>
        </is>
      </c>
      <c r="G453" s="33" t="inlineStr">
        <is>
          <t>F * I</t>
        </is>
      </c>
      <c r="H453" s="1708" t="inlineStr">
        <is>
          <t>Condition Fréq. 
&gt;= que</t>
        </is>
      </c>
      <c r="I453" s="44" t="inlineStr">
        <is>
          <t>Condition Fré
&lt;= que</t>
        </is>
      </c>
      <c r="J453" s="44" t="inlineStr">
        <is>
          <t>Condition respectée</t>
        </is>
      </c>
      <c r="K453" s="44" t="inlineStr">
        <is>
          <t>"VRAI" (PF&amp;NC) /  "VRAI" (Enf)</t>
        </is>
      </c>
      <c r="L453" s="44" t="inlineStr">
        <is>
          <t>Vrai (PF&amp;NC) /  Faux (Enf)</t>
        </is>
      </c>
      <c r="M453" s="44" t="inlineStr">
        <is>
          <t>Faux (PF&amp;NC) /  Vrai (Enf)</t>
        </is>
      </c>
      <c r="N453" s="1709" t="inlineStr">
        <is>
          <t>Faux (PF&amp;NC) /  Faux(Enf)</t>
        </is>
      </c>
      <c r="O453" s="1708" t="inlineStr">
        <is>
          <t>Condition Fréq. 
&gt;= que</t>
        </is>
      </c>
      <c r="P453" s="44" t="inlineStr">
        <is>
          <t>Condition Fré
&lt;= que</t>
        </is>
      </c>
      <c r="Q453" s="1709" t="inlineStr">
        <is>
          <t>Condition respectée</t>
        </is>
      </c>
      <c r="R453" s="1708" t="inlineStr">
        <is>
          <t>Condition Fréq. 
&gt;= que</t>
        </is>
      </c>
      <c r="S453" s="44" t="inlineStr">
        <is>
          <t>Condition Fré
&lt;= que</t>
        </is>
      </c>
      <c r="T453" s="1709" t="inlineStr">
        <is>
          <t>Condition respectée</t>
        </is>
      </c>
      <c r="U453" s="851" t="n"/>
      <c r="V453" s="1008" t="inlineStr">
        <is>
          <t>Condition</t>
        </is>
      </c>
      <c r="W453" s="1472" t="inlineStr">
        <is>
          <t>AP</t>
        </is>
      </c>
      <c r="X453" s="1008" t="inlineStr">
        <is>
          <t>Condition</t>
        </is>
      </c>
      <c r="Y453" s="1476" t="inlineStr">
        <is>
          <t>CL</t>
        </is>
      </c>
      <c r="Z453" s="1008" t="n"/>
      <c r="AA453" s="1480" t="inlineStr">
        <is>
          <t>CSS</t>
        </is>
      </c>
      <c r="AC453" s="1023" t="inlineStr">
        <is>
          <t>AP</t>
        </is>
      </c>
      <c r="AD453" s="1024" t="inlineStr">
        <is>
          <t>AP_F</t>
        </is>
      </c>
      <c r="AE453" s="1023" t="inlineStr">
        <is>
          <t>CL</t>
        </is>
      </c>
      <c r="AF453" s="1024" t="inlineStr">
        <is>
          <t>CL_F</t>
        </is>
      </c>
      <c r="AG453" s="1023" t="inlineStr">
        <is>
          <t>CSS</t>
        </is>
      </c>
      <c r="AH453" s="1024" t="inlineStr">
        <is>
          <t>CSS_F</t>
        </is>
      </c>
      <c r="AJ453" s="10" t="n"/>
      <c r="AK453" s="10" t="n"/>
      <c r="AL453" s="10" t="n"/>
      <c r="AR453" s="849" t="n"/>
      <c r="AS453" s="111" t="n"/>
      <c r="AT453" s="487" t="n"/>
      <c r="AU453" s="114" t="n"/>
      <c r="AV453" s="491" t="n"/>
      <c r="AW453" s="114" t="n"/>
      <c r="AX453" s="492" t="n"/>
      <c r="AY453" s="488" t="n"/>
    </row>
    <row r="454" ht="47" customHeight="1">
      <c r="B454" s="421">
        <f>'Action-Réaction finale'!G73</f>
        <v/>
      </c>
      <c r="C454" s="799">
        <f>Test_Bible!B180</f>
        <v/>
      </c>
      <c r="D454" s="102" t="inlineStr">
        <is>
          <t>vous demande de respecter les désirs et choix de l'enfant</t>
        </is>
      </c>
      <c r="E454" s="823">
        <f>Test_Bible!P180</f>
        <v/>
      </c>
      <c r="F454" s="822">
        <f>Test_Bible!D180</f>
        <v/>
      </c>
      <c r="G454" s="823">
        <f>Test_Bible!Q180</f>
        <v/>
      </c>
      <c r="H454" s="1710" t="n">
        <v>4</v>
      </c>
      <c r="I454" s="1703" t="n">
        <v>10</v>
      </c>
      <c r="J454" s="46">
        <f>IF(AND(E454&gt;=H454,E454&lt;=I454),TRUE,FALSE)</f>
        <v/>
      </c>
      <c r="K454" s="46" t="n"/>
      <c r="L454" s="46" t="n"/>
      <c r="M454" s="46" t="n"/>
      <c r="N454" s="1711" t="n"/>
      <c r="O454" s="1735" t="n">
        <v>11</v>
      </c>
      <c r="P454" s="1736" t="n">
        <v>11</v>
      </c>
      <c r="Q454" s="1711">
        <f>IF(AND(E454&gt;=O454,E454&lt;=P454),TRUE,FALSE)</f>
        <v/>
      </c>
      <c r="R454" s="1710" t="n">
        <v>4</v>
      </c>
      <c r="S454" s="1703" t="n">
        <v>7</v>
      </c>
      <c r="T454" s="1711">
        <f>IF(AND(E454&gt;=R454,E454&lt;=S454),TRUE,FALSE)</f>
        <v/>
      </c>
      <c r="U454" s="978" t="n"/>
      <c r="V454" s="1484" t="n"/>
      <c r="W454" s="1485" t="n">
        <v>4</v>
      </c>
      <c r="X454" s="2029" t="n"/>
      <c r="Y454" s="1505" t="n">
        <v>11</v>
      </c>
      <c r="Z454" s="2029" t="n"/>
      <c r="AA454" s="1496" t="n">
        <v>4</v>
      </c>
      <c r="AC454" s="1011" t="n"/>
      <c r="AD454" s="1012" t="n"/>
      <c r="AE454" s="1011" t="n"/>
      <c r="AF454" s="1012" t="n"/>
      <c r="AG454" s="1011" t="n"/>
      <c r="AH454" s="1012" t="n"/>
      <c r="AJ454" s="10" t="n"/>
      <c r="AK454" s="10" t="n"/>
      <c r="AL454" s="10" t="n"/>
      <c r="AR454" s="849" t="n"/>
      <c r="AS454" s="111" t="n"/>
      <c r="AT454" s="487" t="n"/>
      <c r="AU454" s="114" t="n"/>
      <c r="AV454" s="491" t="n"/>
      <c r="AW454" s="114" t="n"/>
      <c r="AX454" s="492" t="n"/>
      <c r="AY454" s="488" t="n"/>
    </row>
    <row r="455" ht="32" customHeight="1">
      <c r="B455" s="421" t="inlineStr">
        <is>
          <t>PFA</t>
        </is>
      </c>
      <c r="C455" s="2066" t="n"/>
      <c r="D455" s="102" t="n"/>
      <c r="E455" s="823" t="n"/>
      <c r="F455" s="822" t="n"/>
      <c r="G455" s="823" t="n"/>
      <c r="H455" s="1735" t="n">
        <v>11</v>
      </c>
      <c r="I455" s="1736" t="n">
        <v>11</v>
      </c>
      <c r="J455" s="46">
        <f>IF(AND(E455&gt;=H455,E455&lt;=I455),TRUE,FALSE)</f>
        <v/>
      </c>
      <c r="K455" s="46" t="n"/>
      <c r="L455" s="46" t="n"/>
      <c r="M455" s="46" t="n"/>
      <c r="N455" s="1711" t="n"/>
      <c r="O455" s="1735" t="n">
        <v>11</v>
      </c>
      <c r="P455" s="1736" t="n">
        <v>11</v>
      </c>
      <c r="Q455" s="1711">
        <f>IF(AND(E455&gt;=O455,E455&lt;=P455),TRUE,FALSE)</f>
        <v/>
      </c>
      <c r="R455" s="1735" t="n">
        <v>11</v>
      </c>
      <c r="S455" s="1736" t="n">
        <v>11</v>
      </c>
      <c r="T455" s="1711">
        <f>IF(AND(E455&gt;=R455,E455&lt;=S455),TRUE,FALSE)</f>
        <v/>
      </c>
      <c r="U455" s="978" t="n"/>
      <c r="V455" s="1487" t="inlineStr">
        <is>
          <t>ou</t>
        </is>
      </c>
      <c r="W455" s="1506" t="n">
        <v>11</v>
      </c>
      <c r="X455" s="1507" t="n"/>
      <c r="Y455" s="1508" t="n">
        <v>11</v>
      </c>
      <c r="Z455" s="1507" t="n"/>
      <c r="AA455" s="1502" t="n">
        <v>11</v>
      </c>
      <c r="AC455" s="1013" t="n"/>
      <c r="AD455" s="1014" t="n"/>
      <c r="AE455" s="1013" t="n"/>
      <c r="AF455" s="1014" t="n"/>
      <c r="AG455" s="1013" t="n"/>
      <c r="AH455" s="1014" t="n"/>
      <c r="AJ455" s="10" t="n"/>
      <c r="AK455" s="10" t="n"/>
      <c r="AL455" s="10" t="n"/>
      <c r="AR455" s="849" t="n"/>
      <c r="AS455" s="111" t="n"/>
      <c r="AT455" s="487" t="n"/>
      <c r="AU455" s="114" t="n"/>
      <c r="AV455" s="491" t="n"/>
      <c r="AW455" s="114" t="n"/>
      <c r="AX455" s="492" t="n"/>
      <c r="AY455" s="488" t="n"/>
    </row>
    <row r="456" ht="32" customHeight="1">
      <c r="B456" s="825" t="inlineStr">
        <is>
          <t>Max PFA</t>
        </is>
      </c>
      <c r="C456" s="826">
        <f>_xlfn.XLOOKUP(G456,G454:G455,C454:C455)</f>
        <v/>
      </c>
      <c r="D456" s="827">
        <f>_xlfn.XLOOKUP(G456,G454:G455,D454:D455)</f>
        <v/>
      </c>
      <c r="E456" s="828" t="n"/>
      <c r="F456" s="828" t="n"/>
      <c r="G456" s="828">
        <f>IF(AND(J454=TRUE,J455=FALSE),G454,IF(AND(J454=FALSE,J455=TRUE),G455,MAX(G454,G455)))</f>
        <v/>
      </c>
      <c r="H456" s="1712" t="n"/>
      <c r="I456" s="829" t="n"/>
      <c r="J456" s="830">
        <f>IF(AND(J454=FALSE,J455=FALSE),FALSE,TRUE)</f>
        <v/>
      </c>
      <c r="K456" s="46" t="n"/>
      <c r="L456" s="46" t="n"/>
      <c r="M456" s="46" t="n"/>
      <c r="N456" s="1711" t="n"/>
      <c r="O456" s="1712" t="n"/>
      <c r="P456" s="829" t="n"/>
      <c r="Q456" s="1725">
        <f>IF(AND(Q454=FALSE,Q455=FALSE),FALSE,TRUE)</f>
        <v/>
      </c>
      <c r="R456" s="1712" t="n"/>
      <c r="S456" s="829" t="n"/>
      <c r="T456" s="1725">
        <f>IF(AND(T454=FALSE,T455=FALSE),FALSE,TRUE)</f>
        <v/>
      </c>
      <c r="U456" s="978" t="n"/>
      <c r="V456" s="978" t="inlineStr">
        <is>
          <t>ou</t>
        </is>
      </c>
      <c r="W456" s="1473" t="n"/>
      <c r="X456" s="2002" t="n"/>
      <c r="Y456" s="1478" t="n"/>
      <c r="Z456" s="2002" t="n"/>
      <c r="AA456" s="1481" t="n"/>
      <c r="AC456" s="1013" t="n"/>
      <c r="AD456" s="1014" t="n"/>
      <c r="AE456" s="1013" t="n"/>
      <c r="AF456" s="1014" t="n"/>
      <c r="AG456" s="1013" t="n"/>
      <c r="AH456" s="1014" t="n"/>
      <c r="AJ456" s="10" t="n"/>
      <c r="AK456" s="10" t="n"/>
      <c r="AL456" s="10" t="n"/>
      <c r="AR456" s="849" t="n"/>
      <c r="AS456" s="111" t="n"/>
      <c r="AT456" s="487" t="n"/>
      <c r="AU456" s="114" t="n"/>
      <c r="AV456" s="491" t="n"/>
      <c r="AW456" s="114" t="n"/>
      <c r="AX456" s="492" t="n"/>
      <c r="AY456" s="488" t="n"/>
    </row>
    <row r="457" ht="45" customHeight="1">
      <c r="B457" s="53">
        <f>'Action-Réaction finale'!K73</f>
        <v/>
      </c>
      <c r="C457" s="2066">
        <f>Test_Bible!B411</f>
        <v/>
      </c>
      <c r="D457" s="102" t="inlineStr">
        <is>
          <t>Le nouveau conjoint.e vous demande de respecter les désirs et choix de l'enfant</t>
        </is>
      </c>
      <c r="E457" s="823">
        <f>Test_Bible!P411</f>
        <v/>
      </c>
      <c r="F457" s="822">
        <f>Test_Bible!D411</f>
        <v/>
      </c>
      <c r="G457" s="823">
        <f>Test_Bible!Q411</f>
        <v/>
      </c>
      <c r="H457" s="1710" t="n">
        <v>4</v>
      </c>
      <c r="I457" s="1703" t="n">
        <v>10</v>
      </c>
      <c r="J457" s="46">
        <f>IF(AND(E457&gt;=H457,E457&lt;=I457),TRUE,FALSE)</f>
        <v/>
      </c>
      <c r="K457" s="46" t="n"/>
      <c r="L457" s="46" t="n"/>
      <c r="M457" s="46" t="n"/>
      <c r="N457" s="1711" t="n"/>
      <c r="O457" s="1735" t="n">
        <v>11</v>
      </c>
      <c r="P457" s="1736" t="n">
        <v>11</v>
      </c>
      <c r="Q457" s="1711">
        <f>IF(AND(E457&gt;=O457,E457&lt;=P457),TRUE,FALSE)</f>
        <v/>
      </c>
      <c r="R457" s="1710" t="n">
        <v>7</v>
      </c>
      <c r="S457" s="1703" t="n">
        <v>10</v>
      </c>
      <c r="T457" s="1711">
        <f>IF(AND(E457&gt;=R457,E457&lt;=S457),TRUE,FALSE)</f>
        <v/>
      </c>
      <c r="U457" s="978" t="n"/>
      <c r="V457" s="1484" t="n"/>
      <c r="W457" s="1485" t="n">
        <v>4</v>
      </c>
      <c r="X457" s="2029" t="n"/>
      <c r="Y457" s="1505" t="n">
        <v>11</v>
      </c>
      <c r="Z457" s="2029" t="n"/>
      <c r="AA457" s="1496" t="n">
        <v>2</v>
      </c>
      <c r="AC457" s="1013" t="n"/>
      <c r="AD457" s="1014" t="n"/>
      <c r="AE457" s="1013" t="n"/>
      <c r="AF457" s="1014" t="n"/>
      <c r="AG457" s="1013" t="n"/>
      <c r="AH457" s="1014" t="n"/>
      <c r="AJ457" s="10" t="n"/>
      <c r="AK457" s="10" t="n"/>
      <c r="AL457" s="10" t="n"/>
      <c r="AR457" s="849" t="n"/>
      <c r="AS457" s="111" t="n"/>
      <c r="AT457" s="487" t="n"/>
      <c r="AU457" s="114" t="n"/>
      <c r="AV457" s="491" t="n"/>
      <c r="AW457" s="114" t="n"/>
      <c r="AX457" s="492" t="n"/>
      <c r="AY457" s="488" t="n"/>
    </row>
    <row r="458" ht="32" customHeight="1">
      <c r="B458" s="53" t="inlineStr">
        <is>
          <t>NC</t>
        </is>
      </c>
      <c r="C458" s="2066" t="n"/>
      <c r="D458" s="63" t="n"/>
      <c r="E458" s="36" t="n"/>
      <c r="F458" s="36" t="n"/>
      <c r="G458" s="36" t="n"/>
      <c r="H458" s="1735" t="n">
        <v>11</v>
      </c>
      <c r="I458" s="1736" t="n">
        <v>11</v>
      </c>
      <c r="J458" s="46">
        <f>IF(AND(E458&gt;=H458,E458&lt;=I458),TRUE,FALSE)</f>
        <v/>
      </c>
      <c r="K458" s="46" t="n"/>
      <c r="L458" s="46" t="n"/>
      <c r="M458" s="46" t="n"/>
      <c r="N458" s="1711" t="n"/>
      <c r="O458" s="1735" t="n">
        <v>11</v>
      </c>
      <c r="P458" s="1736" t="n">
        <v>11</v>
      </c>
      <c r="Q458" s="1711">
        <f>IF(AND(E458&gt;=O458,E458&lt;=P458),TRUE,FALSE)</f>
        <v/>
      </c>
      <c r="R458" s="1735" t="n">
        <v>11</v>
      </c>
      <c r="S458" s="1736" t="n">
        <v>11</v>
      </c>
      <c r="T458" s="1711">
        <f>IF(AND(E458&gt;=R458,E458&lt;=S458),TRUE,FALSE)</f>
        <v/>
      </c>
      <c r="U458" s="978" t="n"/>
      <c r="V458" s="1487" t="inlineStr">
        <is>
          <t>ou</t>
        </is>
      </c>
      <c r="W458" s="1506" t="n">
        <v>11</v>
      </c>
      <c r="X458" s="1507" t="n"/>
      <c r="Y458" s="1508" t="n">
        <v>11</v>
      </c>
      <c r="Z458" s="1507" t="n"/>
      <c r="AA458" s="1502" t="n">
        <v>11</v>
      </c>
      <c r="AC458" s="1013" t="n"/>
      <c r="AD458" s="1014" t="n"/>
      <c r="AE458" s="1013" t="n"/>
      <c r="AF458" s="1014" t="n"/>
      <c r="AG458" s="1013" t="n"/>
      <c r="AH458" s="1014" t="n"/>
      <c r="AJ458" s="10" t="n"/>
      <c r="AK458" s="10" t="n"/>
      <c r="AL458" s="10" t="n"/>
      <c r="AQ458" s="7" t="n"/>
      <c r="AR458" s="849" t="n"/>
      <c r="AS458" s="111" t="n"/>
      <c r="AT458" s="487" t="n"/>
      <c r="AU458" s="114" t="n"/>
      <c r="AV458" s="491" t="n"/>
      <c r="AW458" s="114" t="n"/>
      <c r="AX458" s="492" t="n"/>
      <c r="AY458" s="488" t="n"/>
    </row>
    <row r="459" ht="32" customHeight="1" thickBot="1">
      <c r="B459" s="831" t="inlineStr">
        <is>
          <t>Max NC</t>
        </is>
      </c>
      <c r="C459" s="832">
        <f>_xlfn.XLOOKUP(G459,G457:G458,C457:C458)</f>
        <v/>
      </c>
      <c r="D459" s="833">
        <f>_xlfn.XLOOKUP(G459,G457:G458,D457:D458)</f>
        <v/>
      </c>
      <c r="E459" s="834" t="n"/>
      <c r="F459" s="834" t="n"/>
      <c r="G459" s="834">
        <f>IF(AND(J457=TRUE,J458=FALSE),G457,IF(AND(J457=FALSE,J458=TRUE),G458,MAX(G457,G458)))</f>
        <v/>
      </c>
      <c r="H459" s="1713" t="n"/>
      <c r="I459" s="835" t="n"/>
      <c r="J459" s="836">
        <f>IF(AND(J457=FALSE,J458=FALSE),FALSE,TRUE)</f>
        <v/>
      </c>
      <c r="K459" s="46" t="n"/>
      <c r="L459" s="46" t="n"/>
      <c r="M459" s="46" t="n"/>
      <c r="N459" s="1711" t="n"/>
      <c r="O459" s="1713" t="n"/>
      <c r="P459" s="835" t="n"/>
      <c r="Q459" s="1726">
        <f>IF(AND(Q457=FALSE,Q458=FALSE),FALSE,TRUE)</f>
        <v/>
      </c>
      <c r="R459" s="1713" t="n"/>
      <c r="S459" s="835" t="n"/>
      <c r="T459" s="1726">
        <f>IF(AND(T457=FALSE,T458=FALSE),FALSE,TRUE)</f>
        <v/>
      </c>
      <c r="U459" s="978" t="n"/>
      <c r="V459" s="978" t="n"/>
      <c r="W459" s="1473" t="n"/>
      <c r="X459" s="2002" t="n"/>
      <c r="Y459" s="1478" t="n"/>
      <c r="Z459" s="2002" t="n"/>
      <c r="AA459" s="1481" t="n"/>
      <c r="AC459" s="1013" t="n"/>
      <c r="AD459" s="1014" t="n"/>
      <c r="AE459" s="1013" t="n"/>
      <c r="AF459" s="1014" t="n"/>
      <c r="AG459" s="1013" t="n"/>
      <c r="AH459" s="1014" t="n"/>
      <c r="AJ459" s="10" t="n"/>
      <c r="AK459" s="10" t="n"/>
      <c r="AL459" s="10" t="n"/>
      <c r="AQ459" s="7" t="n"/>
      <c r="AR459" s="849" t="n"/>
      <c r="AS459" s="111" t="n"/>
      <c r="AT459" s="487" t="n"/>
      <c r="AU459" s="114" t="n"/>
      <c r="AV459" s="491" t="n"/>
      <c r="AW459" s="114" t="n"/>
      <c r="AX459" s="492" t="n"/>
      <c r="AY459" s="488" t="n"/>
    </row>
    <row r="460" ht="32" customHeight="1" thickBot="1">
      <c r="B460" s="837" t="inlineStr">
        <is>
          <t>Max PFA &amp; NC</t>
        </is>
      </c>
      <c r="C460" s="838" t="n"/>
      <c r="D460" s="838">
        <f>IF(G460=G456,D456,D459)</f>
        <v/>
      </c>
      <c r="E460" s="839" t="n"/>
      <c r="F460" s="839" t="n"/>
      <c r="G460" s="839">
        <f>IF(AND(J456=TRUE,J459=FALSE),G456,IF(AND(J456=FALSE,J459=TRUE),G459,IF(AND(J456=TRUE,J459=TRUE),G456+G459,MAX(G456,G459))))</f>
        <v/>
      </c>
      <c r="H460" s="1714" t="n"/>
      <c r="I460" s="840" t="n"/>
      <c r="J460" s="841">
        <f>IF(AND(J456=FALSE,J459=FALSE),FALSE,TRUE)</f>
        <v/>
      </c>
      <c r="K460" s="1698" t="n"/>
      <c r="L460" s="1698" t="n"/>
      <c r="M460" s="1698" t="n"/>
      <c r="N460" s="1715" t="n"/>
      <c r="O460" s="1714" t="n"/>
      <c r="P460" s="840" t="n"/>
      <c r="Q460" s="841">
        <f>IF(AND(Q456=FALSE,Q459=FALSE),FALSE,TRUE)</f>
        <v/>
      </c>
      <c r="R460" s="1714" t="n"/>
      <c r="S460" s="840" t="n"/>
      <c r="T460" s="841">
        <f>IF(AND(T456=FALSE,T459=FALSE),FALSE,TRUE)</f>
        <v/>
      </c>
      <c r="U460" s="978" t="n"/>
      <c r="V460" s="978" t="inlineStr">
        <is>
          <t>et</t>
        </is>
      </c>
      <c r="W460" s="1473" t="n"/>
      <c r="X460" s="2002" t="n"/>
      <c r="Y460" s="1478" t="n"/>
      <c r="Z460" s="2002" t="n"/>
      <c r="AA460" s="1481" t="n"/>
      <c r="AC460" s="1013">
        <f>IF(J460=TRUE,"V","F")</f>
        <v/>
      </c>
      <c r="AD460" s="1014" t="n"/>
      <c r="AE460" s="1013">
        <f>IF(Q460=TRUE,"V","F")</f>
        <v/>
      </c>
      <c r="AF460" s="1014" t="n"/>
      <c r="AG460" s="1013">
        <f>IF(T460=TRUE,"V","F")</f>
        <v/>
      </c>
      <c r="AH460" s="1014" t="n"/>
      <c r="AI460">
        <f>IF(OR(AC460="V",AE460="V"),IF(G459&gt;G456,"Le NC contribue plus que le coparent","Le coparent joue un plus grand rôle que le NC"),"pas de contexte significatif de la part du coparent et NC")</f>
        <v/>
      </c>
      <c r="AJ460" s="10" t="n"/>
      <c r="AK460" s="10" t="n"/>
      <c r="AL460" s="10" t="n"/>
      <c r="AQ460" s="7" t="n"/>
      <c r="AR460" s="849" t="n"/>
      <c r="AS460" s="111" t="n"/>
      <c r="AT460" s="487" t="n"/>
      <c r="AU460" s="114" t="n"/>
      <c r="AV460" s="491" t="n"/>
      <c r="AW460" s="114" t="n"/>
      <c r="AX460" s="492" t="n"/>
      <c r="AY460" s="488" t="n"/>
    </row>
    <row r="461" ht="32" customHeight="1">
      <c r="B461" s="316">
        <f>'Action-Réaction finale'!O73</f>
        <v/>
      </c>
      <c r="C461" s="2066">
        <f>Test_Bible!B321</f>
        <v/>
      </c>
      <c r="D461" s="102" t="inlineStr">
        <is>
          <t>reproche de ne pas le respecter</t>
        </is>
      </c>
      <c r="E461" s="823">
        <f>Test_Bible!P321</f>
        <v/>
      </c>
      <c r="F461" s="822">
        <f>Test_Bible!D321</f>
        <v/>
      </c>
      <c r="G461" s="823">
        <f>Test_Bible!Q321</f>
        <v/>
      </c>
      <c r="H461" s="1710" t="n">
        <v>4</v>
      </c>
      <c r="I461" s="1703">
        <f>$I$18</f>
        <v/>
      </c>
      <c r="J461" s="46">
        <f>IF(AND(E461&gt;=H461,E461&lt;=I461),TRUE,FALSE)</f>
        <v/>
      </c>
      <c r="K461" s="46" t="n"/>
      <c r="L461" s="46" t="n"/>
      <c r="M461" s="46" t="n"/>
      <c r="N461" s="1711" t="n"/>
      <c r="O461" s="1735" t="n">
        <v>11</v>
      </c>
      <c r="P461" s="1736" t="n">
        <v>11</v>
      </c>
      <c r="Q461" s="1711">
        <f>IF(AND(E461&gt;=O461,E461&lt;=P461),TRUE,FALSE)</f>
        <v/>
      </c>
      <c r="R461" s="1710" t="n"/>
      <c r="S461" s="1703" t="n"/>
      <c r="T461" s="1711" t="n"/>
      <c r="U461" s="978" t="n"/>
      <c r="V461" s="1484" t="n"/>
      <c r="W461" s="1485" t="n">
        <v>4</v>
      </c>
      <c r="X461" s="2029" t="n"/>
      <c r="Y461" s="1505" t="n">
        <v>11</v>
      </c>
      <c r="Z461" s="2029" t="n"/>
      <c r="AA461" s="1497" t="n">
        <v>11</v>
      </c>
      <c r="AC461" s="1013" t="inlineStr">
        <is>
          <t> </t>
        </is>
      </c>
      <c r="AD461" s="1014" t="n"/>
      <c r="AE461" s="1013" t="n"/>
      <c r="AF461" s="1014" t="n"/>
      <c r="AG461" s="1013" t="n"/>
      <c r="AH461" s="1014" t="n"/>
      <c r="AJ461" s="10" t="n"/>
      <c r="AK461" s="10" t="n"/>
      <c r="AL461" s="10" t="n"/>
      <c r="AQ461" s="7" t="n"/>
      <c r="AR461" s="849" t="n"/>
      <c r="AS461" s="111" t="n"/>
      <c r="AT461" s="487" t="n"/>
      <c r="AU461" s="114" t="n"/>
      <c r="AV461" s="491" t="n"/>
      <c r="AW461" s="114" t="n"/>
      <c r="AX461" s="492" t="n"/>
      <c r="AY461" s="488" t="n"/>
    </row>
    <row r="462" ht="32" customHeight="1" thickBot="1">
      <c r="B462" s="316" t="inlineStr">
        <is>
          <t>Enf</t>
        </is>
      </c>
      <c r="C462" s="2066" t="n"/>
      <c r="D462" s="102" t="n"/>
      <c r="E462" s="823" t="n"/>
      <c r="F462" s="822" t="n"/>
      <c r="G462" s="823" t="n"/>
      <c r="H462" s="1735" t="n">
        <v>11</v>
      </c>
      <c r="I462" s="1736" t="n">
        <v>11</v>
      </c>
      <c r="J462" s="46">
        <f>IF(AND(E462&gt;=H462,E462&lt;=I462),TRUE,FALSE)</f>
        <v/>
      </c>
      <c r="K462" s="46" t="n"/>
      <c r="L462" s="46" t="n"/>
      <c r="M462" s="46" t="n"/>
      <c r="N462" s="1711" t="n"/>
      <c r="O462" s="1735" t="n">
        <v>11</v>
      </c>
      <c r="P462" s="1736" t="n">
        <v>11</v>
      </c>
      <c r="Q462" s="1711">
        <f>IF(AND(E462&gt;=O462,E462&lt;=P462),TRUE,FALSE)</f>
        <v/>
      </c>
      <c r="R462" s="1735" t="n"/>
      <c r="S462" s="1736" t="n"/>
      <c r="T462" s="1711" t="n"/>
      <c r="U462" s="978" t="n"/>
      <c r="V462" s="1487" t="inlineStr">
        <is>
          <t>ou</t>
        </is>
      </c>
      <c r="W462" s="1506" t="n">
        <v>11</v>
      </c>
      <c r="X462" s="1507" t="n"/>
      <c r="Y462" s="1508" t="n">
        <v>11</v>
      </c>
      <c r="Z462" s="1507" t="n"/>
      <c r="AA462" s="1502" t="n">
        <v>11</v>
      </c>
      <c r="AC462" s="1013" t="n"/>
      <c r="AD462" s="1014" t="n"/>
      <c r="AE462" s="1013" t="n"/>
      <c r="AF462" s="1014" t="n"/>
      <c r="AG462" s="1013" t="n"/>
      <c r="AH462" s="1014" t="n"/>
      <c r="AJ462" s="10" t="n"/>
      <c r="AK462" s="10" t="n"/>
      <c r="AL462" s="10" t="n"/>
      <c r="AQ462" s="7" t="n"/>
      <c r="AR462" s="849" t="n"/>
      <c r="AS462" s="111" t="n"/>
      <c r="AT462" s="487" t="n"/>
      <c r="AU462" s="114" t="n"/>
      <c r="AV462" s="491" t="n"/>
      <c r="AW462" s="114" t="n"/>
      <c r="AX462" s="492" t="n"/>
      <c r="AY462" s="488" t="n"/>
    </row>
    <row r="463" ht="32" customHeight="1" thickBot="1">
      <c r="B463" s="842" t="inlineStr">
        <is>
          <t>Max Enf</t>
        </is>
      </c>
      <c r="C463" s="843">
        <f>_xlfn.XLOOKUP(G463,G461:G462,C461:C462)</f>
        <v/>
      </c>
      <c r="D463" s="843">
        <f>_xlfn.XLOOKUP(G463,G461:G462,D461:D462)</f>
        <v/>
      </c>
      <c r="E463" s="844" t="n"/>
      <c r="F463" s="844" t="n"/>
      <c r="G463" s="844">
        <f>IF(AND(J461=TRUE,J462=FALSE),G461,IF(AND(J461=FALSE,J462=TRUE),G462,MAX(G461,G462)))</f>
        <v/>
      </c>
      <c r="H463" s="1716" t="n"/>
      <c r="I463" s="845" t="n"/>
      <c r="J463" s="846">
        <f>IF(AND(J461=FALSE,J462=FALSE),FALSE,TRUE)</f>
        <v/>
      </c>
      <c r="K463" s="1699" t="n"/>
      <c r="L463" s="1699" t="n"/>
      <c r="M463" s="1699" t="n"/>
      <c r="N463" s="1717" t="n"/>
      <c r="O463" s="1716" t="n"/>
      <c r="P463" s="845" t="n"/>
      <c r="Q463" s="846">
        <f>IF(AND(Q461=FALSE,Q462=FALSE),FALSE,TRUE)</f>
        <v/>
      </c>
      <c r="R463" s="1716" t="n"/>
      <c r="S463" s="845" t="n"/>
      <c r="T463" s="846" t="n"/>
      <c r="U463" s="978" t="n"/>
      <c r="V463" s="978" t="n"/>
      <c r="W463" s="1475" t="n"/>
      <c r="Y463" s="1479" t="n"/>
      <c r="AA463" s="1483" t="n"/>
      <c r="AC463" s="1013">
        <f>IF(J463=TRUE,"V","F")</f>
        <v/>
      </c>
      <c r="AD463" s="1014" t="n"/>
      <c r="AE463" s="1013">
        <f>IF(Q463=TRUE,"V","F")</f>
        <v/>
      </c>
      <c r="AF463" s="1014" t="n"/>
      <c r="AG463" s="1013" t="n"/>
      <c r="AH463" s="1014" t="n"/>
      <c r="AJ463" s="10" t="n"/>
      <c r="AK463" s="10" t="n"/>
      <c r="AL463" s="10" t="n"/>
      <c r="AR463" s="849" t="n"/>
      <c r="AS463" s="111" t="n"/>
      <c r="AT463" s="487" t="n"/>
      <c r="AU463" s="114" t="n"/>
      <c r="AV463" s="491" t="n"/>
      <c r="AW463" s="114" t="n"/>
      <c r="AX463" s="492" t="n"/>
      <c r="AY463" s="488" t="n"/>
    </row>
    <row r="464" ht="32" customHeight="1">
      <c r="C464" s="428" t="inlineStr">
        <is>
          <t>COMPARATIF Comportement PFA-Enf</t>
        </is>
      </c>
      <c r="D464" s="2058" t="n"/>
      <c r="E464" s="484" t="inlineStr">
        <is>
          <t>Valeur =&gt;</t>
        </is>
      </c>
      <c r="F464" s="48" t="n"/>
      <c r="G464" s="48">
        <f>G456+G459+G463</f>
        <v/>
      </c>
      <c r="H464" s="1718" t="n"/>
      <c r="I464" s="485" t="n"/>
      <c r="J464" s="1701" t="n"/>
      <c r="K464" s="1702">
        <f>IF(AND(J463=TRUE,J460=TRUE),D463,"")</f>
        <v/>
      </c>
      <c r="L464" s="1702">
        <f>IF(AND(J460=TRUE,J463=FALSE),"Bien que le parent "&amp;D460&amp;" l'enfant ne semble pas s'ingérer","")</f>
        <v/>
      </c>
      <c r="M464" s="1702">
        <f>IF(AND(J460=FALSE,J463=TRUE),D463&amp;" sans signe de la participation du parent favorisé et|ou nouveau conjoint.e","")</f>
        <v/>
      </c>
      <c r="N464" s="1719">
        <f>IF(AND(J460=FALSE,J463=FALSE),"aucun comportement significatif de cette nature","")</f>
        <v/>
      </c>
      <c r="O464" s="1718" t="n"/>
      <c r="P464" s="485" t="n"/>
      <c r="Q464" s="1727" t="n"/>
      <c r="R464" s="1718" t="n"/>
      <c r="S464" s="485" t="n"/>
      <c r="T464" s="1727" t="n"/>
      <c r="U464" s="980" t="n"/>
      <c r="V464" s="980" t="n"/>
      <c r="W464" s="1475" t="n"/>
      <c r="Y464" s="1479" t="n"/>
      <c r="AA464" s="1483" t="n"/>
      <c r="AC464" s="1015" t="n"/>
      <c r="AD464" s="1016">
        <f>IF(AND(AC460="V",AC463="V"),2,IF(OR(AC460="V",AC463="V"),1,0))</f>
        <v/>
      </c>
      <c r="AE464" s="1015" t="n"/>
      <c r="AF464" s="1016">
        <f>IF(OR(AE460="V",AE463="V"),1,0)</f>
        <v/>
      </c>
      <c r="AG464" s="1015" t="n"/>
      <c r="AH464" s="1016" t="n"/>
      <c r="AJ464" s="10" t="n"/>
      <c r="AK464" s="10" t="n"/>
      <c r="AL464" s="10" t="n"/>
      <c r="AR464" s="849" t="n"/>
      <c r="AS464" s="111" t="n"/>
      <c r="AT464" s="487" t="n"/>
      <c r="AU464" s="114" t="n"/>
      <c r="AV464" s="491" t="n"/>
      <c r="AW464" s="114" t="n"/>
      <c r="AX464" s="492" t="n"/>
      <c r="AY464" s="488" t="n"/>
    </row>
    <row r="465" ht="32" customHeight="1">
      <c r="B465" t="inlineStr">
        <is>
          <t>PCR</t>
        </is>
      </c>
      <c r="H465" s="147" t="n"/>
      <c r="K465" s="1992" t="n"/>
      <c r="L465" s="1992" t="n"/>
      <c r="M465" s="1992" t="n"/>
      <c r="N465" s="1740" t="n"/>
      <c r="O465" s="147" t="n"/>
      <c r="Q465" s="330" t="n"/>
      <c r="R465" s="147" t="n"/>
      <c r="T465" s="330" t="n"/>
      <c r="U465" s="1992" t="n"/>
      <c r="AC465" s="1013" t="n"/>
      <c r="AD465" s="1014" t="n"/>
      <c r="AE465" s="1013" t="n"/>
      <c r="AF465" s="1014" t="n"/>
      <c r="AG465" s="1013" t="n"/>
      <c r="AH465" s="1014" t="n"/>
      <c r="AJ465" s="10" t="n"/>
      <c r="AK465" s="10" t="n"/>
      <c r="AL465" s="10" t="n"/>
      <c r="AR465" s="849" t="n"/>
      <c r="AS465" s="111" t="n"/>
      <c r="AT465" s="487" t="n"/>
      <c r="AU465" s="114" t="n"/>
      <c r="AV465" s="491" t="n"/>
      <c r="AW465" s="114" t="n"/>
      <c r="AX465" s="492" t="n"/>
      <c r="AY465" s="488" t="n"/>
    </row>
    <row r="466" ht="32" customHeight="1">
      <c r="B466" s="1017" t="n"/>
      <c r="C466" s="1025" t="n"/>
      <c r="D466" s="1018" t="n"/>
      <c r="E466" s="1026" t="n"/>
      <c r="F466" s="1026" t="n"/>
      <c r="G466" s="1026" t="n"/>
      <c r="H466" s="1735" t="n">
        <v>11</v>
      </c>
      <c r="I466" s="1736" t="n">
        <v>11</v>
      </c>
      <c r="J466" s="46">
        <f>IF(AND(E466&gt;=H466,E466&lt;=I466),TRUE,FALSE)</f>
        <v/>
      </c>
      <c r="K466" s="33" t="n"/>
      <c r="L466" s="33" t="n"/>
      <c r="M466" s="33" t="n"/>
      <c r="N466" s="1720" t="n"/>
      <c r="O466" s="1735" t="n">
        <v>11</v>
      </c>
      <c r="P466" s="1736" t="n">
        <v>11</v>
      </c>
      <c r="Q466" s="1711">
        <f>IF(AND(E466&gt;=O466,E466&lt;=P466),TRUE,FALSE)</f>
        <v/>
      </c>
      <c r="R466" s="1735" t="n">
        <v>11</v>
      </c>
      <c r="S466" s="1736" t="n">
        <v>11</v>
      </c>
      <c r="T466" s="1711">
        <f>IF(AND(E466&gt;=R466,E466&lt;=S466),TRUE,FALSE)</f>
        <v/>
      </c>
      <c r="U466" s="1992" t="n"/>
      <c r="V466" s="1509" t="n"/>
      <c r="W466" s="1503" t="n">
        <v>11</v>
      </c>
      <c r="X466" s="1504" t="n"/>
      <c r="Y466" s="1505" t="n">
        <v>11</v>
      </c>
      <c r="Z466" s="1504" t="n"/>
      <c r="AA466" s="1497" t="n">
        <v>11</v>
      </c>
      <c r="AC466" s="1013" t="n"/>
      <c r="AD466" s="1014" t="n"/>
      <c r="AE466" s="1013" t="n"/>
      <c r="AF466" s="1014" t="n"/>
      <c r="AG466" s="1013" t="n"/>
      <c r="AH466" s="1014" t="n"/>
      <c r="AJ466" s="10" t="n"/>
      <c r="AK466" s="10" t="n"/>
      <c r="AL466" s="10" t="n"/>
      <c r="AR466" s="849" t="n"/>
      <c r="AS466" s="111" t="n"/>
      <c r="AT466" s="487" t="n"/>
      <c r="AU466" s="114" t="n"/>
      <c r="AV466" s="491" t="n"/>
      <c r="AW466" s="114" t="n"/>
      <c r="AX466" s="492" t="n"/>
      <c r="AY466" s="488" t="n"/>
    </row>
    <row r="467" ht="32" customHeight="1" thickBot="1">
      <c r="B467" s="1017" t="n"/>
      <c r="C467" s="1025" t="n"/>
      <c r="D467" s="1018" t="n"/>
      <c r="E467" s="1026" t="n"/>
      <c r="F467" s="1026" t="n"/>
      <c r="G467" s="1026" t="n"/>
      <c r="H467" s="1735" t="n">
        <v>11</v>
      </c>
      <c r="I467" s="1736" t="n">
        <v>11</v>
      </c>
      <c r="J467" s="46">
        <f>IF(AND(E467&gt;=H467,E467&lt;=I467),TRUE,FALSE)</f>
        <v/>
      </c>
      <c r="K467" s="33" t="n"/>
      <c r="L467" s="33" t="n"/>
      <c r="M467" s="33" t="n"/>
      <c r="N467" s="1720" t="n"/>
      <c r="O467" s="1735" t="n">
        <v>11</v>
      </c>
      <c r="P467" s="1736" t="n">
        <v>11</v>
      </c>
      <c r="Q467" s="1711">
        <f>IF(AND(E467&gt;=O467,E467&lt;=P467),TRUE,FALSE)</f>
        <v/>
      </c>
      <c r="R467" s="1735" t="n">
        <v>11</v>
      </c>
      <c r="S467" s="1736" t="n">
        <v>11</v>
      </c>
      <c r="T467" s="1711">
        <f>IF(AND(E467&gt;=R467,E467&lt;=S467),TRUE,FALSE)</f>
        <v/>
      </c>
      <c r="V467" s="1510" t="n"/>
      <c r="W467" s="1506" t="n">
        <v>11</v>
      </c>
      <c r="X467" s="1507" t="n"/>
      <c r="Y467" s="1508" t="n">
        <v>11</v>
      </c>
      <c r="Z467" s="1507" t="n"/>
      <c r="AA467" s="1502" t="n">
        <v>11</v>
      </c>
      <c r="AC467" s="1013" t="n"/>
      <c r="AD467" s="1014" t="n"/>
      <c r="AE467" s="1013" t="n"/>
      <c r="AF467" s="1014" t="n"/>
      <c r="AG467" s="1013" t="n"/>
      <c r="AH467" s="1014" t="n"/>
      <c r="AJ467" s="10" t="n"/>
      <c r="AK467" s="10" t="n"/>
      <c r="AL467" s="10" t="n"/>
      <c r="AR467" s="849" t="n"/>
      <c r="AS467" s="111" t="n"/>
      <c r="AT467" s="487" t="n"/>
      <c r="AU467" s="114" t="n"/>
      <c r="AV467" s="491" t="n"/>
      <c r="AW467" s="114" t="n"/>
      <c r="AX467" s="492" t="n"/>
      <c r="AY467" s="488" t="n"/>
    </row>
    <row r="468" ht="32" customHeight="1" thickBot="1">
      <c r="C468" s="2073" t="n"/>
      <c r="D468" s="2073" t="n"/>
      <c r="E468" s="90" t="n"/>
      <c r="F468" s="483" t="n"/>
      <c r="G468" s="483" t="n"/>
      <c r="H468" s="1732" t="n"/>
      <c r="I468" s="1733" t="n"/>
      <c r="J468" s="1739">
        <f>IF(AND(J466=FALSE,J467=FALSE),FALSE,TRUE)</f>
        <v/>
      </c>
      <c r="K468" s="1721" t="n"/>
      <c r="L468" s="1722" t="n"/>
      <c r="M468" s="1722" t="n"/>
      <c r="N468" s="1723" t="n"/>
      <c r="O468" s="1732" t="n"/>
      <c r="P468" s="1733" t="n"/>
      <c r="Q468" s="1739">
        <f>IF(AND(Q466=FALSE,Q467=FALSE),FALSE,TRUE)</f>
        <v/>
      </c>
      <c r="R468" s="1744" t="n"/>
      <c r="S468" s="1745" t="n"/>
      <c r="T468" s="1746">
        <f>IF(AND(T466=FALSE,T467=FALSE),FALSE,TRUE)</f>
        <v/>
      </c>
      <c r="U468" s="980" t="n"/>
      <c r="AC468" s="1650">
        <f>IF(J468=TRUE,"V","F")</f>
        <v/>
      </c>
      <c r="AD468" s="1651" t="n"/>
      <c r="AE468" s="1650">
        <f>IF(Q468=TRUE,"V","F")</f>
        <v/>
      </c>
      <c r="AF468" s="1651" t="n"/>
      <c r="AG468" s="1650">
        <f>IF(T468=TRUE,"V","F")</f>
        <v/>
      </c>
      <c r="AH468" s="1651" t="n"/>
      <c r="AJ468" s="10" t="n"/>
      <c r="AK468" s="10" t="n"/>
      <c r="AL468" s="10" t="n"/>
      <c r="AR468" s="849" t="n"/>
      <c r="AS468" s="111" t="n"/>
      <c r="AT468" s="487" t="n"/>
      <c r="AU468" s="114" t="n"/>
      <c r="AV468" s="491" t="n"/>
      <c r="AW468" s="114" t="n"/>
      <c r="AX468" s="492" t="n"/>
      <c r="AY468" s="488" t="n"/>
    </row>
    <row r="469" ht="32" customHeight="1" thickBot="1">
      <c r="C469" s="2073" t="n"/>
      <c r="D469" s="2073" t="n"/>
      <c r="E469" s="90" t="n"/>
      <c r="F469" s="483" t="n"/>
      <c r="G469" s="483" t="n"/>
      <c r="H469" s="2002" t="n"/>
      <c r="I469" s="2002" t="n"/>
      <c r="J469" s="979" t="n"/>
      <c r="K469" s="980" t="n"/>
      <c r="L469" s="980" t="n"/>
      <c r="M469" s="980" t="n"/>
      <c r="N469" s="980" t="n"/>
      <c r="O469" s="980" t="n"/>
      <c r="P469" s="980" t="n"/>
      <c r="Q469" s="980" t="n"/>
      <c r="R469" s="980" t="n"/>
      <c r="S469" s="980" t="n"/>
      <c r="T469" s="980" t="n"/>
      <c r="U469" s="980" t="n"/>
      <c r="V469" s="980" t="n"/>
      <c r="W469" s="2002" t="n"/>
      <c r="X469" s="2002" t="n"/>
      <c r="Y469" s="2002" t="n"/>
      <c r="Z469" s="2002" t="n"/>
      <c r="AA469" s="2002" t="n"/>
      <c r="AC469" s="1737" t="n"/>
      <c r="AD469" s="1738">
        <f>IF(AND(AC468="V",AC460="V"),AD464-1,AD464)</f>
        <v/>
      </c>
      <c r="AE469" s="1737" t="n"/>
      <c r="AF469" s="1738">
        <f>IF(OR(AE460="V",AE463="V",AE468="V"),1,0)</f>
        <v/>
      </c>
      <c r="AG469" s="1737" t="n"/>
      <c r="AH469" s="1738">
        <f>IF(AG460="V",1,IF(AG468="V",1,0))</f>
        <v/>
      </c>
      <c r="AJ469" s="10" t="n">
        <v>1</v>
      </c>
      <c r="AK469" s="10" t="n"/>
      <c r="AL469" s="10" t="n">
        <v>1</v>
      </c>
      <c r="AR469" s="849" t="n"/>
      <c r="AS469" s="111" t="n"/>
      <c r="AT469" s="487" t="n"/>
      <c r="AU469" s="114" t="n"/>
      <c r="AV469" s="491" t="n"/>
      <c r="AW469" s="114" t="n"/>
      <c r="AX469" s="492" t="n"/>
      <c r="AY469" s="488" t="n"/>
    </row>
    <row r="470" ht="32" customHeight="1">
      <c r="C470" s="2073" t="n"/>
      <c r="D470" s="2073" t="n"/>
      <c r="E470" s="90" t="n"/>
      <c r="F470" s="483" t="n"/>
      <c r="G470" s="483" t="n"/>
      <c r="H470" s="1704" t="n"/>
      <c r="I470" s="1705" t="n"/>
      <c r="J470" s="1706" t="n"/>
      <c r="K470" s="2056" t="n"/>
      <c r="L470" s="709" t="n"/>
      <c r="M470" s="709" t="n"/>
      <c r="N470" s="1707" t="n"/>
      <c r="O470" s="1724" t="n"/>
      <c r="P470" s="1706" t="n"/>
      <c r="Q470" s="1707" t="n"/>
      <c r="R470" s="1724" t="n"/>
      <c r="S470" s="1706" t="n"/>
      <c r="T470" s="1707" t="n"/>
      <c r="U470" s="980" t="n"/>
      <c r="V470" s="980" t="n"/>
      <c r="W470" s="2002" t="n"/>
      <c r="X470" s="2002" t="n"/>
      <c r="Y470" s="2002" t="n"/>
      <c r="Z470" s="2002" t="n"/>
      <c r="AA470" s="2002" t="n"/>
      <c r="AC470" s="1756" t="n"/>
      <c r="AD470" s="1757" t="n"/>
      <c r="AE470" s="1490" t="n"/>
      <c r="AF470" s="1490" t="n"/>
      <c r="AG470" s="1490" t="n"/>
      <c r="AH470" s="1490" t="n"/>
      <c r="AJ470" s="10" t="n"/>
      <c r="AK470" s="10" t="n"/>
      <c r="AL470" s="10" t="n"/>
      <c r="AR470" s="849" t="n"/>
      <c r="AS470" s="111" t="n"/>
      <c r="AT470" s="487" t="n"/>
      <c r="AU470" s="114" t="n"/>
      <c r="AV470" s="491" t="n"/>
      <c r="AW470" s="114" t="n"/>
      <c r="AX470" s="492" t="n"/>
      <c r="AY470" s="488" t="n"/>
    </row>
    <row r="471" ht="32" customHeight="1">
      <c r="A471" s="853" t="n">
        <v>24</v>
      </c>
      <c r="C471" s="486" t="inlineStr">
        <is>
          <t>Demande / force l'enfant à choisir</t>
        </is>
      </c>
      <c r="D471" s="108" t="n"/>
      <c r="E471" s="66" t="n"/>
      <c r="F471" s="18" t="n"/>
      <c r="G471" s="18" t="n"/>
      <c r="H471" s="2052" t="inlineStr">
        <is>
          <t>AP</t>
        </is>
      </c>
      <c r="K471" s="2055" t="inlineStr">
        <is>
          <t>Dynamique d'AP</t>
        </is>
      </c>
      <c r="N471" s="330" t="n"/>
      <c r="O471" s="2122" t="inlineStr">
        <is>
          <t>CL</t>
        </is>
      </c>
      <c r="Q471" s="330" t="n"/>
      <c r="R471" s="2123" t="inlineStr">
        <is>
          <t>CSS</t>
        </is>
      </c>
      <c r="T471" s="330" t="n"/>
      <c r="U471" s="15" t="n"/>
      <c r="V471" s="15" t="n"/>
      <c r="AC471" s="1009" t="n"/>
      <c r="AD471" s="1009" t="n"/>
      <c r="AE471" s="1009" t="n"/>
      <c r="AF471" s="1009" t="n"/>
      <c r="AG471" s="1009" t="n"/>
      <c r="AH471" s="1010" t="n"/>
      <c r="AJ471" s="10" t="n"/>
      <c r="AK471" s="10" t="n"/>
      <c r="AL471" s="10" t="n"/>
      <c r="AR471" s="849" t="n"/>
      <c r="AS471" s="111" t="n"/>
      <c r="AT471" s="487" t="n"/>
      <c r="AU471" s="114" t="n"/>
      <c r="AV471" s="491" t="n"/>
      <c r="AW471" s="114" t="n"/>
      <c r="AX471" s="492" t="n"/>
      <c r="AY471" s="488" t="n"/>
    </row>
    <row r="472" ht="32" customHeight="1">
      <c r="A472" s="1470" t="n"/>
      <c r="C472" s="103" t="inlineStr">
        <is>
          <t>Questions et sous-questions</t>
        </is>
      </c>
      <c r="D472" s="1043" t="inlineStr">
        <is>
          <t>Texte écourté pour titrer dans les baromètres ou rapport</t>
        </is>
      </c>
      <c r="E472" s="33" t="inlineStr">
        <is>
          <t>Valeur de base
Fréquence (F)</t>
        </is>
      </c>
      <c r="F472" s="33" t="inlineStr">
        <is>
          <t>Valeur de base
intensité (I)</t>
        </is>
      </c>
      <c r="G472" s="33" t="inlineStr">
        <is>
          <t>F * I</t>
        </is>
      </c>
      <c r="H472" s="1708" t="inlineStr">
        <is>
          <t>Condition Fréq. 
&gt;= que</t>
        </is>
      </c>
      <c r="I472" s="44" t="inlineStr">
        <is>
          <t>Condition Fré
&lt;= que</t>
        </is>
      </c>
      <c r="J472" s="44" t="inlineStr">
        <is>
          <t>Condition respectée</t>
        </is>
      </c>
      <c r="K472" s="44" t="inlineStr">
        <is>
          <t>"VRAI" (PF&amp;NC) /  "VRAI" (Enf)</t>
        </is>
      </c>
      <c r="L472" s="44" t="inlineStr">
        <is>
          <t>Vrai (PF&amp;NC) /  Faux (Enf)</t>
        </is>
      </c>
      <c r="M472" s="44" t="inlineStr">
        <is>
          <t>Faux (PF&amp;NC) /  Vrai (Enf)</t>
        </is>
      </c>
      <c r="N472" s="1709" t="inlineStr">
        <is>
          <t>Faux (PF&amp;NC) /  Faux(Enf)</t>
        </is>
      </c>
      <c r="O472" s="1708" t="inlineStr">
        <is>
          <t>Condition Fréq. 
&gt;= que</t>
        </is>
      </c>
      <c r="P472" s="44" t="inlineStr">
        <is>
          <t>Condition Fré
&lt;= que</t>
        </is>
      </c>
      <c r="Q472" s="1709" t="inlineStr">
        <is>
          <t>Condition respectée</t>
        </is>
      </c>
      <c r="R472" s="1708" t="inlineStr">
        <is>
          <t>Condition Fréq. 
&gt;= que</t>
        </is>
      </c>
      <c r="S472" s="44" t="inlineStr">
        <is>
          <t>Condition Fré
&lt;= que</t>
        </is>
      </c>
      <c r="T472" s="1709" t="inlineStr">
        <is>
          <t>Condition respectée</t>
        </is>
      </c>
      <c r="U472" s="851" t="n"/>
      <c r="V472" s="1008" t="inlineStr">
        <is>
          <t>Condition</t>
        </is>
      </c>
      <c r="W472" s="1472" t="inlineStr">
        <is>
          <t>AP</t>
        </is>
      </c>
      <c r="X472" s="1008" t="inlineStr">
        <is>
          <t>Condition</t>
        </is>
      </c>
      <c r="Y472" s="1476" t="inlineStr">
        <is>
          <t>CL</t>
        </is>
      </c>
      <c r="Z472" s="1008" t="n"/>
      <c r="AA472" s="1480" t="inlineStr">
        <is>
          <t>CSS</t>
        </is>
      </c>
      <c r="AC472" s="1023" t="inlineStr">
        <is>
          <t>AP</t>
        </is>
      </c>
      <c r="AD472" s="1024" t="inlineStr">
        <is>
          <t>AP_F</t>
        </is>
      </c>
      <c r="AE472" s="1023" t="inlineStr">
        <is>
          <t>CL</t>
        </is>
      </c>
      <c r="AF472" s="1024" t="inlineStr">
        <is>
          <t>CL_F</t>
        </is>
      </c>
      <c r="AG472" s="1023" t="inlineStr">
        <is>
          <t>CSS</t>
        </is>
      </c>
      <c r="AH472" s="1024" t="inlineStr">
        <is>
          <t>CSS_F</t>
        </is>
      </c>
      <c r="AJ472" s="10" t="n"/>
      <c r="AK472" s="10" t="n"/>
      <c r="AL472" s="10" t="n"/>
      <c r="AR472" s="849" t="n"/>
      <c r="AS472" s="111" t="n"/>
      <c r="AT472" s="487" t="n"/>
      <c r="AU472" s="114" t="n"/>
      <c r="AV472" s="491" t="n"/>
      <c r="AW472" s="114" t="n"/>
      <c r="AX472" s="492" t="n"/>
      <c r="AY472" s="488" t="n"/>
    </row>
    <row r="473" ht="51" customHeight="1">
      <c r="A473" s="1470" t="n"/>
      <c r="B473" s="421">
        <f>'Action-Réaction finale'!G75</f>
        <v/>
      </c>
      <c r="C473" s="2066">
        <f>Test_Bible!B246</f>
        <v/>
      </c>
      <c r="D473" s="102" t="inlineStr">
        <is>
          <t>est d'avis que l'enfant est assez mature pour choisir</t>
        </is>
      </c>
      <c r="E473" s="823">
        <f>Test_Bible!P246</f>
        <v/>
      </c>
      <c r="F473" s="822">
        <f>Test_Bible!D246</f>
        <v/>
      </c>
      <c r="G473" s="823">
        <f>Test_Bible!Q246</f>
        <v/>
      </c>
      <c r="H473" s="1710" t="n">
        <v>4</v>
      </c>
      <c r="I473" s="1703" t="n">
        <v>10</v>
      </c>
      <c r="J473" s="46">
        <f>IF(AND(E473&gt;=H473,E473&lt;=I473),TRUE,FALSE)</f>
        <v/>
      </c>
      <c r="K473" s="46" t="n"/>
      <c r="L473" s="46" t="n"/>
      <c r="M473" s="46" t="n"/>
      <c r="N473" s="1711" t="n"/>
      <c r="O473" s="1710" t="n">
        <v>2</v>
      </c>
      <c r="P473" s="1703" t="n">
        <v>7</v>
      </c>
      <c r="Q473" s="1711">
        <f>IF(AND(E473&gt;=O473,E473&lt;=P473),TRUE,FALSE)</f>
        <v/>
      </c>
      <c r="R473" s="1735" t="n">
        <v>11</v>
      </c>
      <c r="S473" s="1736" t="n">
        <v>11</v>
      </c>
      <c r="T473" s="1711">
        <f>IF(AND(E473&gt;=R473,E473&lt;=S473),TRUE,FALSE)</f>
        <v/>
      </c>
      <c r="U473" s="978" t="n"/>
      <c r="V473" s="1484" t="n"/>
      <c r="W473" s="1485" t="n">
        <v>4</v>
      </c>
      <c r="X473" s="2029" t="n"/>
      <c r="Y473" s="1489" t="n">
        <v>2</v>
      </c>
      <c r="Z473" s="2029" t="n"/>
      <c r="AA473" s="1497" t="n">
        <v>11</v>
      </c>
      <c r="AC473" s="1011" t="n"/>
      <c r="AD473" s="1012" t="n"/>
      <c r="AE473" s="1011" t="n"/>
      <c r="AF473" s="1012" t="n"/>
      <c r="AG473" s="1011" t="n"/>
      <c r="AH473" s="1012" t="n"/>
      <c r="AJ473" s="10" t="n"/>
      <c r="AK473" s="10" t="n"/>
      <c r="AL473" s="10" t="n"/>
      <c r="AR473" s="849" t="n"/>
      <c r="AS473" s="111" t="n"/>
      <c r="AT473" s="487" t="n"/>
      <c r="AU473" s="114" t="n"/>
      <c r="AV473" s="491" t="n"/>
      <c r="AW473" s="114" t="n"/>
      <c r="AX473" s="492" t="n"/>
      <c r="AY473" s="488" t="n"/>
    </row>
    <row r="474" ht="32" customHeight="1">
      <c r="A474" s="1470" t="n"/>
      <c r="B474" s="421">
        <f>'Action-Réaction finale'!G76</f>
        <v/>
      </c>
      <c r="C474" s="2066">
        <f>Test_Bible!B230</f>
        <v/>
      </c>
      <c r="D474" s="102" t="inlineStr">
        <is>
          <t>force l'enfant à choisir</t>
        </is>
      </c>
      <c r="E474" s="823">
        <f>Test_Bible!P230</f>
        <v/>
      </c>
      <c r="F474" s="822">
        <f>Test_Bible!D230</f>
        <v/>
      </c>
      <c r="G474" s="823">
        <f>Test_Bible!Q230</f>
        <v/>
      </c>
      <c r="H474" s="1710" t="n">
        <v>2</v>
      </c>
      <c r="I474" s="1703" t="n">
        <v>10</v>
      </c>
      <c r="J474" s="46">
        <f>IF(AND(E474&gt;=H474,E474&lt;=I474),TRUE,FALSE)</f>
        <v/>
      </c>
      <c r="K474" s="46" t="n"/>
      <c r="L474" s="46" t="n"/>
      <c r="M474" s="46" t="n"/>
      <c r="N474" s="1711" t="n"/>
      <c r="O474" s="1710" t="n">
        <v>2</v>
      </c>
      <c r="P474" s="1703" t="n">
        <v>7</v>
      </c>
      <c r="Q474" s="1711">
        <f>IF(AND(E474&gt;=O474,E474&lt;=P474),TRUE,FALSE)</f>
        <v/>
      </c>
      <c r="R474" s="1735" t="n">
        <v>11</v>
      </c>
      <c r="S474" s="1736" t="n">
        <v>11</v>
      </c>
      <c r="T474" s="1711">
        <f>IF(AND(E474&gt;=R474,E474&lt;=S474),TRUE,FALSE)</f>
        <v/>
      </c>
      <c r="U474" s="978" t="n"/>
      <c r="V474" s="1487" t="inlineStr">
        <is>
          <t>ou</t>
        </is>
      </c>
      <c r="W474" s="1492" t="n">
        <v>2</v>
      </c>
      <c r="X474" s="1493" t="n"/>
      <c r="Y474" s="1494" t="n">
        <v>2</v>
      </c>
      <c r="Z474" s="1493" t="n"/>
      <c r="AA474" s="1502" t="n">
        <v>11</v>
      </c>
      <c r="AC474" s="1013" t="n"/>
      <c r="AD474" s="1014" t="n"/>
      <c r="AE474" s="1013" t="n"/>
      <c r="AF474" s="1014" t="n"/>
      <c r="AG474" s="1013" t="n"/>
      <c r="AH474" s="1014" t="n"/>
      <c r="AJ474" s="10" t="n"/>
      <c r="AK474" s="10" t="n"/>
      <c r="AL474" s="10" t="n"/>
      <c r="AR474" s="849" t="n"/>
      <c r="AS474" s="111" t="n"/>
      <c r="AT474" s="487" t="n"/>
      <c r="AU474" s="114" t="n"/>
      <c r="AV474" s="491" t="n"/>
      <c r="AW474" s="114" t="n"/>
      <c r="AX474" s="492" t="n"/>
      <c r="AY474" s="488" t="n"/>
    </row>
    <row r="475" ht="32" customHeight="1">
      <c r="A475" s="1470" t="n"/>
      <c r="B475" s="825" t="inlineStr">
        <is>
          <t>Max PFA</t>
        </is>
      </c>
      <c r="C475" s="826">
        <f>_xlfn.XLOOKUP(G475,G473:G474,C473:C474)</f>
        <v/>
      </c>
      <c r="D475" s="827">
        <f>_xlfn.XLOOKUP(G475,G473:G474,D473:D474)</f>
        <v/>
      </c>
      <c r="E475" s="828" t="n"/>
      <c r="F475" s="828" t="n"/>
      <c r="G475" s="828">
        <f>IF(AND(J473=TRUE,J474=FALSE),G473,IF(AND(J473=FALSE,J474=TRUE),G474,MAX(G473,G474)))</f>
        <v/>
      </c>
      <c r="H475" s="1712" t="n"/>
      <c r="I475" s="829" t="n"/>
      <c r="J475" s="830">
        <f>IF(AND(J473=FALSE,J474=FALSE),FALSE,TRUE)</f>
        <v/>
      </c>
      <c r="K475" s="46" t="n"/>
      <c r="L475" s="46" t="n"/>
      <c r="M475" s="46" t="n"/>
      <c r="N475" s="1711" t="n"/>
      <c r="O475" s="1712" t="n"/>
      <c r="P475" s="829" t="n"/>
      <c r="Q475" s="1725">
        <f>IF(AND(Q473=FALSE,Q474=FALSE),FALSE,TRUE)</f>
        <v/>
      </c>
      <c r="R475" s="1712" t="n"/>
      <c r="S475" s="829" t="n"/>
      <c r="T475" s="1725">
        <f>IF(AND(T473=FALSE,T474=FALSE),FALSE,TRUE)</f>
        <v/>
      </c>
      <c r="U475" s="978" t="n"/>
      <c r="V475" s="978" t="inlineStr">
        <is>
          <t>ou</t>
        </is>
      </c>
      <c r="W475" s="1473" t="n"/>
      <c r="X475" s="2002" t="n"/>
      <c r="Y475" s="1478" t="n"/>
      <c r="Z475" s="2002" t="n"/>
      <c r="AA475" s="1481" t="n"/>
      <c r="AC475" s="1013" t="n"/>
      <c r="AD475" s="1014" t="n"/>
      <c r="AE475" s="1013" t="n"/>
      <c r="AF475" s="1014" t="n"/>
      <c r="AG475" s="1013" t="n"/>
      <c r="AH475" s="1014" t="n"/>
      <c r="AJ475" s="10" t="n"/>
      <c r="AK475" s="10" t="n"/>
      <c r="AL475" s="10" t="n"/>
      <c r="AR475" s="849" t="n"/>
      <c r="AS475" s="111" t="n"/>
      <c r="AT475" s="487" t="n"/>
      <c r="AU475" s="114" t="n"/>
      <c r="AV475" s="491" t="n"/>
      <c r="AW475" s="114" t="n"/>
      <c r="AX475" s="492" t="n"/>
      <c r="AY475" s="488" t="n"/>
    </row>
    <row r="476" ht="32" customHeight="1">
      <c r="A476" s="1470" t="n"/>
      <c r="B476" s="53" t="inlineStr">
        <is>
          <t>NC</t>
        </is>
      </c>
      <c r="C476" s="2066" t="n"/>
      <c r="D476" s="102" t="n"/>
      <c r="E476" s="823" t="n"/>
      <c r="F476" s="822" t="n"/>
      <c r="G476" s="823" t="n"/>
      <c r="H476" s="1735" t="n">
        <v>11</v>
      </c>
      <c r="I476" s="1736" t="n">
        <v>11</v>
      </c>
      <c r="J476" s="46">
        <f>IF(AND(E476&gt;=H476,E476&lt;=I476),TRUE,FALSE)</f>
        <v/>
      </c>
      <c r="K476" s="46" t="n"/>
      <c r="L476" s="46" t="n"/>
      <c r="M476" s="46" t="n"/>
      <c r="N476" s="1711" t="n"/>
      <c r="O476" s="1735" t="n">
        <v>11</v>
      </c>
      <c r="P476" s="1736" t="n">
        <v>11</v>
      </c>
      <c r="Q476" s="1711">
        <f>IF(AND(E476&gt;=O476,E476&lt;=P476),TRUE,FALSE)</f>
        <v/>
      </c>
      <c r="R476" s="1735" t="n">
        <v>11</v>
      </c>
      <c r="S476" s="1736" t="n">
        <v>11</v>
      </c>
      <c r="T476" s="1711">
        <f>IF(AND(E476&gt;=R476,E476&lt;=S476),TRUE,FALSE)</f>
        <v/>
      </c>
      <c r="U476" s="978" t="n"/>
      <c r="V476" s="1484" t="n"/>
      <c r="W476" s="1503" t="n">
        <v>11</v>
      </c>
      <c r="X476" s="1504" t="n"/>
      <c r="Y476" s="1505" t="n">
        <v>11</v>
      </c>
      <c r="Z476" s="1504" t="n"/>
      <c r="AA476" s="1497" t="n">
        <v>11</v>
      </c>
      <c r="AC476" s="1013" t="n"/>
      <c r="AD476" s="1014" t="n"/>
      <c r="AE476" s="1013" t="n"/>
      <c r="AF476" s="1014" t="n"/>
      <c r="AG476" s="1013" t="n"/>
      <c r="AH476" s="1014" t="n"/>
      <c r="AJ476" s="10" t="n"/>
      <c r="AK476" s="10" t="n"/>
      <c r="AL476" s="10" t="n"/>
    </row>
    <row r="477" ht="32" customHeight="1">
      <c r="A477" s="1470" t="n"/>
      <c r="B477" s="53" t="inlineStr">
        <is>
          <t>NC</t>
        </is>
      </c>
      <c r="C477" s="2066" t="n"/>
      <c r="D477" s="63" t="n"/>
      <c r="E477" s="36" t="n"/>
      <c r="F477" s="36" t="n"/>
      <c r="G477" s="36" t="n"/>
      <c r="H477" s="1735" t="n">
        <v>11</v>
      </c>
      <c r="I477" s="1736" t="n">
        <v>11</v>
      </c>
      <c r="J477" s="46">
        <f>IF(AND(E477&gt;=H477,E477&lt;=I477),TRUE,FALSE)</f>
        <v/>
      </c>
      <c r="K477" s="46" t="n"/>
      <c r="L477" s="46" t="n"/>
      <c r="M477" s="46" t="n"/>
      <c r="N477" s="1711" t="n"/>
      <c r="O477" s="1735" t="n">
        <v>11</v>
      </c>
      <c r="P477" s="1736" t="n">
        <v>11</v>
      </c>
      <c r="Q477" s="1711">
        <f>IF(AND(E477&gt;=O477,E477&lt;=P477),TRUE,FALSE)</f>
        <v/>
      </c>
      <c r="R477" s="1735" t="n">
        <v>11</v>
      </c>
      <c r="S477" s="1736" t="n">
        <v>11</v>
      </c>
      <c r="T477" s="1711">
        <f>IF(AND(E477&gt;=R477,E477&lt;=S477),TRUE,FALSE)</f>
        <v/>
      </c>
      <c r="U477" s="978" t="n"/>
      <c r="V477" s="1487" t="inlineStr">
        <is>
          <t>ou</t>
        </is>
      </c>
      <c r="W477" s="1506" t="n">
        <v>11</v>
      </c>
      <c r="X477" s="1507" t="n"/>
      <c r="Y477" s="1508" t="n">
        <v>11</v>
      </c>
      <c r="Z477" s="1507" t="n"/>
      <c r="AA477" s="1502" t="n">
        <v>11</v>
      </c>
      <c r="AC477" s="1013" t="n"/>
      <c r="AD477" s="1014" t="n"/>
      <c r="AE477" s="1013" t="n"/>
      <c r="AF477" s="1014" t="n"/>
      <c r="AG477" s="1013" t="n"/>
      <c r="AH477" s="1014" t="n"/>
      <c r="AJ477" s="10" t="n"/>
      <c r="AK477" s="10" t="n"/>
      <c r="AL477" s="10" t="n"/>
      <c r="AQ477" s="7" t="n"/>
      <c r="AR477" s="849" t="n"/>
      <c r="AS477" s="111" t="n"/>
      <c r="AT477" s="487" t="n"/>
      <c r="AU477" s="114" t="n"/>
      <c r="AV477" s="491" t="n"/>
      <c r="AW477" s="114" t="n"/>
      <c r="AX477" s="492" t="n"/>
      <c r="AY477" s="488" t="n"/>
    </row>
    <row r="478" ht="32" customHeight="1" thickBot="1">
      <c r="A478" s="1470" t="n"/>
      <c r="B478" s="831" t="inlineStr">
        <is>
          <t>Max NC</t>
        </is>
      </c>
      <c r="C478" s="832">
        <f>_xlfn.XLOOKUP(G478,G476:G477,C476:C477)</f>
        <v/>
      </c>
      <c r="D478" s="833">
        <f>_xlfn.XLOOKUP(G478,G476:G477,D476:D477)</f>
        <v/>
      </c>
      <c r="E478" s="834" t="n"/>
      <c r="F478" s="834" t="n"/>
      <c r="G478" s="834">
        <f>IF(AND(J476=TRUE,J477=FALSE),G476,IF(AND(J476=FALSE,J477=TRUE),G477,MAX(G476,G477)))</f>
        <v/>
      </c>
      <c r="H478" s="1713" t="n"/>
      <c r="I478" s="835" t="n"/>
      <c r="J478" s="836">
        <f>IF(AND(J476=FALSE,J477=FALSE),FALSE,TRUE)</f>
        <v/>
      </c>
      <c r="K478" s="46" t="n"/>
      <c r="L478" s="46" t="n"/>
      <c r="M478" s="46" t="n"/>
      <c r="N478" s="1711" t="n"/>
      <c r="O478" s="1713" t="n"/>
      <c r="P478" s="835" t="n"/>
      <c r="Q478" s="1726">
        <f>IF(AND(Q476=FALSE,Q477=FALSE),FALSE,TRUE)</f>
        <v/>
      </c>
      <c r="R478" s="1713" t="n"/>
      <c r="S478" s="835" t="n"/>
      <c r="T478" s="1726">
        <f>IF(AND(T476=FALSE,T477=FALSE),FALSE,TRUE)</f>
        <v/>
      </c>
      <c r="U478" s="978" t="n"/>
      <c r="V478" s="978" t="n"/>
      <c r="W478" s="1473" t="n"/>
      <c r="X478" s="2002" t="n"/>
      <c r="Y478" s="1478" t="n"/>
      <c r="Z478" s="2002" t="n"/>
      <c r="AA478" s="1481" t="n"/>
      <c r="AC478" s="1013" t="n"/>
      <c r="AD478" s="1014" t="n"/>
      <c r="AE478" s="1013" t="n"/>
      <c r="AF478" s="1014" t="n"/>
      <c r="AG478" s="1013" t="n"/>
      <c r="AH478" s="1014" t="n"/>
      <c r="AJ478" s="10" t="n"/>
      <c r="AK478" s="10" t="n"/>
      <c r="AL478" s="10" t="n"/>
      <c r="AQ478" s="7" t="n"/>
      <c r="AR478" s="849" t="n"/>
      <c r="AS478" s="111" t="n"/>
      <c r="AT478" s="487" t="n"/>
      <c r="AU478" s="114" t="n"/>
      <c r="AV478" s="491" t="n"/>
      <c r="AW478" s="114" t="n"/>
      <c r="AX478" s="492" t="n"/>
      <c r="AY478" s="488" t="n"/>
    </row>
    <row r="479" ht="32" customHeight="1" thickBot="1">
      <c r="A479" s="1470" t="n"/>
      <c r="B479" s="837" t="inlineStr">
        <is>
          <t>Max PFA &amp; NC</t>
        </is>
      </c>
      <c r="C479" s="838" t="n"/>
      <c r="D479" s="838">
        <f>IF(G479=G475,D475,D478)</f>
        <v/>
      </c>
      <c r="E479" s="839" t="n"/>
      <c r="F479" s="839" t="n"/>
      <c r="G479" s="839">
        <f>IF(AND(J475=TRUE,J478=FALSE),G475,IF(AND(J475=FALSE,J478=TRUE),G478,IF(AND(J475=TRUE,J478=TRUE),G475+G478,MAX(G475,G478))))</f>
        <v/>
      </c>
      <c r="H479" s="1714" t="n"/>
      <c r="I479" s="840" t="n"/>
      <c r="J479" s="841">
        <f>IF(AND(J475=FALSE,J478=FALSE),FALSE,TRUE)</f>
        <v/>
      </c>
      <c r="K479" s="1698" t="n"/>
      <c r="L479" s="1698" t="n"/>
      <c r="M479" s="1698" t="n"/>
      <c r="N479" s="1715" t="n"/>
      <c r="O479" s="1714" t="n"/>
      <c r="P479" s="840" t="n"/>
      <c r="Q479" s="841">
        <f>IF(AND(Q475=FALSE,Q478=FALSE),FALSE,TRUE)</f>
        <v/>
      </c>
      <c r="R479" s="1714" t="n"/>
      <c r="S479" s="840" t="n"/>
      <c r="T479" s="841">
        <f>IF(AND(T475=FALSE,T478=FALSE),FALSE,TRUE)</f>
        <v/>
      </c>
      <c r="U479" s="978" t="n"/>
      <c r="V479" s="978" t="inlineStr">
        <is>
          <t>et</t>
        </is>
      </c>
      <c r="W479" s="1473" t="n"/>
      <c r="X479" s="2002" t="n"/>
      <c r="Y479" s="1478" t="n"/>
      <c r="Z479" s="2002" t="n"/>
      <c r="AA479" s="1481" t="n"/>
      <c r="AC479" s="1013">
        <f>IF(J479=TRUE,"V","F")</f>
        <v/>
      </c>
      <c r="AD479" s="1014" t="n"/>
      <c r="AE479" s="1013">
        <f>IF(Q479=TRUE,"V","F")</f>
        <v/>
      </c>
      <c r="AF479" s="1014" t="n"/>
      <c r="AG479" s="1013">
        <f>IF(T479=TRUE,"V","F")</f>
        <v/>
      </c>
      <c r="AH479" s="1014" t="n"/>
      <c r="AI479">
        <f>IF(OR(AC479="V",AE479="V"),IF(G478&gt;G475,"Le NC contribue plus que le coparent","Le coparent joue un plus grand rôle que le NC"),"pas de contexte significatif de la part du coparent et NC")</f>
        <v/>
      </c>
      <c r="AJ479" s="10" t="n"/>
      <c r="AK479" s="10" t="n"/>
      <c r="AL479" s="10" t="n"/>
      <c r="AQ479" s="7" t="n"/>
      <c r="AR479" s="849" t="n"/>
      <c r="AS479" s="111" t="n"/>
      <c r="AT479" s="487" t="n"/>
      <c r="AU479" s="114" t="n"/>
      <c r="AV479" s="491" t="n"/>
      <c r="AW479" s="114" t="n"/>
      <c r="AX479" s="492" t="n"/>
      <c r="AY479" s="488" t="n"/>
    </row>
    <row r="480" ht="51" customHeight="1">
      <c r="A480" s="1470" t="inlineStr">
        <is>
          <t>E08 supprimer !!!</t>
        </is>
      </c>
      <c r="B480" s="316">
        <f>Test_Bible!A318</f>
        <v/>
      </c>
      <c r="C480" s="2066">
        <f>Test_Bible!B318</f>
        <v/>
      </c>
      <c r="D480" s="102" t="inlineStr">
        <is>
          <t>reproche de lui manquer de respect en ne respectant pas ses choix</t>
        </is>
      </c>
      <c r="E480" s="823">
        <f>Test_Bible!P318</f>
        <v/>
      </c>
      <c r="F480" s="822">
        <f>Test_Bible!D318</f>
        <v/>
      </c>
      <c r="G480" s="823">
        <f>Test_Bible!Q318</f>
        <v/>
      </c>
      <c r="H480" s="1710" t="n">
        <v>4</v>
      </c>
      <c r="I480" s="1703">
        <f>$I$18</f>
        <v/>
      </c>
      <c r="J480" s="46">
        <f>IF(AND(E480&gt;=H480,E480&lt;=I480),TRUE,FALSE)</f>
        <v/>
      </c>
      <c r="K480" s="46" t="n"/>
      <c r="L480" s="46" t="n"/>
      <c r="M480" s="46" t="n"/>
      <c r="N480" s="1711" t="n"/>
      <c r="O480" s="1710" t="n">
        <v>4</v>
      </c>
      <c r="P480" s="1703" t="n">
        <v>7</v>
      </c>
      <c r="Q480" s="1711">
        <f>IF(AND(E480&gt;=O480,E480&lt;=P480),TRUE,FALSE)</f>
        <v/>
      </c>
      <c r="R480" s="1710" t="n"/>
      <c r="S480" s="1703" t="n"/>
      <c r="T480" s="1711" t="n"/>
      <c r="U480" s="978" t="n"/>
      <c r="V480" s="1484" t="n"/>
      <c r="W480" s="1485" t="n">
        <v>7</v>
      </c>
      <c r="X480" s="2029" t="n"/>
      <c r="Y480" s="1489" t="n">
        <v>4</v>
      </c>
      <c r="Z480" s="2029" t="n"/>
      <c r="AA480" s="1497" t="n">
        <v>11</v>
      </c>
      <c r="AC480" s="1013" t="inlineStr">
        <is>
          <t> </t>
        </is>
      </c>
      <c r="AD480" s="1014" t="n"/>
      <c r="AE480" s="1013" t="n"/>
      <c r="AF480" s="1014" t="n"/>
      <c r="AG480" s="1013" t="n"/>
      <c r="AH480" s="1014" t="n"/>
      <c r="AJ480" s="10" t="n"/>
      <c r="AK480" s="10" t="n"/>
      <c r="AL480" s="10" t="n"/>
      <c r="AQ480" s="7" t="n"/>
      <c r="AR480" s="849" t="n"/>
      <c r="AS480" s="111" t="n"/>
      <c r="AT480" s="487" t="n"/>
      <c r="AU480" s="114" t="n"/>
      <c r="AV480" s="491" t="n"/>
      <c r="AW480" s="114" t="n"/>
      <c r="AX480" s="492" t="n"/>
      <c r="AY480" s="488" t="n"/>
    </row>
    <row r="481" ht="32" customHeight="1" thickBot="1">
      <c r="A481" s="1470" t="n"/>
      <c r="B481" s="316" t="inlineStr">
        <is>
          <t>Enf</t>
        </is>
      </c>
      <c r="C481" s="2066" t="n"/>
      <c r="D481" s="102" t="n"/>
      <c r="E481" s="823" t="n"/>
      <c r="F481" s="822" t="n"/>
      <c r="G481" s="823" t="n"/>
      <c r="H481" s="1735" t="n">
        <v>11</v>
      </c>
      <c r="I481" s="1736" t="n">
        <v>11</v>
      </c>
      <c r="J481" s="46">
        <f>IF(AND(E481&gt;=H481,E481&lt;=I481),TRUE,FALSE)</f>
        <v/>
      </c>
      <c r="K481" s="46" t="n"/>
      <c r="L481" s="46" t="n"/>
      <c r="M481" s="46" t="n"/>
      <c r="N481" s="1711" t="n"/>
      <c r="O481" s="1735" t="n">
        <v>11</v>
      </c>
      <c r="P481" s="1736" t="n">
        <v>11</v>
      </c>
      <c r="Q481" s="1711">
        <f>IF(AND(E481&gt;=O481,E481&lt;=P481),TRUE,FALSE)</f>
        <v/>
      </c>
      <c r="R481" s="1735" t="n"/>
      <c r="S481" s="1736" t="n"/>
      <c r="T481" s="1711" t="n"/>
      <c r="U481" s="978" t="n"/>
      <c r="V481" s="1487" t="inlineStr">
        <is>
          <t>ou</t>
        </is>
      </c>
      <c r="W481" s="1506" t="n">
        <v>11</v>
      </c>
      <c r="X481" s="1507" t="n"/>
      <c r="Y481" s="1508" t="n">
        <v>11</v>
      </c>
      <c r="Z481" s="1507" t="n"/>
      <c r="AA481" s="1502" t="n">
        <v>11</v>
      </c>
      <c r="AC481" s="1013" t="n"/>
      <c r="AD481" s="1014" t="n"/>
      <c r="AE481" s="1013" t="n"/>
      <c r="AF481" s="1014" t="n"/>
      <c r="AG481" s="1013" t="n"/>
      <c r="AH481" s="1014" t="n"/>
      <c r="AJ481" s="10" t="n"/>
      <c r="AK481" s="10" t="n"/>
      <c r="AL481" s="10" t="n"/>
      <c r="AQ481" s="7" t="n"/>
      <c r="AR481" s="849" t="n"/>
      <c r="AS481" s="111" t="n"/>
      <c r="AT481" s="487" t="n"/>
      <c r="AU481" s="114" t="n"/>
      <c r="AV481" s="491" t="n"/>
      <c r="AW481" s="114" t="n"/>
      <c r="AX481" s="492" t="n"/>
      <c r="AY481" s="488" t="n"/>
    </row>
    <row r="482" ht="32" customHeight="1" thickBot="1">
      <c r="A482" s="1470" t="n"/>
      <c r="B482" s="842" t="inlineStr">
        <is>
          <t>Max Enf</t>
        </is>
      </c>
      <c r="C482" s="843">
        <f>_xlfn.XLOOKUP(G482,G480:G481,C480:C481)</f>
        <v/>
      </c>
      <c r="D482" s="843">
        <f>_xlfn.XLOOKUP(G482,G480:G481,D480:D481)</f>
        <v/>
      </c>
      <c r="E482" s="844" t="n"/>
      <c r="F482" s="844" t="n"/>
      <c r="G482" s="844">
        <f>IF(AND(J480=TRUE,J481=FALSE),G480,IF(AND(J480=FALSE,J481=TRUE),G481,MAX(G480,G481)))</f>
        <v/>
      </c>
      <c r="H482" s="1716" t="n"/>
      <c r="I482" s="845" t="n"/>
      <c r="J482" s="846">
        <f>IF(AND(J480=FALSE,J481=FALSE),FALSE,TRUE)</f>
        <v/>
      </c>
      <c r="K482" s="1699" t="n"/>
      <c r="L482" s="1699" t="n"/>
      <c r="M482" s="1699" t="n"/>
      <c r="N482" s="1717" t="n"/>
      <c r="O482" s="1716" t="n"/>
      <c r="P482" s="845" t="n"/>
      <c r="Q482" s="846">
        <f>IF(AND(Q480=FALSE,Q481=FALSE),FALSE,TRUE)</f>
        <v/>
      </c>
      <c r="R482" s="1716" t="n"/>
      <c r="S482" s="845" t="n"/>
      <c r="T482" s="846" t="n"/>
      <c r="U482" s="978" t="n"/>
      <c r="V482" s="978" t="n"/>
      <c r="W482" s="1475" t="n"/>
      <c r="Y482" s="1479" t="n"/>
      <c r="AA482" s="1483" t="n"/>
      <c r="AC482" s="1013">
        <f>IF(J482=TRUE,"V","F")</f>
        <v/>
      </c>
      <c r="AD482" s="1014" t="n"/>
      <c r="AE482" s="1013">
        <f>IF(Q482=TRUE,"V","F")</f>
        <v/>
      </c>
      <c r="AF482" s="1014" t="n"/>
      <c r="AG482" s="1013" t="n"/>
      <c r="AH482" s="1014" t="n"/>
      <c r="AJ482" s="10" t="n"/>
      <c r="AK482" s="10" t="n"/>
      <c r="AL482" s="10" t="n"/>
    </row>
    <row r="483" ht="32" customHeight="1">
      <c r="A483" s="1470" t="n"/>
      <c r="C483" s="428" t="inlineStr">
        <is>
          <t>COMPARATIF Comportement PFA-Enf</t>
        </is>
      </c>
      <c r="D483" s="2058" t="n"/>
      <c r="E483" s="484" t="inlineStr">
        <is>
          <t>Valeur =&gt;</t>
        </is>
      </c>
      <c r="F483" s="48" t="n"/>
      <c r="G483" s="48">
        <f>G475+G478+G482</f>
        <v/>
      </c>
      <c r="H483" s="1718" t="n"/>
      <c r="I483" s="485" t="n"/>
      <c r="J483" s="1701" t="n"/>
      <c r="K483" s="1702">
        <f>IF(AND(J482=TRUE,J479=TRUE),D482,"")</f>
        <v/>
      </c>
      <c r="L483" s="1702">
        <f>IF(AND(J479=TRUE,J482=FALSE),"Bien que le parent "&amp;D479&amp;" l'enfant ne semble pas s'ingérer","")</f>
        <v/>
      </c>
      <c r="M483" s="1702">
        <f>IF(AND(J479=FALSE,J482=TRUE),D482&amp;" sans signe de la participation du parent favorisé et|ou nouveau conjoint.e","")</f>
        <v/>
      </c>
      <c r="N483" s="1719">
        <f>IF(AND(J479=FALSE,J482=FALSE),"aucun comportement significatif de cette nature","")</f>
        <v/>
      </c>
      <c r="O483" s="1718" t="n"/>
      <c r="P483" s="485" t="n"/>
      <c r="Q483" s="1727" t="n"/>
      <c r="R483" s="1718" t="n"/>
      <c r="S483" s="485" t="n"/>
      <c r="T483" s="1727" t="n"/>
      <c r="U483" s="980" t="n"/>
      <c r="V483" s="980" t="n"/>
      <c r="W483" s="1475" t="n"/>
      <c r="Y483" s="1479" t="n"/>
      <c r="AA483" s="1483" t="n"/>
      <c r="AC483" s="1015" t="n"/>
      <c r="AD483" s="1016">
        <f>IF(AND(AC479="V",AC482="V"),2,IF(OR(AC479="V",AC482="V"),1,0))</f>
        <v/>
      </c>
      <c r="AE483" s="1015" t="n"/>
      <c r="AF483" s="1016">
        <f>IF(OR(AE479="V",AE482="V"),1,0)</f>
        <v/>
      </c>
      <c r="AG483" s="1015" t="n"/>
      <c r="AH483" s="1016" t="n"/>
      <c r="AJ483" s="10" t="n"/>
      <c r="AK483" s="10" t="n"/>
      <c r="AL483" s="10" t="n"/>
    </row>
    <row r="484" ht="32" customHeight="1">
      <c r="A484" s="1470" t="n"/>
      <c r="B484" t="inlineStr">
        <is>
          <t>PCR</t>
        </is>
      </c>
      <c r="H484" s="147" t="n"/>
      <c r="K484" s="1992" t="n"/>
      <c r="L484" s="1992" t="n"/>
      <c r="M484" s="1992" t="n"/>
      <c r="N484" s="1740" t="n"/>
      <c r="O484" s="147" t="n"/>
      <c r="Q484" s="330" t="n"/>
      <c r="R484" s="147" t="n"/>
      <c r="T484" s="330" t="n"/>
      <c r="U484" s="1992" t="n"/>
      <c r="AC484" s="1013" t="n"/>
      <c r="AD484" s="1014" t="n"/>
      <c r="AE484" s="1013" t="n"/>
      <c r="AF484" s="1014" t="n"/>
      <c r="AG484" s="1013" t="n"/>
      <c r="AH484" s="1014" t="n"/>
      <c r="AJ484" s="10" t="n"/>
      <c r="AK484" s="10" t="n"/>
      <c r="AL484" s="10" t="n"/>
    </row>
    <row r="485" ht="32" customHeight="1">
      <c r="B485" s="1017" t="n"/>
      <c r="C485" s="1025" t="n"/>
      <c r="D485" s="1018" t="n"/>
      <c r="E485" s="1026" t="n"/>
      <c r="F485" s="1026" t="n"/>
      <c r="G485" s="1026" t="n"/>
      <c r="H485" s="1735" t="n">
        <v>11</v>
      </c>
      <c r="I485" s="1736" t="n">
        <v>11</v>
      </c>
      <c r="J485" s="46">
        <f>IF(AND(E485&gt;=H485,E485&lt;=I485),TRUE,FALSE)</f>
        <v/>
      </c>
      <c r="K485" s="33" t="n"/>
      <c r="L485" s="33" t="n"/>
      <c r="M485" s="33" t="n"/>
      <c r="N485" s="1720" t="n"/>
      <c r="O485" s="1735" t="n">
        <v>11</v>
      </c>
      <c r="P485" s="1736" t="n">
        <v>11</v>
      </c>
      <c r="Q485" s="1711">
        <f>IF(AND(E485&gt;=O485,E485&lt;=P485),TRUE,FALSE)</f>
        <v/>
      </c>
      <c r="R485" s="1735" t="n">
        <v>11</v>
      </c>
      <c r="S485" s="1736" t="n">
        <v>11</v>
      </c>
      <c r="T485" s="1711">
        <f>IF(AND(E485&gt;=R485,E485&lt;=S485),TRUE,FALSE)</f>
        <v/>
      </c>
      <c r="U485" s="1992" t="n"/>
      <c r="V485" s="1509" t="n"/>
      <c r="W485" s="1503" t="n">
        <v>11</v>
      </c>
      <c r="X485" s="1504" t="n"/>
      <c r="Y485" s="1505" t="n">
        <v>11</v>
      </c>
      <c r="Z485" s="1504" t="n"/>
      <c r="AA485" s="1497" t="n">
        <v>11</v>
      </c>
      <c r="AC485" s="1013" t="n"/>
      <c r="AD485" s="1014" t="n"/>
      <c r="AE485" s="1013" t="n"/>
      <c r="AF485" s="1014" t="n"/>
      <c r="AG485" s="1013" t="n"/>
      <c r="AH485" s="1014" t="n"/>
      <c r="AJ485" s="10" t="n"/>
      <c r="AK485" s="10" t="n"/>
      <c r="AL485" s="10" t="n"/>
    </row>
    <row r="486" ht="32" customHeight="1" thickBot="1">
      <c r="B486" s="1017" t="n"/>
      <c r="C486" s="1025" t="n"/>
      <c r="D486" s="1018" t="n"/>
      <c r="E486" s="1026" t="n"/>
      <c r="F486" s="1026" t="n"/>
      <c r="G486" s="1026" t="n"/>
      <c r="H486" s="1735" t="n">
        <v>11</v>
      </c>
      <c r="I486" s="1736" t="n">
        <v>11</v>
      </c>
      <c r="J486" s="46">
        <f>IF(AND(E486&gt;=H486,E486&lt;=I486),TRUE,FALSE)</f>
        <v/>
      </c>
      <c r="K486" s="33" t="n"/>
      <c r="L486" s="33" t="n"/>
      <c r="M486" s="33" t="n"/>
      <c r="N486" s="1720" t="n"/>
      <c r="O486" s="1735" t="n">
        <v>11</v>
      </c>
      <c r="P486" s="1736" t="n">
        <v>11</v>
      </c>
      <c r="Q486" s="1711">
        <f>IF(AND(E486&gt;=O486,E486&lt;=P486),TRUE,FALSE)</f>
        <v/>
      </c>
      <c r="R486" s="1735" t="n">
        <v>11</v>
      </c>
      <c r="S486" s="1736" t="n">
        <v>11</v>
      </c>
      <c r="T486" s="1711">
        <f>IF(AND(E486&gt;=R486,E486&lt;=S486),TRUE,FALSE)</f>
        <v/>
      </c>
      <c r="V486" s="1510" t="n"/>
      <c r="W486" s="1506" t="n">
        <v>11</v>
      </c>
      <c r="X486" s="1507" t="n"/>
      <c r="Y486" s="1508" t="n">
        <v>11</v>
      </c>
      <c r="Z486" s="1507" t="n"/>
      <c r="AA486" s="1502" t="n">
        <v>11</v>
      </c>
      <c r="AC486" s="1013" t="n"/>
      <c r="AD486" s="1014" t="n"/>
      <c r="AE486" s="1013" t="n"/>
      <c r="AF486" s="1014" t="n"/>
      <c r="AG486" s="1013" t="n"/>
      <c r="AH486" s="1014" t="n"/>
      <c r="AJ486" s="10" t="n"/>
      <c r="AK486" s="10" t="n"/>
      <c r="AL486" s="10" t="n"/>
    </row>
    <row r="487" ht="32" customHeight="1" thickBot="1">
      <c r="C487" s="2073" t="n"/>
      <c r="D487" s="2073" t="n"/>
      <c r="E487" s="90" t="n"/>
      <c r="F487" s="483" t="n"/>
      <c r="G487" s="483" t="n"/>
      <c r="H487" s="1732" t="n"/>
      <c r="I487" s="1733" t="n"/>
      <c r="J487" s="1739">
        <f>IF(AND(J485=FALSE,J486=FALSE),FALSE,TRUE)</f>
        <v/>
      </c>
      <c r="K487" s="1721" t="n"/>
      <c r="L487" s="1722" t="n"/>
      <c r="M487" s="1722" t="n"/>
      <c r="N487" s="1723" t="n"/>
      <c r="O487" s="1732" t="n"/>
      <c r="P487" s="1733" t="n"/>
      <c r="Q487" s="1739">
        <f>IF(AND(Q485=FALSE,Q486=FALSE),FALSE,TRUE)</f>
        <v/>
      </c>
      <c r="R487" s="1744" t="n"/>
      <c r="S487" s="1745" t="n"/>
      <c r="T487" s="1746">
        <f>IF(AND(T485=FALSE,T486=FALSE),FALSE,TRUE)</f>
        <v/>
      </c>
      <c r="U487" s="980" t="n"/>
      <c r="AC487" s="1650">
        <f>IF(J487=TRUE,"V","F")</f>
        <v/>
      </c>
      <c r="AD487" s="1651" t="n"/>
      <c r="AE487" s="1650">
        <f>IF(Q487=TRUE,"V","F")</f>
        <v/>
      </c>
      <c r="AF487" s="1651" t="n"/>
      <c r="AG487" s="1650">
        <f>IF(T487=TRUE,"V","F")</f>
        <v/>
      </c>
      <c r="AH487" s="1651" t="n"/>
      <c r="AJ487" s="10" t="n"/>
      <c r="AK487" s="10" t="n"/>
      <c r="AL487" s="10" t="n"/>
    </row>
    <row r="488" ht="32" customHeight="1" thickBot="1">
      <c r="C488" s="2073" t="n"/>
      <c r="D488" s="2073" t="n"/>
      <c r="E488" s="90" t="n"/>
      <c r="F488" s="483" t="n"/>
      <c r="G488" s="483" t="n"/>
      <c r="H488" s="2002" t="n"/>
      <c r="I488" s="2002" t="n"/>
      <c r="J488" s="979" t="n"/>
      <c r="K488" s="980" t="n"/>
      <c r="L488" s="980" t="n"/>
      <c r="M488" s="980" t="n"/>
      <c r="N488" s="980" t="n"/>
      <c r="O488" s="980" t="n"/>
      <c r="P488" s="980" t="n"/>
      <c r="Q488" s="980" t="n"/>
      <c r="R488" s="980" t="n"/>
      <c r="S488" s="980" t="n"/>
      <c r="T488" s="980" t="n"/>
      <c r="U488" s="980" t="n"/>
      <c r="V488" s="980" t="n"/>
      <c r="AC488" s="1737" t="n"/>
      <c r="AD488" s="1738">
        <f>IF(AND(AC487="V",AC479="V"),AD483-1,AD483)</f>
        <v/>
      </c>
      <c r="AE488" s="1737" t="n"/>
      <c r="AF488" s="1738">
        <f>IF(OR(AE479="V",AE482="V",AE487="V"),1,0)</f>
        <v/>
      </c>
      <c r="AG488" s="1737" t="n"/>
      <c r="AH488" s="1738">
        <f>IF(AG479="V",1,IF(AG487="V",1,0))</f>
        <v/>
      </c>
      <c r="AJ488" s="10" t="n">
        <v>1</v>
      </c>
      <c r="AK488" s="10" t="n">
        <v>1</v>
      </c>
      <c r="AL488" s="10" t="n"/>
    </row>
    <row r="489" ht="32" customHeight="1">
      <c r="H489" s="1704" t="n"/>
      <c r="I489" s="1705" t="n"/>
      <c r="J489" s="1706" t="n"/>
      <c r="K489" s="2056" t="n"/>
      <c r="L489" s="709" t="n"/>
      <c r="M489" s="709" t="n"/>
      <c r="N489" s="1707" t="n"/>
      <c r="O489" s="1724" t="n"/>
      <c r="P489" s="1706" t="n"/>
      <c r="Q489" s="1707" t="n"/>
      <c r="R489" s="1724" t="n"/>
      <c r="S489" s="1706" t="n"/>
      <c r="T489" s="1707" t="n"/>
      <c r="AC489" s="1756" t="n"/>
      <c r="AD489" s="1757" t="n"/>
      <c r="AE489" s="1490" t="n"/>
      <c r="AF489" s="1490" t="n"/>
      <c r="AG489" s="1490" t="n"/>
      <c r="AH489" s="1490" t="n"/>
      <c r="AJ489" s="10" t="n"/>
      <c r="AK489" s="10" t="n"/>
      <c r="AL489" s="10" t="n"/>
    </row>
    <row r="490" ht="32" customHeight="1">
      <c r="A490" s="853" t="n">
        <v>25</v>
      </c>
      <c r="C490" s="486">
        <f>'Action-Réaction finale'!F78</f>
        <v/>
      </c>
      <c r="D490" s="108" t="n"/>
      <c r="E490" s="66" t="n"/>
      <c r="F490" s="18" t="n"/>
      <c r="G490" s="18" t="n"/>
      <c r="H490" s="2052" t="inlineStr">
        <is>
          <t>AP</t>
        </is>
      </c>
      <c r="K490" s="2055" t="inlineStr">
        <is>
          <t>Dynamique d'AP</t>
        </is>
      </c>
      <c r="N490" s="330" t="n"/>
      <c r="O490" s="2122" t="inlineStr">
        <is>
          <t>CL</t>
        </is>
      </c>
      <c r="Q490" s="330" t="n"/>
      <c r="R490" s="2123" t="inlineStr">
        <is>
          <t>CSS</t>
        </is>
      </c>
      <c r="T490" s="330" t="n"/>
      <c r="U490" s="15" t="n"/>
      <c r="V490" s="15" t="n"/>
      <c r="AC490" s="1009" t="n"/>
      <c r="AD490" s="1009" t="n"/>
      <c r="AE490" s="1009" t="n"/>
      <c r="AF490" s="1009" t="n"/>
      <c r="AG490" s="1009" t="n"/>
      <c r="AH490" s="1010" t="n"/>
      <c r="AJ490" s="10" t="n"/>
      <c r="AK490" s="10" t="n"/>
      <c r="AL490" s="10" t="n"/>
    </row>
    <row r="491" ht="32" customHeight="1">
      <c r="C491" s="103" t="inlineStr">
        <is>
          <t>Questions et sous-questions</t>
        </is>
      </c>
      <c r="D491" s="1043" t="inlineStr">
        <is>
          <t>Texte écourté pour titrer dans les baromètres ou rapport</t>
        </is>
      </c>
      <c r="E491" s="33" t="inlineStr">
        <is>
          <t>Valeur de base
Fréquence (F)</t>
        </is>
      </c>
      <c r="F491" s="33" t="inlineStr">
        <is>
          <t>Valeur de base
intensité (I)</t>
        </is>
      </c>
      <c r="G491" s="33" t="inlineStr">
        <is>
          <t>F * I</t>
        </is>
      </c>
      <c r="H491" s="1708" t="inlineStr">
        <is>
          <t>Condition Fréq. 
&gt;= que</t>
        </is>
      </c>
      <c r="I491" s="44" t="inlineStr">
        <is>
          <t>Condition Fré
&lt;= que</t>
        </is>
      </c>
      <c r="J491" s="44" t="inlineStr">
        <is>
          <t>Condition respectée</t>
        </is>
      </c>
      <c r="K491" s="44" t="inlineStr">
        <is>
          <t>"VRAI" (PF&amp;NC) /  "VRAI" (Enf)</t>
        </is>
      </c>
      <c r="L491" s="44" t="inlineStr">
        <is>
          <t>Vrai (PF&amp;NC) /  Faux (Enf)</t>
        </is>
      </c>
      <c r="M491" s="44" t="inlineStr">
        <is>
          <t>Faux (PF&amp;NC) /  Vrai (Enf)</t>
        </is>
      </c>
      <c r="N491" s="1709" t="inlineStr">
        <is>
          <t>Faux (PF&amp;NC) /  Faux(Enf)</t>
        </is>
      </c>
      <c r="O491" s="1708" t="inlineStr">
        <is>
          <t>Condition Fréq. 
&gt;= que</t>
        </is>
      </c>
      <c r="P491" s="44" t="inlineStr">
        <is>
          <t>Condition Fré
&lt;= que</t>
        </is>
      </c>
      <c r="Q491" s="1709" t="inlineStr">
        <is>
          <t>Condition respectée</t>
        </is>
      </c>
      <c r="R491" s="1708" t="inlineStr">
        <is>
          <t>Condition Fréq. 
&gt;= que</t>
        </is>
      </c>
      <c r="S491" s="44" t="inlineStr">
        <is>
          <t>Condition Fré
&lt;= que</t>
        </is>
      </c>
      <c r="T491" s="1709" t="inlineStr">
        <is>
          <t>Condition respectée</t>
        </is>
      </c>
      <c r="U491" s="851" t="n"/>
      <c r="V491" s="1008" t="inlineStr">
        <is>
          <t>Condition</t>
        </is>
      </c>
      <c r="W491" s="1472" t="inlineStr">
        <is>
          <t>AP</t>
        </is>
      </c>
      <c r="X491" s="1008" t="inlineStr">
        <is>
          <t>Condition</t>
        </is>
      </c>
      <c r="Y491" s="1476" t="inlineStr">
        <is>
          <t>CL</t>
        </is>
      </c>
      <c r="Z491" s="1008" t="n"/>
      <c r="AA491" s="1480" t="inlineStr">
        <is>
          <t>CSS</t>
        </is>
      </c>
      <c r="AC491" s="1023" t="inlineStr">
        <is>
          <t>AP</t>
        </is>
      </c>
      <c r="AD491" s="1024" t="inlineStr">
        <is>
          <t>AP_F</t>
        </is>
      </c>
      <c r="AE491" s="1023" t="inlineStr">
        <is>
          <t>CL</t>
        </is>
      </c>
      <c r="AF491" s="1024" t="inlineStr">
        <is>
          <t>CL_F</t>
        </is>
      </c>
      <c r="AG491" s="1023" t="inlineStr">
        <is>
          <t>CSS</t>
        </is>
      </c>
      <c r="AH491" s="1024" t="inlineStr">
        <is>
          <t>CSS_F</t>
        </is>
      </c>
      <c r="AJ491" s="10" t="n"/>
      <c r="AK491" s="10" t="n"/>
      <c r="AL491" s="10" t="n"/>
    </row>
    <row r="492" ht="55" customHeight="1">
      <c r="B492" s="421">
        <f>BIBLE!E127</f>
        <v/>
      </c>
      <c r="C492" s="2066">
        <f>BIBLE!F127</f>
        <v/>
      </c>
      <c r="D492" s="102" t="inlineStr">
        <is>
          <t>ne permet pas les objets de l'autre parent chez lui</t>
        </is>
      </c>
      <c r="E492" s="823">
        <f>Test_Bible!P214</f>
        <v/>
      </c>
      <c r="F492" s="822">
        <f>Test_Bible!D214</f>
        <v/>
      </c>
      <c r="G492" s="823">
        <f>Test_Bible!Q214</f>
        <v/>
      </c>
      <c r="H492" s="1735" t="n">
        <v>11</v>
      </c>
      <c r="I492" s="1736" t="n">
        <v>11</v>
      </c>
      <c r="J492" s="46">
        <f>IF(AND(E492&gt;=H492,E492&lt;=I492),TRUE,FALSE)</f>
        <v/>
      </c>
      <c r="K492" s="46" t="n"/>
      <c r="L492" s="46" t="n"/>
      <c r="M492" s="46" t="n"/>
      <c r="N492" s="1711" t="n"/>
      <c r="O492" s="1710" t="n">
        <v>4</v>
      </c>
      <c r="P492" s="1703" t="n">
        <v>7</v>
      </c>
      <c r="Q492" s="1711">
        <f>IF(AND(E492&gt;=O492,E492&lt;=P492),TRUE,FALSE)</f>
        <v/>
      </c>
      <c r="R492" s="1710" t="n">
        <v>4</v>
      </c>
      <c r="S492" s="1703" t="n">
        <v>7</v>
      </c>
      <c r="T492" s="1711">
        <f>IF(AND(E492&gt;=R492,E492&lt;=S492),TRUE,FALSE)</f>
        <v/>
      </c>
      <c r="U492" s="978" t="n"/>
      <c r="V492" s="1484" t="n"/>
      <c r="W492" s="1503" t="n">
        <v>11</v>
      </c>
      <c r="X492" s="1504" t="n"/>
      <c r="Y492" s="1505" t="n">
        <v>11</v>
      </c>
      <c r="Z492" s="1504" t="n"/>
      <c r="AA492" s="1497" t="n">
        <v>11</v>
      </c>
      <c r="AC492" s="1011" t="n"/>
      <c r="AD492" s="1012" t="n"/>
      <c r="AE492" s="1011" t="n"/>
      <c r="AF492" s="1012" t="n"/>
      <c r="AG492" s="1011" t="n"/>
      <c r="AH492" s="1012" t="n"/>
      <c r="AJ492" s="10" t="n"/>
      <c r="AK492" s="10" t="n"/>
      <c r="AL492" s="10" t="n"/>
    </row>
    <row r="493" ht="45" customHeight="1">
      <c r="B493" s="421">
        <f>BIBLE!E128</f>
        <v/>
      </c>
      <c r="C493" s="2066">
        <f>BIBLE!F128</f>
        <v/>
      </c>
      <c r="D493" s="102" t="n"/>
      <c r="E493" s="823">
        <f>Test_Bible!P215</f>
        <v/>
      </c>
      <c r="F493" s="822">
        <f>Test_Bible!D215</f>
        <v/>
      </c>
      <c r="G493" s="823">
        <f>Test_Bible!Q215</f>
        <v/>
      </c>
      <c r="H493" s="1710" t="n">
        <v>4</v>
      </c>
      <c r="I493" s="1703">
        <f>$I$18</f>
        <v/>
      </c>
      <c r="J493" s="46">
        <f>IF(AND(E493&gt;=H493,E493&lt;=I493),TRUE,FALSE)</f>
        <v/>
      </c>
      <c r="K493" s="46" t="n"/>
      <c r="L493" s="46" t="n"/>
      <c r="M493" s="46" t="n"/>
      <c r="N493" s="1711" t="n"/>
      <c r="O493" s="1735" t="n">
        <v>11</v>
      </c>
      <c r="P493" s="1736" t="n">
        <v>11</v>
      </c>
      <c r="Q493" s="1711">
        <f>IF(AND(E493&gt;=O493,E493&lt;=P493),TRUE,FALSE)</f>
        <v/>
      </c>
      <c r="R493" s="1735" t="n">
        <v>11</v>
      </c>
      <c r="S493" s="1736" t="n">
        <v>11</v>
      </c>
      <c r="T493" s="1711">
        <f>IF(AND(E493&gt;=R493,E493&lt;=S493),TRUE,FALSE)</f>
        <v/>
      </c>
      <c r="U493" s="978" t="n"/>
      <c r="V493" s="1487" t="inlineStr">
        <is>
          <t>ou</t>
        </is>
      </c>
      <c r="W493" s="1506" t="n">
        <v>11</v>
      </c>
      <c r="X493" s="1507" t="n"/>
      <c r="Y493" s="1508" t="n">
        <v>11</v>
      </c>
      <c r="Z493" s="1507" t="n"/>
      <c r="AA493" s="1502" t="n">
        <v>11</v>
      </c>
      <c r="AC493" s="1013" t="n"/>
      <c r="AD493" s="1014" t="n"/>
      <c r="AE493" s="1013" t="n"/>
      <c r="AF493" s="1014" t="n"/>
      <c r="AG493" s="1013" t="n"/>
      <c r="AH493" s="1014" t="n"/>
      <c r="AJ493" s="10" t="n"/>
      <c r="AK493" s="10" t="n"/>
      <c r="AL493" s="10" t="n"/>
    </row>
    <row r="494" ht="32" customHeight="1">
      <c r="B494" s="825" t="inlineStr">
        <is>
          <t>Max PFA</t>
        </is>
      </c>
      <c r="C494" s="826">
        <f>_xlfn.XLOOKUP(G494,G492:G493,C492:C493)</f>
        <v/>
      </c>
      <c r="D494" s="827">
        <f>_xlfn.XLOOKUP(G494,G492:G493,D492:D493)</f>
        <v/>
      </c>
      <c r="E494" s="828" t="n"/>
      <c r="F494" s="828" t="n"/>
      <c r="G494" s="828">
        <f>IF(AND(J492=TRUE,J493=FALSE),G492,IF(AND(J492=FALSE,J493=TRUE),G493,MAX(G492,G493)))</f>
        <v/>
      </c>
      <c r="H494" s="1712" t="n"/>
      <c r="I494" s="829" t="n"/>
      <c r="J494" s="830">
        <f>IF(AND(J492=FALSE,J493=FALSE),FALSE,TRUE)</f>
        <v/>
      </c>
      <c r="K494" s="46" t="n"/>
      <c r="L494" s="46" t="n"/>
      <c r="M494" s="46" t="n"/>
      <c r="N494" s="1711" t="n"/>
      <c r="O494" s="1712" t="n"/>
      <c r="P494" s="829" t="n"/>
      <c r="Q494" s="1725">
        <f>IF(AND(Q492=FALSE,Q493=FALSE),FALSE,TRUE)</f>
        <v/>
      </c>
      <c r="R494" s="1712" t="n"/>
      <c r="S494" s="829" t="n"/>
      <c r="T494" s="1725">
        <f>IF(AND(T492=FALSE,T493=FALSE),FALSE,TRUE)</f>
        <v/>
      </c>
      <c r="U494" s="978" t="n"/>
      <c r="V494" s="978" t="inlineStr">
        <is>
          <t>ou</t>
        </is>
      </c>
      <c r="W494" s="1473" t="n"/>
      <c r="X494" s="2002" t="n"/>
      <c r="Y494" s="1478" t="n"/>
      <c r="Z494" s="2002" t="n"/>
      <c r="AA494" s="1481" t="n"/>
      <c r="AC494" s="1013" t="n"/>
      <c r="AD494" s="1014" t="n"/>
      <c r="AE494" s="1013" t="n"/>
      <c r="AF494" s="1014" t="n"/>
      <c r="AG494" s="1013" t="n"/>
      <c r="AH494" s="1014" t="n"/>
      <c r="AJ494" s="10" t="n"/>
      <c r="AK494" s="10" t="n"/>
      <c r="AL494" s="10" t="n"/>
    </row>
    <row r="495" ht="32" customHeight="1">
      <c r="B495" s="53" t="inlineStr">
        <is>
          <t>NC</t>
        </is>
      </c>
      <c r="C495" s="2066" t="n"/>
      <c r="D495" s="102" t="n"/>
      <c r="E495" s="823" t="n"/>
      <c r="F495" s="822" t="n"/>
      <c r="G495" s="823" t="n"/>
      <c r="H495" s="1735" t="n">
        <v>11</v>
      </c>
      <c r="I495" s="1736" t="n">
        <v>11</v>
      </c>
      <c r="J495" s="46">
        <f>IF(AND(E495&gt;=H495,E495&lt;=I495),TRUE,FALSE)</f>
        <v/>
      </c>
      <c r="K495" s="46" t="n"/>
      <c r="L495" s="46" t="n"/>
      <c r="M495" s="46" t="n"/>
      <c r="N495" s="1711" t="n"/>
      <c r="O495" s="1735" t="n">
        <v>11</v>
      </c>
      <c r="P495" s="1736" t="n">
        <v>11</v>
      </c>
      <c r="Q495" s="1711">
        <f>IF(AND(E495&gt;=O495,E495&lt;=P495),TRUE,FALSE)</f>
        <v/>
      </c>
      <c r="R495" s="1735" t="n">
        <v>11</v>
      </c>
      <c r="S495" s="1736" t="n">
        <v>11</v>
      </c>
      <c r="T495" s="1711">
        <f>IF(AND(E495&gt;=R495,E495&lt;=S495),TRUE,FALSE)</f>
        <v/>
      </c>
      <c r="U495" s="978" t="n"/>
      <c r="V495" s="1484" t="n"/>
      <c r="W495" s="1503" t="n">
        <v>11</v>
      </c>
      <c r="X495" s="1504" t="n"/>
      <c r="Y495" s="1505" t="n">
        <v>11</v>
      </c>
      <c r="Z495" s="1504" t="n"/>
      <c r="AA495" s="1497" t="n">
        <v>11</v>
      </c>
      <c r="AC495" s="1013" t="n"/>
      <c r="AD495" s="1014" t="n"/>
      <c r="AE495" s="1013" t="n"/>
      <c r="AF495" s="1014" t="n"/>
      <c r="AG495" s="1013" t="n"/>
      <c r="AH495" s="1014" t="n"/>
      <c r="AJ495" s="10" t="n"/>
      <c r="AK495" s="10" t="n"/>
      <c r="AL495" s="10" t="n"/>
    </row>
    <row r="496" ht="32" customHeight="1">
      <c r="B496" s="53" t="inlineStr">
        <is>
          <t>NC</t>
        </is>
      </c>
      <c r="C496" s="2066" t="n"/>
      <c r="D496" s="63" t="n"/>
      <c r="E496" s="36" t="n"/>
      <c r="F496" s="36" t="n"/>
      <c r="G496" s="36" t="n"/>
      <c r="H496" s="1735" t="n">
        <v>11</v>
      </c>
      <c r="I496" s="1736" t="n">
        <v>11</v>
      </c>
      <c r="J496" s="46">
        <f>IF(AND(E496&gt;=H496,E496&lt;=I496),TRUE,FALSE)</f>
        <v/>
      </c>
      <c r="K496" s="46" t="n"/>
      <c r="L496" s="46" t="n"/>
      <c r="M496" s="46" t="n"/>
      <c r="N496" s="1711" t="n"/>
      <c r="O496" s="1735" t="n">
        <v>11</v>
      </c>
      <c r="P496" s="1736" t="n">
        <v>11</v>
      </c>
      <c r="Q496" s="1711">
        <f>IF(AND(E496&gt;=O496,E496&lt;=P496),TRUE,FALSE)</f>
        <v/>
      </c>
      <c r="R496" s="1735" t="n">
        <v>11</v>
      </c>
      <c r="S496" s="1736" t="n">
        <v>11</v>
      </c>
      <c r="T496" s="1711">
        <f>IF(AND(E496&gt;=R496,E496&lt;=S496),TRUE,FALSE)</f>
        <v/>
      </c>
      <c r="U496" s="978" t="n"/>
      <c r="V496" s="1487" t="inlineStr">
        <is>
          <t>ou</t>
        </is>
      </c>
      <c r="W496" s="1506" t="n">
        <v>11</v>
      </c>
      <c r="X496" s="1507" t="n"/>
      <c r="Y496" s="1508" t="n">
        <v>11</v>
      </c>
      <c r="Z496" s="1507" t="n"/>
      <c r="AA496" s="1502" t="n">
        <v>11</v>
      </c>
      <c r="AC496" s="1013" t="n"/>
      <c r="AD496" s="1014" t="n"/>
      <c r="AE496" s="1013" t="n"/>
      <c r="AF496" s="1014" t="n"/>
      <c r="AG496" s="1013" t="n"/>
      <c r="AH496" s="1014" t="n"/>
      <c r="AJ496" s="10" t="n"/>
      <c r="AK496" s="10" t="n"/>
      <c r="AL496" s="10" t="n"/>
    </row>
    <row r="497" ht="32" customHeight="1" thickBot="1">
      <c r="B497" s="831" t="inlineStr">
        <is>
          <t>Max NC</t>
        </is>
      </c>
      <c r="C497" s="832">
        <f>_xlfn.XLOOKUP(G497,G495:G496,C495:C496)</f>
        <v/>
      </c>
      <c r="D497" s="833">
        <f>_xlfn.XLOOKUP(G497,G495:G496,D495:D496)</f>
        <v/>
      </c>
      <c r="E497" s="834" t="n"/>
      <c r="F497" s="834" t="n"/>
      <c r="G497" s="834">
        <f>IF(AND(J495=TRUE,J496=FALSE),G495,IF(AND(J495=FALSE,J496=TRUE),G496,MAX(G495,G496)))</f>
        <v/>
      </c>
      <c r="H497" s="1713" t="n"/>
      <c r="I497" s="835" t="n"/>
      <c r="J497" s="836">
        <f>IF(AND(J495=FALSE,J496=FALSE),FALSE,TRUE)</f>
        <v/>
      </c>
      <c r="K497" s="46" t="n"/>
      <c r="L497" s="46" t="n"/>
      <c r="M497" s="46" t="n"/>
      <c r="N497" s="1711" t="n"/>
      <c r="O497" s="1713" t="n"/>
      <c r="P497" s="835" t="n"/>
      <c r="Q497" s="1726">
        <f>IF(AND(Q495=FALSE,Q496=FALSE),FALSE,TRUE)</f>
        <v/>
      </c>
      <c r="R497" s="1713" t="n"/>
      <c r="S497" s="835" t="n"/>
      <c r="T497" s="1726">
        <f>IF(AND(T495=FALSE,T496=FALSE),FALSE,TRUE)</f>
        <v/>
      </c>
      <c r="U497" s="978" t="n"/>
      <c r="V497" s="978" t="n"/>
      <c r="W497" s="1473" t="n"/>
      <c r="X497" s="2002" t="n"/>
      <c r="Y497" s="1478" t="n"/>
      <c r="Z497" s="2002" t="n"/>
      <c r="AA497" s="1481" t="n"/>
      <c r="AC497" s="1013" t="n"/>
      <c r="AD497" s="1014" t="n"/>
      <c r="AE497" s="1013" t="n"/>
      <c r="AF497" s="1014" t="n"/>
      <c r="AG497" s="1013" t="n"/>
      <c r="AH497" s="1014" t="n"/>
      <c r="AJ497" s="10" t="n"/>
      <c r="AK497" s="10" t="n"/>
      <c r="AL497" s="10" t="n"/>
    </row>
    <row r="498" ht="32" customHeight="1" thickBot="1">
      <c r="B498" s="837" t="inlineStr">
        <is>
          <t>Max PFA &amp; NC</t>
        </is>
      </c>
      <c r="C498" s="838" t="n"/>
      <c r="D498" s="838">
        <f>IF(G498=G494,D494,D497)</f>
        <v/>
      </c>
      <c r="E498" s="839" t="n"/>
      <c r="F498" s="839" t="n"/>
      <c r="G498" s="839">
        <f>IF(AND(J494=TRUE,J497=FALSE),G494,IF(AND(J494=FALSE,J497=TRUE),G497,IF(AND(J494=TRUE,J497=TRUE),G494+G497,MAX(G494,G497))))</f>
        <v/>
      </c>
      <c r="H498" s="1714" t="n"/>
      <c r="I498" s="840" t="n"/>
      <c r="J498" s="841">
        <f>IF(AND(J494=FALSE,J497=FALSE),FALSE,TRUE)</f>
        <v/>
      </c>
      <c r="K498" s="1698" t="n"/>
      <c r="L498" s="1698" t="n"/>
      <c r="M498" s="1698" t="n"/>
      <c r="N498" s="1715" t="n"/>
      <c r="O498" s="1714" t="n"/>
      <c r="P498" s="840" t="n"/>
      <c r="Q498" s="841">
        <f>IF(AND(Q494=FALSE,Q497=FALSE),FALSE,TRUE)</f>
        <v/>
      </c>
      <c r="R498" s="1714" t="n"/>
      <c r="S498" s="840" t="n"/>
      <c r="T498" s="841">
        <f>IF(AND(T494=FALSE,T497=FALSE),FALSE,TRUE)</f>
        <v/>
      </c>
      <c r="U498" s="978" t="n"/>
      <c r="V498" s="978" t="inlineStr">
        <is>
          <t>et</t>
        </is>
      </c>
      <c r="W498" s="1473" t="n"/>
      <c r="X498" s="2002" t="n"/>
      <c r="Y498" s="1478" t="n"/>
      <c r="Z498" s="2002" t="n"/>
      <c r="AA498" s="1481" t="n"/>
      <c r="AC498" s="1013">
        <f>IF(J498=TRUE,"V","F")</f>
        <v/>
      </c>
      <c r="AD498" s="1014" t="n"/>
      <c r="AE498" s="1013">
        <f>IF(Q498=TRUE,"V","F")</f>
        <v/>
      </c>
      <c r="AF498" s="1014" t="n"/>
      <c r="AG498" s="1013">
        <f>IF(T498=TRUE,"V","F")</f>
        <v/>
      </c>
      <c r="AH498" s="1014" t="n"/>
      <c r="AI498">
        <f>IF(OR(AC498="V",AE498="V"),IF(G497&gt;G494,"Le NC contribue plus que le coparent","Le coparent joue un plus grand rôle que le NC"),"pas de contexte significatif de la part du coparent et NC")</f>
        <v/>
      </c>
      <c r="AJ498" s="10" t="n"/>
      <c r="AK498" s="10" t="n"/>
      <c r="AL498" s="10" t="n"/>
    </row>
    <row r="499" ht="51" customHeight="1">
      <c r="B499" s="316">
        <f>'Action-Réaction finale'!O78</f>
        <v/>
      </c>
      <c r="C499" s="2066">
        <f>Test_Bible!B297</f>
        <v/>
      </c>
      <c r="D499" s="102" t="inlineStr">
        <is>
          <t>ne peut transporter ses objets d'une demeure à l'autre</t>
        </is>
      </c>
      <c r="E499" s="823">
        <f>Test_Bible!P297</f>
        <v/>
      </c>
      <c r="F499" s="822">
        <f>Test_Bible!D297</f>
        <v/>
      </c>
      <c r="G499" s="823">
        <f>Test_Bible!Q297</f>
        <v/>
      </c>
      <c r="H499" s="1735" t="n">
        <v>11</v>
      </c>
      <c r="I499" s="1736" t="n">
        <v>11</v>
      </c>
      <c r="J499" s="46">
        <f>IF(AND(E499&gt;=H499,E499&lt;=I499),TRUE,FALSE)</f>
        <v/>
      </c>
      <c r="K499" s="46" t="n"/>
      <c r="L499" s="46" t="n"/>
      <c r="M499" s="46" t="n"/>
      <c r="N499" s="1711" t="n"/>
      <c r="O499" s="1710" t="n">
        <v>2</v>
      </c>
      <c r="P499" s="1703" t="n">
        <v>10</v>
      </c>
      <c r="Q499" s="1711">
        <f>IF(AND(E499&gt;=O499,E499&lt;=P499),TRUE,FALSE)</f>
        <v/>
      </c>
      <c r="R499" s="1710" t="n"/>
      <c r="S499" s="1703" t="n"/>
      <c r="T499" s="1711" t="n"/>
      <c r="U499" s="1681" t="n"/>
      <c r="V499" s="1484" t="n"/>
      <c r="W499" s="1503" t="n">
        <v>11</v>
      </c>
      <c r="X499" s="1504" t="n"/>
      <c r="Y499" s="1505" t="n">
        <v>11</v>
      </c>
      <c r="Z499" s="1504" t="n"/>
      <c r="AA499" s="1497" t="n">
        <v>11</v>
      </c>
      <c r="AC499" s="1013" t="inlineStr">
        <is>
          <t> </t>
        </is>
      </c>
      <c r="AD499" s="1014" t="n"/>
      <c r="AE499" s="1013" t="n"/>
      <c r="AF499" s="1014" t="n"/>
      <c r="AG499" s="1013" t="n"/>
      <c r="AH499" s="1014" t="n"/>
      <c r="AJ499" s="10" t="n"/>
      <c r="AK499" s="10" t="n"/>
      <c r="AL499" s="10" t="n"/>
    </row>
    <row r="500" ht="52" customHeight="1" thickBot="1">
      <c r="B500" s="316">
        <f>'Action-Réaction finale'!O79</f>
        <v/>
      </c>
      <c r="C500" s="799">
        <f>Test_Bible!B298</f>
        <v/>
      </c>
      <c r="D500" s="102" t="inlineStr">
        <is>
          <t>ne peut transporter ses objets d'une demeure à l'autre</t>
        </is>
      </c>
      <c r="E500" s="823">
        <f>Test_Bible!P298</f>
        <v/>
      </c>
      <c r="F500" s="822">
        <f>Test_Bible!D298</f>
        <v/>
      </c>
      <c r="G500" s="823">
        <f>Test_Bible!Q298</f>
        <v/>
      </c>
      <c r="H500" s="1710" t="n">
        <v>4</v>
      </c>
      <c r="I500" s="1703">
        <f>$I$18</f>
        <v/>
      </c>
      <c r="J500" s="46">
        <f>IF(AND(E500&gt;=H500,E500&lt;=I500),TRUE,FALSE)</f>
        <v/>
      </c>
      <c r="K500" s="46" t="n"/>
      <c r="L500" s="46" t="n"/>
      <c r="M500" s="46" t="n"/>
      <c r="N500" s="1711" t="n"/>
      <c r="O500" s="1710" t="n">
        <v>2</v>
      </c>
      <c r="P500" s="1703" t="n">
        <v>7</v>
      </c>
      <c r="Q500" s="1711">
        <f>IF(AND(E500&gt;=O500,E500&lt;=P500),TRUE,FALSE)</f>
        <v/>
      </c>
      <c r="R500" s="1735" t="n"/>
      <c r="S500" s="1736" t="n"/>
      <c r="T500" s="1711" t="n"/>
      <c r="U500" s="978" t="n"/>
      <c r="V500" s="1487" t="inlineStr">
        <is>
          <t>ou</t>
        </is>
      </c>
      <c r="W500" s="1506" t="n">
        <v>11</v>
      </c>
      <c r="X500" s="1507" t="n"/>
      <c r="Y500" s="1508" t="n">
        <v>11</v>
      </c>
      <c r="Z500" s="1507" t="n"/>
      <c r="AA500" s="1502" t="n">
        <v>11</v>
      </c>
      <c r="AC500" s="1013" t="n"/>
      <c r="AD500" s="1014" t="n"/>
      <c r="AE500" s="1013" t="n"/>
      <c r="AF500" s="1014" t="n"/>
      <c r="AG500" s="1013" t="n"/>
      <c r="AH500" s="1014" t="n"/>
      <c r="AJ500" s="10" t="n"/>
      <c r="AK500" s="10" t="n"/>
      <c r="AL500" s="10" t="n"/>
    </row>
    <row r="501" ht="32" customHeight="1" thickBot="1">
      <c r="B501" s="842" t="inlineStr">
        <is>
          <t>Max Enf</t>
        </is>
      </c>
      <c r="C501" s="843">
        <f>_xlfn.XLOOKUP(G501,G499:G500,C499:C500)</f>
        <v/>
      </c>
      <c r="D501" s="843">
        <f>_xlfn.XLOOKUP(G501,G499:G500,D499:D500)</f>
        <v/>
      </c>
      <c r="E501" s="844" t="n"/>
      <c r="F501" s="844" t="n"/>
      <c r="G501" s="844">
        <f>IF(AND(J499=TRUE,J500=FALSE),G499,IF(AND(J499=FALSE,J500=TRUE),G500,MAX(G499,G500)))</f>
        <v/>
      </c>
      <c r="H501" s="1716" t="n"/>
      <c r="I501" s="845" t="n"/>
      <c r="J501" s="846">
        <f>IF(AND(J499=FALSE,J500=FALSE),FALSE,TRUE)</f>
        <v/>
      </c>
      <c r="K501" s="1699" t="n"/>
      <c r="L501" s="1699" t="n"/>
      <c r="M501" s="1699" t="n"/>
      <c r="N501" s="1717" t="n"/>
      <c r="O501" s="1716" t="n"/>
      <c r="P501" s="845" t="n"/>
      <c r="Q501" s="846">
        <f>IF(AND(Q499=FALSE,Q500=FALSE),FALSE,TRUE)</f>
        <v/>
      </c>
      <c r="R501" s="1716" t="n"/>
      <c r="S501" s="845" t="n"/>
      <c r="T501" s="846" t="n"/>
      <c r="U501" s="978" t="n"/>
      <c r="V501" s="978" t="n"/>
      <c r="W501" s="1475" t="n"/>
      <c r="Y501" s="1479" t="n"/>
      <c r="AA501" s="1483" t="n"/>
      <c r="AC501" s="1013">
        <f>IF(J501=TRUE,"V","F")</f>
        <v/>
      </c>
      <c r="AD501" s="1014" t="n"/>
      <c r="AE501" s="1013">
        <f>IF(Q501=TRUE,"V","F")</f>
        <v/>
      </c>
      <c r="AF501" s="1014" t="n"/>
      <c r="AG501" s="1013" t="n"/>
      <c r="AH501" s="1014" t="n"/>
      <c r="AJ501" s="10" t="n"/>
      <c r="AK501" s="10" t="n"/>
      <c r="AL501" s="10" t="n"/>
    </row>
    <row r="502" ht="32" customHeight="1">
      <c r="C502" s="428" t="inlineStr">
        <is>
          <t>COMPARATIF Comportement PFA-Enf</t>
        </is>
      </c>
      <c r="D502" s="2058" t="n"/>
      <c r="E502" s="484" t="inlineStr">
        <is>
          <t>Valeur =&gt;</t>
        </is>
      </c>
      <c r="F502" s="48" t="n"/>
      <c r="G502" s="48">
        <f>G494+G497+G501</f>
        <v/>
      </c>
      <c r="H502" s="1718" t="n"/>
      <c r="I502" s="485" t="n"/>
      <c r="J502" s="1701" t="n"/>
      <c r="K502" s="1702">
        <f>IF(AND(J501=TRUE,J498=TRUE),D501,"")</f>
        <v/>
      </c>
      <c r="L502" s="1702">
        <f>IF(AND(J498=TRUE,J501=FALSE),"Bien que le parent "&amp;D498&amp;" l'enfant ne semble pas s'ingérer","")</f>
        <v/>
      </c>
      <c r="M502" s="1702">
        <f>IF(AND(J498=FALSE,J501=TRUE),D501&amp;" sans signe de la participation du parent favorisé et|ou nouveau conjoint.e","")</f>
        <v/>
      </c>
      <c r="N502" s="1719">
        <f>IF(AND(J498=FALSE,J501=FALSE),"aucun comportement significatif de cette nature","")</f>
        <v/>
      </c>
      <c r="O502" s="1718" t="n"/>
      <c r="P502" s="485" t="n"/>
      <c r="Q502" s="1727" t="n"/>
      <c r="R502" s="1718" t="n"/>
      <c r="S502" s="485" t="n"/>
      <c r="T502" s="1727" t="n"/>
      <c r="U502" s="978" t="n"/>
      <c r="V502" s="978" t="n"/>
      <c r="W502" s="1475" t="n"/>
      <c r="Y502" s="1479" t="n"/>
      <c r="AA502" s="1483" t="n"/>
      <c r="AC502" s="1015" t="n"/>
      <c r="AD502" s="1016">
        <f>IF(AND(AC498="V",AC501="V"),2,IF(OR(AC498="V",AC501="V"),1,0))</f>
        <v/>
      </c>
      <c r="AE502" s="1015" t="n"/>
      <c r="AF502" s="1016">
        <f>IF(OR(AE498="V",AE501="V"),1,0)</f>
        <v/>
      </c>
      <c r="AG502" s="1015" t="n"/>
      <c r="AH502" s="1016" t="n"/>
      <c r="AJ502" s="10" t="n"/>
      <c r="AK502" s="10" t="n"/>
      <c r="AL502" s="10" t="n"/>
    </row>
    <row r="503" ht="32" customHeight="1">
      <c r="B503" t="inlineStr">
        <is>
          <t>PCR</t>
        </is>
      </c>
      <c r="H503" s="147" t="n"/>
      <c r="K503" s="1992" t="n"/>
      <c r="L503" s="1992" t="n"/>
      <c r="M503" s="1992" t="n"/>
      <c r="N503" s="1740" t="n"/>
      <c r="O503" s="147" t="n"/>
      <c r="Q503" s="330" t="n"/>
      <c r="R503" s="147" t="n"/>
      <c r="T503" s="330" t="n"/>
      <c r="U503" s="980" t="n"/>
      <c r="V503" s="980" t="n"/>
      <c r="W503" s="1475" t="n"/>
      <c r="Y503" s="1479" t="n"/>
      <c r="AA503" s="1483" t="n"/>
      <c r="AC503" s="1013" t="n"/>
      <c r="AD503" s="1014" t="n"/>
      <c r="AE503" s="1013" t="n"/>
      <c r="AF503" s="1014" t="n"/>
      <c r="AG503" s="1013" t="n"/>
      <c r="AH503" s="1014" t="n"/>
      <c r="AJ503" s="10" t="n"/>
      <c r="AK503" s="10" t="n"/>
      <c r="AL503" s="10" t="n"/>
    </row>
    <row r="504" ht="32" customHeight="1">
      <c r="B504" s="1017">
        <f>'Action-Réaction finale'!S78</f>
        <v/>
      </c>
      <c r="C504" s="1018">
        <f>Test_Bible!B135</f>
        <v/>
      </c>
      <c r="D504" s="1018" t="n"/>
      <c r="E504" s="1026">
        <f>Test_Bible!P135</f>
        <v/>
      </c>
      <c r="F504" s="1026">
        <f>Test_Bible!D135</f>
        <v/>
      </c>
      <c r="G504" s="1026">
        <f>Test_Bible!Q135</f>
        <v/>
      </c>
      <c r="H504" s="1735" t="n">
        <v>11</v>
      </c>
      <c r="I504" s="1736" t="n">
        <v>11</v>
      </c>
      <c r="J504" s="46">
        <f>IF(AND(E504&gt;=H504,E504&lt;=I504),TRUE,FALSE)</f>
        <v/>
      </c>
      <c r="K504" s="33" t="n"/>
      <c r="L504" s="33" t="n"/>
      <c r="M504" s="33" t="n"/>
      <c r="N504" s="1720" t="n"/>
      <c r="O504" s="1710" t="n">
        <v>2</v>
      </c>
      <c r="P504" s="1703" t="n">
        <v>7</v>
      </c>
      <c r="Q504" s="1711">
        <f>IF(AND(E504&gt;=O504,E504&lt;=P504),TRUE,FALSE)</f>
        <v/>
      </c>
      <c r="R504" s="1710" t="n">
        <v>4</v>
      </c>
      <c r="S504" s="1703" t="n">
        <v>7</v>
      </c>
      <c r="T504" s="1711">
        <f>IF(AND(E504&gt;=R504,E504&lt;=S504),TRUE,FALSE)</f>
        <v/>
      </c>
      <c r="U504" s="1992" t="n"/>
      <c r="AC504" s="1013" t="n"/>
      <c r="AD504" s="1014" t="n"/>
      <c r="AE504" s="1013" t="n"/>
      <c r="AF504" s="1014" t="n"/>
      <c r="AG504" s="1013" t="n"/>
      <c r="AH504" s="1014" t="n"/>
      <c r="AJ504" s="10" t="n"/>
      <c r="AK504" s="10" t="n"/>
      <c r="AL504" s="10" t="n"/>
    </row>
    <row r="505" ht="32" customHeight="1" thickBot="1">
      <c r="B505" s="1017" t="n"/>
      <c r="C505" s="1025" t="n"/>
      <c r="D505" s="1018" t="n"/>
      <c r="E505" s="1026" t="n"/>
      <c r="F505" s="1026" t="n"/>
      <c r="G505" s="1026" t="n"/>
      <c r="H505" s="1735" t="n">
        <v>11</v>
      </c>
      <c r="I505" s="1736" t="n">
        <v>11</v>
      </c>
      <c r="J505" s="46">
        <f>IF(AND(E505&gt;=H505,E505&lt;=I505),TRUE,FALSE)</f>
        <v/>
      </c>
      <c r="K505" s="33" t="n"/>
      <c r="L505" s="33" t="n"/>
      <c r="M505" s="33" t="n"/>
      <c r="N505" s="1720" t="n"/>
      <c r="O505" s="1735" t="n">
        <v>11</v>
      </c>
      <c r="P505" s="1736" t="n">
        <v>11</v>
      </c>
      <c r="Q505" s="1711">
        <f>IF(AND(E505&gt;=O505,E505&lt;=P505),TRUE,FALSE)</f>
        <v/>
      </c>
      <c r="R505" s="1735" t="n">
        <v>11</v>
      </c>
      <c r="S505" s="1736" t="n">
        <v>11</v>
      </c>
      <c r="T505" s="1711">
        <f>IF(AND(E505&gt;=R505,E505&lt;=S505),TRUE,FALSE)</f>
        <v/>
      </c>
      <c r="U505" s="1992" t="n"/>
      <c r="V505" s="1509" t="n"/>
      <c r="W505" s="1503" t="n">
        <v>11</v>
      </c>
      <c r="X505" s="1504" t="n"/>
      <c r="Y505" s="1505" t="n">
        <v>11</v>
      </c>
      <c r="Z505" s="1504" t="n"/>
      <c r="AA505" s="1497" t="n">
        <v>11</v>
      </c>
      <c r="AC505" s="1013" t="n"/>
      <c r="AD505" s="1014" t="n"/>
      <c r="AE505" s="1013" t="n"/>
      <c r="AF505" s="1014" t="n"/>
      <c r="AG505" s="1013" t="n"/>
      <c r="AH505" s="1014" t="n"/>
      <c r="AJ505" s="10" t="n"/>
      <c r="AK505" s="10" t="n"/>
      <c r="AL505" s="10" t="n"/>
    </row>
    <row r="506" ht="32" customHeight="1" thickBot="1">
      <c r="H506" s="1732" t="n"/>
      <c r="I506" s="1733" t="n"/>
      <c r="J506" s="1739">
        <f>IF(AND(J504=FALSE,J505=FALSE),FALSE,TRUE)</f>
        <v/>
      </c>
      <c r="K506" s="1721" t="n"/>
      <c r="L506" s="1722" t="n"/>
      <c r="M506" s="1722" t="n"/>
      <c r="N506" s="1723" t="n"/>
      <c r="O506" s="1732" t="n"/>
      <c r="P506" s="1733" t="n"/>
      <c r="Q506" s="1739">
        <f>IF(AND(Q504=FALSE,Q505=FALSE),FALSE,TRUE)</f>
        <v/>
      </c>
      <c r="R506" s="1744" t="n"/>
      <c r="S506" s="1745" t="n"/>
      <c r="T506" s="1746">
        <f>IF(AND(T504=FALSE,T505=FALSE),FALSE,TRUE)</f>
        <v/>
      </c>
      <c r="V506" s="1510" t="n"/>
      <c r="W506" s="1506" t="n">
        <v>11</v>
      </c>
      <c r="X506" s="1507" t="n"/>
      <c r="Y506" s="1508" t="n">
        <v>11</v>
      </c>
      <c r="Z506" s="1507" t="n"/>
      <c r="AA506" s="1502" t="n">
        <v>11</v>
      </c>
      <c r="AC506" s="1650">
        <f>IF(J506=TRUE,"V","F")</f>
        <v/>
      </c>
      <c r="AD506" s="1651" t="n"/>
      <c r="AE506" s="1650">
        <f>IF(Q506=TRUE,"V","F")</f>
        <v/>
      </c>
      <c r="AF506" s="1651" t="n"/>
      <c r="AG506" s="1650">
        <f>IF(T506=TRUE,"V","F")</f>
        <v/>
      </c>
      <c r="AH506" s="1651" t="n"/>
      <c r="AJ506" s="10" t="n"/>
      <c r="AK506" s="10" t="n"/>
      <c r="AL506" s="10" t="n"/>
    </row>
    <row r="507" ht="32" customHeight="1">
      <c r="AC507" s="1737" t="n"/>
      <c r="AD507" s="1738">
        <f>IF(AND(AC506="V",AC498="V"),AD502-1,AD502)</f>
        <v/>
      </c>
      <c r="AE507" s="1737" t="n"/>
      <c r="AF507" s="1738">
        <f>IF(OR(AE498="V",AE501="V",AE506="V"),1,0)</f>
        <v/>
      </c>
      <c r="AG507" s="1737" t="n"/>
      <c r="AH507" s="1738">
        <f>IF(AG498="V",1,IF(AG506="V",1,0))</f>
        <v/>
      </c>
      <c r="AJ507" s="10" t="n">
        <v>1</v>
      </c>
      <c r="AK507" s="10" t="n">
        <v>1</v>
      </c>
      <c r="AL507" s="10" t="n">
        <v>1</v>
      </c>
    </row>
    <row r="508" ht="32" customHeight="1">
      <c r="AC508" s="1756" t="n"/>
      <c r="AD508" s="1757" t="n"/>
      <c r="AE508" s="1490" t="n"/>
      <c r="AF508" s="1490" t="n"/>
      <c r="AG508" s="1490" t="n"/>
      <c r="AH508" s="1490" t="n"/>
      <c r="AJ508" s="10" t="n"/>
      <c r="AK508" s="10" t="n"/>
      <c r="AL508" s="10" t="n"/>
    </row>
    <row r="509" ht="32" customHeight="1">
      <c r="AC509" s="1756" t="n"/>
      <c r="AD509" s="1757" t="n"/>
      <c r="AE509" s="1490" t="n"/>
      <c r="AF509" s="1490" t="n"/>
      <c r="AG509" s="1490" t="n"/>
      <c r="AH509" s="1490" t="n"/>
      <c r="AJ509" s="10" t="n"/>
      <c r="AK509" s="10" t="n"/>
      <c r="AL509" s="10" t="n"/>
    </row>
    <row r="510" ht="47" customHeight="1">
      <c r="A510" s="853" t="n">
        <v>26</v>
      </c>
      <c r="C510" s="486">
        <f>'Action-Réaction finale'!F81</f>
        <v/>
      </c>
      <c r="D510" s="108" t="n"/>
      <c r="E510" s="66" t="n"/>
      <c r="F510" s="18" t="n"/>
      <c r="G510" s="18" t="n"/>
      <c r="H510" s="2052" t="inlineStr">
        <is>
          <t>AP</t>
        </is>
      </c>
      <c r="K510" s="2055" t="inlineStr">
        <is>
          <t>Dynamique d'AP</t>
        </is>
      </c>
      <c r="N510" s="330" t="n"/>
      <c r="O510" s="2122" t="inlineStr">
        <is>
          <t>CL</t>
        </is>
      </c>
      <c r="Q510" s="330" t="n"/>
      <c r="R510" s="2123" t="inlineStr">
        <is>
          <t>CSS</t>
        </is>
      </c>
      <c r="T510" s="330" t="n"/>
      <c r="U510" s="15" t="n"/>
      <c r="V510" s="15" t="n"/>
      <c r="AC510" s="1009" t="n"/>
      <c r="AD510" s="1009" t="n"/>
      <c r="AE510" s="1009" t="n"/>
      <c r="AF510" s="1009" t="n"/>
      <c r="AG510" s="1009" t="n"/>
      <c r="AH510" s="1010" t="n"/>
      <c r="AJ510" s="10" t="n"/>
      <c r="AK510" s="10" t="n"/>
      <c r="AL510" s="10" t="n"/>
    </row>
    <row r="511" ht="47" customHeight="1">
      <c r="C511" s="103" t="inlineStr">
        <is>
          <t>Questions et sous-questions</t>
        </is>
      </c>
      <c r="D511" s="1043" t="inlineStr">
        <is>
          <t>Texte écourté pour titrer dans les baromètres ou rapport</t>
        </is>
      </c>
      <c r="E511" s="33" t="inlineStr">
        <is>
          <t>Valeur de base
Fréquence (F)</t>
        </is>
      </c>
      <c r="F511" s="33" t="inlineStr">
        <is>
          <t>Valeur de base
intensité (I)</t>
        </is>
      </c>
      <c r="G511" s="33" t="inlineStr">
        <is>
          <t>F * I</t>
        </is>
      </c>
      <c r="H511" s="1708" t="inlineStr">
        <is>
          <t>Condition Fréq. 
&gt;= que</t>
        </is>
      </c>
      <c r="I511" s="44" t="inlineStr">
        <is>
          <t>Condition Fré
&lt;= que</t>
        </is>
      </c>
      <c r="J511" s="44" t="inlineStr">
        <is>
          <t>Condition respectée</t>
        </is>
      </c>
      <c r="K511" s="44" t="inlineStr">
        <is>
          <t>"VRAI" (PF&amp;NC) /  "VRAI" (Enf)</t>
        </is>
      </c>
      <c r="L511" s="44" t="inlineStr">
        <is>
          <t>Vrai (PF&amp;NC) /  Faux (Enf)</t>
        </is>
      </c>
      <c r="M511" s="44" t="inlineStr">
        <is>
          <t>Faux (PF&amp;NC) /  Vrai (Enf)</t>
        </is>
      </c>
      <c r="N511" s="1709" t="inlineStr">
        <is>
          <t>Faux (PF&amp;NC) /  Faux(Enf)</t>
        </is>
      </c>
      <c r="O511" s="1708" t="inlineStr">
        <is>
          <t>Condition Fréq. 
&gt;= que</t>
        </is>
      </c>
      <c r="P511" s="44" t="inlineStr">
        <is>
          <t>Condition Fré
&lt;= que</t>
        </is>
      </c>
      <c r="Q511" s="1709" t="inlineStr">
        <is>
          <t>Condition respectée</t>
        </is>
      </c>
      <c r="R511" s="1708" t="inlineStr">
        <is>
          <t>Condition Fréq. 
&gt;= que</t>
        </is>
      </c>
      <c r="S511" s="44" t="inlineStr">
        <is>
          <t>Condition Fré
&lt;= que</t>
        </is>
      </c>
      <c r="T511" s="1709" t="inlineStr">
        <is>
          <t>Condition respectée</t>
        </is>
      </c>
      <c r="U511" s="851" t="n"/>
      <c r="V511" s="1008" t="inlineStr">
        <is>
          <t>Condition</t>
        </is>
      </c>
      <c r="W511" s="1472" t="inlineStr">
        <is>
          <t>AP</t>
        </is>
      </c>
      <c r="X511" s="1008" t="inlineStr">
        <is>
          <t>Condition</t>
        </is>
      </c>
      <c r="Y511" s="1476" t="inlineStr">
        <is>
          <t>CL</t>
        </is>
      </c>
      <c r="Z511" s="1008" t="n"/>
      <c r="AA511" s="1480" t="inlineStr">
        <is>
          <t>CSS</t>
        </is>
      </c>
      <c r="AC511" s="1023" t="inlineStr">
        <is>
          <t>AP</t>
        </is>
      </c>
      <c r="AD511" s="1024" t="inlineStr">
        <is>
          <t>AP_F</t>
        </is>
      </c>
      <c r="AE511" s="1023" t="inlineStr">
        <is>
          <t>CL</t>
        </is>
      </c>
      <c r="AF511" s="1024" t="inlineStr">
        <is>
          <t>CL_F</t>
        </is>
      </c>
      <c r="AG511" s="1023" t="inlineStr">
        <is>
          <t>CSS</t>
        </is>
      </c>
      <c r="AH511" s="1024" t="inlineStr">
        <is>
          <t>CSS_F</t>
        </is>
      </c>
      <c r="AJ511" s="10" t="n"/>
      <c r="AK511" s="10" t="n"/>
      <c r="AL511" s="10" t="n"/>
    </row>
    <row r="512" ht="39" customHeight="1">
      <c r="B512" s="22">
        <f>'Action-Réaction finale'!G81</f>
        <v/>
      </c>
      <c r="C512" s="1764">
        <f>Test_Bible!B239</f>
        <v/>
      </c>
      <c r="D512" s="302" t="inlineStr">
        <is>
          <t>ne permet pas les objets de l'autre parent chez lui</t>
        </is>
      </c>
      <c r="E512" s="928">
        <f>Test_Bible!P239</f>
        <v/>
      </c>
      <c r="F512" s="555">
        <f>Test_Bible!D239</f>
        <v/>
      </c>
      <c r="G512" s="928">
        <f>Test_Bible!Q239</f>
        <v/>
      </c>
      <c r="H512" s="1735" t="n">
        <v>11</v>
      </c>
      <c r="I512" s="1736" t="n">
        <v>11</v>
      </c>
      <c r="J512" s="46">
        <f>IF(AND(E512&gt;=H512,E512&lt;=I512),TRUE,FALSE)</f>
        <v/>
      </c>
      <c r="K512" s="46" t="n"/>
      <c r="L512" s="46" t="n"/>
      <c r="M512" s="46" t="n"/>
      <c r="N512" s="1711" t="n"/>
      <c r="O512" s="1735" t="n">
        <v>11</v>
      </c>
      <c r="P512" s="1736" t="n">
        <v>11</v>
      </c>
      <c r="Q512" s="1711">
        <f>IF(AND(E512&gt;=O512,E512&lt;=P512),TRUE,FALSE)</f>
        <v/>
      </c>
      <c r="R512" s="1710" t="n">
        <v>4</v>
      </c>
      <c r="S512" s="1703" t="n">
        <v>10</v>
      </c>
      <c r="T512" s="1711">
        <f>IF(AND(E512&gt;=R512,E512&lt;=S512),TRUE,FALSE)</f>
        <v/>
      </c>
      <c r="U512" s="978" t="n"/>
      <c r="V512" s="1484" t="n"/>
      <c r="W512" s="1503" t="n">
        <v>11</v>
      </c>
      <c r="X512" s="1504" t="n"/>
      <c r="Y512" s="1505" t="n">
        <v>11</v>
      </c>
      <c r="Z512" s="1504" t="n"/>
      <c r="AA512" s="1497" t="n">
        <v>11</v>
      </c>
      <c r="AC512" s="1011" t="n"/>
      <c r="AD512" s="1012" t="n"/>
      <c r="AE512" s="1011" t="n"/>
      <c r="AF512" s="1012" t="n"/>
      <c r="AG512" s="1011" t="n"/>
      <c r="AH512" s="1012" t="n"/>
      <c r="AJ512" s="10" t="n"/>
      <c r="AK512" s="10" t="n"/>
      <c r="AL512" s="10" t="n"/>
    </row>
    <row r="513" ht="39" customHeight="1">
      <c r="B513" s="22">
        <f>'Action-Réaction finale'!G82</f>
        <v/>
      </c>
      <c r="C513" s="1764">
        <f>Test_Bible!B240</f>
        <v/>
      </c>
      <c r="D513" s="302" t="n"/>
      <c r="E513" s="928">
        <f>Test_Bible!P239</f>
        <v/>
      </c>
      <c r="F513" s="555">
        <f>Test_Bible!D239</f>
        <v/>
      </c>
      <c r="G513" s="928">
        <f>Test_Bible!Q239</f>
        <v/>
      </c>
      <c r="H513" s="1710" t="n">
        <v>7</v>
      </c>
      <c r="I513" s="1703" t="n">
        <v>10</v>
      </c>
      <c r="J513" s="46">
        <f>IF(AND(E513&gt;=H513,E513&lt;=I513),TRUE,FALSE)</f>
        <v/>
      </c>
      <c r="K513" s="46" t="n"/>
      <c r="L513" s="46" t="n"/>
      <c r="M513" s="46" t="n"/>
      <c r="N513" s="1711" t="n"/>
      <c r="O513" s="1710" t="n">
        <v>2</v>
      </c>
      <c r="P513" s="1703" t="n">
        <v>7</v>
      </c>
      <c r="Q513" s="1711">
        <f>IF(AND(E513&gt;=O513,E513&lt;=P513),TRUE,FALSE)</f>
        <v/>
      </c>
      <c r="R513" s="1710" t="n">
        <v>4</v>
      </c>
      <c r="S513" s="1703" t="n">
        <v>7</v>
      </c>
      <c r="T513" s="1711">
        <f>IF(AND(E513&gt;=R513,E513&lt;=S513),TRUE,FALSE)</f>
        <v/>
      </c>
      <c r="U513" s="978" t="n"/>
      <c r="V513" s="1487" t="inlineStr">
        <is>
          <t>ou</t>
        </is>
      </c>
      <c r="W513" s="1506" t="n">
        <v>11</v>
      </c>
      <c r="X513" s="1507" t="n"/>
      <c r="Y513" s="1508" t="n">
        <v>11</v>
      </c>
      <c r="Z513" s="1507" t="n"/>
      <c r="AA513" s="1502" t="n">
        <v>11</v>
      </c>
      <c r="AC513" s="1013" t="n"/>
      <c r="AD513" s="1014" t="n"/>
      <c r="AE513" s="1013" t="n"/>
      <c r="AF513" s="1014" t="n"/>
      <c r="AG513" s="1013" t="n"/>
      <c r="AH513" s="1014" t="n"/>
      <c r="AJ513" s="10" t="n"/>
      <c r="AK513" s="10" t="n"/>
      <c r="AL513" s="10" t="n"/>
    </row>
    <row r="514" ht="39" customHeight="1">
      <c r="B514" s="825" t="inlineStr">
        <is>
          <t>Max PFA</t>
        </is>
      </c>
      <c r="C514" s="826">
        <f>_xlfn.XLOOKUP(G514,G512:G513,C512:C513)</f>
        <v/>
      </c>
      <c r="D514" s="827">
        <f>_xlfn.XLOOKUP(G514,G512:G513,D512:D513)</f>
        <v/>
      </c>
      <c r="E514" s="828" t="n"/>
      <c r="F514" s="828" t="n"/>
      <c r="G514" s="828">
        <f>IF(AND(J512=TRUE,J513=FALSE),G512,IF(AND(J512=FALSE,J513=TRUE),G513,MAX(G512,G513)))</f>
        <v/>
      </c>
      <c r="H514" s="1712" t="n"/>
      <c r="I514" s="829" t="n"/>
      <c r="J514" s="830">
        <f>IF(AND(J512=FALSE,J513=FALSE),FALSE,TRUE)</f>
        <v/>
      </c>
      <c r="K514" s="46" t="n"/>
      <c r="L514" s="46" t="n"/>
      <c r="M514" s="46" t="n"/>
      <c r="N514" s="1711" t="n"/>
      <c r="O514" s="1712" t="n"/>
      <c r="P514" s="829" t="n"/>
      <c r="Q514" s="1725">
        <f>IF(AND(Q512=FALSE,Q513=FALSE),FALSE,TRUE)</f>
        <v/>
      </c>
      <c r="R514" s="1712" t="n"/>
      <c r="S514" s="829" t="n"/>
      <c r="T514" s="1725">
        <f>IF(AND(T512=FALSE,T513=FALSE),FALSE,TRUE)</f>
        <v/>
      </c>
      <c r="U514" s="978" t="n"/>
      <c r="V514" s="978" t="inlineStr">
        <is>
          <t>ou</t>
        </is>
      </c>
      <c r="W514" s="1473" t="n"/>
      <c r="X514" s="2002" t="n"/>
      <c r="Y514" s="1478" t="n"/>
      <c r="Z514" s="2002" t="n"/>
      <c r="AA514" s="1481" t="n"/>
      <c r="AC514" s="1013" t="n"/>
      <c r="AD514" s="1014" t="n"/>
      <c r="AE514" s="1013" t="n"/>
      <c r="AF514" s="1014" t="n"/>
      <c r="AG514" s="1013" t="n"/>
      <c r="AH514" s="1014" t="n"/>
      <c r="AJ514" s="10" t="n"/>
      <c r="AK514" s="10" t="n"/>
      <c r="AL514" s="10" t="n"/>
    </row>
    <row r="515" ht="39" customHeight="1">
      <c r="B515" s="53" t="inlineStr">
        <is>
          <t>NC</t>
        </is>
      </c>
      <c r="C515" s="2066" t="n"/>
      <c r="D515" s="102" t="n"/>
      <c r="E515" s="823" t="n"/>
      <c r="F515" s="822" t="n"/>
      <c r="G515" s="823" t="n"/>
      <c r="H515" s="1735" t="n">
        <v>11</v>
      </c>
      <c r="I515" s="1736" t="n">
        <v>11</v>
      </c>
      <c r="J515" s="46">
        <f>IF(AND(E515&gt;=H515,E515&lt;=I515),TRUE,FALSE)</f>
        <v/>
      </c>
      <c r="K515" s="46" t="n"/>
      <c r="L515" s="46" t="n"/>
      <c r="M515" s="46" t="n"/>
      <c r="N515" s="1711" t="n"/>
      <c r="O515" s="1735" t="n">
        <v>11</v>
      </c>
      <c r="P515" s="1736" t="n">
        <v>11</v>
      </c>
      <c r="Q515" s="1711">
        <f>IF(AND(E515&gt;=O515,E515&lt;=P515),TRUE,FALSE)</f>
        <v/>
      </c>
      <c r="R515" s="1735" t="n">
        <v>11</v>
      </c>
      <c r="S515" s="1736" t="n">
        <v>11</v>
      </c>
      <c r="T515" s="1711">
        <f>IF(AND(E515&gt;=R515,E515&lt;=S515),TRUE,FALSE)</f>
        <v/>
      </c>
      <c r="U515" s="978" t="n"/>
      <c r="V515" s="1484" t="n"/>
      <c r="W515" s="1503" t="n">
        <v>11</v>
      </c>
      <c r="X515" s="1504" t="n"/>
      <c r="Y515" s="1505" t="n">
        <v>11</v>
      </c>
      <c r="Z515" s="1504" t="n"/>
      <c r="AA515" s="1497" t="n">
        <v>11</v>
      </c>
      <c r="AC515" s="1013" t="n"/>
      <c r="AD515" s="1014" t="n"/>
      <c r="AE515" s="1013" t="n"/>
      <c r="AF515" s="1014" t="n"/>
      <c r="AG515" s="1013" t="n"/>
      <c r="AH515" s="1014" t="n"/>
      <c r="AJ515" s="10" t="n"/>
      <c r="AK515" s="10" t="n"/>
      <c r="AL515" s="10" t="n"/>
    </row>
    <row r="516" ht="39" customHeight="1">
      <c r="B516" s="53" t="inlineStr">
        <is>
          <t>NC</t>
        </is>
      </c>
      <c r="C516" s="2066" t="n"/>
      <c r="D516" s="63" t="n"/>
      <c r="E516" s="36" t="n"/>
      <c r="F516" s="36" t="n"/>
      <c r="G516" s="36" t="n"/>
      <c r="H516" s="1735" t="n">
        <v>11</v>
      </c>
      <c r="I516" s="1736" t="n">
        <v>11</v>
      </c>
      <c r="J516" s="46">
        <f>IF(AND(E516&gt;=H516,E516&lt;=I516),TRUE,FALSE)</f>
        <v/>
      </c>
      <c r="K516" s="46" t="n"/>
      <c r="L516" s="46" t="n"/>
      <c r="M516" s="46" t="n"/>
      <c r="N516" s="1711" t="n"/>
      <c r="O516" s="1735" t="n">
        <v>11</v>
      </c>
      <c r="P516" s="1736" t="n">
        <v>11</v>
      </c>
      <c r="Q516" s="1711">
        <f>IF(AND(E516&gt;=O516,E516&lt;=P516),TRUE,FALSE)</f>
        <v/>
      </c>
      <c r="R516" s="1735" t="n">
        <v>11</v>
      </c>
      <c r="S516" s="1736" t="n">
        <v>11</v>
      </c>
      <c r="T516" s="1711">
        <f>IF(AND(E516&gt;=R516,E516&lt;=S516),TRUE,FALSE)</f>
        <v/>
      </c>
      <c r="U516" s="978" t="n"/>
      <c r="V516" s="1487" t="inlineStr">
        <is>
          <t>ou</t>
        </is>
      </c>
      <c r="W516" s="1506" t="n">
        <v>11</v>
      </c>
      <c r="X516" s="1507" t="n"/>
      <c r="Y516" s="1508" t="n">
        <v>11</v>
      </c>
      <c r="Z516" s="1507" t="n"/>
      <c r="AA516" s="1502" t="n">
        <v>11</v>
      </c>
      <c r="AC516" s="1013" t="n"/>
      <c r="AD516" s="1014" t="n"/>
      <c r="AE516" s="1013" t="n"/>
      <c r="AF516" s="1014" t="n"/>
      <c r="AG516" s="1013" t="n"/>
      <c r="AH516" s="1014" t="n"/>
      <c r="AJ516" s="10" t="n"/>
      <c r="AK516" s="10" t="n"/>
      <c r="AL516" s="10" t="n"/>
    </row>
    <row r="517" ht="39" customHeight="1" thickBot="1">
      <c r="B517" s="831" t="inlineStr">
        <is>
          <t>Max NC</t>
        </is>
      </c>
      <c r="C517" s="832">
        <f>_xlfn.XLOOKUP(G517,G515:G516,C515:C516)</f>
        <v/>
      </c>
      <c r="D517" s="833">
        <f>_xlfn.XLOOKUP(G517,G515:G516,D515:D516)</f>
        <v/>
      </c>
      <c r="E517" s="834" t="n"/>
      <c r="F517" s="834" t="n"/>
      <c r="G517" s="834">
        <f>IF(AND(J515=TRUE,J516=FALSE),G515,IF(AND(J515=FALSE,J516=TRUE),G516,MAX(G515,G516)))</f>
        <v/>
      </c>
      <c r="H517" s="1713" t="n"/>
      <c r="I517" s="835" t="n"/>
      <c r="J517" s="836">
        <f>IF(AND(J515=FALSE,J516=FALSE),FALSE,TRUE)</f>
        <v/>
      </c>
      <c r="K517" s="46" t="n"/>
      <c r="L517" s="46" t="n"/>
      <c r="M517" s="46" t="n"/>
      <c r="N517" s="1711" t="n"/>
      <c r="O517" s="1713" t="n"/>
      <c r="P517" s="835" t="n"/>
      <c r="Q517" s="1726">
        <f>IF(AND(Q515=FALSE,Q516=FALSE),FALSE,TRUE)</f>
        <v/>
      </c>
      <c r="R517" s="1713" t="n"/>
      <c r="S517" s="835" t="n"/>
      <c r="T517" s="1726">
        <f>IF(AND(T515=FALSE,T516=FALSE),FALSE,TRUE)</f>
        <v/>
      </c>
      <c r="U517" s="978" t="n"/>
      <c r="V517" s="978" t="n"/>
      <c r="W517" s="1473" t="n"/>
      <c r="X517" s="2002" t="n"/>
      <c r="Y517" s="1478" t="n"/>
      <c r="Z517" s="2002" t="n"/>
      <c r="AA517" s="1481" t="n"/>
      <c r="AC517" s="1013" t="n"/>
      <c r="AD517" s="1014" t="n"/>
      <c r="AE517" s="1013" t="n"/>
      <c r="AF517" s="1014" t="n"/>
      <c r="AG517" s="1013" t="n"/>
      <c r="AH517" s="1014" t="n"/>
      <c r="AJ517" s="10" t="n"/>
      <c r="AK517" s="10" t="n"/>
      <c r="AL517" s="10" t="n"/>
    </row>
    <row r="518" ht="39" customHeight="1" thickBot="1">
      <c r="B518" s="837" t="inlineStr">
        <is>
          <t>Max PFA &amp; NC</t>
        </is>
      </c>
      <c r="C518" s="838" t="n"/>
      <c r="D518" s="838">
        <f>IF(G518=G514,D514,D517)</f>
        <v/>
      </c>
      <c r="E518" s="839" t="n"/>
      <c r="F518" s="839" t="n"/>
      <c r="G518" s="839">
        <f>IF(AND(J514=TRUE,J517=FALSE),G514,IF(AND(J514=FALSE,J517=TRUE),G517,IF(AND(J514=TRUE,J517=TRUE),G514+G517,MAX(G514,G517))))</f>
        <v/>
      </c>
      <c r="H518" s="1714" t="n"/>
      <c r="I518" s="840" t="n"/>
      <c r="J518" s="841">
        <f>IF(AND(J514=FALSE,J517=FALSE),FALSE,TRUE)</f>
        <v/>
      </c>
      <c r="K518" s="1698" t="n"/>
      <c r="L518" s="1698" t="n"/>
      <c r="M518" s="1698" t="n"/>
      <c r="N518" s="1715" t="n"/>
      <c r="O518" s="1714" t="n"/>
      <c r="P518" s="840" t="n"/>
      <c r="Q518" s="841">
        <f>IF(AND(Q514=FALSE,Q517=FALSE),FALSE,TRUE)</f>
        <v/>
      </c>
      <c r="R518" s="1714" t="n"/>
      <c r="S518" s="840" t="n"/>
      <c r="T518" s="841">
        <f>IF(AND(T514=FALSE,T517=FALSE),FALSE,TRUE)</f>
        <v/>
      </c>
      <c r="U518" s="978" t="n"/>
      <c r="V518" s="978" t="inlineStr">
        <is>
          <t>et</t>
        </is>
      </c>
      <c r="W518" s="1473" t="n"/>
      <c r="X518" s="2002" t="n"/>
      <c r="Y518" s="1478" t="n"/>
      <c r="Z518" s="2002" t="n"/>
      <c r="AA518" s="1481" t="n"/>
      <c r="AC518" s="1013">
        <f>IF(J518=TRUE,"V","F")</f>
        <v/>
      </c>
      <c r="AD518" s="1014" t="n"/>
      <c r="AE518" s="1013">
        <f>IF(Q518=TRUE,"V","F")</f>
        <v/>
      </c>
      <c r="AF518" s="1014" t="n"/>
      <c r="AG518" s="1013">
        <f>IF(T518=TRUE,"V","F")</f>
        <v/>
      </c>
      <c r="AH518" s="1014" t="n"/>
      <c r="AI518">
        <f>IF(OR(AC518="V",AE518="V"),IF(G517&gt;G514,"Le NC contribue plus que le coparent","Le coparent joue un plus grand rôle que le NC"),"pas de contexte significatif de la part du coparent et NC")</f>
        <v/>
      </c>
      <c r="AJ518" s="10" t="n"/>
      <c r="AK518" s="10" t="n"/>
      <c r="AL518" s="10" t="n"/>
    </row>
    <row r="519" ht="42" customHeight="1">
      <c r="B519" s="316">
        <f>Test_Bible!A277</f>
        <v/>
      </c>
      <c r="C519" s="2066">
        <f>Test_Bible!B277</f>
        <v/>
      </c>
      <c r="D519" s="102" t="inlineStr">
        <is>
          <t>ne peut transporter ses objets d'une demeure à l'autre</t>
        </is>
      </c>
      <c r="E519" s="823">
        <f>Test_Bible!P277</f>
        <v/>
      </c>
      <c r="F519" s="822">
        <f>Test_Bible!D279</f>
        <v/>
      </c>
      <c r="G519" s="823">
        <f>Test_Bible!Q279</f>
        <v/>
      </c>
      <c r="H519" s="1710" t="n">
        <v>7</v>
      </c>
      <c r="I519" s="1703">
        <f>$I$18</f>
        <v/>
      </c>
      <c r="J519" s="46">
        <f>IF(AND(E519&gt;=H519,E519&lt;=I519),TRUE,FALSE)</f>
        <v/>
      </c>
      <c r="K519" s="46" t="n"/>
      <c r="L519" s="46" t="n"/>
      <c r="M519" s="46" t="n"/>
      <c r="N519" s="1711" t="n"/>
      <c r="O519" s="1710" t="n">
        <v>2</v>
      </c>
      <c r="P519" s="1703" t="n">
        <v>7</v>
      </c>
      <c r="Q519" s="1711">
        <f>IF(AND(E519&gt;=O519,E519&lt;=P519),TRUE,FALSE)</f>
        <v/>
      </c>
      <c r="R519" s="1710" t="n"/>
      <c r="S519" s="1703" t="n"/>
      <c r="T519" s="1711" t="n"/>
      <c r="U519" s="1681" t="n"/>
      <c r="V519" s="1484" t="n"/>
      <c r="W519" s="1503" t="n">
        <v>11</v>
      </c>
      <c r="X519" s="1504" t="n"/>
      <c r="Y519" s="1505" t="n">
        <v>11</v>
      </c>
      <c r="Z519" s="1504" t="n"/>
      <c r="AA519" s="1497" t="n">
        <v>11</v>
      </c>
      <c r="AC519" s="1013" t="inlineStr">
        <is>
          <t> </t>
        </is>
      </c>
      <c r="AD519" s="1014" t="n"/>
      <c r="AE519" s="1013" t="n"/>
      <c r="AF519" s="1014" t="n"/>
      <c r="AG519" s="1013" t="n"/>
      <c r="AH519" s="1014" t="n"/>
      <c r="AJ519" s="10" t="n"/>
      <c r="AK519" s="10" t="n"/>
      <c r="AL519" s="10" t="n"/>
    </row>
    <row r="520" ht="42" customHeight="1">
      <c r="B520" s="316">
        <f>Test_Bible!A302</f>
        <v/>
      </c>
      <c r="C520" s="2066">
        <f>Test_Bible!B302</f>
        <v/>
      </c>
      <c r="D520" s="102" t="n"/>
      <c r="E520" s="823">
        <f>Test_Bible!P302</f>
        <v/>
      </c>
      <c r="F520" s="822">
        <f>Test_Bible!D302</f>
        <v/>
      </c>
      <c r="G520" s="823">
        <f>Test_Bible!Q302</f>
        <v/>
      </c>
      <c r="H520" s="1735" t="n">
        <v>11</v>
      </c>
      <c r="I520" s="1736" t="n">
        <v>11</v>
      </c>
      <c r="J520" s="46">
        <f>IF(AND(E520&gt;=H520,E520&lt;=I520),TRUE,FALSE)</f>
        <v/>
      </c>
      <c r="K520" s="46" t="n"/>
      <c r="L520" s="46" t="n"/>
      <c r="M520" s="46" t="n"/>
      <c r="N520" s="1711" t="n"/>
      <c r="O520" s="1710" t="n">
        <v>2</v>
      </c>
      <c r="P520" s="1703" t="n">
        <v>10</v>
      </c>
      <c r="Q520" s="1711">
        <f>IF(AND(E520&gt;=O520,E520&lt;=P520),TRUE,FALSE)</f>
        <v/>
      </c>
      <c r="R520" s="1710" t="n"/>
      <c r="S520" s="1703" t="n"/>
      <c r="T520" s="1711" t="n"/>
      <c r="U520" s="1681" t="n"/>
      <c r="V520" s="1491" t="n"/>
      <c r="W520" s="1516" t="n"/>
      <c r="X520" s="1512" t="n"/>
      <c r="Y520" s="1511" t="n"/>
      <c r="Z520" s="1512" t="n"/>
      <c r="AA520" s="1513" t="n"/>
      <c r="AC520" s="1013" t="n"/>
      <c r="AD520" s="1014" t="n"/>
      <c r="AE520" s="1013" t="n"/>
      <c r="AF520" s="1014" t="n"/>
      <c r="AG520" s="1013" t="n"/>
      <c r="AH520" s="1014" t="n"/>
      <c r="AJ520" s="10" t="n"/>
      <c r="AK520" s="10" t="n"/>
      <c r="AL520" s="10" t="n"/>
    </row>
    <row r="521" ht="39" customHeight="1" thickBot="1">
      <c r="B521" s="316">
        <f>Test_Bible!A304</f>
        <v/>
      </c>
      <c r="C521" s="2066">
        <f>Test_Bible!B304</f>
        <v/>
      </c>
      <c r="D521" s="102" t="n"/>
      <c r="E521" s="823">
        <f>Test_Bible!P304</f>
        <v/>
      </c>
      <c r="F521" s="822">
        <f>Test_Bible!D304</f>
        <v/>
      </c>
      <c r="G521" s="823">
        <f>Test_Bible!Q304</f>
        <v/>
      </c>
      <c r="H521" s="1710" t="n">
        <v>7</v>
      </c>
      <c r="I521" s="1703">
        <f>$I$18</f>
        <v/>
      </c>
      <c r="J521" s="46">
        <f>IF(AND(E521&gt;=H521,E521&lt;=I521),TRUE,FALSE)</f>
        <v/>
      </c>
      <c r="K521" s="46" t="n"/>
      <c r="L521" s="46" t="n"/>
      <c r="M521" s="46" t="n"/>
      <c r="N521" s="1711" t="n"/>
      <c r="O521" s="1710" t="n">
        <v>2</v>
      </c>
      <c r="P521" s="1703" t="n">
        <v>7</v>
      </c>
      <c r="Q521" s="1711">
        <f>IF(AND(E521&gt;=O521,E521&lt;=P521),TRUE,FALSE)</f>
        <v/>
      </c>
      <c r="R521" s="1735" t="n"/>
      <c r="S521" s="1736" t="n"/>
      <c r="T521" s="1711" t="n"/>
      <c r="U521" s="978" t="n"/>
      <c r="V521" s="1487" t="inlineStr">
        <is>
          <t>ou</t>
        </is>
      </c>
      <c r="W521" s="1506" t="n">
        <v>11</v>
      </c>
      <c r="X521" s="1507" t="n"/>
      <c r="Y521" s="1508" t="n">
        <v>11</v>
      </c>
      <c r="Z521" s="1507" t="n"/>
      <c r="AA521" s="1502" t="n">
        <v>11</v>
      </c>
      <c r="AC521" s="1013" t="n"/>
      <c r="AD521" s="1014" t="n"/>
      <c r="AE521" s="1013" t="n"/>
      <c r="AF521" s="1014" t="n"/>
      <c r="AG521" s="1013" t="n"/>
      <c r="AH521" s="1014" t="n"/>
      <c r="AJ521" s="10" t="n"/>
      <c r="AK521" s="10" t="n"/>
      <c r="AL521" s="10" t="n"/>
    </row>
    <row r="522" ht="39" customHeight="1" thickBot="1">
      <c r="B522" s="842" t="inlineStr">
        <is>
          <t>Max Enf</t>
        </is>
      </c>
      <c r="C522" s="843">
        <f>_xlfn.XLOOKUP(G522,G519:G521,C519:C521)</f>
        <v/>
      </c>
      <c r="D522" s="843">
        <f>_xlfn.XLOOKUP(G522,G519:G521,D519:D521)</f>
        <v/>
      </c>
      <c r="E522" s="844" t="n"/>
      <c r="F522" s="844" t="n"/>
      <c r="G522" s="844">
        <f>IF(AND(J519=TRUE,J521=FALSE),G519,IF(AND(J519=FALSE,J521=TRUE),G521,MAX(G519,G521)))</f>
        <v/>
      </c>
      <c r="H522" s="1716" t="n"/>
      <c r="I522" s="845" t="n"/>
      <c r="J522" s="846">
        <f>IF(AND(J519=FALSE,J520=FALSE,J521=FALSE),FALSE,TRUE)</f>
        <v/>
      </c>
      <c r="K522" s="1699" t="n"/>
      <c r="L522" s="1699" t="n"/>
      <c r="M522" s="1699" t="n"/>
      <c r="N522" s="1717" t="n"/>
      <c r="O522" s="1716" t="n"/>
      <c r="P522" s="845" t="n"/>
      <c r="Q522" s="846">
        <f>IF(AND(Q519=FALSE,Q520=FALSE,Q521=FALSE),FALSE,TRUE)</f>
        <v/>
      </c>
      <c r="R522" s="1716" t="n"/>
      <c r="S522" s="845" t="n"/>
      <c r="T522" s="846" t="n"/>
      <c r="U522" s="978" t="n"/>
      <c r="V522" s="978" t="n"/>
      <c r="W522" s="1475" t="n"/>
      <c r="Y522" s="1479" t="n"/>
      <c r="AA522" s="1483" t="n"/>
      <c r="AC522" s="1013">
        <f>IF(J522=TRUE,"V","F")</f>
        <v/>
      </c>
      <c r="AD522" s="1014" t="n"/>
      <c r="AE522" s="1013">
        <f>IF(Q522=TRUE,"V","F")</f>
        <v/>
      </c>
      <c r="AF522" s="1014" t="n"/>
      <c r="AG522" s="1013" t="n"/>
      <c r="AH522" s="1014" t="n"/>
      <c r="AJ522" s="10" t="n"/>
      <c r="AK522" s="10" t="n"/>
      <c r="AL522" s="10" t="n"/>
    </row>
    <row r="523" ht="39" customHeight="1">
      <c r="C523" s="428" t="inlineStr">
        <is>
          <t>COMPARATIF Comportement PFA-Enf</t>
        </is>
      </c>
      <c r="D523" s="2058" t="n"/>
      <c r="E523" s="484" t="inlineStr">
        <is>
          <t>Valeur =&gt;</t>
        </is>
      </c>
      <c r="F523" s="48" t="n"/>
      <c r="G523" s="48">
        <f>G514+G517+G522</f>
        <v/>
      </c>
      <c r="H523" s="1718" t="n"/>
      <c r="I523" s="485" t="n"/>
      <c r="J523" s="1701" t="n"/>
      <c r="K523" s="1702">
        <f>IF(AND(J522=TRUE,J518=TRUE),D522,"")</f>
        <v/>
      </c>
      <c r="L523" s="1702">
        <f>IF(AND(J518=TRUE,J522=FALSE),"Bien que le parent "&amp;D518&amp;" l'enfant ne semble pas s'ingérer","")</f>
        <v/>
      </c>
      <c r="M523" s="1702">
        <f>IF(AND(J518=FALSE,J522=TRUE),D522&amp;" sans signe de la participation du parent favorisé et|ou nouveau conjoint.e","")</f>
        <v/>
      </c>
      <c r="N523" s="1719">
        <f>IF(AND(J518=FALSE,J522=FALSE),"aucun comportement significatif de cette nature","")</f>
        <v/>
      </c>
      <c r="O523" s="1718" t="n"/>
      <c r="P523" s="485" t="n"/>
      <c r="Q523" s="1727" t="n"/>
      <c r="R523" s="1718" t="n"/>
      <c r="S523" s="485" t="n"/>
      <c r="T523" s="1727" t="n"/>
      <c r="U523" s="978" t="n"/>
      <c r="V523" s="978" t="n"/>
      <c r="W523" s="1475" t="n"/>
      <c r="Y523" s="1479" t="n"/>
      <c r="AA523" s="1483" t="n"/>
      <c r="AC523" s="1015" t="n"/>
      <c r="AD523" s="1016">
        <f>IF(AND(AC518="V",AC522="V"),2,IF(OR(AC518="V",AC522="V"),1,0))</f>
        <v/>
      </c>
      <c r="AE523" s="1015" t="n"/>
      <c r="AF523" s="1016">
        <f>IF(OR(AE518="V",AE522="V"),1,0)</f>
        <v/>
      </c>
      <c r="AG523" s="1015" t="n"/>
      <c r="AH523" s="1016" t="n"/>
      <c r="AJ523" s="10" t="n"/>
      <c r="AK523" s="10" t="n"/>
      <c r="AL523" s="10" t="n"/>
    </row>
    <row r="524" ht="39" customHeight="1">
      <c r="B524" t="inlineStr">
        <is>
          <t>PCR</t>
        </is>
      </c>
      <c r="H524" s="147" t="n"/>
      <c r="K524" s="1992" t="n"/>
      <c r="L524" s="1992" t="n"/>
      <c r="M524" s="1992" t="n"/>
      <c r="N524" s="1740" t="n"/>
      <c r="O524" s="147" t="n"/>
      <c r="Q524" s="330" t="n"/>
      <c r="R524" s="147" t="n"/>
      <c r="T524" s="330" t="n"/>
      <c r="U524" s="980" t="n"/>
      <c r="V524" s="980" t="n"/>
      <c r="W524" s="1475" t="n"/>
      <c r="Y524" s="1479" t="n"/>
      <c r="AA524" s="1483" t="n"/>
      <c r="AC524" s="1013" t="n"/>
      <c r="AD524" s="1014" t="n"/>
      <c r="AE524" s="1013" t="n"/>
      <c r="AF524" s="1014" t="n"/>
      <c r="AG524" s="1013" t="n"/>
      <c r="AH524" s="1014" t="n"/>
      <c r="AJ524" s="10" t="n"/>
      <c r="AK524" s="10" t="n"/>
      <c r="AL524" s="10" t="n"/>
    </row>
    <row r="525" ht="39" customHeight="1">
      <c r="B525" s="1017">
        <f>'Action-Réaction finale'!S81</f>
        <v/>
      </c>
      <c r="C525" s="1018">
        <f>Test_Bible!B150</f>
        <v/>
      </c>
      <c r="D525" s="1018" t="n"/>
      <c r="E525" s="1026">
        <f>Test_Bible!P150</f>
        <v/>
      </c>
      <c r="F525" s="1026">
        <f>Test_Bible!D150</f>
        <v/>
      </c>
      <c r="G525" s="1026">
        <f>Test_Bible!Q150</f>
        <v/>
      </c>
      <c r="H525" s="1735" t="n">
        <v>11</v>
      </c>
      <c r="I525" s="1736" t="n">
        <v>11</v>
      </c>
      <c r="J525" s="46">
        <f>IF(AND(E525&gt;=H525,E525&lt;=I525),TRUE,FALSE)</f>
        <v/>
      </c>
      <c r="K525" s="33" t="n"/>
      <c r="L525" s="33" t="n"/>
      <c r="M525" s="33" t="n"/>
      <c r="N525" s="1720" t="n"/>
      <c r="O525" s="1710" t="n">
        <v>2</v>
      </c>
      <c r="P525" s="1703" t="n">
        <v>7</v>
      </c>
      <c r="Q525" s="1711">
        <f>IF(AND(E525&gt;=O525,E525&lt;=P525),TRUE,FALSE)</f>
        <v/>
      </c>
      <c r="R525" s="1710" t="n">
        <v>4</v>
      </c>
      <c r="S525" s="1703" t="n">
        <v>10</v>
      </c>
      <c r="T525" s="1711">
        <f>IF(AND(E525&gt;=R525,E525&lt;=S525),TRUE,FALSE)</f>
        <v/>
      </c>
      <c r="U525" s="1992" t="n"/>
      <c r="AC525" s="1013" t="n"/>
      <c r="AD525" s="1014" t="n"/>
      <c r="AE525" s="1013" t="n"/>
      <c r="AF525" s="1014" t="n"/>
      <c r="AG525" s="1013" t="n"/>
      <c r="AH525" s="1014" t="n"/>
      <c r="AJ525" s="10" t="n"/>
      <c r="AK525" s="10" t="n"/>
      <c r="AL525" s="10" t="n"/>
    </row>
    <row r="526" ht="39" customHeight="1" thickBot="1">
      <c r="B526" s="22">
        <f>'Action-Réaction finale'!S82</f>
        <v/>
      </c>
      <c r="C526" s="302">
        <f>Test_Bible!B151</f>
        <v/>
      </c>
      <c r="D526" s="302" t="n"/>
      <c r="E526" s="1763">
        <f>Test_Bible!P151</f>
        <v/>
      </c>
      <c r="F526" s="1763">
        <f>Test_Bible!D151</f>
        <v/>
      </c>
      <c r="G526" s="1763">
        <f>Test_Bible!Q151</f>
        <v/>
      </c>
      <c r="H526" s="1710" t="n">
        <v>4</v>
      </c>
      <c r="I526" s="1703" t="n">
        <v>10</v>
      </c>
      <c r="J526" s="46">
        <f>IF(AND(E526&gt;=H526,E526&lt;=I526),TRUE,FALSE)</f>
        <v/>
      </c>
      <c r="K526" s="33" t="n"/>
      <c r="L526" s="33" t="n"/>
      <c r="M526" s="33" t="n"/>
      <c r="N526" s="1720" t="n"/>
      <c r="O526" s="1710" t="n">
        <v>2</v>
      </c>
      <c r="P526" s="1703" t="n">
        <v>7</v>
      </c>
      <c r="Q526" s="1711">
        <f>IF(AND(E526&gt;=O526,E526&lt;=P526),TRUE,FALSE)</f>
        <v/>
      </c>
      <c r="R526" s="1710" t="n">
        <v>4</v>
      </c>
      <c r="S526" s="1703" t="n">
        <v>10</v>
      </c>
      <c r="T526" s="1711">
        <f>IF(AND(E526&gt;=R526,E526&lt;=S526),TRUE,FALSE)</f>
        <v/>
      </c>
      <c r="U526" s="1992" t="n"/>
      <c r="V526" s="1509" t="n"/>
      <c r="W526" s="1503" t="n">
        <v>11</v>
      </c>
      <c r="X526" s="1504" t="n"/>
      <c r="Y526" s="1505" t="n">
        <v>11</v>
      </c>
      <c r="Z526" s="1504" t="n"/>
      <c r="AA526" s="1497" t="n">
        <v>11</v>
      </c>
      <c r="AC526" s="1013" t="n"/>
      <c r="AD526" s="1014" t="n"/>
      <c r="AE526" s="1013" t="n"/>
      <c r="AF526" s="1014" t="n"/>
      <c r="AG526" s="1013" t="n"/>
      <c r="AH526" s="1014" t="n"/>
      <c r="AJ526" s="10" t="n"/>
      <c r="AK526" s="10" t="n"/>
      <c r="AL526" s="10" t="n"/>
    </row>
    <row r="527" ht="47" customHeight="1" thickBot="1">
      <c r="H527" s="1732" t="n"/>
      <c r="I527" s="1733" t="n"/>
      <c r="J527" s="1739">
        <f>IF(AND(J525=FALSE,J526=FALSE),FALSE,TRUE)</f>
        <v/>
      </c>
      <c r="K527" s="1721" t="n"/>
      <c r="L527" s="1722" t="n"/>
      <c r="M527" s="1722" t="n"/>
      <c r="N527" s="1723" t="n"/>
      <c r="O527" s="1732" t="n"/>
      <c r="P527" s="1733" t="n"/>
      <c r="Q527" s="1739">
        <f>IF(AND(Q525=FALSE,Q526=FALSE),FALSE,TRUE)</f>
        <v/>
      </c>
      <c r="R527" s="1744" t="n"/>
      <c r="S527" s="1745" t="n"/>
      <c r="T527" s="1746">
        <f>IF(AND(T525=FALSE,T526=FALSE),FALSE,TRUE)</f>
        <v/>
      </c>
      <c r="V527" s="1510" t="n"/>
      <c r="W527" s="1506" t="n">
        <v>11</v>
      </c>
      <c r="X527" s="1507" t="n"/>
      <c r="Y527" s="1508" t="n">
        <v>11</v>
      </c>
      <c r="Z527" s="1507" t="n"/>
      <c r="AA527" s="1502" t="n">
        <v>11</v>
      </c>
      <c r="AC527" s="1650">
        <f>IF(J527=TRUE,"V","F")</f>
        <v/>
      </c>
      <c r="AD527" s="1651" t="n"/>
      <c r="AE527" s="1650">
        <f>IF(Q527=TRUE,"V","F")</f>
        <v/>
      </c>
      <c r="AF527" s="1651" t="n"/>
      <c r="AG527" s="1650">
        <f>IF(T527=TRUE,"V","F")</f>
        <v/>
      </c>
      <c r="AH527" s="1651" t="n"/>
      <c r="AJ527" s="10" t="n"/>
      <c r="AK527" s="10" t="n"/>
      <c r="AL527" s="10" t="n"/>
    </row>
    <row r="528" ht="47" customHeight="1">
      <c r="AC528" s="1737" t="n"/>
      <c r="AD528" s="1738">
        <f>IF(AND(AC527="V",AC518="V"),AD523-1,AD523)</f>
        <v/>
      </c>
      <c r="AE528" s="1737" t="n"/>
      <c r="AF528" s="1738">
        <f>IF(OR(AE518="V",AE522="V",AE527="V"),1,0)</f>
        <v/>
      </c>
      <c r="AG528" s="1737" t="n"/>
      <c r="AH528" s="1738">
        <f>IF(AG518="V",1,IF(AG527="V",1,0))</f>
        <v/>
      </c>
      <c r="AJ528" s="10" t="n">
        <v>1</v>
      </c>
      <c r="AK528" s="10" t="n">
        <v>1</v>
      </c>
      <c r="AL528" s="10" t="n">
        <v>1</v>
      </c>
    </row>
    <row r="529" ht="47" customHeight="1">
      <c r="AC529" s="1756" t="n"/>
      <c r="AD529" s="1757" t="n"/>
      <c r="AE529" s="1490" t="n"/>
      <c r="AF529" s="1490" t="n"/>
      <c r="AG529" s="1490" t="n"/>
      <c r="AH529" s="1490" t="n"/>
      <c r="AJ529" s="10" t="n"/>
      <c r="AK529" s="10" t="n"/>
      <c r="AL529" s="10" t="n"/>
    </row>
    <row r="530" ht="32" customHeight="1">
      <c r="AC530" s="1756" t="n"/>
      <c r="AD530" s="1757" t="n"/>
      <c r="AE530" s="1490" t="n"/>
      <c r="AF530" s="1490" t="n"/>
      <c r="AG530" s="1490" t="n"/>
      <c r="AH530" s="1490" t="n"/>
      <c r="AJ530" s="10" t="n"/>
      <c r="AK530" s="10" t="n"/>
      <c r="AL530" s="10" t="n"/>
    </row>
    <row r="531" ht="32" customHeight="1">
      <c r="AC531" s="1756" t="n"/>
      <c r="AD531" s="1757" t="n"/>
      <c r="AE531" s="1490" t="n"/>
      <c r="AF531" s="1490" t="n"/>
      <c r="AG531" s="1490" t="n"/>
      <c r="AH531" s="1490" t="n"/>
      <c r="AJ531" s="10" t="n"/>
      <c r="AK531" s="10" t="n"/>
      <c r="AL531" s="10" t="n"/>
    </row>
    <row r="532" ht="32" customHeight="1">
      <c r="AC532" s="1756" t="n"/>
      <c r="AD532" s="1757" t="n"/>
      <c r="AE532" s="1490" t="n"/>
      <c r="AF532" s="1490" t="n"/>
      <c r="AG532" s="1490" t="n"/>
      <c r="AH532" s="1490" t="n"/>
      <c r="AJ532" s="10" t="n"/>
      <c r="AK532" s="10" t="n"/>
      <c r="AL532" s="10" t="n"/>
    </row>
    <row r="533" ht="32" customHeight="1">
      <c r="AJ533" s="10" t="n"/>
      <c r="AK533" s="10" t="n"/>
      <c r="AL533" s="10" t="n"/>
    </row>
    <row r="534" ht="32" customHeight="1">
      <c r="A534" s="1028" t="n"/>
      <c r="B534" s="10" t="n"/>
      <c r="C534" s="10" t="n"/>
      <c r="D534" s="10" t="n"/>
      <c r="E534" s="10" t="n"/>
      <c r="F534" s="10" t="n"/>
      <c r="G534" s="10" t="n"/>
      <c r="H534" s="10" t="n"/>
      <c r="I534" s="10" t="n"/>
      <c r="J534" s="10" t="n"/>
      <c r="K534" s="10" t="n"/>
      <c r="L534" s="10" t="n"/>
      <c r="M534" s="10" t="n"/>
      <c r="N534" s="10" t="n"/>
      <c r="O534" s="10" t="n"/>
      <c r="P534" s="10" t="n"/>
      <c r="Q534" s="10" t="n"/>
      <c r="R534" s="10" t="n"/>
      <c r="S534" s="10" t="n"/>
      <c r="T534" s="10" t="n"/>
      <c r="V534" s="10" t="n"/>
      <c r="W534" s="10" t="n"/>
      <c r="X534" s="10" t="n"/>
      <c r="Y534" s="10" t="n"/>
      <c r="Z534" s="10" t="n"/>
      <c r="AA534" s="10" t="n"/>
      <c r="AB534" s="10" t="n"/>
      <c r="AC534" s="10" t="n"/>
      <c r="AD534" s="10" t="n"/>
      <c r="AE534" s="10" t="n"/>
      <c r="AF534" s="10" t="n"/>
      <c r="AG534" s="10" t="n"/>
      <c r="AH534" s="10" t="n"/>
      <c r="AJ534" s="10" t="n"/>
      <c r="AK534" s="10" t="n"/>
      <c r="AL534" s="10" t="n"/>
    </row>
    <row r="535" ht="32" customHeight="1">
      <c r="B535" s="477" t="inlineStr">
        <is>
          <t>MIROIR</t>
        </is>
      </c>
      <c r="AJ535" s="10" t="n"/>
      <c r="AK535" s="10" t="n"/>
      <c r="AL535" s="10" t="n"/>
    </row>
    <row r="536" ht="32" customHeight="1">
      <c r="D536" s="109" t="inlineStr">
        <is>
          <t>Mots-clés</t>
        </is>
      </c>
      <c r="E536" s="2060" t="inlineStr">
        <is>
          <t>COMBINAISONS</t>
        </is>
      </c>
      <c r="J536" s="2060" t="n"/>
      <c r="K536" s="2061" t="n"/>
      <c r="N536" s="2060" t="n"/>
      <c r="O536" s="2060" t="n"/>
      <c r="P536" s="2060" t="n"/>
      <c r="Q536" s="2060" t="n"/>
      <c r="R536" s="2060" t="n"/>
      <c r="S536" s="2060" t="n"/>
      <c r="T536" s="2060" t="n"/>
      <c r="U536" s="97" t="n"/>
      <c r="V536" s="97" t="n"/>
      <c r="AJ536" s="10" t="n"/>
      <c r="AK536" s="10" t="n"/>
      <c r="AL536" s="10" t="n"/>
    </row>
    <row r="537" ht="32" customHeight="1">
      <c r="A537" s="853" t="n">
        <v>1</v>
      </c>
      <c r="C537" s="486">
        <f>'[1]Cpts miroirs des parents'!$B$9</f>
        <v/>
      </c>
      <c r="D537" s="108" t="n"/>
      <c r="E537" s="66" t="n"/>
      <c r="F537" s="18" t="n"/>
      <c r="G537" s="18" t="n"/>
      <c r="H537" s="2052" t="inlineStr">
        <is>
          <t>AP</t>
        </is>
      </c>
      <c r="K537" s="2055" t="inlineStr">
        <is>
          <t>Dynamique d'AP</t>
        </is>
      </c>
      <c r="N537" s="330" t="n"/>
      <c r="O537" s="2122" t="inlineStr">
        <is>
          <t>CL</t>
        </is>
      </c>
      <c r="Q537" s="330" t="n"/>
      <c r="R537" s="2123" t="inlineStr">
        <is>
          <t>CSS</t>
        </is>
      </c>
      <c r="T537" s="330" t="n"/>
      <c r="U537" s="15" t="n"/>
      <c r="V537" s="15" t="n"/>
      <c r="AC537" s="1009" t="n"/>
      <c r="AD537" s="1009" t="n"/>
      <c r="AE537" s="1009" t="n"/>
      <c r="AF537" s="1009" t="n"/>
      <c r="AG537" s="1009" t="n"/>
      <c r="AH537" s="1010" t="n"/>
      <c r="AJ537" s="10" t="n"/>
      <c r="AK537" s="10" t="n"/>
      <c r="AL537" s="10" t="n"/>
    </row>
    <row r="538" ht="32" customHeight="1">
      <c r="C538" s="103" t="inlineStr">
        <is>
          <t>Questions et sous-questions</t>
        </is>
      </c>
      <c r="D538" s="1043" t="n"/>
      <c r="E538" s="33" t="inlineStr">
        <is>
          <t>Valeur de base
Fréquence (F)</t>
        </is>
      </c>
      <c r="F538" s="33" t="inlineStr">
        <is>
          <t>Valeur de base
intensité (I)</t>
        </is>
      </c>
      <c r="G538" s="33" t="inlineStr">
        <is>
          <t>F * I</t>
        </is>
      </c>
      <c r="H538" s="1708" t="inlineStr">
        <is>
          <t>Condition Fréq. 
&gt;= que</t>
        </is>
      </c>
      <c r="I538" s="44" t="inlineStr">
        <is>
          <t>Condition Fré
&lt;= que</t>
        </is>
      </c>
      <c r="J538" s="44" t="inlineStr">
        <is>
          <t>Condition respectée</t>
        </is>
      </c>
      <c r="K538" s="44" t="inlineStr">
        <is>
          <t>"VRAI" (PF&amp;NC) /  "VRAI" (Enf)</t>
        </is>
      </c>
      <c r="L538" s="44" t="inlineStr">
        <is>
          <t>Vrai (PF&amp;NC) /  Faux (Enf)</t>
        </is>
      </c>
      <c r="M538" s="44" t="inlineStr">
        <is>
          <t>Faux (PF&amp;NC) /  Vrai (Enf)</t>
        </is>
      </c>
      <c r="N538" s="1709" t="inlineStr">
        <is>
          <t>Faux (PF&amp;NC) /  Faux(Enf)</t>
        </is>
      </c>
      <c r="O538" s="1708" t="inlineStr">
        <is>
          <t>Condition Fréq. 
&gt;= que</t>
        </is>
      </c>
      <c r="P538" s="44" t="inlineStr">
        <is>
          <t>Condition Fré
&lt;= que</t>
        </is>
      </c>
      <c r="Q538" s="1709" t="inlineStr">
        <is>
          <t>Condition respectée</t>
        </is>
      </c>
      <c r="R538" s="1708" t="inlineStr">
        <is>
          <t>Condition Fréq. 
&gt;= que</t>
        </is>
      </c>
      <c r="S538" s="44" t="inlineStr">
        <is>
          <t>Condition Fré
&lt;= que</t>
        </is>
      </c>
      <c r="T538" s="1709" t="inlineStr">
        <is>
          <t>Condition respectée</t>
        </is>
      </c>
      <c r="U538" s="851" t="n"/>
      <c r="V538" s="1008" t="inlineStr">
        <is>
          <t>Condition</t>
        </is>
      </c>
      <c r="W538" s="1472" t="inlineStr">
        <is>
          <t>AP</t>
        </is>
      </c>
      <c r="X538" s="1008" t="inlineStr">
        <is>
          <t>Condition</t>
        </is>
      </c>
      <c r="Y538" s="1476" t="inlineStr">
        <is>
          <t>CL</t>
        </is>
      </c>
      <c r="Z538" s="1008" t="n"/>
      <c r="AA538" s="1480" t="inlineStr">
        <is>
          <t>CSS</t>
        </is>
      </c>
      <c r="AC538" s="1023" t="inlineStr">
        <is>
          <t>AP</t>
        </is>
      </c>
      <c r="AD538" s="1024" t="inlineStr">
        <is>
          <t>AP_F</t>
        </is>
      </c>
      <c r="AE538" s="1023" t="inlineStr">
        <is>
          <t>CL</t>
        </is>
      </c>
      <c r="AF538" s="1024" t="inlineStr">
        <is>
          <t>CL_F</t>
        </is>
      </c>
      <c r="AG538" s="1023" t="inlineStr">
        <is>
          <t>CSS</t>
        </is>
      </c>
      <c r="AH538" s="1024" t="inlineStr">
        <is>
          <t>CSS_F</t>
        </is>
      </c>
      <c r="AJ538" s="10" t="n"/>
      <c r="AK538" s="10" t="n"/>
      <c r="AL538" s="10" t="n"/>
    </row>
    <row r="539" ht="54" customHeight="1">
      <c r="B539" s="421">
        <f>BIBLE!E97</f>
        <v/>
      </c>
      <c r="C539" s="2066">
        <f>BIBLE!F97</f>
        <v/>
      </c>
      <c r="D539" s="102" t="n"/>
      <c r="E539" s="823">
        <f>Test_Bible!P181</f>
        <v/>
      </c>
      <c r="F539" s="822">
        <f>Test_Bible!D181</f>
        <v/>
      </c>
      <c r="G539" s="823">
        <f>E539*F539</f>
        <v/>
      </c>
      <c r="H539" s="1735" t="n">
        <v>11</v>
      </c>
      <c r="I539" s="1736" t="n">
        <v>11</v>
      </c>
      <c r="J539" s="46">
        <f>IF(AND(E539&gt;=H539,E539&lt;=I539),TRUE,FALSE)</f>
        <v/>
      </c>
      <c r="K539" s="46" t="n"/>
      <c r="L539" s="46" t="n"/>
      <c r="M539" s="46" t="n"/>
      <c r="N539" s="1711" t="n"/>
      <c r="O539" s="1710" t="n">
        <v>4</v>
      </c>
      <c r="P539" s="1703" t="n">
        <v>10</v>
      </c>
      <c r="Q539" s="1711">
        <f>IF(AND(E539&gt;=O539,E539&lt;=P539),TRUE,FALSE)</f>
        <v/>
      </c>
      <c r="R539" s="1710" t="n">
        <v>4</v>
      </c>
      <c r="S539" s="1703" t="n">
        <v>10</v>
      </c>
      <c r="T539" s="1711">
        <f>IF(AND(E539&gt;=R539,E539&lt;=S539),TRUE,FALSE)</f>
        <v/>
      </c>
      <c r="U539" s="1681" t="n"/>
      <c r="V539" s="1484" t="n"/>
      <c r="W539" s="1517" t="n">
        <v>11</v>
      </c>
      <c r="X539" s="2029" t="n"/>
      <c r="Y539" s="1527" t="n">
        <v>11</v>
      </c>
      <c r="Z539" s="2029" t="n"/>
      <c r="AA539" s="1496" t="n">
        <v>4</v>
      </c>
      <c r="AC539" s="1011" t="n"/>
      <c r="AD539" s="1012" t="n"/>
      <c r="AE539" s="1011" t="n"/>
      <c r="AF539" s="1012" t="n"/>
      <c r="AG539" s="1011" t="n"/>
      <c r="AH539" s="1012" t="n"/>
      <c r="AJ539" s="10" t="n"/>
      <c r="AK539" s="10" t="n"/>
      <c r="AL539" s="10" t="n"/>
    </row>
    <row r="540" ht="55" customHeight="1">
      <c r="A540" s="1815" t="n"/>
      <c r="B540" s="421">
        <f>BIBLE!E92</f>
        <v/>
      </c>
      <c r="C540" s="901">
        <f>BIBLE!F92</f>
        <v/>
      </c>
      <c r="D540" s="102" t="n"/>
      <c r="E540" s="823">
        <f>Test_Bible!P94</f>
        <v/>
      </c>
      <c r="F540" s="822">
        <f>Test_Bible!D94</f>
        <v/>
      </c>
      <c r="G540" s="823">
        <f>E540*F540</f>
        <v/>
      </c>
      <c r="H540" s="1735" t="n">
        <v>11</v>
      </c>
      <c r="I540" s="1736" t="n">
        <v>11</v>
      </c>
      <c r="J540" s="46">
        <f>IF(AND(E540&gt;=H540,E540&lt;=I540),TRUE,FALSE)</f>
        <v/>
      </c>
      <c r="K540" s="46" t="n"/>
      <c r="L540" s="46" t="n"/>
      <c r="M540" s="46" t="n"/>
      <c r="N540" s="1711" t="n"/>
      <c r="O540" s="1735" t="n">
        <v>11</v>
      </c>
      <c r="P540" s="1736" t="n">
        <v>11</v>
      </c>
      <c r="Q540" s="1711">
        <f>IF(AND(E540&gt;=O540,E540&lt;=P540),TRUE,FALSE)</f>
        <v/>
      </c>
      <c r="R540" s="1710" t="n">
        <v>4</v>
      </c>
      <c r="S540" s="1703" t="n">
        <v>10</v>
      </c>
      <c r="T540" s="1711">
        <f>IF(AND(E540&gt;=R540,E540&lt;=S540),TRUE,FALSE)</f>
        <v/>
      </c>
      <c r="U540" s="978" t="n"/>
      <c r="V540" s="1487" t="inlineStr">
        <is>
          <t>ou</t>
        </is>
      </c>
      <c r="W540" s="1518" t="n">
        <v>11</v>
      </c>
      <c r="X540" s="1493" t="n"/>
      <c r="Y540" s="1521" t="n">
        <v>11</v>
      </c>
      <c r="Z540" s="1522" t="n"/>
      <c r="AA540" s="1523" t="n">
        <v>11</v>
      </c>
      <c r="AC540" s="1013" t="n"/>
      <c r="AD540" s="1014" t="n"/>
      <c r="AE540" s="1013" t="n"/>
      <c r="AF540" s="1014" t="n"/>
      <c r="AG540" s="1013" t="n"/>
      <c r="AH540" s="1014" t="n"/>
      <c r="AJ540" s="10" t="n"/>
      <c r="AK540" s="10" t="n"/>
      <c r="AL540" s="10" t="n"/>
    </row>
    <row r="541" ht="32" customHeight="1">
      <c r="B541" s="825" t="inlineStr">
        <is>
          <t>Max PFA</t>
        </is>
      </c>
      <c r="C541" s="826">
        <f>_xlfn.XLOOKUP(G541,G539:G540,C539:C540)</f>
        <v/>
      </c>
      <c r="D541" s="827" t="n"/>
      <c r="E541" s="828" t="n"/>
      <c r="F541" s="828" t="n"/>
      <c r="G541" s="828">
        <f>IF(AND(J539=TRUE,J540=FALSE),G539,IF(AND(J539=FALSE,J540=TRUE),G540,MAX(G539,G540)))</f>
        <v/>
      </c>
      <c r="H541" s="1712" t="n"/>
      <c r="I541" s="829" t="n"/>
      <c r="J541" s="830">
        <f>IF(AND(J539=FALSE,J540=FALSE),FALSE,TRUE)</f>
        <v/>
      </c>
      <c r="K541" s="46" t="n"/>
      <c r="L541" s="46" t="n"/>
      <c r="M541" s="46" t="n"/>
      <c r="N541" s="1711" t="n"/>
      <c r="O541" s="1712" t="n"/>
      <c r="P541" s="829" t="n"/>
      <c r="Q541" s="1725">
        <f>IF(AND(Q539=FALSE,Q540=FALSE),FALSE,TRUE)</f>
        <v/>
      </c>
      <c r="R541" s="1712" t="n"/>
      <c r="S541" s="829" t="n"/>
      <c r="T541" s="1725">
        <f>IF(AND(T539=FALSE,T540=FALSE),FALSE,TRUE)</f>
        <v/>
      </c>
      <c r="U541" s="978" t="n"/>
      <c r="V541" s="978" t="inlineStr">
        <is>
          <t>ou</t>
        </is>
      </c>
      <c r="W541" s="1519" t="n"/>
      <c r="X541" s="2002" t="n"/>
      <c r="Y541" s="1524" t="n"/>
      <c r="Z541" s="1525" t="n"/>
      <c r="AA541" s="1526" t="n"/>
      <c r="AC541" s="1013" t="n"/>
      <c r="AD541" s="1014" t="n"/>
      <c r="AE541" s="1013" t="n"/>
      <c r="AF541" s="1014" t="n"/>
      <c r="AG541" s="1013" t="n"/>
      <c r="AH541" s="1014" t="n"/>
      <c r="AJ541" s="10" t="n"/>
      <c r="AK541" s="10" t="n"/>
      <c r="AL541" s="10" t="n"/>
    </row>
    <row r="542" ht="32" customHeight="1">
      <c r="B542" s="53" t="n"/>
      <c r="C542" s="2066" t="n"/>
      <c r="D542" s="102" t="n"/>
      <c r="E542" s="823" t="n"/>
      <c r="F542" s="822" t="n"/>
      <c r="G542" s="823" t="n"/>
      <c r="H542" s="1735" t="n">
        <v>11</v>
      </c>
      <c r="I542" s="1736" t="n">
        <v>11</v>
      </c>
      <c r="J542" s="46">
        <f>IF(AND(E542&gt;=H542,E542&lt;=I542),TRUE,FALSE)</f>
        <v/>
      </c>
      <c r="K542" s="46" t="n"/>
      <c r="L542" s="46" t="n"/>
      <c r="M542" s="46" t="n"/>
      <c r="N542" s="1711" t="n"/>
      <c r="O542" s="1735" t="n">
        <v>11</v>
      </c>
      <c r="P542" s="1736" t="n">
        <v>11</v>
      </c>
      <c r="Q542" s="1711">
        <f>IF(AND(E542&gt;=O542,E542&lt;=P542),TRUE,FALSE)</f>
        <v/>
      </c>
      <c r="R542" s="1735" t="n">
        <v>11</v>
      </c>
      <c r="S542" s="1736" t="n">
        <v>11</v>
      </c>
      <c r="T542" s="1711">
        <f>IF(AND(E542&gt;=R542,E542&lt;=S542),TRUE,FALSE)</f>
        <v/>
      </c>
      <c r="U542" s="978" t="n"/>
      <c r="V542" s="1484" t="n"/>
      <c r="W542" s="1517" t="n">
        <v>11</v>
      </c>
      <c r="X542" s="2029" t="n"/>
      <c r="Y542" s="1527" t="n">
        <v>11</v>
      </c>
      <c r="Z542" s="1528" t="n"/>
      <c r="AA542" s="1529" t="n">
        <v>11</v>
      </c>
      <c r="AC542" s="1013" t="n"/>
      <c r="AD542" s="1014" t="n"/>
      <c r="AE542" s="1013" t="n"/>
      <c r="AF542" s="1014" t="n"/>
      <c r="AG542" s="1013" t="n"/>
      <c r="AH542" s="1014" t="n"/>
      <c r="AJ542" s="10" t="n"/>
      <c r="AK542" s="10" t="n"/>
      <c r="AL542" s="10" t="n"/>
    </row>
    <row r="543" ht="32" customHeight="1">
      <c r="B543" s="53" t="n"/>
      <c r="C543" s="2066" t="n"/>
      <c r="D543" s="63" t="n"/>
      <c r="E543" s="36" t="n"/>
      <c r="F543" s="36" t="n"/>
      <c r="G543" s="36" t="n"/>
      <c r="H543" s="1735" t="n">
        <v>11</v>
      </c>
      <c r="I543" s="1736" t="n">
        <v>11</v>
      </c>
      <c r="J543" s="46">
        <f>IF(AND(E543&gt;=H543,E543&lt;=I543),TRUE,FALSE)</f>
        <v/>
      </c>
      <c r="K543" s="46" t="n"/>
      <c r="L543" s="46" t="n"/>
      <c r="M543" s="46" t="n"/>
      <c r="N543" s="1711" t="n"/>
      <c r="O543" s="1735" t="n">
        <v>11</v>
      </c>
      <c r="P543" s="1736" t="n">
        <v>11</v>
      </c>
      <c r="Q543" s="1711">
        <f>IF(AND(E543&gt;=O543,E543&lt;=P543),TRUE,FALSE)</f>
        <v/>
      </c>
      <c r="R543" s="1735" t="n">
        <v>11</v>
      </c>
      <c r="S543" s="1736" t="n">
        <v>11</v>
      </c>
      <c r="T543" s="1711">
        <f>IF(AND(E543&gt;=R543,E543&lt;=S543),TRUE,FALSE)</f>
        <v/>
      </c>
      <c r="U543" s="978" t="n"/>
      <c r="V543" s="1487" t="inlineStr">
        <is>
          <t>ou</t>
        </is>
      </c>
      <c r="W543" s="1518" t="n">
        <v>11</v>
      </c>
      <c r="X543" s="1493" t="n"/>
      <c r="Y543" s="1521" t="n">
        <v>11</v>
      </c>
      <c r="Z543" s="1522" t="n"/>
      <c r="AA543" s="1523" t="n">
        <v>11</v>
      </c>
      <c r="AC543" s="1013" t="n"/>
      <c r="AD543" s="1014" t="n"/>
      <c r="AE543" s="1013" t="n"/>
      <c r="AF543" s="1014" t="n"/>
      <c r="AG543" s="1013" t="n"/>
      <c r="AH543" s="1014" t="n"/>
      <c r="AJ543" s="10" t="n"/>
      <c r="AK543" s="10" t="n"/>
      <c r="AL543" s="10" t="n"/>
    </row>
    <row r="544" ht="32" customHeight="1" thickBot="1">
      <c r="B544" s="831" t="inlineStr">
        <is>
          <t>Max NC</t>
        </is>
      </c>
      <c r="C544" s="832">
        <f>_xlfn.XLOOKUP(G544,G542:G543,C542:C543)</f>
        <v/>
      </c>
      <c r="D544" s="833" t="n"/>
      <c r="E544" s="834" t="n"/>
      <c r="F544" s="834" t="n"/>
      <c r="G544" s="834">
        <f>IF(AND(J542=TRUE,J543=FALSE),G542,IF(AND(J542=FALSE,J543=TRUE),G543,MAX(G542,G543)))</f>
        <v/>
      </c>
      <c r="H544" s="1713" t="n"/>
      <c r="I544" s="835" t="n"/>
      <c r="J544" s="836">
        <f>IF(AND(J542=FALSE,J543=FALSE),FALSE,TRUE)</f>
        <v/>
      </c>
      <c r="K544" s="46" t="n"/>
      <c r="L544" s="46" t="n"/>
      <c r="M544" s="46" t="n"/>
      <c r="N544" s="1711" t="n"/>
      <c r="O544" s="1713" t="n"/>
      <c r="P544" s="835" t="n"/>
      <c r="Q544" s="1726">
        <f>IF(AND(Q542=FALSE,Q543=FALSE),FALSE,TRUE)</f>
        <v/>
      </c>
      <c r="R544" s="1713" t="n"/>
      <c r="S544" s="835" t="n"/>
      <c r="T544" s="1726">
        <f>IF(AND(T542=FALSE,T543=FALSE),FALSE,TRUE)</f>
        <v/>
      </c>
      <c r="U544" s="978" t="n"/>
      <c r="V544" s="978" t="n"/>
      <c r="W544" s="1519" t="n"/>
      <c r="X544" s="2002" t="n"/>
      <c r="Y544" s="1524" t="n"/>
      <c r="Z544" s="1525" t="n"/>
      <c r="AA544" s="1526" t="n"/>
      <c r="AC544" s="1013" t="n"/>
      <c r="AD544" s="1014" t="n"/>
      <c r="AE544" s="1013" t="n"/>
      <c r="AF544" s="1014" t="n"/>
      <c r="AG544" s="1013" t="n"/>
      <c r="AH544" s="1014" t="n"/>
      <c r="AJ544" s="10" t="n"/>
      <c r="AK544" s="10" t="n"/>
      <c r="AL544" s="10" t="n"/>
    </row>
    <row r="545" ht="32" customHeight="1" thickBot="1">
      <c r="B545" s="837" t="inlineStr">
        <is>
          <t>Max PFA &amp; NC</t>
        </is>
      </c>
      <c r="C545" s="838" t="n"/>
      <c r="D545" s="838" t="n"/>
      <c r="E545" s="839" t="n"/>
      <c r="F545" s="839" t="n"/>
      <c r="G545" s="839">
        <f>IF(AND(J541=TRUE,J544=FALSE),G541,IF(AND(J541=FALSE,J544=TRUE),G544,IF(AND(J541=TRUE,J544=TRUE),G541+G544,MAX(G541,G544))))</f>
        <v/>
      </c>
      <c r="H545" s="1714" t="n"/>
      <c r="I545" s="840" t="n"/>
      <c r="J545" s="841">
        <f>IF(AND(J541=FALSE,J544=FALSE),FALSE,TRUE)</f>
        <v/>
      </c>
      <c r="K545" s="1698" t="n"/>
      <c r="L545" s="1698" t="n"/>
      <c r="M545" s="1698" t="n"/>
      <c r="N545" s="1715" t="n"/>
      <c r="O545" s="1714" t="n"/>
      <c r="P545" s="840" t="n"/>
      <c r="Q545" s="841">
        <f>IF(AND(Q541=FALSE,Q544=FALSE),FALSE,TRUE)</f>
        <v/>
      </c>
      <c r="R545" s="1714" t="n"/>
      <c r="S545" s="840" t="n"/>
      <c r="T545" s="841">
        <f>IF(AND(T541=FALSE,T544=FALSE),FALSE,TRUE)</f>
        <v/>
      </c>
      <c r="U545" s="978" t="n"/>
      <c r="V545" s="978" t="inlineStr">
        <is>
          <t>et</t>
        </is>
      </c>
      <c r="W545" s="1519" t="n"/>
      <c r="X545" s="2002" t="n"/>
      <c r="Y545" s="1524" t="n"/>
      <c r="Z545" s="1525" t="n"/>
      <c r="AA545" s="1526" t="n"/>
      <c r="AC545" s="1013">
        <f>IF(J545=TRUE,"V","F")</f>
        <v/>
      </c>
      <c r="AD545" s="1014" t="n"/>
      <c r="AE545" s="1013">
        <f>IF(Q545=TRUE,"V","F")</f>
        <v/>
      </c>
      <c r="AF545" s="1014" t="n"/>
      <c r="AG545" s="1013">
        <f>IF(T545=TRUE,"V","F")</f>
        <v/>
      </c>
      <c r="AH545" s="1014" t="n"/>
      <c r="AJ545" s="10" t="n"/>
      <c r="AK545" s="10" t="n"/>
      <c r="AL545" s="10" t="n"/>
    </row>
    <row r="546" ht="32" customHeight="1">
      <c r="B546" s="316">
        <f>'Action-Réaction finale'!O510</f>
        <v/>
      </c>
      <c r="C546" s="2066">
        <f>Test_Bible!B788</f>
        <v/>
      </c>
      <c r="D546" s="63" t="n"/>
      <c r="E546" s="823">
        <f>Test_Bible!P788</f>
        <v/>
      </c>
      <c r="F546" s="822">
        <f>Test_Bible!D788</f>
        <v/>
      </c>
      <c r="G546" s="823">
        <f>Test_Bible!Q788</f>
        <v/>
      </c>
      <c r="H546" s="1735" t="n">
        <v>11</v>
      </c>
      <c r="I546" s="1736" t="n">
        <v>11</v>
      </c>
      <c r="J546" s="46">
        <f>IF(AND(E546&gt;=H546,E546&lt;=I546),TRUE,FALSE)</f>
        <v/>
      </c>
      <c r="K546" s="46" t="n"/>
      <c r="L546" s="46" t="n"/>
      <c r="M546" s="46" t="n"/>
      <c r="N546" s="1711" t="n"/>
      <c r="O546" s="1735" t="n">
        <v>11</v>
      </c>
      <c r="P546" s="1736" t="n">
        <v>11</v>
      </c>
      <c r="Q546" s="1711">
        <f>IF(AND(E546&gt;=O546,E546&lt;=P546),TRUE,FALSE)</f>
        <v/>
      </c>
      <c r="R546" s="1710" t="n"/>
      <c r="S546" s="1703" t="n"/>
      <c r="T546" s="1711" t="n"/>
      <c r="U546" s="978" t="n"/>
      <c r="V546" s="1484" t="n"/>
      <c r="W546" s="1517" t="n">
        <v>11</v>
      </c>
      <c r="X546" s="2029" t="n"/>
      <c r="Y546" s="1527" t="n">
        <v>11</v>
      </c>
      <c r="Z546" s="1528" t="n"/>
      <c r="AA546" s="1529" t="n">
        <v>11</v>
      </c>
      <c r="AC546" s="1013" t="inlineStr">
        <is>
          <t> </t>
        </is>
      </c>
      <c r="AD546" s="1014" t="n"/>
      <c r="AE546" s="1013" t="n"/>
      <c r="AF546" s="1014" t="n"/>
      <c r="AG546" s="1013" t="n"/>
      <c r="AH546" s="1014" t="n"/>
      <c r="AJ546" s="10" t="n"/>
      <c r="AK546" s="10" t="n"/>
      <c r="AL546" s="10" t="n"/>
    </row>
    <row r="547" ht="32" customHeight="1" thickBot="1">
      <c r="B547" s="316">
        <f>'Action-Réaction finale'!O511</f>
        <v/>
      </c>
      <c r="C547" s="799">
        <f>Test_Bible!B789</f>
        <v/>
      </c>
      <c r="D547" s="63" t="n"/>
      <c r="E547" s="823">
        <f>Test_Bible!P789</f>
        <v/>
      </c>
      <c r="F547" s="822">
        <f>Test_Bible!D789</f>
        <v/>
      </c>
      <c r="G547" s="823">
        <f>Test_Bible!Q789</f>
        <v/>
      </c>
      <c r="H547" s="1735" t="n">
        <v>11</v>
      </c>
      <c r="I547" s="1736" t="n">
        <v>11</v>
      </c>
      <c r="J547" s="46">
        <f>IF(AND(E547&gt;=H547,E547&lt;=I547),TRUE,FALSE)</f>
        <v/>
      </c>
      <c r="K547" s="46" t="n"/>
      <c r="L547" s="46" t="n"/>
      <c r="M547" s="46" t="n"/>
      <c r="N547" s="1711" t="n"/>
      <c r="O547" s="1735" t="n">
        <v>11</v>
      </c>
      <c r="P547" s="1736" t="n">
        <v>11</v>
      </c>
      <c r="Q547" s="1711">
        <f>IF(AND(E547&gt;=O547,E547&lt;=P547),TRUE,FALSE)</f>
        <v/>
      </c>
      <c r="R547" s="1735" t="n"/>
      <c r="S547" s="1736" t="n"/>
      <c r="T547" s="1711" t="n"/>
      <c r="U547" s="978" t="n"/>
      <c r="V547" s="1487" t="inlineStr">
        <is>
          <t>ou</t>
        </is>
      </c>
      <c r="W547" s="1518" t="n">
        <v>11</v>
      </c>
      <c r="X547" s="1493" t="n"/>
      <c r="Y547" s="1521" t="n">
        <v>11</v>
      </c>
      <c r="Z547" s="1522" t="n"/>
      <c r="AA547" s="1523" t="n">
        <v>11</v>
      </c>
      <c r="AC547" s="1013" t="n"/>
      <c r="AD547" s="1014" t="n"/>
      <c r="AE547" s="1013" t="n"/>
      <c r="AF547" s="1014" t="n"/>
      <c r="AG547" s="1013" t="n"/>
      <c r="AH547" s="1014" t="n"/>
      <c r="AJ547" s="10" t="n"/>
      <c r="AK547" s="10" t="n"/>
      <c r="AL547" s="10" t="n"/>
    </row>
    <row r="548" ht="32" customHeight="1" thickBot="1">
      <c r="B548" s="842" t="inlineStr">
        <is>
          <t>Max Enf</t>
        </is>
      </c>
      <c r="C548" s="843">
        <f>_xlfn.XLOOKUP(G548,G546:G547,C546:C547)</f>
        <v/>
      </c>
      <c r="D548" s="843" t="n"/>
      <c r="E548" s="844" t="n"/>
      <c r="F548" s="844" t="n"/>
      <c r="G548" s="844">
        <f>IF(AND(J546=TRUE,J547=FALSE),G546,IF(AND(J546=FALSE,J547=TRUE),G547,MAX(G546,G547)))</f>
        <v/>
      </c>
      <c r="H548" s="1716" t="n"/>
      <c r="I548" s="845" t="n"/>
      <c r="J548" s="846">
        <f>IF(AND(J546=FALSE,J547=FALSE),FALSE,TRUE)</f>
        <v/>
      </c>
      <c r="K548" s="1699" t="n"/>
      <c r="L548" s="1699" t="n"/>
      <c r="M548" s="1699" t="n"/>
      <c r="N548" s="1717" t="n"/>
      <c r="O548" s="1716" t="n"/>
      <c r="P548" s="845" t="n"/>
      <c r="Q548" s="846">
        <f>IF(AND(Q546=FALSE,Q547=FALSE),FALSE,TRUE)</f>
        <v/>
      </c>
      <c r="R548" s="1716" t="n"/>
      <c r="S548" s="845" t="n"/>
      <c r="T548" s="846" t="n"/>
      <c r="U548" s="978" t="n"/>
      <c r="V548" s="978" t="n"/>
      <c r="W548" s="1520" t="n"/>
      <c r="Y548" s="1479" t="n"/>
      <c r="AA548" s="1483" t="n"/>
      <c r="AC548" s="1013">
        <f>IF(J548=TRUE,"V","F")</f>
        <v/>
      </c>
      <c r="AD548" s="1014" t="n"/>
      <c r="AE548" s="1013">
        <f>IF(Q548=TRUE,"V","F")</f>
        <v/>
      </c>
      <c r="AF548" s="1014" t="n"/>
      <c r="AG548" s="1013" t="n"/>
      <c r="AH548" s="1014" t="n"/>
      <c r="AJ548" s="10" t="n"/>
      <c r="AK548" s="10" t="n"/>
      <c r="AL548" s="10" t="n"/>
    </row>
    <row r="549" ht="32" customHeight="1">
      <c r="C549" s="428" t="inlineStr">
        <is>
          <t>COMPARATIF Comportement PFA-Enf</t>
        </is>
      </c>
      <c r="D549" s="2058" t="n"/>
      <c r="E549" s="484" t="inlineStr">
        <is>
          <t>Valeur =&gt;</t>
        </is>
      </c>
      <c r="F549" s="48" t="n"/>
      <c r="G549" s="48">
        <f>G541+G544+G548</f>
        <v/>
      </c>
      <c r="H549" s="1718" t="n"/>
      <c r="I549" s="485" t="n"/>
      <c r="J549" s="1701" t="n"/>
      <c r="K549" s="1702">
        <f>IF(AND(J548=TRUE,J545=TRUE),D548,"")</f>
        <v/>
      </c>
      <c r="L549" s="1702">
        <f>IF(AND(J545=TRUE,J548=FALSE),"Bien que le parent "&amp;D545&amp;" l'enfant ne semble pas s'ingérer","")</f>
        <v/>
      </c>
      <c r="M549" s="1702">
        <f>IF(AND(J545=FALSE,J548=TRUE),D548&amp;" sans signe de la participation du parent favorisé et|ou nouveau conjoint.e","")</f>
        <v/>
      </c>
      <c r="N549" s="1719">
        <f>IF(AND(J545=FALSE,J548=FALSE),"aucun comportement significatif de cette nature","")</f>
        <v/>
      </c>
      <c r="O549" s="1718" t="n"/>
      <c r="P549" s="485" t="n"/>
      <c r="Q549" s="1727" t="n"/>
      <c r="R549" s="1718" t="n"/>
      <c r="S549" s="485" t="n"/>
      <c r="T549" s="1727" t="n"/>
      <c r="U549" s="980" t="n"/>
      <c r="V549" s="980" t="n"/>
      <c r="W549" s="1520" t="n"/>
      <c r="Y549" s="1479" t="n"/>
      <c r="AA549" s="1483" t="n"/>
      <c r="AC549" s="1015" t="n"/>
      <c r="AD549" s="1016">
        <f>IF(AND(AC545="V",AC548="V"),2,IF(OR(AC545="V",AC548="V"),1,0))</f>
        <v/>
      </c>
      <c r="AE549" s="1015" t="n"/>
      <c r="AF549" s="1016">
        <f>IF(OR(AE545="V",AE548="V"),1,0)</f>
        <v/>
      </c>
      <c r="AG549" s="1015" t="n"/>
      <c r="AH549" s="1016" t="n"/>
      <c r="AJ549" s="10" t="n"/>
      <c r="AK549" s="10" t="n"/>
      <c r="AL549" s="10" t="n"/>
    </row>
    <row r="550" ht="32" customHeight="1">
      <c r="B550" t="inlineStr">
        <is>
          <t>PCR</t>
        </is>
      </c>
      <c r="H550" s="147" t="n"/>
      <c r="K550" s="1992" t="n"/>
      <c r="L550" s="1992" t="n"/>
      <c r="M550" s="1992" t="n"/>
      <c r="N550" s="1740" t="n"/>
      <c r="O550" s="147" t="n"/>
      <c r="Q550" s="330" t="n"/>
      <c r="R550" s="147" t="n"/>
      <c r="T550" s="330" t="n"/>
      <c r="U550" s="1992" t="n"/>
      <c r="W550" s="1520" t="n"/>
      <c r="Y550" s="1479" t="n"/>
      <c r="AA550" s="1483" t="n"/>
      <c r="AC550" s="1013" t="n"/>
      <c r="AD550" s="1014" t="n"/>
      <c r="AE550" s="1013" t="n"/>
      <c r="AF550" s="1014" t="n"/>
      <c r="AG550" s="1013" t="n"/>
      <c r="AH550" s="1014" t="n"/>
      <c r="AJ550" s="10" t="n"/>
      <c r="AK550" s="10" t="n"/>
      <c r="AL550" s="10" t="n"/>
    </row>
    <row r="551" ht="32" customHeight="1">
      <c r="B551" s="1017">
        <f>BIBLE!E55</f>
        <v/>
      </c>
      <c r="C551" s="1044">
        <f>BIBLE!F55</f>
        <v/>
      </c>
      <c r="D551" s="1018" t="n"/>
      <c r="E551" s="1026">
        <f>Test_Bible!P122</f>
        <v/>
      </c>
      <c r="F551" s="1026">
        <f>Test_Bible!D122</f>
        <v/>
      </c>
      <c r="G551" s="1026">
        <f>E551*F551</f>
        <v/>
      </c>
      <c r="H551" s="1735" t="n">
        <v>11</v>
      </c>
      <c r="I551" s="1736" t="n">
        <v>11</v>
      </c>
      <c r="J551" s="46">
        <f>IF(AND(E551&gt;=H551,E551&lt;=I551),TRUE,FALSE)</f>
        <v/>
      </c>
      <c r="K551" s="33" t="n"/>
      <c r="L551" s="33" t="n"/>
      <c r="M551" s="33" t="n"/>
      <c r="N551" s="1720" t="n"/>
      <c r="O551" s="1710" t="n">
        <v>4</v>
      </c>
      <c r="P551" s="1703" t="n">
        <v>10</v>
      </c>
      <c r="Q551" s="1711">
        <f>IF(AND(E551&gt;=O551,E551&lt;=P551),TRUE,FALSE)</f>
        <v/>
      </c>
      <c r="R551" s="1710" t="n">
        <v>7</v>
      </c>
      <c r="S551" s="1703" t="n">
        <v>10</v>
      </c>
      <c r="T551" s="1711">
        <f>IF(AND(E551&gt;=R551,E551&lt;=S551),TRUE,FALSE)</f>
        <v/>
      </c>
      <c r="U551" s="1681" t="n"/>
      <c r="V551" s="1514" t="n"/>
      <c r="W551" s="1517" t="n">
        <v>11</v>
      </c>
      <c r="X551" s="2029" t="n"/>
      <c r="Y551" s="1527" t="n">
        <v>11</v>
      </c>
      <c r="Z551" s="2029" t="n"/>
      <c r="AA551" s="1496" t="n">
        <v>4</v>
      </c>
      <c r="AC551" s="1013" t="n"/>
      <c r="AD551" s="1014" t="n"/>
      <c r="AE551" s="1013" t="n"/>
      <c r="AF551" s="1014" t="n"/>
      <c r="AG551" s="1013" t="n"/>
      <c r="AH551" s="1014" t="n"/>
      <c r="AJ551" s="10" t="n"/>
      <c r="AK551" s="10" t="n"/>
      <c r="AL551" s="10" t="n"/>
    </row>
    <row r="552" ht="77" customHeight="1" thickBot="1">
      <c r="B552" s="1017">
        <f>BIBLE!E56</f>
        <v/>
      </c>
      <c r="C552" s="1044">
        <f>BIBLE!F56</f>
        <v/>
      </c>
      <c r="D552" s="1018" t="n"/>
      <c r="E552" s="1026">
        <f>Test_Bible!P123</f>
        <v/>
      </c>
      <c r="F552" s="1026">
        <f>Test_Bible!D123</f>
        <v/>
      </c>
      <c r="G552" s="1026">
        <f>E552*F552</f>
        <v/>
      </c>
      <c r="H552" s="1735" t="n">
        <v>11</v>
      </c>
      <c r="I552" s="1736" t="n">
        <v>11</v>
      </c>
      <c r="J552" s="46">
        <f>IF(AND(E552&gt;=H552,E552&lt;=I552),TRUE,FALSE)</f>
        <v/>
      </c>
      <c r="K552" s="33" t="n"/>
      <c r="L552" s="33" t="n"/>
      <c r="M552" s="33" t="n"/>
      <c r="N552" s="1720" t="n"/>
      <c r="O552" s="1735" t="n">
        <v>11</v>
      </c>
      <c r="P552" s="1736" t="n">
        <v>11</v>
      </c>
      <c r="Q552" s="1711">
        <f>IF(AND(E552&gt;=O552,E552&lt;=P552),TRUE,FALSE)</f>
        <v/>
      </c>
      <c r="R552" s="1710" t="n">
        <v>7</v>
      </c>
      <c r="S552" s="1703" t="n">
        <v>10</v>
      </c>
      <c r="T552" s="1711">
        <f>IF(AND(E552&gt;=R552,E552&lt;=S552),TRUE,FALSE)</f>
        <v/>
      </c>
      <c r="V552" s="1515" t="n"/>
      <c r="W552" s="1518" t="n">
        <v>11</v>
      </c>
      <c r="X552" s="1493" t="n"/>
      <c r="Y552" s="1521" t="n">
        <v>11</v>
      </c>
      <c r="Z552" s="1493" t="n"/>
      <c r="AA552" s="1523" t="n">
        <v>11</v>
      </c>
      <c r="AC552" s="1013" t="n"/>
      <c r="AD552" s="1014" t="n"/>
      <c r="AE552" s="1013" t="n"/>
      <c r="AF552" s="1014" t="n"/>
      <c r="AG552" s="1013" t="n"/>
      <c r="AH552" s="1014" t="n"/>
      <c r="AJ552" s="10" t="n"/>
      <c r="AK552" s="10" t="n"/>
      <c r="AL552" s="10" t="n"/>
    </row>
    <row r="553" ht="32" customHeight="1" thickBot="1">
      <c r="D553" s="847" t="n"/>
      <c r="E553" s="97" t="n"/>
      <c r="F553" s="97" t="n"/>
      <c r="G553" s="97" t="n"/>
      <c r="H553" s="1732" t="n"/>
      <c r="I553" s="1733" t="n"/>
      <c r="J553" s="1739">
        <f>IF(AND(J551=FALSE,J552=FALSE),FALSE,TRUE)</f>
        <v/>
      </c>
      <c r="K553" s="1721" t="n"/>
      <c r="L553" s="1722" t="n"/>
      <c r="M553" s="1722" t="n"/>
      <c r="N553" s="1723" t="n"/>
      <c r="O553" s="1732" t="n"/>
      <c r="P553" s="1733" t="n"/>
      <c r="Q553" s="1739">
        <f>IF(AND(Q551=FALSE,Q552=FALSE),FALSE,TRUE)</f>
        <v/>
      </c>
      <c r="R553" s="1744" t="n"/>
      <c r="S553" s="1745" t="n"/>
      <c r="T553" s="1746">
        <f>IF(AND(T551=FALSE,T552=FALSE),FALSE,TRUE)</f>
        <v/>
      </c>
      <c r="U553" s="97" t="n"/>
      <c r="AC553" s="1650">
        <f>IF(J553=TRUE,"V","F")</f>
        <v/>
      </c>
      <c r="AD553" s="1651" t="n"/>
      <c r="AE553" s="1650">
        <f>IF(Q553=TRUE,"V","F")</f>
        <v/>
      </c>
      <c r="AF553" s="1651" t="n"/>
      <c r="AG553" s="1650">
        <f>IF(T553=TRUE,"V","F")</f>
        <v/>
      </c>
      <c r="AH553" s="1651" t="n"/>
      <c r="AJ553" s="10" t="n"/>
      <c r="AK553" s="10" t="n"/>
      <c r="AL553" s="10" t="n"/>
    </row>
    <row r="554" ht="32" customHeight="1">
      <c r="AC554" s="1737" t="n"/>
      <c r="AD554" s="1738">
        <f>IF(AND(AC553="V",AC545="V"),AD549-1,AD549)</f>
        <v/>
      </c>
      <c r="AE554" s="1737" t="n"/>
      <c r="AF554" s="1738">
        <f>IF(OR(AE545="V",AE548="V",AE553="V"),1,0)</f>
        <v/>
      </c>
      <c r="AG554" s="1737" t="n"/>
      <c r="AH554" s="1738">
        <f>IF(AG545="V",1,IF(AG553="V",1,0))</f>
        <v/>
      </c>
      <c r="AJ554" s="10" t="n"/>
      <c r="AK554" s="10" t="n">
        <v>1</v>
      </c>
      <c r="AL554" s="10" t="n">
        <v>1</v>
      </c>
    </row>
    <row r="555" ht="32" customHeight="1">
      <c r="AC555" s="1756" t="inlineStr">
        <is>
          <t>Indice boosté</t>
        </is>
      </c>
      <c r="AD555" s="1757">
        <f>IF(AF554=1,AD554*(1+$AH$28),AD554)</f>
        <v/>
      </c>
      <c r="AE555" s="1490" t="n"/>
      <c r="AJ555" s="10" t="n"/>
      <c r="AK555" s="10" t="n"/>
      <c r="AL555" s="10" t="n"/>
    </row>
    <row r="556" ht="32" customHeight="1">
      <c r="D556" s="109" t="inlineStr">
        <is>
          <t>Mots-clés</t>
        </is>
      </c>
      <c r="E556" s="2060" t="inlineStr">
        <is>
          <t>COMBINAISONS</t>
        </is>
      </c>
      <c r="J556" s="2060" t="n"/>
      <c r="K556" s="2061" t="n"/>
      <c r="N556" s="2060" t="n"/>
      <c r="O556" s="2060" t="n"/>
      <c r="P556" s="2060" t="n"/>
      <c r="Q556" s="2060" t="n"/>
      <c r="R556" s="2060" t="n"/>
      <c r="S556" s="2060" t="n"/>
      <c r="T556" s="2060" t="n"/>
      <c r="U556" s="97" t="n"/>
      <c r="V556" s="97" t="n"/>
      <c r="AJ556" s="10" t="n"/>
      <c r="AK556" s="10" t="n"/>
      <c r="AL556" s="10" t="n"/>
    </row>
    <row r="557" ht="32" customHeight="1">
      <c r="A557" s="853" t="n">
        <v>2</v>
      </c>
      <c r="C557" s="486">
        <f>'[1]Cpts miroirs des parents'!$B$11</f>
        <v/>
      </c>
      <c r="D557" s="108" t="n"/>
      <c r="E557" s="66" t="n"/>
      <c r="F557" s="18" t="n"/>
      <c r="G557" s="18" t="n"/>
      <c r="H557" s="2052" t="inlineStr">
        <is>
          <t>AP</t>
        </is>
      </c>
      <c r="K557" s="2055" t="inlineStr">
        <is>
          <t>Dynamique d'AP</t>
        </is>
      </c>
      <c r="N557" s="330" t="n"/>
      <c r="O557" s="2122" t="inlineStr">
        <is>
          <t>CL</t>
        </is>
      </c>
      <c r="Q557" s="330" t="n"/>
      <c r="R557" s="2123" t="inlineStr">
        <is>
          <t>CSS</t>
        </is>
      </c>
      <c r="T557" s="330" t="n"/>
      <c r="U557" s="15" t="n"/>
      <c r="V557" s="15" t="n"/>
      <c r="AC557" s="1009" t="n"/>
      <c r="AD557" s="1009" t="n"/>
      <c r="AE557" s="1009" t="n"/>
      <c r="AF557" s="1009" t="n"/>
      <c r="AG557" s="1009" t="n"/>
      <c r="AH557" s="1010" t="n"/>
      <c r="AJ557" s="10" t="n"/>
      <c r="AK557" s="10" t="n"/>
      <c r="AL557" s="10" t="n"/>
    </row>
    <row r="558" ht="32" customHeight="1">
      <c r="C558" s="103" t="inlineStr">
        <is>
          <t>Questions et sous-questions</t>
        </is>
      </c>
      <c r="D558" s="1043" t="n"/>
      <c r="E558" s="33" t="inlineStr">
        <is>
          <t>Valeur de base
Fréquence (F)</t>
        </is>
      </c>
      <c r="F558" s="33" t="inlineStr">
        <is>
          <t>Valeur de base
intensité (I)</t>
        </is>
      </c>
      <c r="G558" s="33" t="inlineStr">
        <is>
          <t>F * I</t>
        </is>
      </c>
      <c r="H558" s="1708" t="inlineStr">
        <is>
          <t>Condition Fréq. 
&gt;= que</t>
        </is>
      </c>
      <c r="I558" s="44" t="inlineStr">
        <is>
          <t>Condition Fré
&lt;= que</t>
        </is>
      </c>
      <c r="J558" s="44" t="inlineStr">
        <is>
          <t>Condition respectée</t>
        </is>
      </c>
      <c r="K558" s="44" t="inlineStr">
        <is>
          <t>"VRAI" (PF&amp;NC) /  "VRAI" (Enf)</t>
        </is>
      </c>
      <c r="L558" s="44" t="inlineStr">
        <is>
          <t>Vrai (PF&amp;NC) /  Faux (Enf)</t>
        </is>
      </c>
      <c r="M558" s="44" t="inlineStr">
        <is>
          <t>Faux (PF&amp;NC) /  Vrai (Enf)</t>
        </is>
      </c>
      <c r="N558" s="1709" t="inlineStr">
        <is>
          <t>Faux (PF&amp;NC) /  Faux(Enf)</t>
        </is>
      </c>
      <c r="O558" s="1708" t="inlineStr">
        <is>
          <t>Condition Fréq. 
&gt;= que</t>
        </is>
      </c>
      <c r="P558" s="44" t="inlineStr">
        <is>
          <t>Condition Fré
&lt;= que</t>
        </is>
      </c>
      <c r="Q558" s="1709" t="inlineStr">
        <is>
          <t>Condition respectée</t>
        </is>
      </c>
      <c r="R558" s="1708" t="inlineStr">
        <is>
          <t>Condition Fréq. 
&gt;= que</t>
        </is>
      </c>
      <c r="S558" s="44" t="inlineStr">
        <is>
          <t>Condition Fré
&lt;= que</t>
        </is>
      </c>
      <c r="T558" s="1709" t="inlineStr">
        <is>
          <t>Condition respectée</t>
        </is>
      </c>
      <c r="U558" s="851" t="n"/>
      <c r="V558" s="1008" t="inlineStr">
        <is>
          <t>Condition</t>
        </is>
      </c>
      <c r="W558" s="1472" t="inlineStr">
        <is>
          <t>AP</t>
        </is>
      </c>
      <c r="X558" s="1008" t="inlineStr">
        <is>
          <t>Condition</t>
        </is>
      </c>
      <c r="Y558" s="1476" t="inlineStr">
        <is>
          <t>CL</t>
        </is>
      </c>
      <c r="Z558" s="1008" t="n"/>
      <c r="AA558" s="1480" t="inlineStr">
        <is>
          <t>CSS</t>
        </is>
      </c>
      <c r="AC558" s="1023" t="inlineStr">
        <is>
          <t>AP</t>
        </is>
      </c>
      <c r="AD558" s="1024" t="inlineStr">
        <is>
          <t>AP_F</t>
        </is>
      </c>
      <c r="AE558" s="1023" t="inlineStr">
        <is>
          <t>CL</t>
        </is>
      </c>
      <c r="AF558" s="1024" t="inlineStr">
        <is>
          <t>CL_F</t>
        </is>
      </c>
      <c r="AG558" s="1023" t="inlineStr">
        <is>
          <t>CSS</t>
        </is>
      </c>
      <c r="AH558" s="1024" t="inlineStr">
        <is>
          <t>CSS_F</t>
        </is>
      </c>
      <c r="AJ558" s="10" t="n"/>
      <c r="AK558" s="10" t="n"/>
      <c r="AL558" s="10" t="n"/>
    </row>
    <row r="559" ht="51" customHeight="1">
      <c r="B559" s="421">
        <f>BIBLE!E119</f>
        <v/>
      </c>
      <c r="C559" s="2066">
        <f>Test_Bible!B203</f>
        <v/>
      </c>
      <c r="D559" s="102" t="n"/>
      <c r="E559" s="823">
        <f>Test_Bible!P203</f>
        <v/>
      </c>
      <c r="F559" s="822">
        <f>Test_Bible!D203</f>
        <v/>
      </c>
      <c r="G559" s="823">
        <f>E559*F559</f>
        <v/>
      </c>
      <c r="H559" s="1735" t="n">
        <v>11</v>
      </c>
      <c r="I559" s="1736" t="n">
        <v>11</v>
      </c>
      <c r="J559" s="46">
        <f>IF(AND(E559&gt;=H559,E559&lt;=I559),TRUE,FALSE)</f>
        <v/>
      </c>
      <c r="K559" s="46" t="n"/>
      <c r="L559" s="46" t="n"/>
      <c r="M559" s="46" t="n"/>
      <c r="N559" s="1711" t="n"/>
      <c r="O559" s="1735" t="n">
        <v>11</v>
      </c>
      <c r="P559" s="1736" t="n">
        <v>11</v>
      </c>
      <c r="Q559" s="1711">
        <f>IF(AND(E559&gt;=O559,E559&lt;=P559),TRUE,FALSE)</f>
        <v/>
      </c>
      <c r="R559" s="1710" t="n">
        <v>7</v>
      </c>
      <c r="S559" s="1703" t="n">
        <v>10</v>
      </c>
      <c r="T559" s="1711">
        <f>IF(AND(E559&gt;=R559,E559&lt;=S559),TRUE,FALSE)</f>
        <v/>
      </c>
      <c r="U559" s="1681" t="n"/>
      <c r="V559" s="1484" t="n"/>
      <c r="W559" s="1517" t="n">
        <v>11</v>
      </c>
      <c r="X559" s="1528" t="n"/>
      <c r="Y559" s="1527" t="n">
        <v>11</v>
      </c>
      <c r="Z559" s="2029" t="n"/>
      <c r="AA559" s="1496" t="n">
        <v>4</v>
      </c>
      <c r="AC559" s="1011" t="n"/>
      <c r="AD559" s="1012" t="n"/>
      <c r="AE559" s="1011" t="n"/>
      <c r="AF559" s="1012" t="n"/>
      <c r="AG559" s="1011" t="n"/>
      <c r="AH559" s="1012" t="n"/>
      <c r="AJ559" s="10" t="n"/>
      <c r="AK559" s="10" t="n"/>
      <c r="AL559" s="10" t="n"/>
    </row>
    <row r="560" ht="32" customHeight="1">
      <c r="B560" s="421" t="n"/>
      <c r="C560" s="2066" t="n"/>
      <c r="D560" s="102" t="n"/>
      <c r="E560" s="823" t="n"/>
      <c r="F560" s="822" t="n"/>
      <c r="G560" s="823" t="n"/>
      <c r="H560" s="1735" t="n">
        <v>11</v>
      </c>
      <c r="I560" s="1736" t="n">
        <v>11</v>
      </c>
      <c r="J560" s="46">
        <f>IF(AND(E560&gt;=H560,E560&lt;=I560),TRUE,FALSE)</f>
        <v/>
      </c>
      <c r="K560" s="46" t="n"/>
      <c r="L560" s="46" t="n"/>
      <c r="M560" s="46" t="n"/>
      <c r="N560" s="1711" t="n"/>
      <c r="O560" s="1735" t="n">
        <v>11</v>
      </c>
      <c r="P560" s="1736" t="n">
        <v>11</v>
      </c>
      <c r="Q560" s="1711">
        <f>IF(AND(E560&gt;=O560,E560&lt;=P560),TRUE,FALSE)</f>
        <v/>
      </c>
      <c r="R560" s="1735" t="n">
        <v>11</v>
      </c>
      <c r="S560" s="1736" t="n">
        <v>11</v>
      </c>
      <c r="T560" s="1711">
        <f>IF(AND(E560&gt;=R560,E560&lt;=S560),TRUE,FALSE)</f>
        <v/>
      </c>
      <c r="U560" s="978" t="n"/>
      <c r="V560" s="1487" t="inlineStr">
        <is>
          <t>ou</t>
        </is>
      </c>
      <c r="W560" s="1518" t="n">
        <v>11</v>
      </c>
      <c r="X560" s="1522" t="n"/>
      <c r="Y560" s="1521" t="n">
        <v>11</v>
      </c>
      <c r="Z560" s="1493" t="n"/>
      <c r="AA560" s="1523" t="n">
        <v>11</v>
      </c>
      <c r="AC560" s="1013" t="n"/>
      <c r="AD560" s="1014" t="n"/>
      <c r="AE560" s="1013" t="n"/>
      <c r="AF560" s="1014" t="n"/>
      <c r="AG560" s="1013" t="n"/>
      <c r="AH560" s="1014" t="n"/>
      <c r="AJ560" s="10" t="n"/>
      <c r="AK560" s="10" t="n"/>
      <c r="AL560" s="10" t="n"/>
    </row>
    <row r="561" ht="51" customHeight="1">
      <c r="B561" s="825" t="inlineStr">
        <is>
          <t>Max PFA</t>
        </is>
      </c>
      <c r="C561" s="826">
        <f>_xlfn.XLOOKUP(G561,G559:G560,C559:C560)</f>
        <v/>
      </c>
      <c r="D561" s="827" t="n"/>
      <c r="E561" s="828" t="n"/>
      <c r="F561" s="828" t="n"/>
      <c r="G561" s="828">
        <f>IF(AND(J559=TRUE,J560=FALSE),G559,IF(AND(J559=FALSE,J560=TRUE),G560,MAX(G559,G560)))</f>
        <v/>
      </c>
      <c r="H561" s="1712" t="n"/>
      <c r="I561" s="829" t="n"/>
      <c r="J561" s="830">
        <f>IF(AND(J559=FALSE,J560=FALSE),FALSE,TRUE)</f>
        <v/>
      </c>
      <c r="K561" s="46" t="n"/>
      <c r="L561" s="46" t="n"/>
      <c r="M561" s="46" t="n"/>
      <c r="N561" s="1711" t="n"/>
      <c r="O561" s="1712" t="n"/>
      <c r="P561" s="829" t="n"/>
      <c r="Q561" s="1725">
        <f>IF(AND(Q559=FALSE,Q560=FALSE),FALSE,TRUE)</f>
        <v/>
      </c>
      <c r="R561" s="1712" t="n"/>
      <c r="S561" s="829" t="n"/>
      <c r="T561" s="1725">
        <f>IF(AND(T559=FALSE,T560=FALSE),FALSE,TRUE)</f>
        <v/>
      </c>
      <c r="U561" s="978" t="n"/>
      <c r="V561" s="978" t="inlineStr">
        <is>
          <t>ou</t>
        </is>
      </c>
      <c r="W561" s="1519" t="n"/>
      <c r="X561" s="1525" t="n"/>
      <c r="Y561" s="1524" t="n"/>
      <c r="Z561" s="2002" t="n"/>
      <c r="AA561" s="1481" t="n"/>
      <c r="AC561" s="1013" t="n"/>
      <c r="AD561" s="1014" t="n"/>
      <c r="AE561" s="1013" t="n"/>
      <c r="AF561" s="1014" t="n"/>
      <c r="AG561" s="1013" t="n"/>
      <c r="AH561" s="1014" t="n"/>
      <c r="AJ561" s="10" t="n"/>
      <c r="AK561" s="10" t="n"/>
      <c r="AL561" s="10" t="n"/>
    </row>
    <row r="562" ht="32" customHeight="1">
      <c r="B562" s="53" t="n"/>
      <c r="C562" s="2066" t="n"/>
      <c r="D562" s="102" t="n"/>
      <c r="E562" s="823" t="n"/>
      <c r="F562" s="822" t="n"/>
      <c r="G562" s="823" t="n"/>
      <c r="H562" s="1735" t="n">
        <v>11</v>
      </c>
      <c r="I562" s="1736" t="n">
        <v>11</v>
      </c>
      <c r="J562" s="46">
        <f>IF(AND(E562&gt;=H562,E562&lt;=I562),TRUE,FALSE)</f>
        <v/>
      </c>
      <c r="K562" s="46" t="n"/>
      <c r="L562" s="46" t="n"/>
      <c r="M562" s="46" t="n"/>
      <c r="N562" s="1711" t="n"/>
      <c r="O562" s="1735" t="n">
        <v>11</v>
      </c>
      <c r="P562" s="1736" t="n">
        <v>11</v>
      </c>
      <c r="Q562" s="1711">
        <f>IF(AND(E562&gt;=O562,E562&lt;=P562),TRUE,FALSE)</f>
        <v/>
      </c>
      <c r="R562" s="1735" t="n">
        <v>11</v>
      </c>
      <c r="S562" s="1736" t="n">
        <v>11</v>
      </c>
      <c r="T562" s="1711">
        <f>IF(AND(E562&gt;=R562,E562&lt;=S562),TRUE,FALSE)</f>
        <v/>
      </c>
      <c r="U562" s="978" t="n"/>
      <c r="V562" s="1484" t="n"/>
      <c r="W562" s="1517" t="n">
        <v>11</v>
      </c>
      <c r="X562" s="1528" t="n"/>
      <c r="Y562" s="1527" t="n">
        <v>11</v>
      </c>
      <c r="Z562" s="2029" t="n"/>
      <c r="AA562" s="1529" t="n">
        <v>11</v>
      </c>
      <c r="AC562" s="1013" t="n"/>
      <c r="AD562" s="1014" t="n"/>
      <c r="AE562" s="1013" t="n"/>
      <c r="AF562" s="1014" t="n"/>
      <c r="AG562" s="1013" t="n"/>
      <c r="AH562" s="1014" t="n"/>
      <c r="AJ562" s="10" t="n"/>
      <c r="AK562" s="10" t="n"/>
      <c r="AL562" s="10" t="n"/>
    </row>
    <row r="563" ht="32" customHeight="1">
      <c r="B563" s="53" t="n"/>
      <c r="C563" s="2066" t="n"/>
      <c r="D563" s="63" t="n"/>
      <c r="E563" s="36" t="n"/>
      <c r="F563" s="36" t="n"/>
      <c r="G563" s="36" t="n"/>
      <c r="H563" s="1735" t="n">
        <v>11</v>
      </c>
      <c r="I563" s="1736" t="n">
        <v>11</v>
      </c>
      <c r="J563" s="46">
        <f>IF(AND(E563&gt;=H563,E563&lt;=I563),TRUE,FALSE)</f>
        <v/>
      </c>
      <c r="K563" s="46" t="n"/>
      <c r="L563" s="46" t="n"/>
      <c r="M563" s="46" t="n"/>
      <c r="N563" s="1711" t="n"/>
      <c r="O563" s="1735" t="n">
        <v>11</v>
      </c>
      <c r="P563" s="1736" t="n">
        <v>11</v>
      </c>
      <c r="Q563" s="1711">
        <f>IF(AND(E563&gt;=O563,E563&lt;=P563),TRUE,FALSE)</f>
        <v/>
      </c>
      <c r="R563" s="1735" t="n">
        <v>11</v>
      </c>
      <c r="S563" s="1736" t="n">
        <v>11</v>
      </c>
      <c r="T563" s="1711">
        <f>IF(AND(E563&gt;=R563,E563&lt;=S563),TRUE,FALSE)</f>
        <v/>
      </c>
      <c r="U563" s="978" t="n"/>
      <c r="V563" s="1487" t="inlineStr">
        <is>
          <t>ou</t>
        </is>
      </c>
      <c r="W563" s="1518" t="n">
        <v>11</v>
      </c>
      <c r="X563" s="1522" t="n"/>
      <c r="Y563" s="1521" t="n">
        <v>11</v>
      </c>
      <c r="Z563" s="1493" t="n"/>
      <c r="AA563" s="1523" t="n">
        <v>11</v>
      </c>
      <c r="AC563" s="1013" t="n"/>
      <c r="AD563" s="1014" t="n"/>
      <c r="AE563" s="1013" t="n"/>
      <c r="AF563" s="1014" t="n"/>
      <c r="AG563" s="1013" t="n"/>
      <c r="AH563" s="1014" t="n"/>
      <c r="AJ563" s="10" t="n"/>
      <c r="AK563" s="10" t="n"/>
      <c r="AL563" s="10" t="n"/>
    </row>
    <row r="564" ht="32" customHeight="1" thickBot="1">
      <c r="B564" s="831" t="inlineStr">
        <is>
          <t>Max NC</t>
        </is>
      </c>
      <c r="C564" s="832">
        <f>_xlfn.XLOOKUP(G564,G562:G563,C562:C563)</f>
        <v/>
      </c>
      <c r="D564" s="833" t="n"/>
      <c r="E564" s="834" t="n"/>
      <c r="F564" s="834" t="n"/>
      <c r="G564" s="834">
        <f>IF(AND(J562=TRUE,J563=FALSE),G562,IF(AND(J562=FALSE,J563=TRUE),G563,MAX(G562,G563)))</f>
        <v/>
      </c>
      <c r="H564" s="1713" t="n"/>
      <c r="I564" s="835" t="n"/>
      <c r="J564" s="836">
        <f>IF(AND(J562=FALSE,J563=FALSE),FALSE,TRUE)</f>
        <v/>
      </c>
      <c r="K564" s="46" t="n"/>
      <c r="L564" s="46" t="n"/>
      <c r="M564" s="46" t="n"/>
      <c r="N564" s="1711" t="n"/>
      <c r="O564" s="1713" t="n"/>
      <c r="P564" s="835" t="n"/>
      <c r="Q564" s="1726">
        <f>IF(AND(Q562=FALSE,Q563=FALSE),FALSE,TRUE)</f>
        <v/>
      </c>
      <c r="R564" s="1713" t="n"/>
      <c r="S564" s="835" t="n"/>
      <c r="T564" s="1726">
        <f>IF(AND(T562=FALSE,T563=FALSE),FALSE,TRUE)</f>
        <v/>
      </c>
      <c r="U564" s="978" t="n"/>
      <c r="V564" s="978" t="n"/>
      <c r="W564" s="1519" t="n"/>
      <c r="X564" s="1525" t="n"/>
      <c r="Y564" s="1524" t="n"/>
      <c r="Z564" s="2002" t="n"/>
      <c r="AA564" s="1526" t="n"/>
      <c r="AC564" s="1013" t="n"/>
      <c r="AD564" s="1014" t="n"/>
      <c r="AE564" s="1013" t="n"/>
      <c r="AF564" s="1014" t="n"/>
      <c r="AG564" s="1013" t="n"/>
      <c r="AH564" s="1014" t="n"/>
      <c r="AJ564" s="10" t="n"/>
      <c r="AK564" s="10" t="n"/>
      <c r="AL564" s="10" t="n"/>
    </row>
    <row r="565" ht="32" customHeight="1" thickBot="1">
      <c r="B565" s="837" t="inlineStr">
        <is>
          <t>Max PFA &amp; NC</t>
        </is>
      </c>
      <c r="C565" s="838" t="n"/>
      <c r="D565" s="838" t="n"/>
      <c r="E565" s="839" t="n"/>
      <c r="F565" s="839" t="n"/>
      <c r="G565" s="839">
        <f>IF(AND(J561=TRUE,J564=FALSE),G561,IF(AND(J561=FALSE,J564=TRUE),G564,IF(AND(J561=TRUE,J564=TRUE),G561+G564,MAX(G561,G564))))</f>
        <v/>
      </c>
      <c r="H565" s="1714" t="n"/>
      <c r="I565" s="840" t="n"/>
      <c r="J565" s="841">
        <f>IF(AND(J561=FALSE,J564=FALSE),FALSE,TRUE)</f>
        <v/>
      </c>
      <c r="K565" s="1698" t="n"/>
      <c r="L565" s="1698" t="n"/>
      <c r="M565" s="1698" t="n"/>
      <c r="N565" s="1715" t="n"/>
      <c r="O565" s="1714" t="n"/>
      <c r="P565" s="840" t="n"/>
      <c r="Q565" s="841">
        <f>IF(AND(Q561=FALSE,Q564=FALSE),FALSE,TRUE)</f>
        <v/>
      </c>
      <c r="R565" s="1714" t="n"/>
      <c r="S565" s="840" t="n"/>
      <c r="T565" s="841">
        <f>IF(AND(T561=FALSE,T564=FALSE),FALSE,TRUE)</f>
        <v/>
      </c>
      <c r="U565" s="978" t="n"/>
      <c r="V565" s="978" t="inlineStr">
        <is>
          <t>et</t>
        </is>
      </c>
      <c r="W565" s="1519" t="n"/>
      <c r="X565" s="1525" t="n"/>
      <c r="Y565" s="1524" t="n"/>
      <c r="Z565" s="2002" t="n"/>
      <c r="AA565" s="1526" t="n"/>
      <c r="AC565" s="1013">
        <f>IF(J565=TRUE,"V","F")</f>
        <v/>
      </c>
      <c r="AD565" s="1014" t="n"/>
      <c r="AE565" s="1013">
        <f>IF(Q565=TRUE,"V","F")</f>
        <v/>
      </c>
      <c r="AF565" s="1014" t="n"/>
      <c r="AG565" s="1013">
        <f>IF(T565=TRUE,"V","F")</f>
        <v/>
      </c>
      <c r="AH565" s="1014" t="n"/>
      <c r="AJ565" s="10" t="n"/>
      <c r="AK565" s="10" t="n"/>
      <c r="AL565" s="10" t="n"/>
    </row>
    <row r="566" ht="32" customHeight="1">
      <c r="B566" s="316" t="n"/>
      <c r="C566" s="2066" t="n"/>
      <c r="D566" s="63" t="n"/>
      <c r="E566" s="823" t="n"/>
      <c r="F566" s="822" t="n"/>
      <c r="G566" s="823" t="n"/>
      <c r="H566" s="1735" t="n"/>
      <c r="I566" s="1736" t="n"/>
      <c r="J566" s="46" t="n"/>
      <c r="K566" s="46" t="n"/>
      <c r="L566" s="46" t="n"/>
      <c r="M566" s="46" t="n"/>
      <c r="N566" s="1711" t="n"/>
      <c r="O566" s="1735" t="n"/>
      <c r="P566" s="1736" t="n"/>
      <c r="Q566" s="1711" t="n"/>
      <c r="R566" s="1710" t="n"/>
      <c r="S566" s="1703" t="n"/>
      <c r="T566" s="1711" t="n"/>
      <c r="U566" s="978" t="n"/>
      <c r="V566" s="1484" t="n"/>
      <c r="W566" s="1517" t="n">
        <v>11</v>
      </c>
      <c r="X566" s="1528" t="n"/>
      <c r="Y566" s="1527" t="n">
        <v>11</v>
      </c>
      <c r="Z566" s="2029" t="n"/>
      <c r="AA566" s="1529" t="n">
        <v>11</v>
      </c>
      <c r="AC566" s="1013" t="inlineStr">
        <is>
          <t> </t>
        </is>
      </c>
      <c r="AD566" s="1014" t="n"/>
      <c r="AE566" s="1013" t="n"/>
      <c r="AF566" s="1014" t="n"/>
      <c r="AG566" s="1013" t="n"/>
      <c r="AH566" s="1014" t="n"/>
      <c r="AJ566" s="10" t="n"/>
      <c r="AK566" s="10" t="n"/>
      <c r="AL566" s="10" t="n"/>
    </row>
    <row r="567" ht="32" customHeight="1" thickBot="1">
      <c r="B567" s="316" t="n"/>
      <c r="C567" s="799" t="n"/>
      <c r="D567" s="63" t="n"/>
      <c r="E567" s="823" t="n"/>
      <c r="F567" s="822" t="n"/>
      <c r="G567" s="823" t="n"/>
      <c r="H567" s="1735" t="n"/>
      <c r="I567" s="1736" t="n"/>
      <c r="J567" s="46" t="n"/>
      <c r="K567" s="46" t="n"/>
      <c r="L567" s="46" t="n"/>
      <c r="M567" s="46" t="n"/>
      <c r="N567" s="1711" t="n"/>
      <c r="O567" s="1735" t="n"/>
      <c r="P567" s="1736" t="n"/>
      <c r="Q567" s="1711" t="n"/>
      <c r="R567" s="1735" t="n"/>
      <c r="S567" s="1736" t="n"/>
      <c r="T567" s="1711" t="n"/>
      <c r="U567" s="978" t="n"/>
      <c r="V567" s="1487" t="inlineStr">
        <is>
          <t>ou</t>
        </is>
      </c>
      <c r="W567" s="1518" t="n">
        <v>11</v>
      </c>
      <c r="X567" s="1522" t="n"/>
      <c r="Y567" s="1521" t="n">
        <v>11</v>
      </c>
      <c r="Z567" s="1493" t="n"/>
      <c r="AA567" s="1523" t="n">
        <v>11</v>
      </c>
      <c r="AC567" s="1013" t="n"/>
      <c r="AD567" s="1014" t="n"/>
      <c r="AE567" s="1013" t="n"/>
      <c r="AF567" s="1014" t="n"/>
      <c r="AG567" s="1013" t="n"/>
      <c r="AH567" s="1014" t="n"/>
      <c r="AJ567" s="10" t="n"/>
      <c r="AK567" s="10" t="n"/>
      <c r="AL567" s="10" t="n"/>
    </row>
    <row r="568" ht="32" customHeight="1" thickBot="1">
      <c r="B568" s="842" t="inlineStr">
        <is>
          <t>Max Enf</t>
        </is>
      </c>
      <c r="C568" s="843">
        <f>_xlfn.XLOOKUP(G568,G566:G567,C566:C567)</f>
        <v/>
      </c>
      <c r="D568" s="843" t="n"/>
      <c r="E568" s="844" t="n"/>
      <c r="F568" s="844" t="n"/>
      <c r="G568" s="844">
        <f>IF(AND(J566=TRUE,J567=FALSE),G566,IF(AND(J566=FALSE,J567=TRUE),G567,MAX(G566,G567)))</f>
        <v/>
      </c>
      <c r="H568" s="1716" t="n"/>
      <c r="I568" s="845" t="n"/>
      <c r="J568" s="846">
        <f>IF(AND(J566=FALSE,J567=FALSE),FALSE,TRUE)</f>
        <v/>
      </c>
      <c r="K568" s="1699" t="n"/>
      <c r="L568" s="1699" t="n"/>
      <c r="M568" s="1699" t="n"/>
      <c r="N568" s="1717" t="n"/>
      <c r="O568" s="1716" t="n"/>
      <c r="P568" s="845" t="n"/>
      <c r="Q568" s="846">
        <f>IF(AND(Q566=FALSE,Q567=FALSE),FALSE,TRUE)</f>
        <v/>
      </c>
      <c r="R568" s="1716" t="n"/>
      <c r="S568" s="845" t="n"/>
      <c r="T568" s="846" t="n"/>
      <c r="U568" s="978" t="n"/>
      <c r="V568" s="978" t="n"/>
      <c r="W568" s="1520" t="n"/>
      <c r="X568" s="1531" t="n"/>
      <c r="Y568" s="1532" t="n"/>
      <c r="AA568" s="1530" t="n"/>
      <c r="AC568" s="1013">
        <f>IF(J568=TRUE,"V","F")</f>
        <v/>
      </c>
      <c r="AD568" s="1014" t="n"/>
      <c r="AE568" s="1013">
        <f>IF(Q568=TRUE,"V","F")</f>
        <v/>
      </c>
      <c r="AF568" s="1014" t="n"/>
      <c r="AG568" s="1013" t="n"/>
      <c r="AH568" s="1014" t="n"/>
      <c r="AJ568" s="10" t="n"/>
      <c r="AK568" s="10" t="n"/>
      <c r="AL568" s="10" t="n"/>
    </row>
    <row r="569" ht="32" customHeight="1">
      <c r="C569" s="428" t="inlineStr">
        <is>
          <t>COMPARATIF Comportement PFA-Enf</t>
        </is>
      </c>
      <c r="D569" s="2058" t="n"/>
      <c r="E569" s="484" t="inlineStr">
        <is>
          <t>Valeur =&gt;</t>
        </is>
      </c>
      <c r="F569" s="48" t="n"/>
      <c r="G569" s="48">
        <f>G561+G564+G568</f>
        <v/>
      </c>
      <c r="H569" s="1718" t="n"/>
      <c r="I569" s="485" t="n"/>
      <c r="J569" s="1701" t="n"/>
      <c r="K569" s="1702">
        <f>IF(AND(J568=TRUE,J565=TRUE),D568,"")</f>
        <v/>
      </c>
      <c r="L569" s="1702">
        <f>IF(AND(J565=TRUE,J568=FALSE),"Bien que le parent "&amp;D565&amp;" l'enfant ne semble pas s'ingérer","")</f>
        <v/>
      </c>
      <c r="M569" s="1702">
        <f>IF(AND(J565=FALSE,J568=TRUE),D568&amp;" sans signe de la participation du parent favorisé et|ou nouveau conjoint.e","")</f>
        <v/>
      </c>
      <c r="N569" s="1719">
        <f>IF(AND(J565=FALSE,J568=FALSE),"aucun comportement significatif de cette nature","")</f>
        <v/>
      </c>
      <c r="O569" s="1718" t="n"/>
      <c r="P569" s="485" t="n"/>
      <c r="Q569" s="1727" t="n"/>
      <c r="R569" s="1718" t="n"/>
      <c r="S569" s="485" t="n"/>
      <c r="T569" s="1727" t="n"/>
      <c r="U569" s="980" t="n"/>
      <c r="V569" s="980" t="n"/>
      <c r="W569" s="1520" t="n"/>
      <c r="X569" s="1531" t="n"/>
      <c r="Y569" s="1532" t="n"/>
      <c r="AA569" s="1530" t="n"/>
      <c r="AC569" s="1015" t="n"/>
      <c r="AD569" s="1016">
        <f>IF(AND(AC565="V",AC568="V"),2,IF(OR(AC565="V",AC568="V"),1,0))</f>
        <v/>
      </c>
      <c r="AE569" s="1015" t="n"/>
      <c r="AF569" s="1016">
        <f>IF(OR(AE565="V",AE568="V"),1,0)</f>
        <v/>
      </c>
      <c r="AG569" s="1015" t="n"/>
      <c r="AH569" s="1016" t="n"/>
      <c r="AJ569" s="10" t="n"/>
      <c r="AK569" s="10" t="n"/>
      <c r="AL569" s="10" t="n"/>
    </row>
    <row r="570" ht="32" customHeight="1">
      <c r="B570" t="inlineStr">
        <is>
          <t>PCR</t>
        </is>
      </c>
      <c r="H570" s="147" t="n"/>
      <c r="K570" s="1992" t="n"/>
      <c r="L570" s="1992" t="n"/>
      <c r="M570" s="1992" t="n"/>
      <c r="N570" s="1740" t="n"/>
      <c r="O570" s="147" t="n"/>
      <c r="Q570" s="330" t="n"/>
      <c r="R570" s="147" t="n"/>
      <c r="T570" s="330" t="n"/>
      <c r="U570" s="1992" t="n"/>
      <c r="W570" s="1520" t="n"/>
      <c r="X570" s="1531" t="n"/>
      <c r="Y570" s="1532" t="n"/>
      <c r="AA570" s="1483" t="n"/>
      <c r="AC570" s="1013" t="n"/>
      <c r="AD570" s="1014" t="n"/>
      <c r="AE570" s="1013" t="n"/>
      <c r="AF570" s="1014" t="n"/>
      <c r="AG570" s="1013" t="n"/>
      <c r="AH570" s="1014" t="n"/>
      <c r="AJ570" s="10" t="n"/>
      <c r="AK570" s="10" t="n"/>
      <c r="AL570" s="10" t="n"/>
    </row>
    <row r="571" ht="32" customHeight="1">
      <c r="B571" s="1017">
        <f>'[1]Cpts miroirs des parents'!$G$11</f>
        <v/>
      </c>
      <c r="C571" s="1018">
        <f>Test_Bible!B134</f>
        <v/>
      </c>
      <c r="D571" s="1018" t="n"/>
      <c r="E571" s="1026">
        <f>Test_Bible!P134</f>
        <v/>
      </c>
      <c r="F571" s="1026">
        <f>Test_Bible!D134</f>
        <v/>
      </c>
      <c r="G571" s="1026">
        <f>E571*F571</f>
        <v/>
      </c>
      <c r="H571" s="1735" t="n">
        <v>11</v>
      </c>
      <c r="I571" s="1736" t="n">
        <v>11</v>
      </c>
      <c r="J571" s="46">
        <f>IF(AND(E571&gt;=H571,E571&lt;=I571),TRUE,FALSE)</f>
        <v/>
      </c>
      <c r="K571" s="33" t="n"/>
      <c r="L571" s="33" t="n"/>
      <c r="M571" s="33" t="n"/>
      <c r="N571" s="1720" t="n"/>
      <c r="O571" s="1735" t="n">
        <v>11</v>
      </c>
      <c r="P571" s="1736" t="n">
        <v>11</v>
      </c>
      <c r="Q571" s="1711">
        <f>IF(AND(E571&gt;=O571,E571&lt;=P571),TRUE,FALSE)</f>
        <v/>
      </c>
      <c r="R571" s="1710" t="n">
        <v>7</v>
      </c>
      <c r="S571" s="1703" t="n">
        <v>10</v>
      </c>
      <c r="T571" s="1711">
        <f>IF(AND(E571&gt;=R571,E571&lt;=S571),TRUE,FALSE)</f>
        <v/>
      </c>
      <c r="U571" s="1681" t="n"/>
      <c r="V571" s="1514" t="n"/>
      <c r="W571" s="1517" t="n">
        <v>11</v>
      </c>
      <c r="X571" s="1528" t="n"/>
      <c r="Y571" s="1527" t="n">
        <v>11</v>
      </c>
      <c r="Z571" s="2029" t="n"/>
      <c r="AA571" s="1496" t="n">
        <v>4</v>
      </c>
      <c r="AC571" s="1013" t="n"/>
      <c r="AD571" s="1014" t="n"/>
      <c r="AE571" s="1013" t="n"/>
      <c r="AF571" s="1014" t="n"/>
      <c r="AG571" s="1013" t="n"/>
      <c r="AH571" s="1014" t="n"/>
      <c r="AJ571" s="10" t="n"/>
      <c r="AK571" s="10" t="n"/>
      <c r="AL571" s="10" t="n"/>
    </row>
    <row r="572" ht="32" customHeight="1" thickBot="1">
      <c r="B572" s="1017" t="n"/>
      <c r="C572" s="1025" t="n"/>
      <c r="D572" s="1018" t="n"/>
      <c r="E572" s="1026" t="n"/>
      <c r="F572" s="1026" t="n"/>
      <c r="G572" s="1026" t="n"/>
      <c r="H572" s="1735" t="n">
        <v>11</v>
      </c>
      <c r="I572" s="1736" t="n">
        <v>11</v>
      </c>
      <c r="J572" s="46">
        <f>IF(AND(E572&gt;=H572,E572&lt;=I572),TRUE,FALSE)</f>
        <v/>
      </c>
      <c r="K572" s="33" t="n"/>
      <c r="L572" s="33" t="n"/>
      <c r="M572" s="33" t="n"/>
      <c r="N572" s="1720" t="n"/>
      <c r="O572" s="1735" t="n">
        <v>11</v>
      </c>
      <c r="P572" s="1736" t="n">
        <v>11</v>
      </c>
      <c r="Q572" s="1711">
        <f>IF(AND(E572&gt;=O572,E572&lt;=P572),TRUE,FALSE)</f>
        <v/>
      </c>
      <c r="R572" s="1735" t="n">
        <v>11</v>
      </c>
      <c r="S572" s="1736" t="n">
        <v>11</v>
      </c>
      <c r="T572" s="1711">
        <f>IF(AND(E572&gt;=R572,E572&lt;=S572),TRUE,FALSE)</f>
        <v/>
      </c>
      <c r="V572" s="1515" t="n"/>
      <c r="W572" s="1518" t="n">
        <v>11</v>
      </c>
      <c r="X572" s="1522" t="n"/>
      <c r="Y572" s="1521" t="n">
        <v>11</v>
      </c>
      <c r="Z572" s="1522" t="n"/>
      <c r="AA572" s="1523" t="n">
        <v>11</v>
      </c>
      <c r="AC572" s="1013" t="n"/>
      <c r="AD572" s="1014" t="n"/>
      <c r="AE572" s="1013" t="n"/>
      <c r="AF572" s="1014" t="n"/>
      <c r="AG572" s="1013" t="n"/>
      <c r="AH572" s="1014" t="n"/>
      <c r="AJ572" s="10" t="n"/>
      <c r="AK572" s="10" t="n"/>
      <c r="AL572" s="10" t="n"/>
    </row>
    <row r="573" ht="32" customHeight="1" thickBot="1">
      <c r="D573" s="847" t="n"/>
      <c r="E573" s="97" t="n"/>
      <c r="F573" s="97" t="n"/>
      <c r="G573" s="97" t="n"/>
      <c r="H573" s="1732" t="n"/>
      <c r="I573" s="1733" t="n"/>
      <c r="J573" s="1739">
        <f>IF(AND(J571=FALSE,J572=FALSE),FALSE,TRUE)</f>
        <v/>
      </c>
      <c r="K573" s="1721" t="n"/>
      <c r="L573" s="1722" t="n"/>
      <c r="M573" s="1722" t="n"/>
      <c r="N573" s="1723" t="n"/>
      <c r="O573" s="1732" t="n"/>
      <c r="P573" s="1733" t="n"/>
      <c r="Q573" s="1739">
        <f>IF(AND(Q571=FALSE,Q572=FALSE),FALSE,TRUE)</f>
        <v/>
      </c>
      <c r="R573" s="1744" t="n"/>
      <c r="S573" s="1745" t="n"/>
      <c r="T573" s="1746">
        <f>IF(AND(T571=FALSE,T572=FALSE),FALSE,TRUE)</f>
        <v/>
      </c>
      <c r="U573" s="97" t="n"/>
      <c r="AC573" s="1650">
        <f>IF(J573=TRUE,"V","F")</f>
        <v/>
      </c>
      <c r="AD573" s="1651" t="n"/>
      <c r="AE573" s="1650">
        <f>IF(Q573=TRUE,"V","F")</f>
        <v/>
      </c>
      <c r="AF573" s="1651" t="n"/>
      <c r="AG573" s="1650">
        <f>IF(T573=TRUE,"V","F")</f>
        <v/>
      </c>
      <c r="AH573" s="1651" t="n"/>
      <c r="AJ573" s="10" t="n"/>
      <c r="AK573" s="10" t="n"/>
      <c r="AL573" s="10" t="n"/>
    </row>
    <row r="574" ht="32" customHeight="1">
      <c r="AC574" s="1737" t="n"/>
      <c r="AD574" s="1738">
        <f>IF(AND(AC573="V",AC565="V"),AD569-1,AD569)</f>
        <v/>
      </c>
      <c r="AE574" s="1737" t="n"/>
      <c r="AF574" s="1738">
        <f>IF(OR(AE565="V",AE568="V",AE573="V"),1,0)</f>
        <v/>
      </c>
      <c r="AG574" s="1737" t="n"/>
      <c r="AH574" s="1738">
        <f>IF(AG565="V",1,IF(AG573="V",1,0))</f>
        <v/>
      </c>
      <c r="AJ574" s="10" t="n"/>
      <c r="AK574" s="10" t="n"/>
      <c r="AL574" s="10" t="n">
        <v>1</v>
      </c>
    </row>
    <row r="575" ht="32" customHeight="1">
      <c r="AC575" s="1756" t="inlineStr">
        <is>
          <t>Indice boosté</t>
        </is>
      </c>
      <c r="AD575" s="1757">
        <f>IF(AF574=1,AD574*(1+$AH$28),AD574)</f>
        <v/>
      </c>
      <c r="AE575" s="1490" t="n"/>
      <c r="AJ575" s="10" t="n"/>
      <c r="AK575" s="10" t="n"/>
      <c r="AL575" s="10" t="n"/>
    </row>
    <row r="576" ht="32" customHeight="1">
      <c r="D576" s="109" t="inlineStr">
        <is>
          <t>Mots-clés</t>
        </is>
      </c>
      <c r="E576" s="2060" t="inlineStr">
        <is>
          <t>COMBINAISONS</t>
        </is>
      </c>
      <c r="J576" s="2060" t="n"/>
      <c r="K576" s="2061" t="n"/>
      <c r="N576" s="2060" t="n"/>
      <c r="O576" s="2060" t="n"/>
      <c r="P576" s="2060" t="n"/>
      <c r="Q576" s="2060" t="n"/>
      <c r="R576" s="2060" t="n"/>
      <c r="S576" s="2060" t="n"/>
      <c r="T576" s="2060" t="n"/>
      <c r="U576" s="97" t="n"/>
      <c r="V576" s="97" t="n"/>
      <c r="AJ576" s="10" t="n"/>
      <c r="AK576" s="10" t="n"/>
      <c r="AL576" s="10" t="n"/>
    </row>
    <row r="577" ht="32" customHeight="1">
      <c r="A577" s="853" t="n">
        <v>3</v>
      </c>
      <c r="C577" s="486">
        <f>'[1]Cpts miroirs des parents'!$B$13</f>
        <v/>
      </c>
      <c r="D577" s="108" t="n"/>
      <c r="E577" s="66" t="n"/>
      <c r="F577" s="18" t="n"/>
      <c r="G577" s="18" t="n"/>
      <c r="H577" s="2052" t="inlineStr">
        <is>
          <t>AP</t>
        </is>
      </c>
      <c r="K577" s="2055" t="inlineStr">
        <is>
          <t>Dynamique d'AP</t>
        </is>
      </c>
      <c r="N577" s="330" t="n"/>
      <c r="O577" s="2122" t="inlineStr">
        <is>
          <t>CL</t>
        </is>
      </c>
      <c r="Q577" s="330" t="n"/>
      <c r="R577" s="2123" t="inlineStr">
        <is>
          <t>CSS</t>
        </is>
      </c>
      <c r="T577" s="330" t="n"/>
      <c r="U577" s="15" t="n"/>
      <c r="V577" s="15" t="n"/>
      <c r="AC577" s="1009" t="n"/>
      <c r="AD577" s="1009" t="n"/>
      <c r="AE577" s="1009" t="n"/>
      <c r="AF577" s="1009" t="n"/>
      <c r="AG577" s="1009" t="n"/>
      <c r="AH577" s="1010" t="n"/>
      <c r="AJ577" s="10" t="n"/>
      <c r="AK577" s="10" t="n"/>
      <c r="AL577" s="10" t="n"/>
    </row>
    <row r="578" ht="32" customHeight="1">
      <c r="C578" s="103" t="inlineStr">
        <is>
          <t>Questions et sous-questions</t>
        </is>
      </c>
      <c r="D578" s="1043" t="n"/>
      <c r="E578" s="33" t="inlineStr">
        <is>
          <t>Valeur de base
Fréquence (F)</t>
        </is>
      </c>
      <c r="F578" s="33" t="inlineStr">
        <is>
          <t>Valeur de base
intensité (I)</t>
        </is>
      </c>
      <c r="G578" s="33" t="inlineStr">
        <is>
          <t>F * I</t>
        </is>
      </c>
      <c r="H578" s="1708" t="inlineStr">
        <is>
          <t>Condition Fréq. 
&gt;= que</t>
        </is>
      </c>
      <c r="I578" s="44" t="inlineStr">
        <is>
          <t>Condition Fré
&lt;= que</t>
        </is>
      </c>
      <c r="J578" s="44" t="inlineStr">
        <is>
          <t>Condition respectée</t>
        </is>
      </c>
      <c r="K578" s="44" t="inlineStr">
        <is>
          <t>"VRAI" (PF&amp;NC) /  "VRAI" (Enf)</t>
        </is>
      </c>
      <c r="L578" s="44" t="inlineStr">
        <is>
          <t>Vrai (PF&amp;NC) /  Faux (Enf)</t>
        </is>
      </c>
      <c r="M578" s="44" t="inlineStr">
        <is>
          <t>Faux (PF&amp;NC) /  Vrai (Enf)</t>
        </is>
      </c>
      <c r="N578" s="1709" t="inlineStr">
        <is>
          <t>Faux (PF&amp;NC) /  Faux(Enf)</t>
        </is>
      </c>
      <c r="O578" s="1708" t="inlineStr">
        <is>
          <t>Condition Fréq. 
&gt;= que</t>
        </is>
      </c>
      <c r="P578" s="44" t="inlineStr">
        <is>
          <t>Condition Fré
&lt;= que</t>
        </is>
      </c>
      <c r="Q578" s="1709" t="inlineStr">
        <is>
          <t>Condition respectée</t>
        </is>
      </c>
      <c r="R578" s="1708" t="inlineStr">
        <is>
          <t>Condition Fréq. 
&gt;= que</t>
        </is>
      </c>
      <c r="S578" s="44" t="inlineStr">
        <is>
          <t>Condition Fré
&lt;= que</t>
        </is>
      </c>
      <c r="T578" s="1709" t="inlineStr">
        <is>
          <t>Condition respectée</t>
        </is>
      </c>
      <c r="U578" s="851" t="n"/>
      <c r="V578" s="1008" t="inlineStr">
        <is>
          <t>Condition</t>
        </is>
      </c>
      <c r="W578" s="1472" t="inlineStr">
        <is>
          <t>AP</t>
        </is>
      </c>
      <c r="X578" s="1008" t="inlineStr">
        <is>
          <t>Condition</t>
        </is>
      </c>
      <c r="Y578" s="1476" t="inlineStr">
        <is>
          <t>CL</t>
        </is>
      </c>
      <c r="Z578" s="1008" t="n"/>
      <c r="AA578" s="1480" t="inlineStr">
        <is>
          <t>CSS</t>
        </is>
      </c>
      <c r="AC578" s="1023" t="inlineStr">
        <is>
          <t>AP</t>
        </is>
      </c>
      <c r="AD578" s="1024" t="inlineStr">
        <is>
          <t>AP_F</t>
        </is>
      </c>
      <c r="AE578" s="1023" t="inlineStr">
        <is>
          <t>CL</t>
        </is>
      </c>
      <c r="AF578" s="1024" t="inlineStr">
        <is>
          <t>CL_F</t>
        </is>
      </c>
      <c r="AG578" s="1023" t="inlineStr">
        <is>
          <t>CSS</t>
        </is>
      </c>
      <c r="AH578" s="1024" t="inlineStr">
        <is>
          <t>CSS_F</t>
        </is>
      </c>
      <c r="AJ578" s="10" t="n"/>
      <c r="AK578" s="10" t="n"/>
      <c r="AL578" s="10" t="n"/>
    </row>
    <row r="579" ht="44" customHeight="1">
      <c r="B579" s="421">
        <f>BIBLE!E117</f>
        <v/>
      </c>
      <c r="C579" s="2066">
        <f>Test_Bible!B201</f>
        <v/>
      </c>
      <c r="D579" s="102" t="n"/>
      <c r="E579" s="823">
        <f>Test_Bible!P201</f>
        <v/>
      </c>
      <c r="F579" s="822">
        <f>Test_Bible!D201</f>
        <v/>
      </c>
      <c r="G579" s="823">
        <f>E579*F579</f>
        <v/>
      </c>
      <c r="H579" s="1735" t="n">
        <v>11</v>
      </c>
      <c r="I579" s="1736" t="n">
        <v>11</v>
      </c>
      <c r="J579" s="46">
        <f>IF(AND(E579&gt;=H579,E579&lt;=I579),TRUE,FALSE)</f>
        <v/>
      </c>
      <c r="K579" s="46" t="n"/>
      <c r="L579" s="46" t="n"/>
      <c r="M579" s="46" t="n"/>
      <c r="N579" s="1711" t="n"/>
      <c r="O579" s="1735" t="n">
        <v>11</v>
      </c>
      <c r="P579" s="1736" t="n">
        <v>11</v>
      </c>
      <c r="Q579" s="1711">
        <f>IF(AND(E579&gt;=O579,E579&lt;=P579),TRUE,FALSE)</f>
        <v/>
      </c>
      <c r="R579" s="1710" t="n">
        <v>7</v>
      </c>
      <c r="S579" s="1703" t="n">
        <v>10</v>
      </c>
      <c r="T579" s="1711">
        <f>IF(AND(E579&gt;=R579,E579&lt;=S579),TRUE,FALSE)</f>
        <v/>
      </c>
      <c r="U579" s="1681" t="n"/>
      <c r="V579" s="1484" t="n"/>
      <c r="W579" s="1485" t="n">
        <v>4</v>
      </c>
      <c r="X579" s="2029" t="n"/>
      <c r="Y579" s="1527" t="n">
        <v>11</v>
      </c>
      <c r="Z579" s="1528" t="n"/>
      <c r="AA579" s="1529" t="n">
        <v>11</v>
      </c>
      <c r="AC579" s="1011" t="n"/>
      <c r="AD579" s="1012" t="n"/>
      <c r="AE579" s="1011" t="n"/>
      <c r="AF579" s="1012" t="n"/>
      <c r="AG579" s="1011" t="n"/>
      <c r="AH579" s="1012" t="n"/>
      <c r="AJ579" s="10" t="n"/>
      <c r="AK579" s="10" t="n"/>
      <c r="AL579" s="10" t="n"/>
    </row>
    <row r="580" ht="51" customHeight="1">
      <c r="A580" s="2002" t="n"/>
      <c r="B580" s="421">
        <f>BIBLE!E118</f>
        <v/>
      </c>
      <c r="C580" s="2066">
        <f>Test_Bible!B202</f>
        <v/>
      </c>
      <c r="D580" s="102" t="n"/>
      <c r="E580" s="823">
        <f>Test_Bible!P202</f>
        <v/>
      </c>
      <c r="F580" s="822">
        <f>Test_Bible!D202</f>
        <v/>
      </c>
      <c r="G580" s="823">
        <f>E580*F580</f>
        <v/>
      </c>
      <c r="H580" s="1710" t="n">
        <v>4</v>
      </c>
      <c r="I580" s="1703" t="n">
        <v>10</v>
      </c>
      <c r="J580" s="46">
        <f>IF(AND(E580&gt;=H580,E580&lt;=I580),TRUE,FALSE)</f>
        <v/>
      </c>
      <c r="K580" s="46" t="n"/>
      <c r="L580" s="46" t="n"/>
      <c r="M580" s="46" t="n"/>
      <c r="N580" s="1711" t="n"/>
      <c r="O580" s="1735" t="n">
        <v>11</v>
      </c>
      <c r="P580" s="1736" t="n">
        <v>11</v>
      </c>
      <c r="Q580" s="1711">
        <f>IF(AND(E580&gt;=O580,E580&lt;=P580),TRUE,FALSE)</f>
        <v/>
      </c>
      <c r="R580" s="1735" t="n">
        <v>11</v>
      </c>
      <c r="S580" s="1736" t="n">
        <v>11</v>
      </c>
      <c r="T580" s="1711">
        <f>IF(AND(E580&gt;=R580,E580&lt;=S580),TRUE,FALSE)</f>
        <v/>
      </c>
      <c r="U580" s="978" t="n"/>
      <c r="V580" s="1487" t="inlineStr">
        <is>
          <t>ou</t>
        </is>
      </c>
      <c r="W580" s="1492" t="n">
        <v>4</v>
      </c>
      <c r="X580" s="1493" t="n"/>
      <c r="Y580" s="1521" t="n">
        <v>11</v>
      </c>
      <c r="Z580" s="1522" t="n"/>
      <c r="AA580" s="1523" t="n">
        <v>11</v>
      </c>
      <c r="AC580" s="1013" t="n"/>
      <c r="AD580" s="1014" t="n"/>
      <c r="AE580" s="1013" t="n"/>
      <c r="AF580" s="1014" t="n"/>
      <c r="AG580" s="1013" t="n"/>
      <c r="AH580" s="1014" t="n"/>
      <c r="AJ580" s="10" t="n"/>
      <c r="AK580" s="10" t="n"/>
      <c r="AL580" s="10" t="n"/>
    </row>
    <row r="581" ht="32" customHeight="1">
      <c r="B581" s="825" t="inlineStr">
        <is>
          <t>Max PFA</t>
        </is>
      </c>
      <c r="C581" s="826">
        <f>_xlfn.XLOOKUP(G581,G579:G580,C579:C580)</f>
        <v/>
      </c>
      <c r="D581" s="827" t="n"/>
      <c r="E581" s="828" t="n"/>
      <c r="F581" s="828" t="n"/>
      <c r="G581" s="828">
        <f>IF(AND(J579=TRUE,J580=FALSE),G579,IF(AND(J579=FALSE,J580=TRUE),G580,MAX(G579,G580)))</f>
        <v/>
      </c>
      <c r="H581" s="1712" t="n"/>
      <c r="I581" s="829" t="n"/>
      <c r="J581" s="830">
        <f>IF(AND(J579=FALSE,J580=FALSE),FALSE,TRUE)</f>
        <v/>
      </c>
      <c r="K581" s="46" t="n"/>
      <c r="L581" s="46" t="n"/>
      <c r="M581" s="46" t="n"/>
      <c r="N581" s="1711" t="n"/>
      <c r="O581" s="1712" t="n"/>
      <c r="P581" s="829" t="n"/>
      <c r="Q581" s="1725">
        <f>IF(AND(Q579=FALSE,Q580=FALSE),FALSE,TRUE)</f>
        <v/>
      </c>
      <c r="R581" s="1712" t="n"/>
      <c r="S581" s="829" t="n"/>
      <c r="T581" s="1725">
        <f>IF(AND(T579=FALSE,T580=FALSE),FALSE,TRUE)</f>
        <v/>
      </c>
      <c r="U581" s="978" t="n"/>
      <c r="V581" s="978" t="inlineStr">
        <is>
          <t>ou</t>
        </is>
      </c>
      <c r="W581" s="1473" t="n"/>
      <c r="X581" s="2002" t="n"/>
      <c r="Y581" s="1524" t="n"/>
      <c r="Z581" s="1525" t="n"/>
      <c r="AA581" s="1526" t="n"/>
      <c r="AC581" s="1013" t="n"/>
      <c r="AD581" s="1014" t="n"/>
      <c r="AE581" s="1013" t="n"/>
      <c r="AF581" s="1014" t="n"/>
      <c r="AG581" s="1013" t="n"/>
      <c r="AH581" s="1014" t="n"/>
      <c r="AJ581" s="10" t="n"/>
      <c r="AK581" s="10" t="n"/>
      <c r="AL581" s="10" t="n"/>
    </row>
    <row r="582" ht="32" customHeight="1">
      <c r="B582" s="53" t="n"/>
      <c r="C582" s="2066" t="n"/>
      <c r="D582" s="102" t="n"/>
      <c r="E582" s="823" t="n"/>
      <c r="F582" s="822" t="n"/>
      <c r="G582" s="823" t="n"/>
      <c r="H582" s="1735" t="n">
        <v>11</v>
      </c>
      <c r="I582" s="1736" t="n">
        <v>11</v>
      </c>
      <c r="J582" s="46">
        <f>IF(AND(E582&gt;=H582,E582&lt;=I582),TRUE,FALSE)</f>
        <v/>
      </c>
      <c r="K582" s="46" t="n"/>
      <c r="L582" s="46" t="n"/>
      <c r="M582" s="46" t="n"/>
      <c r="N582" s="1711" t="n"/>
      <c r="O582" s="1735" t="n">
        <v>11</v>
      </c>
      <c r="P582" s="1736" t="n">
        <v>11</v>
      </c>
      <c r="Q582" s="1711">
        <f>IF(AND(E582&gt;=O582,E582&lt;=P582),TRUE,FALSE)</f>
        <v/>
      </c>
      <c r="R582" s="1735" t="n">
        <v>11</v>
      </c>
      <c r="S582" s="1736" t="n">
        <v>11</v>
      </c>
      <c r="T582" s="1711">
        <f>IF(AND(E582&gt;=R582,E582&lt;=S582),TRUE,FALSE)</f>
        <v/>
      </c>
      <c r="U582" s="978" t="n"/>
      <c r="V582" s="1484" t="n"/>
      <c r="W582" s="1517" t="n">
        <v>11</v>
      </c>
      <c r="X582" s="2029" t="n"/>
      <c r="Y582" s="1527" t="n">
        <v>11</v>
      </c>
      <c r="Z582" s="1528" t="n"/>
      <c r="AA582" s="1529" t="n">
        <v>11</v>
      </c>
      <c r="AC582" s="1013" t="n"/>
      <c r="AD582" s="1014" t="n"/>
      <c r="AE582" s="1013" t="n"/>
      <c r="AF582" s="1014" t="n"/>
      <c r="AG582" s="1013" t="n"/>
      <c r="AH582" s="1014" t="n"/>
      <c r="AJ582" s="10" t="n"/>
      <c r="AK582" s="10" t="n"/>
      <c r="AL582" s="10" t="n"/>
    </row>
    <row r="583" ht="32" customHeight="1">
      <c r="B583" s="53" t="n"/>
      <c r="C583" s="2066" t="n"/>
      <c r="D583" s="63" t="n"/>
      <c r="E583" s="36" t="n"/>
      <c r="F583" s="36" t="n"/>
      <c r="G583" s="36" t="n"/>
      <c r="H583" s="1735" t="n">
        <v>11</v>
      </c>
      <c r="I583" s="1736" t="n">
        <v>11</v>
      </c>
      <c r="J583" s="46">
        <f>IF(AND(E583&gt;=H583,E583&lt;=I583),TRUE,FALSE)</f>
        <v/>
      </c>
      <c r="K583" s="46" t="n"/>
      <c r="L583" s="46" t="n"/>
      <c r="M583" s="46" t="n"/>
      <c r="N583" s="1711" t="n"/>
      <c r="O583" s="1735" t="n">
        <v>11</v>
      </c>
      <c r="P583" s="1736" t="n">
        <v>11</v>
      </c>
      <c r="Q583" s="1711">
        <f>IF(AND(E583&gt;=O583,E583&lt;=P583),TRUE,FALSE)</f>
        <v/>
      </c>
      <c r="R583" s="1735" t="n">
        <v>11</v>
      </c>
      <c r="S583" s="1736" t="n">
        <v>11</v>
      </c>
      <c r="T583" s="1711">
        <f>IF(AND(E583&gt;=R583,E583&lt;=S583),TRUE,FALSE)</f>
        <v/>
      </c>
      <c r="U583" s="978" t="n"/>
      <c r="V583" s="1487" t="inlineStr">
        <is>
          <t>ou</t>
        </is>
      </c>
      <c r="W583" s="1518" t="n">
        <v>11</v>
      </c>
      <c r="X583" s="1493" t="n"/>
      <c r="Y583" s="1521" t="n">
        <v>11</v>
      </c>
      <c r="Z583" s="1522" t="n"/>
      <c r="AA583" s="1523" t="n">
        <v>11</v>
      </c>
      <c r="AC583" s="1013" t="n"/>
      <c r="AD583" s="1014" t="n"/>
      <c r="AE583" s="1013" t="n"/>
      <c r="AF583" s="1014" t="n"/>
      <c r="AG583" s="1013" t="n"/>
      <c r="AH583" s="1014" t="n"/>
      <c r="AJ583" s="10" t="n"/>
      <c r="AK583" s="10" t="n"/>
      <c r="AL583" s="10" t="n"/>
    </row>
    <row r="584" ht="32" customHeight="1" thickBot="1">
      <c r="B584" s="831" t="inlineStr">
        <is>
          <t>Max NC</t>
        </is>
      </c>
      <c r="C584" s="832">
        <f>_xlfn.XLOOKUP(G584,G582:G583,C582:C583)</f>
        <v/>
      </c>
      <c r="D584" s="833" t="n"/>
      <c r="E584" s="834" t="n"/>
      <c r="F584" s="834" t="n"/>
      <c r="G584" s="834">
        <f>IF(AND(J582=TRUE,J583=FALSE),G582,IF(AND(J582=FALSE,J583=TRUE),G583,MAX(G582,G583)))</f>
        <v/>
      </c>
      <c r="H584" s="1713" t="n"/>
      <c r="I584" s="835" t="n"/>
      <c r="J584" s="836">
        <f>IF(AND(J582=FALSE,J583=FALSE),FALSE,TRUE)</f>
        <v/>
      </c>
      <c r="K584" s="46" t="n"/>
      <c r="L584" s="46" t="n"/>
      <c r="M584" s="46" t="n"/>
      <c r="N584" s="1711" t="n"/>
      <c r="O584" s="1713" t="n"/>
      <c r="P584" s="835" t="n"/>
      <c r="Q584" s="1726">
        <f>IF(AND(Q582=FALSE,Q583=FALSE),FALSE,TRUE)</f>
        <v/>
      </c>
      <c r="R584" s="1713" t="n"/>
      <c r="S584" s="835" t="n"/>
      <c r="T584" s="1726">
        <f>IF(AND(T582=FALSE,T583=FALSE),FALSE,TRUE)</f>
        <v/>
      </c>
      <c r="U584" s="978" t="n"/>
      <c r="V584" s="978" t="n"/>
      <c r="W584" s="1473" t="n"/>
      <c r="X584" s="2002" t="n"/>
      <c r="Y584" s="1524" t="n"/>
      <c r="Z584" s="1525" t="n"/>
      <c r="AA584" s="1526" t="n"/>
      <c r="AC584" s="1013" t="n"/>
      <c r="AD584" s="1014" t="n"/>
      <c r="AE584" s="1013" t="n"/>
      <c r="AF584" s="1014" t="n"/>
      <c r="AG584" s="1013" t="n"/>
      <c r="AH584" s="1014" t="n"/>
      <c r="AJ584" s="10" t="n"/>
      <c r="AK584" s="10" t="n"/>
      <c r="AL584" s="10" t="n"/>
    </row>
    <row r="585" ht="32" customHeight="1" thickBot="1">
      <c r="B585" s="837" t="inlineStr">
        <is>
          <t>Max PFA &amp; NC</t>
        </is>
      </c>
      <c r="C585" s="838" t="n"/>
      <c r="D585" s="838" t="n"/>
      <c r="E585" s="839" t="n"/>
      <c r="F585" s="839" t="n"/>
      <c r="G585" s="839">
        <f>IF(AND(J581=TRUE,J584=FALSE),G581,IF(AND(J581=FALSE,J584=TRUE),G584,IF(AND(J581=TRUE,J584=TRUE),G581+G584,MAX(G581,G584))))</f>
        <v/>
      </c>
      <c r="H585" s="1714" t="n"/>
      <c r="I585" s="840" t="n"/>
      <c r="J585" s="841">
        <f>IF(AND(J581=FALSE,J584=FALSE),FALSE,TRUE)</f>
        <v/>
      </c>
      <c r="K585" s="1698" t="n"/>
      <c r="L585" s="1698" t="n"/>
      <c r="M585" s="1698" t="n"/>
      <c r="N585" s="1715" t="n"/>
      <c r="O585" s="1714" t="n"/>
      <c r="P585" s="840" t="n"/>
      <c r="Q585" s="841">
        <f>IF(AND(Q581=FALSE,Q584=FALSE),FALSE,TRUE)</f>
        <v/>
      </c>
      <c r="R585" s="1714" t="n"/>
      <c r="S585" s="840" t="n"/>
      <c r="T585" s="841">
        <f>IF(AND(T581=FALSE,T584=FALSE),FALSE,TRUE)</f>
        <v/>
      </c>
      <c r="U585" s="978" t="n"/>
      <c r="V585" s="978" t="inlineStr">
        <is>
          <t>et</t>
        </is>
      </c>
      <c r="W585" s="1473" t="n"/>
      <c r="X585" s="2002" t="n"/>
      <c r="Y585" s="1524" t="n"/>
      <c r="Z585" s="1525" t="n"/>
      <c r="AA585" s="1526" t="n"/>
      <c r="AC585" s="1013">
        <f>IF(J585=TRUE,"V","F")</f>
        <v/>
      </c>
      <c r="AD585" s="1014" t="n"/>
      <c r="AE585" s="1013">
        <f>IF(Q585=TRUE,"V","F")</f>
        <v/>
      </c>
      <c r="AF585" s="1014" t="n"/>
      <c r="AG585" s="1013">
        <f>IF(T585=TRUE,"V","F")</f>
        <v/>
      </c>
      <c r="AH585" s="1014" t="n"/>
      <c r="AJ585" s="10" t="n"/>
      <c r="AK585" s="10" t="n"/>
      <c r="AL585" s="10" t="n"/>
    </row>
    <row r="586" ht="32" customHeight="1">
      <c r="B586" s="316" t="n"/>
      <c r="C586" s="2066" t="n"/>
      <c r="D586" s="63" t="n"/>
      <c r="E586" s="823" t="n"/>
      <c r="F586" s="822" t="n"/>
      <c r="G586" s="823" t="n"/>
      <c r="H586" s="1735" t="n"/>
      <c r="I586" s="1736" t="n"/>
      <c r="J586" s="46" t="n"/>
      <c r="K586" s="46" t="n"/>
      <c r="L586" s="46" t="n"/>
      <c r="M586" s="46" t="n"/>
      <c r="N586" s="1711" t="n"/>
      <c r="O586" s="1735" t="n"/>
      <c r="P586" s="1736" t="n"/>
      <c r="Q586" s="1711" t="n"/>
      <c r="R586" s="1710" t="n"/>
      <c r="S586" s="1703" t="n"/>
      <c r="T586" s="1711" t="n"/>
      <c r="U586" s="978" t="n"/>
      <c r="V586" s="1484" t="n"/>
      <c r="W586" s="1517" t="n">
        <v>11</v>
      </c>
      <c r="X586" s="2029" t="n"/>
      <c r="Y586" s="1527" t="n">
        <v>11</v>
      </c>
      <c r="Z586" s="1528" t="n"/>
      <c r="AA586" s="1529" t="n">
        <v>11</v>
      </c>
      <c r="AC586" s="1013" t="inlineStr">
        <is>
          <t> </t>
        </is>
      </c>
      <c r="AD586" s="1014" t="n"/>
      <c r="AE586" s="1013" t="n"/>
      <c r="AF586" s="1014" t="n"/>
      <c r="AG586" s="1013" t="n"/>
      <c r="AH586" s="1014" t="n"/>
      <c r="AJ586" s="10" t="n"/>
      <c r="AK586" s="10" t="n"/>
      <c r="AL586" s="10" t="n"/>
    </row>
    <row r="587" ht="32" customHeight="1" thickBot="1">
      <c r="B587" s="316" t="n"/>
      <c r="C587" s="799" t="n"/>
      <c r="D587" s="63" t="n"/>
      <c r="E587" s="823" t="n"/>
      <c r="F587" s="822" t="n"/>
      <c r="G587" s="823" t="n"/>
      <c r="H587" s="1735" t="n"/>
      <c r="I587" s="1736" t="n"/>
      <c r="J587" s="46" t="n"/>
      <c r="K587" s="46" t="n"/>
      <c r="L587" s="46" t="n"/>
      <c r="M587" s="46" t="n"/>
      <c r="N587" s="1711" t="n"/>
      <c r="O587" s="1735" t="n"/>
      <c r="P587" s="1736" t="n"/>
      <c r="Q587" s="1711" t="n"/>
      <c r="R587" s="1735" t="n"/>
      <c r="S587" s="1736" t="n"/>
      <c r="T587" s="1711" t="n"/>
      <c r="U587" s="978" t="n"/>
      <c r="V587" s="1487" t="inlineStr">
        <is>
          <t>ou</t>
        </is>
      </c>
      <c r="W587" s="1518" t="n">
        <v>11</v>
      </c>
      <c r="X587" s="1493" t="n"/>
      <c r="Y587" s="1521" t="n">
        <v>11</v>
      </c>
      <c r="Z587" s="1522" t="n"/>
      <c r="AA587" s="1523" t="n">
        <v>11</v>
      </c>
      <c r="AC587" s="1013" t="n"/>
      <c r="AD587" s="1014" t="n"/>
      <c r="AE587" s="1013" t="n"/>
      <c r="AF587" s="1014" t="n"/>
      <c r="AG587" s="1013" t="n"/>
      <c r="AH587" s="1014" t="n"/>
      <c r="AJ587" s="10" t="n"/>
      <c r="AK587" s="10" t="n"/>
      <c r="AL587" s="10" t="n"/>
    </row>
    <row r="588" ht="32" customHeight="1" thickBot="1">
      <c r="B588" s="842" t="inlineStr">
        <is>
          <t>Max Enf</t>
        </is>
      </c>
      <c r="C588" s="843">
        <f>_xlfn.XLOOKUP(G588,G586:G587,C586:C587)</f>
        <v/>
      </c>
      <c r="D588" s="843" t="n"/>
      <c r="E588" s="844" t="n"/>
      <c r="F588" s="844" t="n"/>
      <c r="G588" s="844">
        <f>IF(AND(J586=TRUE,J587=FALSE),G586,IF(AND(J586=FALSE,J587=TRUE),G587,MAX(G586,G587)))</f>
        <v/>
      </c>
      <c r="H588" s="1716" t="n"/>
      <c r="I588" s="845" t="n"/>
      <c r="J588" s="846">
        <f>IF(AND(J586=FALSE,J587=FALSE),FALSE,TRUE)</f>
        <v/>
      </c>
      <c r="K588" s="1699" t="n"/>
      <c r="L588" s="1699" t="n"/>
      <c r="M588" s="1699" t="n"/>
      <c r="N588" s="1717" t="n"/>
      <c r="O588" s="1716" t="n"/>
      <c r="P588" s="845" t="n"/>
      <c r="Q588" s="846">
        <f>IF(AND(Q586=FALSE,Q587=FALSE),FALSE,TRUE)</f>
        <v/>
      </c>
      <c r="R588" s="1716" t="n"/>
      <c r="S588" s="845" t="n"/>
      <c r="T588" s="846" t="n"/>
      <c r="U588" s="978" t="n"/>
      <c r="V588" s="978" t="n"/>
      <c r="W588" s="1475" t="n"/>
      <c r="Y588" s="1532" t="n"/>
      <c r="Z588" s="1531" t="n"/>
      <c r="AA588" s="1530" t="n"/>
      <c r="AC588" s="1013">
        <f>IF(J588=TRUE,"V","F")</f>
        <v/>
      </c>
      <c r="AD588" s="1014" t="n"/>
      <c r="AE588" s="1013">
        <f>IF(Q588=TRUE,"V","F")</f>
        <v/>
      </c>
      <c r="AF588" s="1014" t="n"/>
      <c r="AG588" s="1013" t="n"/>
      <c r="AH588" s="1014" t="n"/>
      <c r="AJ588" s="10" t="n"/>
      <c r="AK588" s="10" t="n"/>
      <c r="AL588" s="10" t="n"/>
    </row>
    <row r="589" ht="32" customHeight="1">
      <c r="C589" s="428" t="inlineStr">
        <is>
          <t>COMPARATIF Comportement PFA-Enf</t>
        </is>
      </c>
      <c r="D589" s="2058" t="n"/>
      <c r="E589" s="484" t="inlineStr">
        <is>
          <t>Valeur =&gt;</t>
        </is>
      </c>
      <c r="F589" s="48" t="n"/>
      <c r="G589" s="48">
        <f>G581+G584+G588</f>
        <v/>
      </c>
      <c r="H589" s="1718" t="n"/>
      <c r="I589" s="485" t="n"/>
      <c r="J589" s="1701" t="n"/>
      <c r="K589" s="1702">
        <f>IF(AND(J588=TRUE,J585=TRUE),D588,"")</f>
        <v/>
      </c>
      <c r="L589" s="1702">
        <f>IF(AND(J585=TRUE,J588=FALSE),"Bien que le parent "&amp;D585&amp;" l'enfant ne semble pas s'ingérer","")</f>
        <v/>
      </c>
      <c r="M589" s="1702">
        <f>IF(AND(J585=FALSE,J588=TRUE),D588&amp;" sans signe de la participation du parent favorisé et|ou nouveau conjoint.e","")</f>
        <v/>
      </c>
      <c r="N589" s="1719">
        <f>IF(AND(J585=FALSE,J588=FALSE),"aucun comportement significatif de cette nature","")</f>
        <v/>
      </c>
      <c r="O589" s="1718" t="n"/>
      <c r="P589" s="485" t="n"/>
      <c r="Q589" s="1727" t="n"/>
      <c r="R589" s="1718" t="n"/>
      <c r="S589" s="485" t="n"/>
      <c r="T589" s="1727" t="n"/>
      <c r="U589" s="980" t="n"/>
      <c r="V589" s="980" t="n"/>
      <c r="W589" s="1475" t="n"/>
      <c r="Y589" s="1532" t="n"/>
      <c r="Z589" s="1531" t="n"/>
      <c r="AA589" s="1530" t="n"/>
      <c r="AC589" s="1015" t="n"/>
      <c r="AD589" s="1016">
        <f>IF(AND(AC585="V",AC588="V"),2,IF(OR(AC585="V",AC588="V"),1,0))</f>
        <v/>
      </c>
      <c r="AE589" s="1015" t="n"/>
      <c r="AF589" s="1016">
        <f>IF(OR(AE585="V",AE588="V"),1,0)</f>
        <v/>
      </c>
      <c r="AG589" s="1015" t="n"/>
      <c r="AH589" s="1016" t="n"/>
      <c r="AJ589" s="10" t="n"/>
      <c r="AK589" s="10" t="n"/>
      <c r="AL589" s="10" t="n"/>
    </row>
    <row r="590" ht="32" customHeight="1">
      <c r="B590" t="inlineStr">
        <is>
          <t>PCR</t>
        </is>
      </c>
      <c r="H590" s="147" t="n"/>
      <c r="K590" s="1992" t="n"/>
      <c r="L590" s="1992" t="n"/>
      <c r="M590" s="1992" t="n"/>
      <c r="N590" s="1740" t="n"/>
      <c r="O590" s="147" t="n"/>
      <c r="Q590" s="330" t="n"/>
      <c r="R590" s="147" t="n"/>
      <c r="T590" s="330" t="n"/>
      <c r="U590" s="1992" t="n"/>
      <c r="W590" s="1475" t="n"/>
      <c r="Y590" s="1532" t="n"/>
      <c r="Z590" s="1531" t="n"/>
      <c r="AA590" s="1530" t="n"/>
      <c r="AC590" s="1013" t="n"/>
      <c r="AD590" s="1014" t="n"/>
      <c r="AE590" s="1013" t="n"/>
      <c r="AF590" s="1014" t="n"/>
      <c r="AG590" s="1013" t="n"/>
      <c r="AH590" s="1014" t="n"/>
      <c r="AJ590" s="10" t="n"/>
      <c r="AK590" s="10" t="n"/>
      <c r="AL590" s="10" t="n"/>
    </row>
    <row r="591" ht="32" customHeight="1">
      <c r="B591" s="1017">
        <f>'Cpts miroirs des parents'!G13</f>
        <v/>
      </c>
      <c r="C591" s="1018">
        <f>Test_Bible!B133</f>
        <v/>
      </c>
      <c r="D591" s="1018" t="n"/>
      <c r="E591" s="1026">
        <f>Test_Bible!P133</f>
        <v/>
      </c>
      <c r="F591" s="1026">
        <f>Test_Bible!D133</f>
        <v/>
      </c>
      <c r="G591" s="1026">
        <f>E591*F591</f>
        <v/>
      </c>
      <c r="H591" s="1735" t="n">
        <v>11</v>
      </c>
      <c r="I591" s="1736" t="n">
        <v>11</v>
      </c>
      <c r="J591" s="46">
        <f>IF(AND(E591&gt;=H591,E591&lt;=I591),TRUE,FALSE)</f>
        <v/>
      </c>
      <c r="K591" s="33" t="n"/>
      <c r="L591" s="33" t="n"/>
      <c r="M591" s="33" t="n"/>
      <c r="N591" s="1720" t="n"/>
      <c r="O591" s="1735" t="n">
        <v>11</v>
      </c>
      <c r="P591" s="1736" t="n">
        <v>11</v>
      </c>
      <c r="Q591" s="1711">
        <f>IF(AND(E591&gt;=O591,E591&lt;=P591),TRUE,FALSE)</f>
        <v/>
      </c>
      <c r="R591" s="1710" t="n">
        <v>7</v>
      </c>
      <c r="S591" s="1703" t="n">
        <v>10</v>
      </c>
      <c r="T591" s="1711">
        <f>IF(AND(E591&gt;=R591,E591&lt;=S591),TRUE,FALSE)</f>
        <v/>
      </c>
      <c r="U591" s="1681" t="n"/>
      <c r="V591" s="1514" t="n"/>
      <c r="W591" s="1485" t="n">
        <v>4</v>
      </c>
      <c r="X591" s="2029" t="n"/>
      <c r="Y591" s="1527" t="n">
        <v>11</v>
      </c>
      <c r="Z591" s="1528" t="n"/>
      <c r="AA591" s="1529" t="n">
        <v>11</v>
      </c>
      <c r="AC591" s="1013" t="n"/>
      <c r="AD591" s="1014" t="n"/>
      <c r="AE591" s="1013" t="n"/>
      <c r="AF591" s="1014" t="n"/>
      <c r="AG591" s="1013" t="n"/>
      <c r="AH591" s="1014" t="n"/>
      <c r="AJ591" s="10" t="n"/>
      <c r="AK591" s="10" t="n"/>
      <c r="AL591" s="10" t="n"/>
    </row>
    <row r="592" ht="32" customHeight="1" thickBot="1">
      <c r="B592" s="1695" t="n"/>
      <c r="C592" s="1696" t="n"/>
      <c r="D592" s="1018" t="n"/>
      <c r="E592" s="1026" t="n"/>
      <c r="F592" s="1026" t="n"/>
      <c r="G592" s="1026" t="n"/>
      <c r="H592" s="1735" t="n">
        <v>11</v>
      </c>
      <c r="I592" s="1736" t="n">
        <v>11</v>
      </c>
      <c r="J592" s="46">
        <f>IF(AND(E592&gt;=H592,E592&lt;=I592),TRUE,FALSE)</f>
        <v/>
      </c>
      <c r="K592" s="33" t="n"/>
      <c r="L592" s="33" t="n"/>
      <c r="M592" s="33" t="n"/>
      <c r="N592" s="1720" t="n"/>
      <c r="O592" s="1735" t="n">
        <v>11</v>
      </c>
      <c r="P592" s="1736" t="n">
        <v>11</v>
      </c>
      <c r="Q592" s="1711">
        <f>IF(AND(E592&gt;=O592,E592&lt;=P592),TRUE,FALSE)</f>
        <v/>
      </c>
      <c r="R592" s="1735" t="n">
        <v>11</v>
      </c>
      <c r="S592" s="1736" t="n">
        <v>11</v>
      </c>
      <c r="T592" s="1711">
        <f>IF(AND(E592&gt;=R592,E592&lt;=S592),TRUE,FALSE)</f>
        <v/>
      </c>
      <c r="V592" s="1515" t="n"/>
      <c r="W592" s="1488" t="n">
        <v>11</v>
      </c>
      <c r="X592" s="1493" t="n"/>
      <c r="Y592" s="1521" t="n">
        <v>11</v>
      </c>
      <c r="Z592" s="1522" t="n"/>
      <c r="AA592" s="1523" t="n">
        <v>11</v>
      </c>
      <c r="AC592" s="1013" t="n"/>
      <c r="AD592" s="1014" t="n"/>
      <c r="AE592" s="1013" t="n"/>
      <c r="AF592" s="1014" t="n"/>
      <c r="AG592" s="1013" t="n"/>
      <c r="AH592" s="1014" t="n"/>
      <c r="AJ592" s="10" t="n"/>
      <c r="AK592" s="10" t="n"/>
      <c r="AL592" s="10" t="n"/>
    </row>
    <row r="593" ht="32" customHeight="1" thickBot="1">
      <c r="D593" s="847" t="n"/>
      <c r="E593" s="97" t="n"/>
      <c r="F593" s="97" t="n"/>
      <c r="G593" s="97" t="n"/>
      <c r="H593" s="1732" t="n"/>
      <c r="I593" s="1733" t="n"/>
      <c r="J593" s="1739">
        <f>IF(AND(J591=FALSE,J592=FALSE),FALSE,TRUE)</f>
        <v/>
      </c>
      <c r="K593" s="1721" t="n"/>
      <c r="L593" s="1722" t="n"/>
      <c r="M593" s="1722" t="n"/>
      <c r="N593" s="1723" t="n"/>
      <c r="O593" s="1732" t="n"/>
      <c r="P593" s="1733" t="n"/>
      <c r="Q593" s="1739">
        <f>IF(AND(Q591=FALSE,Q592=FALSE),FALSE,TRUE)</f>
        <v/>
      </c>
      <c r="R593" s="1744" t="n"/>
      <c r="S593" s="1745" t="n"/>
      <c r="T593" s="1746">
        <f>IF(AND(T591=FALSE,T592=FALSE),FALSE,TRUE)</f>
        <v/>
      </c>
      <c r="U593" s="97" t="n"/>
      <c r="AC593" s="1650">
        <f>IF(J593=TRUE,"V","F")</f>
        <v/>
      </c>
      <c r="AD593" s="1651" t="n"/>
      <c r="AE593" s="1650">
        <f>IF(Q593=TRUE,"V","F")</f>
        <v/>
      </c>
      <c r="AF593" s="1651" t="n"/>
      <c r="AG593" s="1650">
        <f>IF(T593=TRUE,"V","F")</f>
        <v/>
      </c>
      <c r="AH593" s="1651" t="n"/>
      <c r="AJ593" s="10" t="n"/>
      <c r="AK593" s="10" t="n"/>
      <c r="AL593" s="10" t="n"/>
    </row>
    <row r="594" ht="32" customHeight="1">
      <c r="AC594" s="1737" t="n"/>
      <c r="AD594" s="1738">
        <f>IF(AND(AC593="V",AC585="V"),AD589-1,AD589)</f>
        <v/>
      </c>
      <c r="AE594" s="1737" t="n"/>
      <c r="AF594" s="1738">
        <f>IF(OR(AE585="V",AE588="V",AE593="V"),1,0)</f>
        <v/>
      </c>
      <c r="AG594" s="1737" t="n"/>
      <c r="AH594" s="1738">
        <f>IF(AG585="V",1,IF(AG593="V",1,0))</f>
        <v/>
      </c>
      <c r="AJ594" s="10" t="n">
        <v>1</v>
      </c>
      <c r="AK594" s="10" t="n"/>
      <c r="AL594" s="10" t="n">
        <v>1</v>
      </c>
    </row>
    <row r="595" ht="32" customHeight="1">
      <c r="AC595" s="1756" t="inlineStr">
        <is>
          <t>Indice boosté</t>
        </is>
      </c>
      <c r="AD595" s="1757">
        <f>IF(AF594=1,AD594*(1+$AH$28),AD594)</f>
        <v/>
      </c>
      <c r="AE595" s="1490" t="n"/>
      <c r="AJ595" s="10" t="n"/>
      <c r="AK595" s="10" t="n"/>
      <c r="AL595" s="10" t="n"/>
    </row>
    <row r="596" ht="32" customHeight="1">
      <c r="D596" s="109" t="inlineStr">
        <is>
          <t>Mots-clés</t>
        </is>
      </c>
      <c r="E596" s="2060" t="inlineStr">
        <is>
          <t>COMBINAISONS</t>
        </is>
      </c>
      <c r="J596" s="2060" t="n"/>
      <c r="K596" s="2061" t="n"/>
      <c r="N596" s="2060" t="n"/>
      <c r="O596" s="2060" t="n"/>
      <c r="P596" s="2060" t="n"/>
      <c r="Q596" s="2060" t="n"/>
      <c r="R596" s="2060" t="n"/>
      <c r="S596" s="2060" t="n"/>
      <c r="T596" s="2060" t="n"/>
      <c r="U596" s="97" t="n"/>
      <c r="V596" s="97" t="n"/>
      <c r="AJ596" s="10" t="n"/>
      <c r="AK596" s="10" t="n"/>
      <c r="AL596" s="10" t="n"/>
    </row>
    <row r="597" ht="32" customHeight="1">
      <c r="A597" s="853" t="n">
        <v>4</v>
      </c>
      <c r="C597" s="486">
        <f>'[1]Cpts miroirs des parents'!$B$16</f>
        <v/>
      </c>
      <c r="D597" s="108" t="n"/>
      <c r="E597" s="66" t="n"/>
      <c r="F597" s="18" t="n"/>
      <c r="G597" s="18" t="n"/>
      <c r="H597" s="2052" t="inlineStr">
        <is>
          <t>AP</t>
        </is>
      </c>
      <c r="K597" s="2055" t="inlineStr">
        <is>
          <t>Dynamique d'AP</t>
        </is>
      </c>
      <c r="N597" s="330" t="n"/>
      <c r="O597" s="2122" t="inlineStr">
        <is>
          <t>CL</t>
        </is>
      </c>
      <c r="Q597" s="330" t="n"/>
      <c r="R597" s="2123" t="inlineStr">
        <is>
          <t>CSS</t>
        </is>
      </c>
      <c r="T597" s="330" t="n"/>
      <c r="U597" s="15" t="n"/>
      <c r="V597" s="15" t="n"/>
      <c r="AC597" s="1009" t="n"/>
      <c r="AD597" s="1009" t="n"/>
      <c r="AE597" s="1009" t="n"/>
      <c r="AF597" s="1009" t="n"/>
      <c r="AG597" s="1009" t="n"/>
      <c r="AH597" s="1010" t="n"/>
      <c r="AJ597" s="10" t="n"/>
      <c r="AK597" s="10" t="n"/>
      <c r="AL597" s="10" t="n"/>
    </row>
    <row r="598" ht="32" customHeight="1">
      <c r="C598" s="103" t="inlineStr">
        <is>
          <t>Questions et sous-questions</t>
        </is>
      </c>
      <c r="D598" s="1043" t="n"/>
      <c r="E598" s="33" t="inlineStr">
        <is>
          <t>Valeur de base
Fréquence (F)</t>
        </is>
      </c>
      <c r="F598" s="33" t="inlineStr">
        <is>
          <t>Valeur de base
intensité (I)</t>
        </is>
      </c>
      <c r="G598" s="33" t="inlineStr">
        <is>
          <t>F * I</t>
        </is>
      </c>
      <c r="H598" s="1708" t="inlineStr">
        <is>
          <t>Condition Fréq. 
&gt;= que</t>
        </is>
      </c>
      <c r="I598" s="44" t="inlineStr">
        <is>
          <t>Condition Fré
&lt;= que</t>
        </is>
      </c>
      <c r="J598" s="44" t="inlineStr">
        <is>
          <t>Condition respectée</t>
        </is>
      </c>
      <c r="K598" s="44" t="inlineStr">
        <is>
          <t>"VRAI" (PF&amp;NC) /  "VRAI" (Enf)</t>
        </is>
      </c>
      <c r="L598" s="44" t="inlineStr">
        <is>
          <t>Vrai (PF&amp;NC) /  Faux (Enf)</t>
        </is>
      </c>
      <c r="M598" s="44" t="inlineStr">
        <is>
          <t>Faux (PF&amp;NC) /  Vrai (Enf)</t>
        </is>
      </c>
      <c r="N598" s="1709" t="inlineStr">
        <is>
          <t>Faux (PF&amp;NC) /  Faux(Enf)</t>
        </is>
      </c>
      <c r="O598" s="1708" t="inlineStr">
        <is>
          <t>Condition Fréq. 
&gt;= que</t>
        </is>
      </c>
      <c r="P598" s="44" t="inlineStr">
        <is>
          <t>Condition Fré
&lt;= que</t>
        </is>
      </c>
      <c r="Q598" s="1709" t="inlineStr">
        <is>
          <t>Condition respectée</t>
        </is>
      </c>
      <c r="R598" s="1708" t="inlineStr">
        <is>
          <t>Condition Fréq. 
&gt;= que</t>
        </is>
      </c>
      <c r="S598" s="44" t="inlineStr">
        <is>
          <t>Condition Fré
&lt;= que</t>
        </is>
      </c>
      <c r="T598" s="1709" t="inlineStr">
        <is>
          <t>Condition respectée</t>
        </is>
      </c>
      <c r="U598" s="851" t="n"/>
      <c r="V598" s="1008" t="inlineStr">
        <is>
          <t>Condition</t>
        </is>
      </c>
      <c r="W598" s="1472" t="inlineStr">
        <is>
          <t>AP</t>
        </is>
      </c>
      <c r="X598" s="1008" t="inlineStr">
        <is>
          <t>Condition</t>
        </is>
      </c>
      <c r="Y598" s="1476" t="inlineStr">
        <is>
          <t>CL</t>
        </is>
      </c>
      <c r="Z598" s="1008" t="n"/>
      <c r="AA598" s="1480" t="inlineStr">
        <is>
          <t>CSS</t>
        </is>
      </c>
      <c r="AC598" s="1023" t="inlineStr">
        <is>
          <t>AP</t>
        </is>
      </c>
      <c r="AD598" s="1024" t="inlineStr">
        <is>
          <t>AP_F</t>
        </is>
      </c>
      <c r="AE598" s="1023" t="inlineStr">
        <is>
          <t>CL</t>
        </is>
      </c>
      <c r="AF598" s="1024" t="inlineStr">
        <is>
          <t>CL_F</t>
        </is>
      </c>
      <c r="AG598" s="1023" t="inlineStr">
        <is>
          <t>CSS</t>
        </is>
      </c>
      <c r="AH598" s="1024" t="inlineStr">
        <is>
          <t>CSS_F</t>
        </is>
      </c>
      <c r="AJ598" s="10" t="n"/>
      <c r="AK598" s="10" t="n"/>
      <c r="AL598" s="10" t="n"/>
    </row>
    <row r="599" ht="32" customHeight="1">
      <c r="B599" s="421">
        <f>BIBLE!E78</f>
        <v/>
      </c>
      <c r="C599" s="2066">
        <f>Test_Bible!B159</f>
        <v/>
      </c>
      <c r="D599" s="102" t="n"/>
      <c r="E599" s="823">
        <f>Test_Bible!P159</f>
        <v/>
      </c>
      <c r="F599" s="822">
        <f>Test_Bible!D159</f>
        <v/>
      </c>
      <c r="G599" s="823">
        <f>E599*F599</f>
        <v/>
      </c>
      <c r="H599" s="1735" t="n">
        <v>11</v>
      </c>
      <c r="I599" s="1736" t="n">
        <v>11</v>
      </c>
      <c r="J599" s="46">
        <f>IF(AND(E599&gt;=H599,E599&lt;=I599),TRUE,FALSE)</f>
        <v/>
      </c>
      <c r="K599" s="46" t="n"/>
      <c r="L599" s="46" t="n"/>
      <c r="M599" s="46" t="n"/>
      <c r="N599" s="1711" t="n"/>
      <c r="O599" s="1735" t="n">
        <v>11</v>
      </c>
      <c r="P599" s="1736" t="n">
        <v>11</v>
      </c>
      <c r="Q599" s="1711">
        <f>IF(AND(E599&gt;=O599,E599&lt;=P599),TRUE,FALSE)</f>
        <v/>
      </c>
      <c r="R599" s="1710" t="n">
        <v>7</v>
      </c>
      <c r="S599" s="1703" t="n">
        <v>10</v>
      </c>
      <c r="T599" s="1711">
        <f>IF(AND(E599&gt;=R599,E599&lt;=S599),TRUE,FALSE)</f>
        <v/>
      </c>
      <c r="U599" s="1681" t="n"/>
      <c r="V599" s="1484" t="n"/>
      <c r="W599" s="1485" t="n">
        <v>4</v>
      </c>
      <c r="X599" s="2029" t="n"/>
      <c r="Y599" s="1527" t="n">
        <v>11</v>
      </c>
      <c r="Z599" s="2029" t="n"/>
      <c r="AA599" s="1496" t="n">
        <v>2</v>
      </c>
      <c r="AC599" s="1011" t="n"/>
      <c r="AD599" s="1012" t="n"/>
      <c r="AE599" s="1011" t="n"/>
      <c r="AF599" s="1012" t="n"/>
      <c r="AG599" s="1011" t="n"/>
      <c r="AH599" s="1012" t="n"/>
      <c r="AJ599" s="10" t="n"/>
      <c r="AK599" s="10" t="n"/>
      <c r="AL599" s="10" t="n"/>
    </row>
    <row r="600" ht="32" customHeight="1">
      <c r="B600" s="421" t="n"/>
      <c r="C600" s="2066" t="n"/>
      <c r="D600" s="102" t="n"/>
      <c r="E600" s="823" t="n"/>
      <c r="F600" s="822" t="n"/>
      <c r="G600" s="823" t="n"/>
      <c r="H600" s="1735" t="n">
        <v>11</v>
      </c>
      <c r="I600" s="1736" t="n">
        <v>11</v>
      </c>
      <c r="J600" s="46">
        <f>IF(AND(E600&gt;=H600,E600&lt;=I600),TRUE,FALSE)</f>
        <v/>
      </c>
      <c r="K600" s="46" t="n"/>
      <c r="L600" s="46" t="n"/>
      <c r="M600" s="46" t="n"/>
      <c r="N600" s="1711" t="n"/>
      <c r="O600" s="1735" t="n">
        <v>11</v>
      </c>
      <c r="P600" s="1736" t="n">
        <v>11</v>
      </c>
      <c r="Q600" s="1711">
        <f>IF(AND(E600&gt;=O600,E600&lt;=P600),TRUE,FALSE)</f>
        <v/>
      </c>
      <c r="R600" s="1735" t="n">
        <v>11</v>
      </c>
      <c r="S600" s="1736" t="n">
        <v>11</v>
      </c>
      <c r="T600" s="1711">
        <f>IF(AND(E600&gt;=R600,E600&lt;=S600),TRUE,FALSE)</f>
        <v/>
      </c>
      <c r="U600" s="978" t="n"/>
      <c r="V600" s="1487" t="inlineStr">
        <is>
          <t>ou</t>
        </is>
      </c>
      <c r="W600" s="1518" t="n">
        <v>11</v>
      </c>
      <c r="X600" s="1522" t="n"/>
      <c r="Y600" s="1521" t="n">
        <v>11</v>
      </c>
      <c r="Z600" s="1522" t="n"/>
      <c r="AA600" s="1523" t="n">
        <v>11</v>
      </c>
      <c r="AC600" s="1013" t="n"/>
      <c r="AD600" s="1014" t="n"/>
      <c r="AE600" s="1013" t="n"/>
      <c r="AF600" s="1014" t="n"/>
      <c r="AG600" s="1013" t="n"/>
      <c r="AH600" s="1014" t="n"/>
      <c r="AJ600" s="10" t="n"/>
      <c r="AK600" s="10" t="n"/>
      <c r="AL600" s="10" t="n"/>
    </row>
    <row r="601" ht="32" customHeight="1">
      <c r="B601" s="825" t="inlineStr">
        <is>
          <t>Max PFA</t>
        </is>
      </c>
      <c r="C601" s="826">
        <f>_xlfn.XLOOKUP(G601,G599:G600,C599:C600)</f>
        <v/>
      </c>
      <c r="D601" s="827" t="n"/>
      <c r="E601" s="828" t="n"/>
      <c r="F601" s="828" t="n"/>
      <c r="G601" s="828">
        <f>IF(AND(J599=TRUE,J600=FALSE),G599,IF(AND(J599=FALSE,J600=TRUE),G600,MAX(G599,G600)))</f>
        <v/>
      </c>
      <c r="H601" s="1712" t="n"/>
      <c r="I601" s="829" t="n"/>
      <c r="J601" s="830">
        <f>IF(AND(J599=FALSE,J600=FALSE),FALSE,TRUE)</f>
        <v/>
      </c>
      <c r="K601" s="46" t="n"/>
      <c r="L601" s="46" t="n"/>
      <c r="M601" s="46" t="n"/>
      <c r="N601" s="1711" t="n"/>
      <c r="O601" s="1712" t="n"/>
      <c r="P601" s="829" t="n"/>
      <c r="Q601" s="1725">
        <f>IF(AND(Q599=FALSE,Q600=FALSE),FALSE,TRUE)</f>
        <v/>
      </c>
      <c r="R601" s="1712" t="n"/>
      <c r="S601" s="829" t="n"/>
      <c r="T601" s="1725">
        <f>IF(AND(T599=FALSE,T600=FALSE),FALSE,TRUE)</f>
        <v/>
      </c>
      <c r="U601" s="978" t="n"/>
      <c r="V601" s="978" t="inlineStr">
        <is>
          <t>ou</t>
        </is>
      </c>
      <c r="W601" s="1473" t="n"/>
      <c r="X601" s="2002" t="n"/>
      <c r="Y601" s="1478" t="n"/>
      <c r="Z601" s="2002" t="n"/>
      <c r="AA601" s="1481" t="n"/>
      <c r="AC601" s="1013" t="n"/>
      <c r="AD601" s="1014" t="n"/>
      <c r="AE601" s="1013" t="n"/>
      <c r="AF601" s="1014" t="n"/>
      <c r="AG601" s="1013" t="n"/>
      <c r="AH601" s="1014" t="n"/>
      <c r="AJ601" s="10" t="n"/>
      <c r="AK601" s="10" t="n"/>
      <c r="AL601" s="10" t="n"/>
    </row>
    <row r="602" ht="32" customHeight="1">
      <c r="B602" s="53" t="n"/>
      <c r="C602" s="2066" t="n"/>
      <c r="D602" s="102" t="n"/>
      <c r="E602" s="823" t="n"/>
      <c r="F602" s="822" t="n"/>
      <c r="G602" s="823" t="n"/>
      <c r="H602" s="1735" t="n">
        <v>11</v>
      </c>
      <c r="I602" s="1736" t="n">
        <v>11</v>
      </c>
      <c r="J602" s="46">
        <f>IF(AND(E602&gt;=H602,E602&lt;=I602),TRUE,FALSE)</f>
        <v/>
      </c>
      <c r="K602" s="46" t="n"/>
      <c r="L602" s="46" t="n"/>
      <c r="M602" s="46" t="n"/>
      <c r="N602" s="1711" t="n"/>
      <c r="O602" s="1735" t="n">
        <v>11</v>
      </c>
      <c r="P602" s="1736" t="n">
        <v>11</v>
      </c>
      <c r="Q602" s="1711">
        <f>IF(AND(E602&gt;=O602,E602&lt;=P602),TRUE,FALSE)</f>
        <v/>
      </c>
      <c r="R602" s="1735" t="n">
        <v>11</v>
      </c>
      <c r="S602" s="1736" t="n">
        <v>11</v>
      </c>
      <c r="T602" s="1711">
        <f>IF(AND(E602&gt;=R602,E602&lt;=S602),TRUE,FALSE)</f>
        <v/>
      </c>
      <c r="U602" s="978" t="n"/>
      <c r="V602" s="1484" t="n"/>
      <c r="W602" s="1517" t="n">
        <v>11</v>
      </c>
      <c r="X602" s="1528" t="n"/>
      <c r="Y602" s="1527" t="n">
        <v>11</v>
      </c>
      <c r="Z602" s="1528" t="n"/>
      <c r="AA602" s="1529" t="n">
        <v>11</v>
      </c>
      <c r="AC602" s="1013" t="n"/>
      <c r="AD602" s="1014" t="n"/>
      <c r="AE602" s="1013" t="n"/>
      <c r="AF602" s="1014" t="n"/>
      <c r="AG602" s="1013" t="n"/>
      <c r="AH602" s="1014" t="n"/>
      <c r="AJ602" s="10" t="n"/>
      <c r="AK602" s="10" t="n"/>
      <c r="AL602" s="10" t="n"/>
    </row>
    <row r="603" ht="32" customHeight="1">
      <c r="B603" s="53" t="n"/>
      <c r="C603" s="2066" t="n"/>
      <c r="D603" s="63" t="n"/>
      <c r="E603" s="36" t="n"/>
      <c r="F603" s="36" t="n"/>
      <c r="G603" s="36" t="n"/>
      <c r="H603" s="1735" t="n">
        <v>11</v>
      </c>
      <c r="I603" s="1736" t="n">
        <v>11</v>
      </c>
      <c r="J603" s="46">
        <f>IF(AND(E603&gt;=H603,E603&lt;=I603),TRUE,FALSE)</f>
        <v/>
      </c>
      <c r="K603" s="46" t="n"/>
      <c r="L603" s="46" t="n"/>
      <c r="M603" s="46" t="n"/>
      <c r="N603" s="1711" t="n"/>
      <c r="O603" s="1735" t="n">
        <v>11</v>
      </c>
      <c r="P603" s="1736" t="n">
        <v>11</v>
      </c>
      <c r="Q603" s="1711">
        <f>IF(AND(E603&gt;=O603,E603&lt;=P603),TRUE,FALSE)</f>
        <v/>
      </c>
      <c r="R603" s="1735" t="n">
        <v>11</v>
      </c>
      <c r="S603" s="1736" t="n">
        <v>11</v>
      </c>
      <c r="T603" s="1711">
        <f>IF(AND(E603&gt;=R603,E603&lt;=S603),TRUE,FALSE)</f>
        <v/>
      </c>
      <c r="U603" s="978" t="n"/>
      <c r="V603" s="1487" t="inlineStr">
        <is>
          <t>ou</t>
        </is>
      </c>
      <c r="W603" s="1518" t="n">
        <v>11</v>
      </c>
      <c r="X603" s="1522" t="n"/>
      <c r="Y603" s="1521" t="n">
        <v>11</v>
      </c>
      <c r="Z603" s="1522" t="n"/>
      <c r="AA603" s="1523" t="n">
        <v>11</v>
      </c>
      <c r="AC603" s="1013" t="n"/>
      <c r="AD603" s="1014" t="n"/>
      <c r="AE603" s="1013" t="n"/>
      <c r="AF603" s="1014" t="n"/>
      <c r="AG603" s="1013" t="n"/>
      <c r="AH603" s="1014" t="n"/>
      <c r="AJ603" s="10" t="n"/>
      <c r="AK603" s="10" t="n"/>
      <c r="AL603" s="10" t="n"/>
    </row>
    <row r="604" ht="32" customHeight="1" thickBot="1">
      <c r="B604" s="831" t="inlineStr">
        <is>
          <t>Max NC</t>
        </is>
      </c>
      <c r="C604" s="832">
        <f>_xlfn.XLOOKUP(G604,G602:G603,C602:C603)</f>
        <v/>
      </c>
      <c r="D604" s="833" t="n"/>
      <c r="E604" s="834" t="n"/>
      <c r="F604" s="834" t="n"/>
      <c r="G604" s="834">
        <f>IF(AND(J602=TRUE,J603=FALSE),G602,IF(AND(J602=FALSE,J603=TRUE),G603,MAX(G602,G603)))</f>
        <v/>
      </c>
      <c r="H604" s="1713" t="n"/>
      <c r="I604" s="835" t="n"/>
      <c r="J604" s="836">
        <f>IF(AND(J602=FALSE,J603=FALSE),FALSE,TRUE)</f>
        <v/>
      </c>
      <c r="K604" s="46" t="n"/>
      <c r="L604" s="46" t="n"/>
      <c r="M604" s="46" t="n"/>
      <c r="N604" s="1711" t="n"/>
      <c r="O604" s="1713" t="n"/>
      <c r="P604" s="835" t="n"/>
      <c r="Q604" s="1726">
        <f>IF(AND(Q602=FALSE,Q603=FALSE),FALSE,TRUE)</f>
        <v/>
      </c>
      <c r="R604" s="1713" t="n"/>
      <c r="S604" s="835" t="n"/>
      <c r="T604" s="1726">
        <f>IF(AND(T602=FALSE,T603=FALSE),FALSE,TRUE)</f>
        <v/>
      </c>
      <c r="U604" s="978" t="n"/>
      <c r="V604" s="978" t="n"/>
      <c r="W604" s="1519" t="n"/>
      <c r="X604" s="1525" t="n"/>
      <c r="Y604" s="1524" t="n"/>
      <c r="Z604" s="1525" t="n"/>
      <c r="AA604" s="1526" t="n"/>
      <c r="AC604" s="1013" t="n"/>
      <c r="AD604" s="1014" t="n"/>
      <c r="AE604" s="1013" t="n"/>
      <c r="AF604" s="1014" t="n"/>
      <c r="AG604" s="1013" t="n"/>
      <c r="AH604" s="1014" t="n"/>
      <c r="AJ604" s="10" t="n"/>
      <c r="AK604" s="10" t="n"/>
      <c r="AL604" s="10" t="n"/>
    </row>
    <row r="605" ht="32" customHeight="1" thickBot="1">
      <c r="B605" s="837" t="inlineStr">
        <is>
          <t>Max PFA &amp; NC</t>
        </is>
      </c>
      <c r="C605" s="838" t="n"/>
      <c r="D605" s="838" t="n"/>
      <c r="E605" s="839" t="n"/>
      <c r="F605" s="839" t="n"/>
      <c r="G605" s="839">
        <f>IF(AND(J601=TRUE,J604=FALSE),G601,IF(AND(J601=FALSE,J604=TRUE),G604,IF(AND(J601=TRUE,J604=TRUE),G601+G604,MAX(G601,G604))))</f>
        <v/>
      </c>
      <c r="H605" s="1714" t="n"/>
      <c r="I605" s="840" t="n"/>
      <c r="J605" s="841">
        <f>IF(AND(J601=FALSE,J604=FALSE),FALSE,TRUE)</f>
        <v/>
      </c>
      <c r="K605" s="1698" t="n"/>
      <c r="L605" s="1698" t="n"/>
      <c r="M605" s="1698" t="n"/>
      <c r="N605" s="1715" t="n"/>
      <c r="O605" s="1714" t="n"/>
      <c r="P605" s="840" t="n"/>
      <c r="Q605" s="841">
        <f>IF(AND(Q601=FALSE,Q604=FALSE),FALSE,TRUE)</f>
        <v/>
      </c>
      <c r="R605" s="1714" t="n"/>
      <c r="S605" s="840" t="n"/>
      <c r="T605" s="841">
        <f>IF(AND(T601=FALSE,T604=FALSE),FALSE,TRUE)</f>
        <v/>
      </c>
      <c r="U605" s="978" t="n"/>
      <c r="V605" s="978" t="inlineStr">
        <is>
          <t>et</t>
        </is>
      </c>
      <c r="W605" s="1519" t="n"/>
      <c r="X605" s="1525" t="n"/>
      <c r="Y605" s="1524" t="n"/>
      <c r="Z605" s="1525" t="n"/>
      <c r="AA605" s="1526" t="n"/>
      <c r="AC605" s="1013">
        <f>IF(J605=TRUE,"V","F")</f>
        <v/>
      </c>
      <c r="AD605" s="1014" t="n"/>
      <c r="AE605" s="1013">
        <f>IF(Q605=TRUE,"V","F")</f>
        <v/>
      </c>
      <c r="AF605" s="1014" t="n"/>
      <c r="AG605" s="1013">
        <f>IF(T605=TRUE,"V","F")</f>
        <v/>
      </c>
      <c r="AH605" s="1014" t="n"/>
      <c r="AJ605" s="10" t="n"/>
      <c r="AK605" s="10" t="n"/>
      <c r="AL605" s="10" t="n"/>
    </row>
    <row r="606" ht="32" customHeight="1">
      <c r="B606" s="316" t="n"/>
      <c r="C606" s="2066" t="n"/>
      <c r="D606" s="2066" t="n"/>
      <c r="E606" s="90" t="n"/>
      <c r="F606" s="2073" t="n"/>
      <c r="G606" s="90" t="n"/>
      <c r="H606" s="1735" t="n">
        <v>11</v>
      </c>
      <c r="I606" s="1736" t="n">
        <v>11</v>
      </c>
      <c r="J606" s="46">
        <f>IF(AND(E606&gt;=H606,E606&lt;=I606),TRUE,FALSE)</f>
        <v/>
      </c>
      <c r="K606" s="46" t="n"/>
      <c r="L606" s="46" t="n"/>
      <c r="M606" s="46" t="n"/>
      <c r="N606" s="1711" t="n"/>
      <c r="O606" s="1735" t="n">
        <v>11</v>
      </c>
      <c r="P606" s="1736" t="n">
        <v>11</v>
      </c>
      <c r="Q606" s="1711">
        <f>IF(AND(E606&gt;=O606,E606&lt;=P606),TRUE,FALSE)</f>
        <v/>
      </c>
      <c r="R606" s="1710" t="n"/>
      <c r="S606" s="1703" t="n"/>
      <c r="T606" s="1711" t="n"/>
      <c r="U606" s="978" t="n"/>
      <c r="V606" s="1484" t="n"/>
      <c r="W606" s="1517" t="n">
        <v>11</v>
      </c>
      <c r="X606" s="1528" t="n"/>
      <c r="Y606" s="1527" t="n">
        <v>11</v>
      </c>
      <c r="Z606" s="1528" t="n"/>
      <c r="AA606" s="1529" t="n">
        <v>11</v>
      </c>
      <c r="AC606" s="1013" t="inlineStr">
        <is>
          <t> </t>
        </is>
      </c>
      <c r="AD606" s="1014" t="n"/>
      <c r="AE606" s="1013" t="n"/>
      <c r="AF606" s="1014" t="n"/>
      <c r="AG606" s="1013" t="n"/>
      <c r="AH606" s="1014" t="n"/>
      <c r="AJ606" s="10" t="n"/>
      <c r="AK606" s="10" t="n"/>
      <c r="AL606" s="10" t="n"/>
    </row>
    <row r="607" ht="32" customHeight="1" thickBot="1">
      <c r="B607" s="316" t="n"/>
      <c r="C607" s="2066" t="n"/>
      <c r="D607" s="2066" t="n"/>
      <c r="E607" s="90" t="n"/>
      <c r="F607" s="2073" t="n"/>
      <c r="G607" s="90" t="n"/>
      <c r="H607" s="1735" t="n">
        <v>11</v>
      </c>
      <c r="I607" s="1736" t="n">
        <v>11</v>
      </c>
      <c r="J607" s="46">
        <f>IF(AND(E607&gt;=H607,E607&lt;=I607),TRUE,FALSE)</f>
        <v/>
      </c>
      <c r="K607" s="46" t="n"/>
      <c r="L607" s="46" t="n"/>
      <c r="M607" s="46" t="n"/>
      <c r="N607" s="1711" t="n"/>
      <c r="O607" s="1735" t="n">
        <v>11</v>
      </c>
      <c r="P607" s="1736" t="n">
        <v>11</v>
      </c>
      <c r="Q607" s="1711">
        <f>IF(AND(E607&gt;=O607,E607&lt;=P607),TRUE,FALSE)</f>
        <v/>
      </c>
      <c r="R607" s="1735" t="n"/>
      <c r="S607" s="1736" t="n"/>
      <c r="T607" s="1711" t="n"/>
      <c r="U607" s="978" t="n"/>
      <c r="V607" s="1487" t="inlineStr">
        <is>
          <t>ou</t>
        </is>
      </c>
      <c r="W607" s="1518" t="n">
        <v>11</v>
      </c>
      <c r="X607" s="1522" t="n"/>
      <c r="Y607" s="1521" t="n">
        <v>11</v>
      </c>
      <c r="Z607" s="1522" t="n"/>
      <c r="AA607" s="1523" t="n">
        <v>11</v>
      </c>
      <c r="AC607" s="1013" t="n"/>
      <c r="AD607" s="1014" t="n"/>
      <c r="AE607" s="1013" t="n"/>
      <c r="AF607" s="1014" t="n"/>
      <c r="AG607" s="1013" t="n"/>
      <c r="AH607" s="1014" t="n"/>
      <c r="AJ607" s="10" t="n"/>
      <c r="AK607" s="10" t="n"/>
      <c r="AL607" s="10" t="n"/>
    </row>
    <row r="608" ht="32" customHeight="1" thickBot="1">
      <c r="B608" s="842" t="inlineStr">
        <is>
          <t>Max Enf</t>
        </is>
      </c>
      <c r="C608" s="843">
        <f>_xlfn.XLOOKUP(G608,G606:G607,C606:C607)</f>
        <v/>
      </c>
      <c r="D608" s="843" t="n"/>
      <c r="E608" s="844" t="n"/>
      <c r="F608" s="844" t="n"/>
      <c r="G608" s="844">
        <f>IF(AND(J606=TRUE,J607=FALSE),G606,IF(AND(J606=FALSE,J607=TRUE),G607,MAX(G606,G607)))</f>
        <v/>
      </c>
      <c r="H608" s="1716" t="n"/>
      <c r="I608" s="845" t="n"/>
      <c r="J608" s="846">
        <f>IF(AND(J606=FALSE,J607=FALSE),FALSE,TRUE)</f>
        <v/>
      </c>
      <c r="K608" s="1699" t="n"/>
      <c r="L608" s="1699" t="n"/>
      <c r="M608" s="1699" t="n"/>
      <c r="N608" s="1717" t="n"/>
      <c r="O608" s="1716" t="n"/>
      <c r="P608" s="845" t="n"/>
      <c r="Q608" s="846">
        <f>IF(AND(Q606=FALSE,Q607=FALSE),FALSE,TRUE)</f>
        <v/>
      </c>
      <c r="R608" s="1716" t="n"/>
      <c r="S608" s="845" t="n"/>
      <c r="T608" s="846" t="n"/>
      <c r="U608" s="978" t="n"/>
      <c r="V608" s="978" t="n"/>
      <c r="W608" s="1475" t="n"/>
      <c r="Y608" s="1479" t="n"/>
      <c r="AA608" s="1483" t="n"/>
      <c r="AC608" s="1013">
        <f>IF(J608=TRUE,"V","F")</f>
        <v/>
      </c>
      <c r="AD608" s="1014" t="n"/>
      <c r="AE608" s="1013">
        <f>IF(Q608=TRUE,"V","F")</f>
        <v/>
      </c>
      <c r="AF608" s="1014" t="n"/>
      <c r="AG608" s="1013" t="n"/>
      <c r="AH608" s="1014" t="n"/>
      <c r="AJ608" s="10" t="n"/>
      <c r="AK608" s="10" t="n"/>
      <c r="AL608" s="10" t="n"/>
    </row>
    <row r="609" ht="32" customHeight="1">
      <c r="C609" s="428" t="inlineStr">
        <is>
          <t>COMPARATIF Comportement PFA-Enf</t>
        </is>
      </c>
      <c r="D609" s="2058" t="n"/>
      <c r="E609" s="484" t="inlineStr">
        <is>
          <t>Valeur =&gt;</t>
        </is>
      </c>
      <c r="F609" s="48" t="n"/>
      <c r="G609" s="48">
        <f>G601+G604+G608</f>
        <v/>
      </c>
      <c r="H609" s="1718" t="n"/>
      <c r="I609" s="485" t="n"/>
      <c r="J609" s="1701" t="n"/>
      <c r="K609" s="1702">
        <f>IF(AND(J608=TRUE,J605=TRUE),D608,"")</f>
        <v/>
      </c>
      <c r="L609" s="1702">
        <f>IF(AND(J605=TRUE,J608=FALSE),"Bien que le parent "&amp;D605&amp;" l'enfant ne semble pas s'ingérer","")</f>
        <v/>
      </c>
      <c r="M609" s="1702">
        <f>IF(AND(J605=FALSE,J608=TRUE),D608&amp;" sans signe de la participation du parent favorisé et|ou nouveau conjoint.e","")</f>
        <v/>
      </c>
      <c r="N609" s="1719">
        <f>IF(AND(J605=FALSE,J608=FALSE),"aucun comportement significatif de cette nature","")</f>
        <v/>
      </c>
      <c r="O609" s="1718" t="n"/>
      <c r="P609" s="485" t="n"/>
      <c r="Q609" s="1727" t="n"/>
      <c r="R609" s="1718" t="n"/>
      <c r="S609" s="485" t="n"/>
      <c r="T609" s="1727" t="n"/>
      <c r="U609" s="980" t="n"/>
      <c r="V609" s="980" t="n"/>
      <c r="W609" s="1475" t="n"/>
      <c r="Y609" s="1479" t="n"/>
      <c r="AA609" s="1483" t="n"/>
      <c r="AC609" s="1015" t="n"/>
      <c r="AD609" s="1016">
        <f>IF(AND(AC605="V",AC608="V"),2,IF(OR(AC605="V",AC608="V"),1,0))</f>
        <v/>
      </c>
      <c r="AE609" s="1015" t="n"/>
      <c r="AF609" s="1016">
        <f>IF(OR(AE605="V",AE608="V"),1,0)</f>
        <v/>
      </c>
      <c r="AG609" s="1015" t="n"/>
      <c r="AH609" s="1016" t="n"/>
      <c r="AJ609" s="10" t="n"/>
      <c r="AK609" s="10" t="n"/>
      <c r="AL609" s="10" t="n"/>
    </row>
    <row r="610" ht="32" customHeight="1">
      <c r="B610" t="inlineStr">
        <is>
          <t>PCR</t>
        </is>
      </c>
      <c r="H610" s="147" t="n"/>
      <c r="K610" s="1992" t="n"/>
      <c r="L610" s="1992" t="n"/>
      <c r="M610" s="1992" t="n"/>
      <c r="N610" s="1740" t="n"/>
      <c r="O610" s="147" t="n"/>
      <c r="Q610" s="330" t="n"/>
      <c r="R610" s="147" t="n"/>
      <c r="T610" s="330" t="n"/>
      <c r="U610" s="1992" t="n"/>
      <c r="W610" s="1475" t="n"/>
      <c r="Y610" s="1479" t="n"/>
      <c r="AA610" s="1483" t="n"/>
      <c r="AC610" s="1013" t="n"/>
      <c r="AD610" s="1014" t="n"/>
      <c r="AE610" s="1013" t="n"/>
      <c r="AF610" s="1014" t="n"/>
      <c r="AG610" s="1013" t="n"/>
      <c r="AH610" s="1014" t="n"/>
      <c r="AJ610" s="10" t="n"/>
      <c r="AK610" s="10" t="n"/>
      <c r="AL610" s="10" t="n"/>
    </row>
    <row r="611" ht="32" customHeight="1">
      <c r="B611" s="1017">
        <f>'Cpts miroirs des parents'!G16</f>
        <v/>
      </c>
      <c r="C611" s="1018">
        <f>Test_Bible!B120</f>
        <v/>
      </c>
      <c r="D611" s="1018" t="n"/>
      <c r="E611" s="1026">
        <f>Test_Bible!P120</f>
        <v/>
      </c>
      <c r="F611" s="1026">
        <f>Test_Bible!D120</f>
        <v/>
      </c>
      <c r="G611" s="1026">
        <f>E611*F611</f>
        <v/>
      </c>
      <c r="H611" s="1735" t="n">
        <v>11</v>
      </c>
      <c r="I611" s="1736" t="n">
        <v>11</v>
      </c>
      <c r="J611" s="46">
        <f>IF(AND(E611&gt;=H611,E611&lt;=I611),TRUE,FALSE)</f>
        <v/>
      </c>
      <c r="K611" s="33" t="n"/>
      <c r="L611" s="33" t="n"/>
      <c r="M611" s="33" t="n"/>
      <c r="N611" s="1720" t="n"/>
      <c r="O611" s="1735" t="n">
        <v>11</v>
      </c>
      <c r="P611" s="1736" t="n">
        <v>11</v>
      </c>
      <c r="Q611" s="1711">
        <f>IF(AND(E611&gt;=O611,E611&lt;=P611),TRUE,FALSE)</f>
        <v/>
      </c>
      <c r="R611" s="1710" t="n">
        <v>7</v>
      </c>
      <c r="S611" s="1703" t="n">
        <v>10</v>
      </c>
      <c r="T611" s="1711">
        <f>IF(AND(E611&gt;=R611,E611&lt;=S611),TRUE,FALSE)</f>
        <v/>
      </c>
      <c r="U611" s="1681" t="n"/>
      <c r="V611" s="1514" t="n"/>
      <c r="W611" s="1485" t="n">
        <v>4</v>
      </c>
      <c r="X611" s="2029" t="n"/>
      <c r="Y611" s="1527" t="n">
        <v>11</v>
      </c>
      <c r="Z611" s="2029" t="n"/>
      <c r="AA611" s="1496" t="n">
        <v>2</v>
      </c>
      <c r="AC611" s="1013" t="n"/>
      <c r="AD611" s="1014" t="n"/>
      <c r="AE611" s="1013" t="n"/>
      <c r="AF611" s="1014" t="n"/>
      <c r="AG611" s="1013" t="n"/>
      <c r="AH611" s="1014" t="n"/>
      <c r="AJ611" s="10" t="n"/>
      <c r="AK611" s="10" t="n"/>
      <c r="AL611" s="10" t="n"/>
    </row>
    <row r="612" ht="32" customHeight="1" thickBot="1">
      <c r="B612" s="1017" t="n"/>
      <c r="C612" s="1025" t="n"/>
      <c r="D612" s="1018" t="n"/>
      <c r="E612" s="1026" t="n"/>
      <c r="F612" s="1026" t="n"/>
      <c r="G612" s="1026" t="n"/>
      <c r="H612" s="1735" t="n">
        <v>11</v>
      </c>
      <c r="I612" s="1736" t="n">
        <v>11</v>
      </c>
      <c r="J612" s="46">
        <f>IF(AND(E612&gt;=H612,E612&lt;=I612),TRUE,FALSE)</f>
        <v/>
      </c>
      <c r="K612" s="33" t="n"/>
      <c r="L612" s="33" t="n"/>
      <c r="M612" s="33" t="n"/>
      <c r="N612" s="1720" t="n"/>
      <c r="O612" s="1735" t="n">
        <v>11</v>
      </c>
      <c r="P612" s="1736" t="n">
        <v>11</v>
      </c>
      <c r="Q612" s="1711">
        <f>IF(AND(E612&gt;=O612,E612&lt;=P612),TRUE,FALSE)</f>
        <v/>
      </c>
      <c r="R612" s="1735" t="n">
        <v>11</v>
      </c>
      <c r="S612" s="1736" t="n">
        <v>11</v>
      </c>
      <c r="T612" s="1711">
        <f>IF(AND(E612&gt;=R612,E612&lt;=S612),TRUE,FALSE)</f>
        <v/>
      </c>
      <c r="V612" s="1515" t="n"/>
      <c r="W612" s="1518" t="n">
        <v>11</v>
      </c>
      <c r="X612" s="1522" t="n"/>
      <c r="Y612" s="1521" t="n">
        <v>11</v>
      </c>
      <c r="Z612" s="1522" t="n"/>
      <c r="AA612" s="1523" t="n">
        <v>11</v>
      </c>
      <c r="AC612" s="1013" t="n"/>
      <c r="AD612" s="1014" t="n"/>
      <c r="AE612" s="1013" t="n"/>
      <c r="AF612" s="1014" t="n"/>
      <c r="AG612" s="1013" t="n"/>
      <c r="AH612" s="1014" t="n"/>
      <c r="AJ612" s="10" t="n"/>
      <c r="AK612" s="10" t="n"/>
      <c r="AL612" s="10" t="n"/>
    </row>
    <row r="613" ht="32" customHeight="1" thickBot="1">
      <c r="D613" s="847" t="n"/>
      <c r="E613" s="97" t="n"/>
      <c r="F613" s="97" t="n"/>
      <c r="G613" s="97" t="n"/>
      <c r="H613" s="1732" t="n"/>
      <c r="I613" s="1733" t="n"/>
      <c r="J613" s="1739">
        <f>IF(AND(J611=FALSE,J612=FALSE),FALSE,TRUE)</f>
        <v/>
      </c>
      <c r="K613" s="1721" t="n"/>
      <c r="L613" s="1722" t="n"/>
      <c r="M613" s="1722" t="n"/>
      <c r="N613" s="1723" t="n"/>
      <c r="O613" s="1732" t="n"/>
      <c r="P613" s="1733" t="n"/>
      <c r="Q613" s="1739">
        <f>IF(AND(Q611=FALSE,Q612=FALSE),FALSE,TRUE)</f>
        <v/>
      </c>
      <c r="R613" s="1744" t="n"/>
      <c r="S613" s="1745" t="n"/>
      <c r="T613" s="1746">
        <f>IF(AND(T611=FALSE,T612=FALSE),FALSE,TRUE)</f>
        <v/>
      </c>
      <c r="U613" s="97" t="n"/>
      <c r="AC613" s="1650">
        <f>IF(J613=TRUE,"V","F")</f>
        <v/>
      </c>
      <c r="AD613" s="1651" t="n"/>
      <c r="AE613" s="1650">
        <f>IF(Q613=TRUE,"V","F")</f>
        <v/>
      </c>
      <c r="AF613" s="1651" t="n"/>
      <c r="AG613" s="1650">
        <f>IF(T613=TRUE,"V","F")</f>
        <v/>
      </c>
      <c r="AH613" s="1651" t="n"/>
      <c r="AJ613" s="10" t="n"/>
      <c r="AK613" s="10" t="n"/>
      <c r="AL613" s="10" t="n"/>
    </row>
    <row r="614" ht="32" customHeight="1">
      <c r="AC614" s="1737" t="n"/>
      <c r="AD614" s="1738">
        <f>IF(AND(AC613="V",AC605="V"),AD609-1,AD609)</f>
        <v/>
      </c>
      <c r="AE614" s="1737" t="n"/>
      <c r="AF614" s="1738">
        <f>IF(OR(AE605="V",AE608="V",AE613="V"),1,0)</f>
        <v/>
      </c>
      <c r="AG614" s="1737" t="n"/>
      <c r="AH614" s="1738">
        <f>IF(AG605="V",1,IF(AG613="V",1,0))</f>
        <v/>
      </c>
      <c r="AJ614" s="10" t="n"/>
      <c r="AK614" s="10" t="n"/>
      <c r="AL614" s="10" t="n">
        <v>1</v>
      </c>
    </row>
    <row r="615" ht="32" customHeight="1">
      <c r="AC615" s="1756" t="inlineStr">
        <is>
          <t>Indice boosté</t>
        </is>
      </c>
      <c r="AD615" s="1757">
        <f>IF(AF614=1,AD614*(1+$AH$28),AD614)</f>
        <v/>
      </c>
      <c r="AE615" s="1490" t="n"/>
      <c r="AJ615" s="10" t="n"/>
      <c r="AK615" s="10" t="n"/>
      <c r="AL615" s="10" t="n"/>
    </row>
    <row r="616" ht="32" customHeight="1">
      <c r="D616" s="109" t="inlineStr">
        <is>
          <t>Mots-clés</t>
        </is>
      </c>
      <c r="E616" s="2060" t="inlineStr">
        <is>
          <t>COMBINAISONS</t>
        </is>
      </c>
      <c r="J616" s="2060" t="n"/>
      <c r="K616" s="2061" t="n"/>
      <c r="N616" s="2060" t="n"/>
      <c r="O616" s="2060" t="n"/>
      <c r="P616" s="2060" t="n"/>
      <c r="Q616" s="2060" t="n"/>
      <c r="R616" s="2060" t="n"/>
      <c r="S616" s="2060" t="n"/>
      <c r="T616" s="2060" t="n"/>
      <c r="U616" s="97" t="n"/>
      <c r="V616" s="97" t="n"/>
      <c r="AJ616" s="10" t="n"/>
      <c r="AK616" s="10" t="n"/>
      <c r="AL616" s="10" t="n"/>
    </row>
    <row r="617" ht="32" customHeight="1">
      <c r="A617" s="853" t="n">
        <v>5</v>
      </c>
      <c r="C617" s="486">
        <f>'Cpts miroirs des parents'!B18</f>
        <v/>
      </c>
      <c r="D617" s="108" t="n"/>
      <c r="E617" s="66" t="n"/>
      <c r="F617" s="18" t="n"/>
      <c r="G617" s="18" t="n"/>
      <c r="H617" s="2052" t="inlineStr">
        <is>
          <t>AP</t>
        </is>
      </c>
      <c r="K617" s="2055" t="inlineStr">
        <is>
          <t>Dynamique d'AP</t>
        </is>
      </c>
      <c r="N617" s="330" t="n"/>
      <c r="O617" s="2122" t="inlineStr">
        <is>
          <t>CL</t>
        </is>
      </c>
      <c r="Q617" s="330" t="n"/>
      <c r="R617" s="2123" t="inlineStr">
        <is>
          <t>CSS</t>
        </is>
      </c>
      <c r="T617" s="330" t="n"/>
      <c r="U617" s="15" t="n"/>
      <c r="V617" s="15" t="n"/>
      <c r="AC617" s="1009" t="n"/>
      <c r="AD617" s="1009" t="n"/>
      <c r="AE617" s="1009" t="n"/>
      <c r="AF617" s="1009" t="n"/>
      <c r="AG617" s="1009" t="n"/>
      <c r="AH617" s="1010" t="n"/>
      <c r="AJ617" s="10" t="n"/>
      <c r="AK617" s="10" t="n"/>
      <c r="AL617" s="10" t="n"/>
    </row>
    <row r="618" ht="32" customHeight="1">
      <c r="C618" s="103" t="inlineStr">
        <is>
          <t>Questions et sous-questions</t>
        </is>
      </c>
      <c r="D618" s="1043" t="n"/>
      <c r="E618" s="33" t="inlineStr">
        <is>
          <t>Valeur de base
Fréquence (F)</t>
        </is>
      </c>
      <c r="F618" s="33" t="inlineStr">
        <is>
          <t>Valeur de base
intensité (I)</t>
        </is>
      </c>
      <c r="G618" s="33" t="inlineStr">
        <is>
          <t>F * I</t>
        </is>
      </c>
      <c r="H618" s="1708" t="inlineStr">
        <is>
          <t>Condition Fréq. 
&gt;= que</t>
        </is>
      </c>
      <c r="I618" s="44" t="inlineStr">
        <is>
          <t>Condition Fré
&lt;= que</t>
        </is>
      </c>
      <c r="J618" s="44" t="inlineStr">
        <is>
          <t>Condition respectée</t>
        </is>
      </c>
      <c r="K618" s="44" t="inlineStr">
        <is>
          <t>"VRAI" (PF&amp;NC) /  "VRAI" (Enf)</t>
        </is>
      </c>
      <c r="L618" s="44" t="inlineStr">
        <is>
          <t>Vrai (PF&amp;NC) /  Faux (Enf)</t>
        </is>
      </c>
      <c r="M618" s="44" t="inlineStr">
        <is>
          <t>Faux (PF&amp;NC) /  Vrai (Enf)</t>
        </is>
      </c>
      <c r="N618" s="1709" t="inlineStr">
        <is>
          <t>Faux (PF&amp;NC) /  Faux(Enf)</t>
        </is>
      </c>
      <c r="O618" s="1708" t="inlineStr">
        <is>
          <t>Condition Fréq. 
&gt;= que</t>
        </is>
      </c>
      <c r="P618" s="44" t="inlineStr">
        <is>
          <t>Condition Fré
&lt;= que</t>
        </is>
      </c>
      <c r="Q618" s="1709" t="inlineStr">
        <is>
          <t>Condition respectée</t>
        </is>
      </c>
      <c r="R618" s="1708" t="inlineStr">
        <is>
          <t>Condition Fréq. 
&gt;= que</t>
        </is>
      </c>
      <c r="S618" s="44" t="inlineStr">
        <is>
          <t>Condition Fré
&lt;= que</t>
        </is>
      </c>
      <c r="T618" s="1709" t="inlineStr">
        <is>
          <t>Condition respectée</t>
        </is>
      </c>
      <c r="U618" s="851" t="n"/>
      <c r="V618" s="1008" t="inlineStr">
        <is>
          <t>Condition</t>
        </is>
      </c>
      <c r="W618" s="1472" t="inlineStr">
        <is>
          <t>AP</t>
        </is>
      </c>
      <c r="X618" s="1008" t="inlineStr">
        <is>
          <t>Condition</t>
        </is>
      </c>
      <c r="Y618" s="1476" t="inlineStr">
        <is>
          <t>CL</t>
        </is>
      </c>
      <c r="Z618" s="1008" t="n"/>
      <c r="AA618" s="1480" t="inlineStr">
        <is>
          <t>CSS</t>
        </is>
      </c>
      <c r="AC618" s="1023" t="inlineStr">
        <is>
          <t>AP</t>
        </is>
      </c>
      <c r="AD618" s="1024" t="inlineStr">
        <is>
          <t>AP_F</t>
        </is>
      </c>
      <c r="AE618" s="1023" t="inlineStr">
        <is>
          <t>CL</t>
        </is>
      </c>
      <c r="AF618" s="1024" t="inlineStr">
        <is>
          <t>CL_F</t>
        </is>
      </c>
      <c r="AG618" s="1023" t="inlineStr">
        <is>
          <t>CSS</t>
        </is>
      </c>
      <c r="AH618" s="1024" t="inlineStr">
        <is>
          <t>CSS_F</t>
        </is>
      </c>
      <c r="AJ618" s="10" t="n"/>
      <c r="AK618" s="10" t="n"/>
      <c r="AL618" s="10" t="n"/>
    </row>
    <row r="619" ht="32" customHeight="1">
      <c r="B619" s="421">
        <f>Test_Bible!A56</f>
        <v/>
      </c>
      <c r="C619" s="799">
        <f>Test_Bible!B56</f>
        <v/>
      </c>
      <c r="D619" s="102" t="n"/>
      <c r="E619" s="823">
        <f>Test_Bible!P56</f>
        <v/>
      </c>
      <c r="F619" s="822">
        <f>Test_Bible!D56</f>
        <v/>
      </c>
      <c r="G619" s="823">
        <f>E619*F619</f>
        <v/>
      </c>
      <c r="H619" s="1710" t="n">
        <v>7</v>
      </c>
      <c r="I619" s="1703" t="n">
        <v>10</v>
      </c>
      <c r="J619" s="46">
        <f>IF(AND(E619&gt;=H619,E619&lt;=I619),TRUE,FALSE)</f>
        <v/>
      </c>
      <c r="K619" s="46" t="n"/>
      <c r="L619" s="46" t="n"/>
      <c r="M619" s="46" t="n"/>
      <c r="N619" s="1711" t="n"/>
      <c r="O619" s="1735" t="n">
        <v>11</v>
      </c>
      <c r="P619" s="1736" t="n">
        <v>11</v>
      </c>
      <c r="Q619" s="1711">
        <f>IF(AND(E619&gt;=O619,E619&lt;=P619),TRUE,FALSE)</f>
        <v/>
      </c>
      <c r="R619" s="1710" t="n">
        <v>4</v>
      </c>
      <c r="S619" s="1703" t="n">
        <v>10</v>
      </c>
      <c r="T619" s="1711">
        <f>IF(AND(E619&gt;=R619,E619&lt;=S619),TRUE,FALSE)</f>
        <v/>
      </c>
      <c r="U619" s="978" t="n"/>
      <c r="V619" s="1484" t="n"/>
      <c r="W619" s="1485" t="n">
        <v>4</v>
      </c>
      <c r="X619" s="2029" t="n"/>
      <c r="Y619" s="1527" t="n">
        <v>11</v>
      </c>
      <c r="Z619" s="2029" t="n"/>
      <c r="AA619" s="1496" t="n">
        <v>2</v>
      </c>
      <c r="AC619" s="1011" t="n"/>
      <c r="AD619" s="1012" t="n"/>
      <c r="AE619" s="1011" t="n"/>
      <c r="AF619" s="1012" t="n"/>
      <c r="AG619" s="1011" t="n"/>
      <c r="AH619" s="1012" t="n"/>
      <c r="AJ619" s="10" t="n"/>
      <c r="AK619" s="10" t="n"/>
      <c r="AL619" s="10" t="n"/>
    </row>
    <row r="620" ht="32" customHeight="1">
      <c r="B620" s="421" t="n"/>
      <c r="C620" s="2066" t="n"/>
      <c r="D620" s="102" t="n"/>
      <c r="E620" s="823" t="n"/>
      <c r="F620" s="822" t="n"/>
      <c r="G620" s="823" t="n"/>
      <c r="H620" s="1735" t="n">
        <v>11</v>
      </c>
      <c r="I620" s="1736" t="n">
        <v>11</v>
      </c>
      <c r="J620" s="46">
        <f>IF(AND(E620&gt;=H620,E620&lt;=I620),TRUE,FALSE)</f>
        <v/>
      </c>
      <c r="K620" s="46" t="n"/>
      <c r="L620" s="46" t="n"/>
      <c r="M620" s="46" t="n"/>
      <c r="N620" s="1711" t="n"/>
      <c r="O620" s="1735" t="n">
        <v>11</v>
      </c>
      <c r="P620" s="1736" t="n">
        <v>11</v>
      </c>
      <c r="Q620" s="1711">
        <f>IF(AND(E620&gt;=O620,E620&lt;=P620),TRUE,FALSE)</f>
        <v/>
      </c>
      <c r="R620" s="1735" t="n">
        <v>11</v>
      </c>
      <c r="S620" s="1736" t="n">
        <v>11</v>
      </c>
      <c r="T620" s="1711">
        <f>IF(AND(E620&gt;=R620,E620&lt;=S620),TRUE,FALSE)</f>
        <v/>
      </c>
      <c r="U620" s="978" t="n"/>
      <c r="V620" s="1487" t="inlineStr">
        <is>
          <t>ou</t>
        </is>
      </c>
      <c r="W620" s="1518" t="n">
        <v>11</v>
      </c>
      <c r="X620" s="1522" t="n"/>
      <c r="Y620" s="1521" t="n">
        <v>11</v>
      </c>
      <c r="Z620" s="1522" t="n"/>
      <c r="AA620" s="1523" t="n">
        <v>11</v>
      </c>
      <c r="AC620" s="1013" t="n"/>
      <c r="AD620" s="1014" t="n"/>
      <c r="AE620" s="1013" t="n"/>
      <c r="AF620" s="1014" t="n"/>
      <c r="AG620" s="1013" t="n"/>
      <c r="AH620" s="1014" t="n"/>
      <c r="AJ620" s="10" t="n"/>
      <c r="AK620" s="10" t="n"/>
      <c r="AL620" s="10" t="n"/>
    </row>
    <row r="621" ht="32" customHeight="1">
      <c r="B621" s="825" t="inlineStr">
        <is>
          <t>Max PFA</t>
        </is>
      </c>
      <c r="C621" s="826">
        <f>_xlfn.XLOOKUP(G621,G619:G620,C619:C620)</f>
        <v/>
      </c>
      <c r="D621" s="827" t="n"/>
      <c r="E621" s="828" t="n"/>
      <c r="F621" s="828" t="n"/>
      <c r="G621" s="828">
        <f>IF(AND(J619=TRUE,J620=FALSE),G619,IF(AND(J619=FALSE,J620=TRUE),G620,MAX(G619,G620)))</f>
        <v/>
      </c>
      <c r="H621" s="1712" t="n"/>
      <c r="I621" s="829" t="n"/>
      <c r="J621" s="830">
        <f>IF(AND(J619=FALSE,J620=FALSE),FALSE,TRUE)</f>
        <v/>
      </c>
      <c r="K621" s="46" t="n"/>
      <c r="L621" s="46" t="n"/>
      <c r="M621" s="46" t="n"/>
      <c r="N621" s="1711" t="n"/>
      <c r="O621" s="1712" t="n"/>
      <c r="P621" s="829" t="n"/>
      <c r="Q621" s="1725">
        <f>IF(AND(Q619=FALSE,Q620=FALSE),FALSE,TRUE)</f>
        <v/>
      </c>
      <c r="R621" s="1712" t="n"/>
      <c r="S621" s="829" t="n"/>
      <c r="T621" s="1725">
        <f>IF(AND(T619=FALSE,T620=FALSE),FALSE,TRUE)</f>
        <v/>
      </c>
      <c r="U621" s="978" t="n"/>
      <c r="V621" s="978" t="inlineStr">
        <is>
          <t>ou</t>
        </is>
      </c>
      <c r="W621" s="1473" t="n"/>
      <c r="X621" s="2002" t="n"/>
      <c r="Y621" s="1478" t="n"/>
      <c r="Z621" s="2002" t="n"/>
      <c r="AA621" s="1481" t="n"/>
      <c r="AC621" s="1013" t="n"/>
      <c r="AD621" s="1014" t="n"/>
      <c r="AE621" s="1013" t="n"/>
      <c r="AF621" s="1014" t="n"/>
      <c r="AG621" s="1013" t="n"/>
      <c r="AH621" s="1014" t="n"/>
      <c r="AJ621" s="10" t="n"/>
      <c r="AK621" s="10" t="n"/>
      <c r="AL621" s="10" t="n"/>
    </row>
    <row r="622" ht="32" customHeight="1">
      <c r="B622" s="53" t="n"/>
      <c r="C622" s="2066" t="n"/>
      <c r="D622" s="102" t="n"/>
      <c r="E622" s="823" t="n"/>
      <c r="F622" s="822" t="n"/>
      <c r="G622" s="823" t="n"/>
      <c r="H622" s="1735" t="n">
        <v>11</v>
      </c>
      <c r="I622" s="1736" t="n">
        <v>11</v>
      </c>
      <c r="J622" s="46">
        <f>IF(AND(E622&gt;=H622,E622&lt;=I622),TRUE,FALSE)</f>
        <v/>
      </c>
      <c r="K622" s="46" t="n"/>
      <c r="L622" s="46" t="n"/>
      <c r="M622" s="46" t="n"/>
      <c r="N622" s="1711" t="n"/>
      <c r="O622" s="1735" t="n">
        <v>11</v>
      </c>
      <c r="P622" s="1736" t="n">
        <v>11</v>
      </c>
      <c r="Q622" s="1711">
        <f>IF(AND(E622&gt;=O622,E622&lt;=P622),TRUE,FALSE)</f>
        <v/>
      </c>
      <c r="R622" s="1735" t="n">
        <v>11</v>
      </c>
      <c r="S622" s="1736" t="n">
        <v>11</v>
      </c>
      <c r="T622" s="1711">
        <f>IF(AND(E622&gt;=R622,E622&lt;=S622),TRUE,FALSE)</f>
        <v/>
      </c>
      <c r="U622" s="978" t="n"/>
      <c r="V622" s="1484" t="n"/>
      <c r="W622" s="1517" t="n">
        <v>11</v>
      </c>
      <c r="X622" s="1528" t="n"/>
      <c r="Y622" s="1527" t="n">
        <v>11</v>
      </c>
      <c r="Z622" s="1528" t="n"/>
      <c r="AA622" s="1529" t="n">
        <v>11</v>
      </c>
      <c r="AC622" s="1013" t="n"/>
      <c r="AD622" s="1014" t="n"/>
      <c r="AE622" s="1013" t="n"/>
      <c r="AF622" s="1014" t="n"/>
      <c r="AG622" s="1013" t="n"/>
      <c r="AH622" s="1014" t="n"/>
      <c r="AJ622" s="10" t="n"/>
      <c r="AK622" s="10" t="n"/>
      <c r="AL622" s="10" t="n"/>
    </row>
    <row r="623" ht="32" customHeight="1">
      <c r="B623" s="53" t="n"/>
      <c r="C623" s="2066" t="n"/>
      <c r="D623" s="63" t="n"/>
      <c r="E623" s="36" t="n"/>
      <c r="F623" s="36" t="n"/>
      <c r="G623" s="36" t="n"/>
      <c r="H623" s="1735" t="n">
        <v>11</v>
      </c>
      <c r="I623" s="1736" t="n">
        <v>11</v>
      </c>
      <c r="J623" s="46">
        <f>IF(AND(E623&gt;=H623,E623&lt;=I623),TRUE,FALSE)</f>
        <v/>
      </c>
      <c r="K623" s="46" t="n"/>
      <c r="L623" s="46" t="n"/>
      <c r="M623" s="46" t="n"/>
      <c r="N623" s="1711" t="n"/>
      <c r="O623" s="1735" t="n">
        <v>11</v>
      </c>
      <c r="P623" s="1736" t="n">
        <v>11</v>
      </c>
      <c r="Q623" s="1711">
        <f>IF(AND(E623&gt;=O623,E623&lt;=P623),TRUE,FALSE)</f>
        <v/>
      </c>
      <c r="R623" s="1735" t="n">
        <v>11</v>
      </c>
      <c r="S623" s="1736" t="n">
        <v>11</v>
      </c>
      <c r="T623" s="1711">
        <f>IF(AND(E623&gt;=R623,E623&lt;=S623),TRUE,FALSE)</f>
        <v/>
      </c>
      <c r="U623" s="978" t="n"/>
      <c r="V623" s="1487" t="inlineStr">
        <is>
          <t>ou</t>
        </is>
      </c>
      <c r="W623" s="1518" t="n">
        <v>11</v>
      </c>
      <c r="X623" s="1522" t="n"/>
      <c r="Y623" s="1521" t="n">
        <v>11</v>
      </c>
      <c r="Z623" s="1522" t="n"/>
      <c r="AA623" s="1523" t="n">
        <v>11</v>
      </c>
      <c r="AC623" s="1013" t="n"/>
      <c r="AD623" s="1014" t="n"/>
      <c r="AE623" s="1013" t="n"/>
      <c r="AF623" s="1014" t="n"/>
      <c r="AG623" s="1013" t="n"/>
      <c r="AH623" s="1014" t="n"/>
      <c r="AJ623" s="10" t="n"/>
      <c r="AK623" s="10" t="n"/>
      <c r="AL623" s="10" t="n"/>
    </row>
    <row r="624" ht="32" customHeight="1" thickBot="1">
      <c r="B624" s="831" t="inlineStr">
        <is>
          <t>Max NC</t>
        </is>
      </c>
      <c r="C624" s="832">
        <f>_xlfn.XLOOKUP(G624,G622:G623,C622:C623)</f>
        <v/>
      </c>
      <c r="D624" s="833" t="n"/>
      <c r="E624" s="834" t="n"/>
      <c r="F624" s="834" t="n"/>
      <c r="G624" s="834">
        <f>IF(AND(J622=TRUE,J623=FALSE),G622,IF(AND(J622=FALSE,J623=TRUE),G623,MAX(G622,G623)))</f>
        <v/>
      </c>
      <c r="H624" s="1713" t="n"/>
      <c r="I624" s="835" t="n"/>
      <c r="J624" s="836">
        <f>IF(AND(J622=FALSE,J623=FALSE),FALSE,TRUE)</f>
        <v/>
      </c>
      <c r="K624" s="46" t="n"/>
      <c r="L624" s="46" t="n"/>
      <c r="M624" s="46" t="n"/>
      <c r="N624" s="1711" t="n"/>
      <c r="O624" s="1713" t="n"/>
      <c r="P624" s="835" t="n"/>
      <c r="Q624" s="1726">
        <f>IF(AND(Q622=FALSE,Q623=FALSE),FALSE,TRUE)</f>
        <v/>
      </c>
      <c r="R624" s="1713" t="n"/>
      <c r="S624" s="835" t="n"/>
      <c r="T624" s="1726">
        <f>IF(AND(T622=FALSE,T623=FALSE),FALSE,TRUE)</f>
        <v/>
      </c>
      <c r="U624" s="978" t="n"/>
      <c r="V624" s="978" t="n"/>
      <c r="W624" s="1519" t="n"/>
      <c r="X624" s="1525" t="n"/>
      <c r="Y624" s="1524" t="n"/>
      <c r="Z624" s="1525" t="n"/>
      <c r="AA624" s="1526" t="n"/>
      <c r="AC624" s="1013" t="n"/>
      <c r="AD624" s="1014" t="n"/>
      <c r="AE624" s="1013" t="n"/>
      <c r="AF624" s="1014" t="n"/>
      <c r="AG624" s="1013" t="n"/>
      <c r="AH624" s="1014" t="n"/>
      <c r="AJ624" s="10" t="n"/>
      <c r="AK624" s="10" t="n"/>
      <c r="AL624" s="10" t="n"/>
    </row>
    <row r="625" ht="32" customHeight="1" thickBot="1">
      <c r="B625" s="837" t="inlineStr">
        <is>
          <t>Max PFA &amp; NC</t>
        </is>
      </c>
      <c r="C625" s="838" t="n"/>
      <c r="D625" s="838" t="n"/>
      <c r="E625" s="839" t="n"/>
      <c r="F625" s="839" t="n"/>
      <c r="G625" s="839">
        <f>IF(AND(J621=TRUE,J624=FALSE),G621,IF(AND(J621=FALSE,J624=TRUE),G624,MAX(G621,G624)))</f>
        <v/>
      </c>
      <c r="H625" s="1714" t="n"/>
      <c r="I625" s="840" t="n"/>
      <c r="J625" s="841">
        <f>IF(AND(J621=FALSE,J624=FALSE),FALSE,TRUE)</f>
        <v/>
      </c>
      <c r="K625" s="1698" t="n"/>
      <c r="L625" s="1698" t="n"/>
      <c r="M625" s="1698" t="n"/>
      <c r="N625" s="1715" t="n"/>
      <c r="O625" s="1714" t="n"/>
      <c r="P625" s="840" t="n"/>
      <c r="Q625" s="841">
        <f>IF(AND(Q621=FALSE,Q624=FALSE),FALSE,TRUE)</f>
        <v/>
      </c>
      <c r="R625" s="1714" t="n"/>
      <c r="S625" s="840" t="n"/>
      <c r="T625" s="841">
        <f>IF(AND(T621=FALSE,T624=FALSE),FALSE,TRUE)</f>
        <v/>
      </c>
      <c r="U625" s="978" t="n"/>
      <c r="V625" s="978" t="inlineStr">
        <is>
          <t>et</t>
        </is>
      </c>
      <c r="W625" s="1519" t="n"/>
      <c r="X625" s="1525" t="n"/>
      <c r="Y625" s="1524" t="n"/>
      <c r="Z625" s="1525" t="n"/>
      <c r="AA625" s="1526" t="n"/>
      <c r="AC625" s="1013">
        <f>IF(J625=TRUE,"V","F")</f>
        <v/>
      </c>
      <c r="AD625" s="1014" t="n"/>
      <c r="AE625" s="1013">
        <f>IF(Q625=TRUE,"V","F")</f>
        <v/>
      </c>
      <c r="AF625" s="1014" t="n"/>
      <c r="AG625" s="1013">
        <f>IF(T625=TRUE,"V","F")</f>
        <v/>
      </c>
      <c r="AH625" s="1014" t="n"/>
      <c r="AJ625" s="10" t="n"/>
      <c r="AK625" s="10" t="n"/>
      <c r="AL625" s="10" t="n"/>
    </row>
    <row r="626" ht="32" customHeight="1">
      <c r="B626" s="316" t="n"/>
      <c r="C626" s="2066" t="n"/>
      <c r="D626" s="63" t="n"/>
      <c r="E626" s="823" t="n"/>
      <c r="F626" s="822" t="n"/>
      <c r="G626" s="823" t="n"/>
      <c r="H626" s="1735" t="n"/>
      <c r="I626" s="1736" t="n"/>
      <c r="J626" s="46" t="n"/>
      <c r="K626" s="46" t="n"/>
      <c r="L626" s="46" t="n"/>
      <c r="M626" s="46" t="n"/>
      <c r="N626" s="1711" t="n"/>
      <c r="O626" s="1735" t="n"/>
      <c r="P626" s="1736" t="n"/>
      <c r="Q626" s="1711" t="n"/>
      <c r="R626" s="1710" t="n"/>
      <c r="S626" s="1703" t="n"/>
      <c r="T626" s="1711" t="n"/>
      <c r="U626" s="978" t="n"/>
      <c r="V626" s="1484" t="n"/>
      <c r="W626" s="1517" t="n">
        <v>11</v>
      </c>
      <c r="X626" s="1528" t="n"/>
      <c r="Y626" s="1527" t="n">
        <v>11</v>
      </c>
      <c r="Z626" s="1528" t="n"/>
      <c r="AA626" s="1529" t="n">
        <v>11</v>
      </c>
      <c r="AC626" s="1013" t="inlineStr">
        <is>
          <t> </t>
        </is>
      </c>
      <c r="AD626" s="1014" t="n"/>
      <c r="AE626" s="1013" t="n"/>
      <c r="AF626" s="1014" t="n"/>
      <c r="AG626" s="1013" t="n"/>
      <c r="AH626" s="1014" t="n"/>
      <c r="AJ626" s="10" t="n"/>
      <c r="AK626" s="10" t="n"/>
      <c r="AL626" s="10" t="n"/>
    </row>
    <row r="627" ht="32" customHeight="1" thickBot="1">
      <c r="B627" s="316" t="n"/>
      <c r="C627" s="799" t="n"/>
      <c r="D627" s="63" t="n"/>
      <c r="E627" s="823" t="n"/>
      <c r="F627" s="822" t="n"/>
      <c r="G627" s="823" t="n"/>
      <c r="H627" s="1735" t="n"/>
      <c r="I627" s="1736" t="n"/>
      <c r="J627" s="46" t="n"/>
      <c r="K627" s="46" t="n"/>
      <c r="L627" s="46" t="n"/>
      <c r="M627" s="46" t="n"/>
      <c r="N627" s="1711" t="n"/>
      <c r="O627" s="1735" t="n"/>
      <c r="P627" s="1736" t="n"/>
      <c r="Q627" s="1711" t="n"/>
      <c r="R627" s="1735" t="n"/>
      <c r="S627" s="1736" t="n"/>
      <c r="T627" s="1711" t="n"/>
      <c r="U627" s="978" t="n"/>
      <c r="V627" s="1487" t="inlineStr">
        <is>
          <t>ou</t>
        </is>
      </c>
      <c r="W627" s="1518" t="n">
        <v>11</v>
      </c>
      <c r="X627" s="1522" t="n"/>
      <c r="Y627" s="1521" t="n">
        <v>11</v>
      </c>
      <c r="Z627" s="1522" t="n"/>
      <c r="AA627" s="1523" t="n">
        <v>11</v>
      </c>
      <c r="AC627" s="1013" t="n"/>
      <c r="AD627" s="1014" t="n"/>
      <c r="AE627" s="1013" t="n"/>
      <c r="AF627" s="1014" t="n"/>
      <c r="AG627" s="1013" t="n"/>
      <c r="AH627" s="1014" t="n"/>
      <c r="AJ627" s="10" t="n"/>
      <c r="AK627" s="10" t="n"/>
      <c r="AL627" s="10" t="n"/>
    </row>
    <row r="628" ht="32" customHeight="1" thickBot="1">
      <c r="B628" s="842" t="inlineStr">
        <is>
          <t>Max Enf</t>
        </is>
      </c>
      <c r="C628" s="843">
        <f>_xlfn.XLOOKUP(G628,G626:G627,C626:C627)</f>
        <v/>
      </c>
      <c r="D628" s="843" t="n"/>
      <c r="E628" s="844" t="n"/>
      <c r="F628" s="844" t="n"/>
      <c r="G628" s="844">
        <f>IF(AND(J626=TRUE,J627=FALSE),G626,IF(AND(J626=FALSE,J627=TRUE),G627,MAX(G626,G627)))</f>
        <v/>
      </c>
      <c r="H628" s="1716" t="n"/>
      <c r="I628" s="845" t="n"/>
      <c r="J628" s="846">
        <f>IF(AND(J626=FALSE,J627=FALSE),FALSE,TRUE)</f>
        <v/>
      </c>
      <c r="K628" s="1699" t="n"/>
      <c r="L628" s="1699" t="n"/>
      <c r="M628" s="1699" t="n"/>
      <c r="N628" s="1717" t="n"/>
      <c r="O628" s="1716" t="n"/>
      <c r="P628" s="845" t="n"/>
      <c r="Q628" s="846">
        <f>IF(AND(Q626=FALSE,Q627=FALSE),FALSE,TRUE)</f>
        <v/>
      </c>
      <c r="R628" s="1716" t="n"/>
      <c r="S628" s="845" t="n"/>
      <c r="T628" s="846" t="n"/>
      <c r="U628" s="978" t="n"/>
      <c r="V628" s="978" t="n"/>
      <c r="W628" s="1475" t="n"/>
      <c r="Y628" s="1479" t="n"/>
      <c r="AA628" s="1483" t="n"/>
      <c r="AC628" s="1013">
        <f>IF(J628=TRUE,"V","F")</f>
        <v/>
      </c>
      <c r="AD628" s="1014" t="n"/>
      <c r="AE628" s="1013">
        <f>IF(Q628=TRUE,"V","F")</f>
        <v/>
      </c>
      <c r="AF628" s="1014" t="n"/>
      <c r="AG628" s="1013" t="n"/>
      <c r="AH628" s="1014" t="n"/>
      <c r="AJ628" s="10" t="n"/>
      <c r="AK628" s="10" t="n"/>
      <c r="AL628" s="10" t="n"/>
    </row>
    <row r="629" ht="32" customHeight="1">
      <c r="C629" s="428" t="inlineStr">
        <is>
          <t>COMPARATIF Comportement PFA-Enf</t>
        </is>
      </c>
      <c r="D629" s="2058" t="n"/>
      <c r="E629" s="484" t="inlineStr">
        <is>
          <t>Valeur =&gt;</t>
        </is>
      </c>
      <c r="F629" s="48" t="n"/>
      <c r="G629" s="48">
        <f>G621+G624+G628</f>
        <v/>
      </c>
      <c r="H629" s="1718" t="n"/>
      <c r="I629" s="485" t="n"/>
      <c r="J629" s="1701" t="n"/>
      <c r="K629" s="1702">
        <f>IF(AND(J628=TRUE,J625=TRUE),D628,"")</f>
        <v/>
      </c>
      <c r="L629" s="1702">
        <f>IF(AND(J625=TRUE,J628=FALSE),"Bien que le parent "&amp;D625&amp;" l'enfant ne semble pas s'ingérer","")</f>
        <v/>
      </c>
      <c r="M629" s="1702">
        <f>IF(AND(J625=FALSE,J628=TRUE),D628&amp;" sans signe de la participation du parent favorisé et|ou nouveau conjoint.e","")</f>
        <v/>
      </c>
      <c r="N629" s="1719">
        <f>IF(AND(J625=FALSE,J628=FALSE),"aucun comportement significatif de cette nature","")</f>
        <v/>
      </c>
      <c r="O629" s="1718" t="n"/>
      <c r="P629" s="485" t="n"/>
      <c r="Q629" s="1727" t="n"/>
      <c r="R629" s="1718" t="n"/>
      <c r="S629" s="485" t="n"/>
      <c r="T629" s="1727" t="n"/>
      <c r="U629" s="980" t="n"/>
      <c r="V629" s="980" t="n"/>
      <c r="W629" s="1475" t="n"/>
      <c r="Y629" s="1479" t="n"/>
      <c r="AA629" s="1483" t="n"/>
      <c r="AC629" s="1015" t="n"/>
      <c r="AD629" s="1016">
        <f>IF(AND(AC625="V",AC628="V"),2,IF(OR(AC625="V",AC628="V"),1,0))</f>
        <v/>
      </c>
      <c r="AE629" s="1015" t="n"/>
      <c r="AF629" s="1016">
        <f>IF(OR(AE625="V",AE628="V"),1,0)</f>
        <v/>
      </c>
      <c r="AG629" s="1015" t="n"/>
      <c r="AH629" s="1016" t="n"/>
      <c r="AJ629" s="10" t="n"/>
      <c r="AK629" s="10" t="n"/>
      <c r="AL629" s="10" t="n"/>
    </row>
    <row r="630" ht="32" customHeight="1">
      <c r="B630" t="inlineStr">
        <is>
          <t>PCR</t>
        </is>
      </c>
      <c r="H630" s="147" t="n"/>
      <c r="K630" s="1992" t="n"/>
      <c r="L630" s="1992" t="n"/>
      <c r="M630" s="1992" t="n"/>
      <c r="N630" s="1740" t="n"/>
      <c r="O630" s="147" t="n"/>
      <c r="Q630" s="330" t="n"/>
      <c r="R630" s="147" t="n"/>
      <c r="T630" s="330" t="n"/>
      <c r="U630" s="1992" t="n"/>
      <c r="W630" s="1475" t="n"/>
      <c r="Y630" s="1479" t="n"/>
      <c r="AA630" s="1483" t="n"/>
      <c r="AC630" s="1013" t="n"/>
      <c r="AD630" s="1014" t="n"/>
      <c r="AE630" s="1013" t="n"/>
      <c r="AF630" s="1014" t="n"/>
      <c r="AG630" s="1013" t="n"/>
      <c r="AH630" s="1014" t="n"/>
      <c r="AJ630" s="10" t="n"/>
      <c r="AK630" s="10" t="n"/>
      <c r="AL630" s="10" t="n"/>
    </row>
    <row r="631" ht="32" customHeight="1">
      <c r="B631" s="1017">
        <f>Test_Bible!A57</f>
        <v/>
      </c>
      <c r="C631" s="22">
        <f>Test_Bible!B57</f>
        <v/>
      </c>
      <c r="D631" s="1018" t="n"/>
      <c r="E631" s="1026">
        <f>Test_Bible!P57</f>
        <v/>
      </c>
      <c r="F631" s="1026">
        <f>Test_Bible!D57</f>
        <v/>
      </c>
      <c r="G631" s="1026">
        <f>E631*F631</f>
        <v/>
      </c>
      <c r="H631" s="1710" t="n">
        <v>7</v>
      </c>
      <c r="I631" s="1703" t="n">
        <v>10</v>
      </c>
      <c r="J631" s="46">
        <f>IF(AND(E631&gt;=H631,E631&lt;=I631),TRUE,FALSE)</f>
        <v/>
      </c>
      <c r="K631" s="33" t="n"/>
      <c r="L631" s="33" t="n"/>
      <c r="M631" s="33" t="n"/>
      <c r="N631" s="1720" t="n"/>
      <c r="O631" s="1735" t="n">
        <v>11</v>
      </c>
      <c r="P631" s="1736" t="n">
        <v>11</v>
      </c>
      <c r="Q631" s="1711">
        <f>IF(AND(E631&gt;=O631,E631&lt;=P631),TRUE,FALSE)</f>
        <v/>
      </c>
      <c r="R631" s="1710" t="n">
        <v>4</v>
      </c>
      <c r="S631" s="1703" t="n">
        <v>10</v>
      </c>
      <c r="T631" s="1711">
        <f>IF(AND(E631&gt;=R631,E631&lt;=S631),TRUE,FALSE)</f>
        <v/>
      </c>
      <c r="U631" s="1992" t="n"/>
      <c r="V631" s="1514" t="n"/>
      <c r="W631" s="1485" t="n">
        <v>4</v>
      </c>
      <c r="X631" s="2029" t="n"/>
      <c r="Y631" s="1527" t="n">
        <v>11</v>
      </c>
      <c r="Z631" s="2029" t="n"/>
      <c r="AA631" s="1496" t="n">
        <v>2</v>
      </c>
      <c r="AC631" s="1013" t="n"/>
      <c r="AD631" s="1014" t="n"/>
      <c r="AE631" s="1013" t="n"/>
      <c r="AF631" s="1014" t="n"/>
      <c r="AG631" s="1013" t="n"/>
      <c r="AH631" s="1014" t="n"/>
      <c r="AJ631" s="10" t="n"/>
      <c r="AK631" s="10" t="n"/>
      <c r="AL631" s="10" t="n"/>
    </row>
    <row r="632" ht="32" customHeight="1" thickBot="1">
      <c r="B632" s="1017" t="n"/>
      <c r="C632" s="1025" t="n"/>
      <c r="D632" s="1018" t="n"/>
      <c r="E632" s="1026" t="n"/>
      <c r="F632" s="1026" t="n"/>
      <c r="G632" s="1026" t="n"/>
      <c r="H632" s="1735" t="n">
        <v>11</v>
      </c>
      <c r="I632" s="1736" t="n">
        <v>11</v>
      </c>
      <c r="J632" s="46">
        <f>IF(AND(E632&gt;=H632,E632&lt;=I632),TRUE,FALSE)</f>
        <v/>
      </c>
      <c r="K632" s="33" t="n"/>
      <c r="L632" s="33" t="n"/>
      <c r="M632" s="33" t="n"/>
      <c r="N632" s="1720" t="n"/>
      <c r="O632" s="1735" t="n">
        <v>11</v>
      </c>
      <c r="P632" s="1736" t="n">
        <v>11</v>
      </c>
      <c r="Q632" s="1711">
        <f>IF(AND(E632&gt;=O632,E632&lt;=P632),TRUE,FALSE)</f>
        <v/>
      </c>
      <c r="R632" s="1735" t="n">
        <v>11</v>
      </c>
      <c r="S632" s="1736" t="n">
        <v>11</v>
      </c>
      <c r="T632" s="1711">
        <f>IF(AND(E632&gt;=R632,E632&lt;=S632),TRUE,FALSE)</f>
        <v/>
      </c>
      <c r="V632" s="1515" t="n"/>
      <c r="W632" s="1518" t="n">
        <v>11</v>
      </c>
      <c r="X632" s="1522" t="n"/>
      <c r="Y632" s="1521" t="n">
        <v>11</v>
      </c>
      <c r="Z632" s="1522" t="n"/>
      <c r="AA632" s="1523" t="n">
        <v>11</v>
      </c>
      <c r="AC632" s="1013" t="n"/>
      <c r="AD632" s="1014" t="n"/>
      <c r="AE632" s="1013" t="n"/>
      <c r="AF632" s="1014" t="n"/>
      <c r="AG632" s="1013" t="n"/>
      <c r="AH632" s="1014" t="n"/>
      <c r="AJ632" s="10" t="n"/>
      <c r="AK632" s="10" t="n"/>
      <c r="AL632" s="10" t="n"/>
    </row>
    <row r="633" ht="32" customHeight="1" thickBot="1">
      <c r="D633" s="847" t="n"/>
      <c r="E633" s="97" t="n"/>
      <c r="F633" s="97" t="n"/>
      <c r="G633" s="97" t="n"/>
      <c r="H633" s="1732" t="n"/>
      <c r="I633" s="1733" t="n"/>
      <c r="J633" s="1739">
        <f>IF(AND(J631=FALSE,J632=FALSE),FALSE,TRUE)</f>
        <v/>
      </c>
      <c r="K633" s="1721" t="n"/>
      <c r="L633" s="1722" t="n"/>
      <c r="M633" s="1722" t="n"/>
      <c r="N633" s="1723" t="n"/>
      <c r="O633" s="1732" t="n"/>
      <c r="P633" s="1733" t="n"/>
      <c r="Q633" s="1739">
        <f>IF(AND(Q631=FALSE,Q632=FALSE),FALSE,TRUE)</f>
        <v/>
      </c>
      <c r="R633" s="1744" t="n"/>
      <c r="S633" s="1745" t="n"/>
      <c r="T633" s="1746">
        <f>IF(AND(T631=FALSE,T632=FALSE),FALSE,TRUE)</f>
        <v/>
      </c>
      <c r="U633" s="97" t="n"/>
      <c r="AC633" s="1650">
        <f>IF(J633=TRUE,"V","F")</f>
        <v/>
      </c>
      <c r="AD633" s="1651" t="n"/>
      <c r="AE633" s="1650">
        <f>IF(Q633=TRUE,"V","F")</f>
        <v/>
      </c>
      <c r="AF633" s="1651" t="n"/>
      <c r="AG633" s="1650">
        <f>IF(T633=TRUE,"V","F")</f>
        <v/>
      </c>
      <c r="AH633" s="1651" t="n"/>
      <c r="AJ633" s="10" t="n"/>
      <c r="AK633" s="10" t="n"/>
      <c r="AL633" s="10" t="n"/>
    </row>
    <row r="634">
      <c r="AC634" s="1737" t="n"/>
      <c r="AD634" s="1738">
        <f>IF(AND(AC633="V",AC625="V"),AD629-1,AD629)</f>
        <v/>
      </c>
      <c r="AE634" s="1737" t="n"/>
      <c r="AF634" s="1738">
        <f>IF(OR(AE625="V",AE628="V",AE633="V"),1,0)</f>
        <v/>
      </c>
      <c r="AG634" s="1737" t="n"/>
      <c r="AH634" s="1738">
        <f>IF(AG625="V",1,IF(AG633="V",1,0))</f>
        <v/>
      </c>
      <c r="AJ634" s="10" t="n">
        <v>1</v>
      </c>
      <c r="AK634" s="10" t="n"/>
      <c r="AL634" s="10" t="n">
        <v>1</v>
      </c>
    </row>
    <row r="635">
      <c r="AC635" s="1756" t="inlineStr">
        <is>
          <t>Indice boosté</t>
        </is>
      </c>
      <c r="AD635" s="1757">
        <f>IF(AF634=1,AD634*(1+$AH$28),AD634)</f>
        <v/>
      </c>
      <c r="AE635" s="1490" t="n"/>
    </row>
  </sheetData>
  <mergeCells count="198">
    <mergeCell ref="O29:Q29"/>
    <mergeCell ref="E596:I596"/>
    <mergeCell ref="H222:J222"/>
    <mergeCell ref="H577:J577"/>
    <mergeCell ref="K490:N490"/>
    <mergeCell ref="H374:J374"/>
    <mergeCell ref="K106:M106"/>
    <mergeCell ref="O184:Q184"/>
    <mergeCell ref="K597:N597"/>
    <mergeCell ref="BU8:BU9"/>
    <mergeCell ref="H69:J69"/>
    <mergeCell ref="R165:T165"/>
    <mergeCell ref="O164:Q164"/>
    <mergeCell ref="K298:N298"/>
    <mergeCell ref="K145:M145"/>
    <mergeCell ref="K316:M316"/>
    <mergeCell ref="R336:T336"/>
    <mergeCell ref="BU10:BU11"/>
    <mergeCell ref="H317:J317"/>
    <mergeCell ref="O241:Q241"/>
    <mergeCell ref="BT263:BT264"/>
    <mergeCell ref="R298:T298"/>
    <mergeCell ref="H537:J537"/>
    <mergeCell ref="O203:Q203"/>
    <mergeCell ref="O374:Q374"/>
    <mergeCell ref="K88:N88"/>
    <mergeCell ref="R279:T279"/>
    <mergeCell ref="K241:N241"/>
    <mergeCell ref="K259:M259"/>
    <mergeCell ref="K373:M373"/>
    <mergeCell ref="H30:J30"/>
    <mergeCell ref="E536:I536"/>
    <mergeCell ref="R490:T490"/>
    <mergeCell ref="K203:N203"/>
    <mergeCell ref="K68:M68"/>
    <mergeCell ref="K374:N374"/>
    <mergeCell ref="BT28:BT29"/>
    <mergeCell ref="R597:T597"/>
    <mergeCell ref="BT6:BT7"/>
    <mergeCell ref="H29:J29"/>
    <mergeCell ref="BT19:BT24"/>
    <mergeCell ref="O317:Q317"/>
    <mergeCell ref="R88:T88"/>
    <mergeCell ref="K29:M29"/>
    <mergeCell ref="K260:N260"/>
    <mergeCell ref="BU12:BU13"/>
    <mergeCell ref="H164:J164"/>
    <mergeCell ref="BU263:BU264"/>
    <mergeCell ref="O125:Q125"/>
    <mergeCell ref="H471:J471"/>
    <mergeCell ref="H241:J241"/>
    <mergeCell ref="O336:Q336"/>
    <mergeCell ref="O394:Q394"/>
    <mergeCell ref="O50:Q50"/>
    <mergeCell ref="K297:M297"/>
    <mergeCell ref="K69:N69"/>
    <mergeCell ref="R203:T203"/>
    <mergeCell ref="R374:T374"/>
    <mergeCell ref="R414:T414"/>
    <mergeCell ref="H355:J355"/>
    <mergeCell ref="K394:N394"/>
    <mergeCell ref="R510:T510"/>
    <mergeCell ref="R317:T317"/>
    <mergeCell ref="R471:T471"/>
    <mergeCell ref="BT17:BT18"/>
    <mergeCell ref="K433:N433"/>
    <mergeCell ref="H126:J126"/>
    <mergeCell ref="K451:M451"/>
    <mergeCell ref="O597:Q597"/>
    <mergeCell ref="K202:M202"/>
    <mergeCell ref="K355:N355"/>
    <mergeCell ref="K49:M49"/>
    <mergeCell ref="H490:J490"/>
    <mergeCell ref="K413:M413"/>
    <mergeCell ref="O87:Q87"/>
    <mergeCell ref="K50:N50"/>
    <mergeCell ref="H125:J125"/>
    <mergeCell ref="K164:M164"/>
    <mergeCell ref="K335:M335"/>
    <mergeCell ref="O107:Q107"/>
    <mergeCell ref="O260:Q260"/>
    <mergeCell ref="O471:Q471"/>
    <mergeCell ref="H394:J394"/>
    <mergeCell ref="K617:N617"/>
    <mergeCell ref="K577:N577"/>
    <mergeCell ref="O222:Q222"/>
    <mergeCell ref="O355:Q355"/>
    <mergeCell ref="E556:I556"/>
    <mergeCell ref="K107:N107"/>
    <mergeCell ref="O49:Q49"/>
    <mergeCell ref="O510:Q510"/>
    <mergeCell ref="H88:J88"/>
    <mergeCell ref="O69:Q69"/>
    <mergeCell ref="K222:N222"/>
    <mergeCell ref="K596:M596"/>
    <mergeCell ref="O183:Q183"/>
    <mergeCell ref="K146:N146"/>
    <mergeCell ref="K317:N317"/>
    <mergeCell ref="K510:N510"/>
    <mergeCell ref="R355:T355"/>
    <mergeCell ref="O577:Q577"/>
    <mergeCell ref="H203:J203"/>
    <mergeCell ref="H557:J557"/>
    <mergeCell ref="R50:T50"/>
    <mergeCell ref="BT12:BT13"/>
    <mergeCell ref="K30:N30"/>
    <mergeCell ref="R184:T184"/>
    <mergeCell ref="O126:Q126"/>
    <mergeCell ref="BT8:BT9"/>
    <mergeCell ref="K537:N537"/>
    <mergeCell ref="H87:J87"/>
    <mergeCell ref="O617:Q617"/>
    <mergeCell ref="BU28:BU29"/>
    <mergeCell ref="O433:Q433"/>
    <mergeCell ref="BU6:BU7"/>
    <mergeCell ref="K125:M125"/>
    <mergeCell ref="R617:T617"/>
    <mergeCell ref="BU15:BU16"/>
    <mergeCell ref="BU19:BU24"/>
    <mergeCell ref="R577:T577"/>
    <mergeCell ref="H107:J107"/>
    <mergeCell ref="H260:J260"/>
    <mergeCell ref="BT10:BT11"/>
    <mergeCell ref="R107:T107"/>
    <mergeCell ref="K126:N126"/>
    <mergeCell ref="R260:T260"/>
    <mergeCell ref="H414:J414"/>
    <mergeCell ref="O106:Q106"/>
    <mergeCell ref="K87:M87"/>
    <mergeCell ref="E576:I576"/>
    <mergeCell ref="H165:J165"/>
    <mergeCell ref="R222:T222"/>
    <mergeCell ref="H510:J510"/>
    <mergeCell ref="H50:J50"/>
    <mergeCell ref="K393:M393"/>
    <mergeCell ref="O145:Q145"/>
    <mergeCell ref="K536:M536"/>
    <mergeCell ref="O298:Q298"/>
    <mergeCell ref="O452:Q452"/>
    <mergeCell ref="K616:M616"/>
    <mergeCell ref="K279:N279"/>
    <mergeCell ref="R69:T69"/>
    <mergeCell ref="H279:J279"/>
    <mergeCell ref="R30:T30"/>
    <mergeCell ref="H49:J49"/>
    <mergeCell ref="K452:N452"/>
    <mergeCell ref="K470:M470"/>
    <mergeCell ref="AJ19:AL19"/>
    <mergeCell ref="O88:Q88"/>
    <mergeCell ref="R394:T394"/>
    <mergeCell ref="O557:Q557"/>
    <mergeCell ref="O146:Q146"/>
    <mergeCell ref="H452:J452"/>
    <mergeCell ref="BU17:BU18"/>
    <mergeCell ref="R126:T126"/>
    <mergeCell ref="K556:M556"/>
    <mergeCell ref="H433:J433"/>
    <mergeCell ref="R537:T537"/>
    <mergeCell ref="H336:J336"/>
    <mergeCell ref="K184:N184"/>
    <mergeCell ref="R433:T433"/>
    <mergeCell ref="K278:M278"/>
    <mergeCell ref="O537:Q537"/>
    <mergeCell ref="K576:M576"/>
    <mergeCell ref="R557:T557"/>
    <mergeCell ref="H597:J597"/>
    <mergeCell ref="BQ18:BS18"/>
    <mergeCell ref="H183:J183"/>
    <mergeCell ref="O414:Q414"/>
    <mergeCell ref="K471:N471"/>
    <mergeCell ref="O165:Q165"/>
    <mergeCell ref="H617:J617"/>
    <mergeCell ref="H145:J145"/>
    <mergeCell ref="H298:J298"/>
    <mergeCell ref="K221:M221"/>
    <mergeCell ref="K414:N414"/>
    <mergeCell ref="H106:J106"/>
    <mergeCell ref="K557:N557"/>
    <mergeCell ref="R452:T452"/>
    <mergeCell ref="K432:M432"/>
    <mergeCell ref="H184:J184"/>
    <mergeCell ref="K165:N165"/>
    <mergeCell ref="K183:M183"/>
    <mergeCell ref="K354:M354"/>
    <mergeCell ref="K336:N336"/>
    <mergeCell ref="O68:Q68"/>
    <mergeCell ref="BQ9:BS9"/>
    <mergeCell ref="O279:Q279"/>
    <mergeCell ref="E616:I616"/>
    <mergeCell ref="R241:T241"/>
    <mergeCell ref="H146:J146"/>
    <mergeCell ref="K489:M489"/>
    <mergeCell ref="R146:T146"/>
    <mergeCell ref="O30:Q30"/>
    <mergeCell ref="O490:Q490"/>
    <mergeCell ref="BT15:BT16"/>
    <mergeCell ref="H68:J68"/>
    <mergeCell ref="K240:M240"/>
  </mergeCells>
  <pageMargins left="0.7" right="0.7" top="0.75" bottom="0.75" header="0.3" footer="0.3"/>
  <pageSetup orientation="landscape" scale="41" fitToHeight="8" horizontalDpi="0" verticalDpi="0"/>
  <legacyDrawing r:id="anysvml"/>
</worksheet>
</file>

<file path=xl/worksheets/sheet13.xml><?xml version="1.0" encoding="utf-8"?>
<worksheet xmlns="http://schemas.openxmlformats.org/spreadsheetml/2006/main">
  <sheetPr>
    <outlinePr summaryBelow="1" summaryRight="1"/>
    <pageSetUpPr fitToPage="1"/>
  </sheetPr>
  <dimension ref="A1:L39"/>
  <sheetViews>
    <sheetView topLeftCell="A7" workbookViewId="0">
      <selection activeCell="L16" sqref="L16"/>
    </sheetView>
  </sheetViews>
  <sheetFormatPr baseColWidth="10" defaultRowHeight="16"/>
  <cols>
    <col width="15.6640625" customWidth="1" min="1" max="1"/>
    <col width="19.1640625" customWidth="1" min="2" max="2"/>
    <col width="47" customWidth="1" min="4" max="4"/>
    <col width="13.6640625" customWidth="1" min="5" max="5"/>
    <col width="3.1640625" customWidth="1" min="6" max="6"/>
    <col width="59.1640625" customWidth="1" min="8" max="8"/>
    <col width="13.5" customWidth="1" min="9" max="9"/>
    <col width="37.5" customWidth="1" min="12" max="12"/>
    <col width="10.83203125" customWidth="1" min="15" max="15"/>
  </cols>
  <sheetData>
    <row r="1" ht="26" customHeight="1">
      <c r="B1" s="686" t="inlineStr">
        <is>
          <t>Liste entière des comportements miroirs des parents pour évaluer les divergeances ou l'harmonie entre les parents</t>
        </is>
      </c>
    </row>
    <row r="2" ht="19" customHeight="1">
      <c r="B2" s="104" t="inlineStr">
        <is>
          <t>Ils mènent aussi à l'évaluation du CSS, C, et AP.</t>
        </is>
      </c>
    </row>
    <row r="8" ht="17" customHeight="1" thickBot="1">
      <c r="B8" s="2066" t="n"/>
      <c r="C8" s="2073" t="n"/>
      <c r="D8" s="2059" t="n"/>
      <c r="E8" s="683" t="n"/>
      <c r="F8" s="683" t="n"/>
      <c r="G8" s="2073" t="n"/>
      <c r="H8" s="2059" t="n"/>
      <c r="I8" s="683" t="n"/>
    </row>
    <row r="9" ht="52" customHeight="1" thickBot="1">
      <c r="A9" s="775" t="n"/>
      <c r="B9" s="712" t="inlineStr">
        <is>
          <t>Interrogatoires au retour de garde</t>
        </is>
      </c>
      <c r="C9" s="693" t="inlineStr">
        <is>
          <t>PFA12</t>
        </is>
      </c>
      <c r="D9" s="698" t="inlineStr">
        <is>
          <t>Selon vous, dans quelle mesure l'autre parent questionne votre enfant à son retour de garde sur les activités qu'il a fait alors qu'il était chez vous?</t>
        </is>
      </c>
      <c r="E9" s="767" t="inlineStr">
        <is>
          <t>C: Chantage affectif, loyauté, manipulation</t>
        </is>
      </c>
      <c r="F9" s="702" t="n"/>
      <c r="G9" s="768" t="inlineStr">
        <is>
          <t>PCR04</t>
        </is>
      </c>
      <c r="H9" s="716" t="inlineStr">
        <is>
          <t>Dans quelle mesure questionnez-vous votre enfant à son retour de garde afin de connaître la routine (repas, dodo, etc.) et les activités qu'il a fait alors qu'il était chez l'autre parent ?</t>
        </is>
      </c>
      <c r="I9" s="769" t="inlineStr">
        <is>
          <t>C: Chantage affectif, loyauté, manipulation</t>
        </is>
      </c>
    </row>
    <row r="10" ht="17" customHeight="1" thickBot="1"/>
    <row r="11" ht="79" customHeight="1" thickBot="1">
      <c r="A11" s="80" t="n"/>
      <c r="B11" s="712" t="inlineStr">
        <is>
          <t>Exigences de coparentalité</t>
        </is>
      </c>
      <c r="C11" s="693" t="inlineStr">
        <is>
          <t>PFA22</t>
        </is>
      </c>
      <c r="D11" s="698" t="inlineStr">
        <is>
          <t>Dans quelle mesure cet énoncé s'applique-t-il selon vous? L'autre parent estime que les exigences de la coparentalité (logistique horaire, transport, compromis vacances, etc.) nuit à sa qualité de vie.</t>
        </is>
      </c>
      <c r="E11" s="726" t="inlineStr">
        <is>
          <t>F: Interférence lien affectif ou symbolique</t>
        </is>
      </c>
      <c r="F11" s="699" t="n"/>
      <c r="G11" s="771" t="inlineStr">
        <is>
          <t>PCR10</t>
        </is>
      </c>
      <c r="H11" s="716" t="inlineStr">
        <is>
          <t>De manière générale, au-delà des conflits qui pourraient vous opposer à l'autre parent, dans quelle mesure diriez-vous que les exigences de la coparentalité nuit à votre qualité de vie ?</t>
        </is>
      </c>
      <c r="I11" s="723" t="inlineStr">
        <is>
          <t>F: Interférence lien affectif ou symbolique</t>
        </is>
      </c>
    </row>
    <row r="12" ht="17" customHeight="1" thickBot="1"/>
    <row r="13" ht="51" customHeight="1">
      <c r="A13" s="80" t="n"/>
      <c r="B13" s="706" t="inlineStr">
        <is>
          <t>Valeur du co-parent</t>
        </is>
      </c>
      <c r="C13" s="694" t="inlineStr">
        <is>
          <t>PFA21</t>
        </is>
      </c>
      <c r="D13" s="707" t="inlineStr">
        <is>
          <t xml:space="preserve">Dans quelle mesure diriez-vous que l'autre parent (coparent) est votre égal·e sur le plan parental ? </t>
        </is>
      </c>
      <c r="E13" s="772" t="inlineStr">
        <is>
          <t>F: Interférence lien affectif ou symbolique</t>
        </is>
      </c>
      <c r="F13" s="709" t="n"/>
      <c r="G13" s="1537">
        <f>BIBLE!E61</f>
        <v/>
      </c>
      <c r="H13" s="718">
        <f>BIBLE!F61</f>
        <v/>
      </c>
      <c r="I13" s="725" t="inlineStr">
        <is>
          <t>E: Interférence temps et/ou communication</t>
        </is>
      </c>
      <c r="J13" s="317" t="inlineStr">
        <is>
          <t>Problème d'identifiant en double</t>
        </is>
      </c>
    </row>
    <row r="14" ht="51" customHeight="1" thickBot="1">
      <c r="A14" s="775" t="n"/>
      <c r="B14" s="710" t="inlineStr">
        <is>
          <t>En compétition</t>
        </is>
      </c>
      <c r="C14" s="776">
        <f>Test_Bible!A202</f>
        <v/>
      </c>
      <c r="D14" s="1853">
        <f>Test_Bible!B202</f>
        <v/>
      </c>
      <c r="E14" s="773" t="inlineStr">
        <is>
          <t>F: Interférence lien affectif ou symbolique</t>
        </is>
      </c>
      <c r="F14" s="333" t="n"/>
      <c r="G14" s="333" t="n"/>
      <c r="H14" s="333" t="n"/>
      <c r="I14" s="334" t="n"/>
    </row>
    <row r="15" ht="10" customHeight="1" thickBot="1">
      <c r="A15" s="7" t="n"/>
      <c r="B15" s="2066" t="n"/>
      <c r="C15" s="2073" t="n"/>
      <c r="D15" s="2059" t="n"/>
      <c r="E15" s="683" t="n"/>
    </row>
    <row r="16" ht="71" customHeight="1" thickBot="1">
      <c r="A16" s="775" t="n"/>
      <c r="B16" s="1652" t="inlineStr">
        <is>
          <t>Compromis à faire</t>
        </is>
      </c>
      <c r="C16" s="693" t="inlineStr">
        <is>
          <t>PFA00</t>
        </is>
      </c>
      <c r="D16" s="698" t="inlineStr">
        <is>
          <t xml:space="preserve">Dans quelle mesure l'autre parent (co-parent) doit faire  des compromis pour assurer une bonne entente de garde ? </t>
        </is>
      </c>
      <c r="E16" s="1658" t="n"/>
      <c r="F16" s="1655" t="n"/>
      <c r="G16" s="693" t="inlineStr">
        <is>
          <t>PCR02</t>
        </is>
      </c>
      <c r="H16" s="698" t="inlineStr">
        <is>
          <t xml:space="preserve">Dans quelle mesure devez-vous faire  des compromis pour assurer une bonne entente de garde ? </t>
        </is>
      </c>
      <c r="I16" s="1659" t="n"/>
    </row>
    <row r="17" ht="13" customHeight="1" thickBot="1">
      <c r="A17" s="901" t="n"/>
      <c r="B17" s="1656" t="n"/>
      <c r="C17" s="1852" t="n"/>
      <c r="D17" s="1654" t="n"/>
      <c r="E17" s="1653" t="n"/>
      <c r="F17" s="1657" t="n"/>
      <c r="G17" s="1852" t="n"/>
      <c r="H17" s="1654" t="n"/>
      <c r="I17" s="1653" t="n"/>
    </row>
    <row r="18" ht="51" customHeight="1" thickBot="1">
      <c r="A18" s="775" t="n"/>
      <c r="B18" s="1652" t="inlineStr">
        <is>
          <t>Respect de l'ordonnance de garde</t>
        </is>
      </c>
      <c r="C18" s="714">
        <f>BIBLE!E29</f>
        <v/>
      </c>
      <c r="D18" s="1384">
        <f>BIBLE!F29</f>
        <v/>
      </c>
      <c r="E18" s="1658" t="n"/>
      <c r="F18" s="1655" t="n"/>
      <c r="G18" s="714">
        <f>Test_Bible!A57</f>
        <v/>
      </c>
      <c r="H18" s="1384">
        <f>Test_Bible!B57</f>
        <v/>
      </c>
      <c r="I18" s="1659" t="n"/>
    </row>
    <row r="19" ht="13" customHeight="1" thickBot="1">
      <c r="A19" s="901" t="n"/>
      <c r="B19" s="2066" t="n"/>
      <c r="C19" s="1565" t="n"/>
      <c r="D19" s="1566" t="n"/>
      <c r="E19" s="1565" t="n"/>
      <c r="F19" s="684" t="n"/>
      <c r="G19" s="1565" t="n"/>
      <c r="H19" s="1566" t="n"/>
      <c r="I19" s="1565" t="n"/>
    </row>
    <row r="20" ht="52" customHeight="1" thickBot="1">
      <c r="A20" s="2062" t="inlineStr">
        <is>
          <t>Analyse de ces comportements intégrés à l'analyse miroir pour l'action - réaction. À intégrer de nouveau à l'analyse de divergence.</t>
        </is>
      </c>
      <c r="B20" s="712" t="inlineStr">
        <is>
          <t>Réaction en présence de l'autre parent</t>
        </is>
      </c>
      <c r="C20" s="693" t="inlineStr">
        <is>
          <t>PFA10</t>
        </is>
      </c>
      <c r="D20" s="698" t="inlineStr">
        <is>
          <t>Dans quelle mesure l’autre parent vous ignore lorsqu’il ou elle vous croise à l’école, lors des changements de garde ou lors d'événements sportifs?</t>
        </is>
      </c>
      <c r="E20" s="767" t="inlineStr">
        <is>
          <t>C: Chantage affectif, loyauté, manipulation</t>
        </is>
      </c>
      <c r="F20" s="700" t="n"/>
      <c r="G20" s="715" t="inlineStr">
        <is>
          <t>PCR03</t>
        </is>
      </c>
      <c r="H20" s="716" t="inlineStr">
        <is>
          <t>Dans quelle mesure vous arrive-t-il d'éviter ou d'ignorer l’autre parent lorsque vous le croisez à l'école, lors de changement de garde ou lors d'événements sportifs ?</t>
        </is>
      </c>
      <c r="I20" s="769" t="inlineStr">
        <is>
          <t>C: Chantage affectif, loyauté, manipulation</t>
        </is>
      </c>
    </row>
    <row r="21" ht="17" customHeight="1" thickBot="1">
      <c r="B21" s="2066" t="n"/>
    </row>
    <row r="22" ht="65" customHeight="1" thickBot="1">
      <c r="B22" s="712" t="inlineStr">
        <is>
          <t>Reproche et dénigrement de l'autre devant l'enfant</t>
        </is>
      </c>
      <c r="C22" s="693" t="inlineStr">
        <is>
          <t>PFA13</t>
        </is>
      </c>
      <c r="D22" s="698" t="inlineStr">
        <is>
          <t>Arrive-t-il que l’autre parent vous dénigre en la présence de votre enfant ?</t>
        </is>
      </c>
      <c r="E22" s="722" t="inlineStr">
        <is>
          <t>D: Dénigrement</t>
        </is>
      </c>
      <c r="F22" s="700" t="n"/>
      <c r="G22" s="715" t="inlineStr">
        <is>
          <t>PCR07</t>
        </is>
      </c>
      <c r="H22" s="716" t="inlineStr">
        <is>
          <t>Vous arrive-t-il de faire des reproches à l'autre parent devant votre enfant ?</t>
        </is>
      </c>
      <c r="I22" s="895" t="inlineStr">
        <is>
          <t>D: Dénigrement</t>
        </is>
      </c>
    </row>
    <row r="23" ht="17" customHeight="1" thickBot="1">
      <c r="B23" s="2066" t="n"/>
      <c r="C23" s="2073" t="n"/>
      <c r="D23" s="2059" t="n"/>
      <c r="E23" s="683" t="n"/>
      <c r="G23" s="545" t="n"/>
      <c r="H23" s="2059" t="n"/>
      <c r="I23" s="684" t="n"/>
    </row>
    <row r="24" ht="52" customHeight="1" thickBot="1">
      <c r="B24" s="896" t="inlineStr">
        <is>
          <t>Prise de décision sans consentement</t>
        </is>
      </c>
      <c r="C24" s="693" t="inlineStr">
        <is>
          <t>PFA16</t>
        </is>
      </c>
      <c r="D24" s="698" t="inlineStr">
        <is>
          <t>Évaluez la fréquence de l'énoncé : l'autre parent vous impose des changements d’horaires sans vous consulter au préalable et sans votre autorisation.</t>
        </is>
      </c>
      <c r="E24" s="737" t="inlineStr">
        <is>
          <t>E: Interférence temps et/ou communication</t>
        </is>
      </c>
      <c r="F24" s="700" t="n"/>
      <c r="G24" s="715" t="inlineStr">
        <is>
          <t>PCR12</t>
        </is>
      </c>
      <c r="H24" s="716" t="inlineStr">
        <is>
          <t>Dans quelle mesure vous arrive-t-il de prendre des décisions sans consulter l'autre parent ?</t>
        </is>
      </c>
      <c r="I24" s="723" t="inlineStr">
        <is>
          <t>F: Interférence lien affectif ou symbolique</t>
        </is>
      </c>
    </row>
    <row r="25" ht="17" customHeight="1" thickBot="1">
      <c r="B25" s="2066" t="n"/>
    </row>
    <row r="26" ht="52" customHeight="1" thickBot="1">
      <c r="B26" s="896" t="inlineStr">
        <is>
          <t>Liberté du choix de l'enfant</t>
        </is>
      </c>
      <c r="C26" s="693" t="inlineStr">
        <is>
          <t>PFA35</t>
        </is>
      </c>
      <c r="D26" s="698" t="inlineStr">
        <is>
          <t>Dans quelle mesure l’autre parent laisse à votre enfant le droit de choisir de respecter ou non l'entente de garde et votre temps (tour) de garde ?</t>
        </is>
      </c>
      <c r="E26" s="728" t="inlineStr">
        <is>
          <t>H: Rôle actif, Réponse au CC, r</t>
        </is>
      </c>
      <c r="F26" s="700" t="n"/>
      <c r="G26" s="771" t="inlineStr">
        <is>
          <t>PCR09</t>
        </is>
      </c>
      <c r="H26" s="716" t="inlineStr">
        <is>
          <t>Dans quelle mesure laissez-vous à votre enfant le droit de choisir la fréquence des visites et le temps qu'il passe chez l'autre parent ?</t>
        </is>
      </c>
      <c r="I26" s="756" t="inlineStr">
        <is>
          <t>E: Interférence temps et/ou communication</t>
        </is>
      </c>
    </row>
    <row r="27" ht="17" customHeight="1" thickBot="1">
      <c r="B27" s="2066" t="n"/>
      <c r="C27" s="2073" t="n"/>
      <c r="D27" s="2059" t="n"/>
      <c r="E27" s="683" t="n"/>
      <c r="G27" s="2002" t="n"/>
      <c r="H27" s="2059" t="n"/>
      <c r="I27" s="684" t="n"/>
    </row>
    <row r="28" ht="72" customHeight="1" thickBot="1">
      <c r="B28" s="712" t="inlineStr">
        <is>
          <t>Impose sa présence hors de son temps de garde</t>
        </is>
      </c>
      <c r="C28" s="693" t="inlineStr">
        <is>
          <t>PFA18</t>
        </is>
      </c>
      <c r="D28" s="698" t="inlineStr">
        <is>
          <t xml:space="preserve">Évaluez la fréquence et l'intensité de l'énoncé : l’autre parent impose sa présence en appelant (ou en textant) régulièrement votre enfant durant votre temps de garde. </t>
        </is>
      </c>
      <c r="E28" s="737" t="inlineStr">
        <is>
          <t>E: Interférence temps et/ou communication</t>
        </is>
      </c>
      <c r="F28" s="700" t="n"/>
      <c r="G28" s="715" t="inlineStr">
        <is>
          <t>PCR08</t>
        </is>
      </c>
      <c r="H28" s="716" t="inlineStr">
        <is>
          <t>À quelle fréquence appelez-vous votre enfant lorsqu’il est chez l‘autre parent ?</t>
        </is>
      </c>
      <c r="I28" s="756" t="inlineStr">
        <is>
          <t>E: Interférence temps et/ou communication</t>
        </is>
      </c>
    </row>
    <row r="29" ht="17" customHeight="1" thickBot="1">
      <c r="B29" s="2066" t="n"/>
    </row>
    <row r="30" ht="52" customHeight="1" thickBot="1">
      <c r="B30" s="712" t="inlineStr">
        <is>
          <t>Intervention à la suite d'un retour de garde</t>
        </is>
      </c>
      <c r="C30" s="693" t="inlineStr">
        <is>
          <t>PFA09</t>
        </is>
      </c>
      <c r="D30" s="698" t="inlineStr">
        <is>
          <t>Arrive-t-il que l'autre parent vous accable de reproches par courriel ou texto au retour des enfants (après un séjour chez vous) ?</t>
        </is>
      </c>
      <c r="E30" s="767" t="inlineStr">
        <is>
          <t>C: Chantage affectif, loyauté, manipulation</t>
        </is>
      </c>
      <c r="F30" s="700" t="n"/>
      <c r="G30" s="904" t="inlineStr">
        <is>
          <t>PCR06</t>
        </is>
      </c>
      <c r="H30" s="716" t="inlineStr">
        <is>
          <t>Dans quelle mesure devez-vous faire un retour sur les interventions (nutrition, hygiène, logistique, etc.) de l'autre parent (par courriel ou texto) au retour des enfants après un séjour de garde ?</t>
        </is>
      </c>
      <c r="I30" s="895" t="inlineStr">
        <is>
          <t>D: Dénigrement</t>
        </is>
      </c>
      <c r="K30" s="2073" t="n"/>
      <c r="L30" s="2059" t="n"/>
    </row>
    <row r="31" ht="17" customHeight="1" thickBot="1">
      <c r="B31" s="2066" t="n"/>
      <c r="C31" s="2073" t="n"/>
      <c r="D31" s="2059" t="n"/>
      <c r="E31" s="683" t="n"/>
    </row>
    <row r="32" ht="69" customHeight="1" thickBot="1">
      <c r="B32" s="712" t="inlineStr">
        <is>
          <t>Fait lire les communications à l'enfant</t>
        </is>
      </c>
      <c r="C32" s="693" t="inlineStr">
        <is>
          <t>PFA32</t>
        </is>
      </c>
      <c r="D32" s="698" t="inlineStr">
        <is>
          <t xml:space="preserve">Dans quelle mesure cet énoncé s'applique-t-il à votre situation ? L'autre parent fait lire vos échanges et communications (textos, messenger, courriels) à votre enfant. </t>
        </is>
      </c>
      <c r="E32" s="727" t="inlineStr">
        <is>
          <t>G: Parentification</t>
        </is>
      </c>
      <c r="F32" s="700" t="n"/>
      <c r="G32" s="715" t="inlineStr">
        <is>
          <t>PCR15</t>
        </is>
      </c>
      <c r="H32" s="716" t="inlineStr">
        <is>
          <t>Dans quelle mesure diriez-vous qu'il est important que votre enfant soit au courant des enjeux de la séparation et du conflit qui vous oppose à l'autre parent ?</t>
        </is>
      </c>
      <c r="I32" s="770" t="inlineStr">
        <is>
          <t>G: Parentification</t>
        </is>
      </c>
    </row>
    <row r="33" ht="17" customHeight="1" thickBot="1">
      <c r="B33" s="2066" t="n"/>
      <c r="C33" s="2073" t="n"/>
      <c r="D33" s="2059" t="n"/>
      <c r="E33" s="683" t="n"/>
      <c r="G33" s="691" t="n"/>
      <c r="H33" s="2059" t="n"/>
      <c r="I33" s="683" t="n"/>
    </row>
    <row r="34" ht="52" customHeight="1" thickBot="1">
      <c r="B34" s="712" t="inlineStr">
        <is>
          <t>L'enfant comme messager de la logisitque</t>
        </is>
      </c>
      <c r="C34" s="693" t="inlineStr">
        <is>
          <t>PFA34</t>
        </is>
      </c>
      <c r="D34" s="698" t="inlineStr">
        <is>
          <t>L’autre parent refuse de vous parler et demande à votre enfant de faire les messages et autres demandes entourant la logistique familiale</t>
        </is>
      </c>
      <c r="E34" s="728" t="inlineStr">
        <is>
          <t>H: Rôle actif, Réponse au CC, r</t>
        </is>
      </c>
      <c r="F34" s="700" t="n"/>
      <c r="G34" s="715" t="inlineStr">
        <is>
          <t>PCR13</t>
        </is>
      </c>
      <c r="H34" s="716" t="inlineStr">
        <is>
          <t>Dans quelle mesure diriez-vous que la mauvaise entente entre vous et l'autre parent vous amène à demander à votre enfant de faire les messages et demandes entourant la logistique familiale ?</t>
        </is>
      </c>
      <c r="I34" s="729" t="inlineStr">
        <is>
          <t>G: Parentification</t>
        </is>
      </c>
    </row>
    <row r="35" ht="17" customHeight="1" thickBot="1">
      <c r="B35" s="2066" t="n"/>
    </row>
    <row r="36" ht="52" customHeight="1" thickBot="1">
      <c r="B36" s="712" t="inlineStr">
        <is>
          <t>Maturité de l'enfant face à ses choix</t>
        </is>
      </c>
      <c r="C36" s="693" t="inlineStr">
        <is>
          <t>PFA11</t>
        </is>
      </c>
      <c r="D36" s="698" t="inlineStr">
        <is>
          <t>L'autre parent est d'avis que votre enfant est assez mature pour choisir où et avec qui il veut vivre ?</t>
        </is>
      </c>
      <c r="E36" s="767" t="inlineStr">
        <is>
          <t>C: Chantage affectif, loyauté, manipulation</t>
        </is>
      </c>
      <c r="F36" s="700" t="n"/>
      <c r="G36" s="715" t="inlineStr">
        <is>
          <t>PCR14</t>
        </is>
      </c>
      <c r="H36" s="716" t="inlineStr">
        <is>
          <t>Dans quelle mesure être vous d'accord ou non avec cet énoncé : Vous êtes d'avis qu'un enfant de 12 ans est assez mature pour choisir où et avec qui il veut vivre.</t>
        </is>
      </c>
      <c r="I36" s="729" t="inlineStr">
        <is>
          <t>G: Parentification</t>
        </is>
      </c>
    </row>
    <row r="37" ht="17" customHeight="1" thickBot="1">
      <c r="B37" s="2059" t="n"/>
      <c r="C37" s="691" t="n"/>
      <c r="D37" s="2059" t="n"/>
      <c r="E37" s="683" t="n"/>
      <c r="G37" s="691" t="n"/>
      <c r="H37" s="2059" t="n"/>
      <c r="I37" s="683" t="n"/>
    </row>
    <row r="38" ht="69" customHeight="1" thickBot="1">
      <c r="B38" s="712" t="inlineStr">
        <is>
          <t>Transport d'objets entre les deux domiciles</t>
        </is>
      </c>
      <c r="C38" s="693" t="inlineStr">
        <is>
          <t>PFA28</t>
        </is>
      </c>
      <c r="D38" s="698" t="inlineStr">
        <is>
          <t>Dans quelle mesure cet énoncé s'aplique à votre situation ? L’autre parent permet à votre enfant d'apporter des objets (jouets ou objets symboliques) ou cadeaux reçus provenant de chez vous :</t>
        </is>
      </c>
      <c r="E38" s="726" t="inlineStr">
        <is>
          <t>F: Interférence lien affectif ou symbolique</t>
        </is>
      </c>
      <c r="F38" s="700" t="n"/>
      <c r="G38" s="771" t="inlineStr">
        <is>
          <t>PCR11</t>
        </is>
      </c>
      <c r="H38" s="716" t="inlineStr">
        <is>
          <t>Dans quelle mesure acceptez-vous que les jouets de votre enfant se promène d’une maison à l’autre ?</t>
        </is>
      </c>
      <c r="I38" s="723" t="inlineStr">
        <is>
          <t>F: Interférence lien affectif ou symbolique</t>
        </is>
      </c>
    </row>
    <row r="39">
      <c r="G39" s="691" t="n"/>
      <c r="H39" s="2059" t="n"/>
      <c r="I39" s="683" t="n"/>
    </row>
  </sheetData>
  <mergeCells count="1">
    <mergeCell ref="A20:A39"/>
  </mergeCells>
  <pageMargins left="0.7" right="0.7" top="0.75" bottom="0.75" header="0.3" footer="0.3"/>
  <pageSetup orientation="landscape" scale="56" fitToHeight="2" horizontalDpi="0" verticalDpi="0"/>
</worksheet>
</file>

<file path=xl/worksheets/sheet14.xml><?xml version="1.0" encoding="utf-8"?>
<worksheet xmlns="http://schemas.openxmlformats.org/spreadsheetml/2006/main">
  <sheetPr>
    <outlinePr summaryBelow="1" summaryRight="1"/>
    <pageSetUpPr fitToPage="1"/>
  </sheetPr>
  <dimension ref="A1:AY35"/>
  <sheetViews>
    <sheetView topLeftCell="A12" zoomScale="70" zoomScaleNormal="70" workbookViewId="0">
      <selection activeCell="B15" sqref="B15:D16"/>
    </sheetView>
  </sheetViews>
  <sheetFormatPr baseColWidth="10" defaultColWidth="11" defaultRowHeight="26"/>
  <cols>
    <col width="22.83203125" customWidth="1" style="686" min="1" max="1"/>
    <col width="59.1640625" customWidth="1" min="2" max="2"/>
    <col width="62" customWidth="1" min="3" max="3"/>
    <col width="13.33203125" bestFit="1" customWidth="1" min="4" max="4"/>
    <col hidden="1" width="13" customWidth="1" min="5" max="5"/>
    <col width="62" customWidth="1" min="6" max="6"/>
    <col width="13.1640625" customWidth="1" min="7" max="7"/>
    <col hidden="1" width="13" customWidth="1" min="8" max="8"/>
    <col width="8" bestFit="1" customWidth="1" min="9" max="9"/>
    <col width="87.1640625" bestFit="1" customWidth="1" min="10" max="10"/>
    <col width="31" bestFit="1" customWidth="1" min="11" max="11"/>
    <col width="11.5" customWidth="1" min="12" max="12"/>
    <col width="15" customWidth="1" min="13" max="14"/>
    <col width="11.5" customWidth="1" min="15" max="19"/>
    <col width="31.5" customWidth="1" min="20" max="20"/>
    <col width="4.1640625" customWidth="1" min="21" max="21"/>
    <col width="6" customWidth="1" min="22" max="22"/>
    <col width="8.6640625" customWidth="1" min="23" max="26"/>
    <col width="9.5" customWidth="1" min="27" max="27"/>
    <col width="8.6640625" customWidth="1" min="28" max="28"/>
    <col width="10.6640625" customWidth="1" min="29" max="29"/>
    <col width="8" customWidth="1" min="30" max="30"/>
    <col hidden="1" min="31" max="31"/>
    <col width="62.5" customWidth="1" min="32" max="37"/>
    <col width="8.6640625" customWidth="1" min="38" max="38"/>
    <col width="27.6640625" customWidth="1" min="45" max="48"/>
    <col width="26" customWidth="1" min="49" max="51"/>
  </cols>
  <sheetData>
    <row r="1">
      <c r="B1" s="576" t="inlineStr">
        <is>
          <t>Logique d'évaluation des comportements miroirs</t>
        </is>
      </c>
      <c r="C1" s="51" t="n"/>
      <c r="D1" s="51" t="n"/>
      <c r="E1" s="51" t="n"/>
      <c r="F1" s="51" t="n"/>
      <c r="G1" s="51" t="n"/>
      <c r="H1" s="51" t="n"/>
      <c r="I1" s="51" t="n"/>
      <c r="J1" s="51" t="n"/>
      <c r="K1" s="51" t="n"/>
      <c r="L1" s="51" t="n"/>
      <c r="M1" s="51" t="n"/>
      <c r="N1" s="51" t="n"/>
      <c r="O1" s="51" t="n"/>
      <c r="P1" s="51" t="n"/>
      <c r="Q1" s="51" t="n"/>
      <c r="R1" s="51" t="n"/>
      <c r="S1" s="51" t="n"/>
      <c r="T1" s="51" t="n"/>
      <c r="AG1" s="64" t="n"/>
      <c r="AI1" s="64" t="n"/>
      <c r="AK1" s="64" t="n"/>
    </row>
    <row r="2">
      <c r="B2" s="576" t="n"/>
      <c r="C2" s="51" t="n"/>
      <c r="D2" s="51" t="n"/>
      <c r="E2" s="51" t="n"/>
      <c r="F2" s="51" t="n"/>
      <c r="G2" s="51" t="n"/>
      <c r="H2" s="51" t="n"/>
      <c r="I2" s="51" t="n"/>
      <c r="J2" s="51" t="n"/>
      <c r="K2" s="51" t="n"/>
      <c r="L2" s="51" t="n"/>
      <c r="M2" s="51" t="n"/>
      <c r="N2" s="51" t="n"/>
      <c r="O2" s="51" t="n"/>
      <c r="P2" s="51" t="n"/>
      <c r="Q2" s="51" t="n"/>
      <c r="R2" s="51" t="n"/>
      <c r="S2" s="51" t="n"/>
      <c r="T2" s="51" t="n"/>
      <c r="AG2" s="64" t="n"/>
      <c r="AI2" s="64" t="n"/>
      <c r="AK2" s="64" t="n"/>
    </row>
    <row r="3">
      <c r="B3" s="51" t="inlineStr">
        <is>
          <t>On évalue l'écart entre les attitudes des deux parents face à certains enjeux de coparentalité.</t>
        </is>
      </c>
      <c r="C3" s="51" t="n"/>
      <c r="D3" s="51" t="n"/>
      <c r="E3" s="51" t="n"/>
      <c r="F3" s="51" t="n"/>
      <c r="G3" s="51" t="n"/>
      <c r="H3" s="51" t="n"/>
      <c r="I3" s="51" t="n"/>
      <c r="J3" s="51" t="n"/>
      <c r="K3" s="51" t="n"/>
      <c r="L3" s="51" t="n"/>
      <c r="M3" s="51" t="n"/>
      <c r="N3" s="51" t="n"/>
      <c r="O3" s="51" t="n"/>
      <c r="P3" s="51" t="n"/>
      <c r="Q3" s="51" t="n"/>
      <c r="R3" s="51" t="n"/>
      <c r="S3" s="51" t="n"/>
      <c r="T3" s="51" t="n"/>
      <c r="AF3" s="851" t="n"/>
      <c r="AG3" s="881" t="n"/>
      <c r="AH3" s="7" t="n"/>
      <c r="AI3" s="849" t="n"/>
      <c r="AJ3" s="849" t="n"/>
      <c r="AK3" s="882" t="n"/>
    </row>
    <row r="4" ht="31" customHeight="1">
      <c r="B4" s="51" t="inlineStr">
        <is>
          <t>Les conclusions sont faites pour le parent répondant (PCR)</t>
        </is>
      </c>
      <c r="J4" s="2064" t="inlineStr">
        <is>
          <t>À revoir :
Impliquer la sévérité et l'écart (et non seulement l'écart)
Donc, traduire la colonne "Conseils" - rouge, jaune, vert pour lever un drapeau ou pas.</t>
        </is>
      </c>
      <c r="AD4" s="7" t="n"/>
      <c r="AE4" s="849" t="n"/>
      <c r="AF4" s="111" t="n"/>
      <c r="AG4" s="487" t="n"/>
      <c r="AH4" s="114" t="n"/>
      <c r="AI4" s="491" t="n"/>
      <c r="AJ4" s="114" t="n"/>
      <c r="AK4" s="492" t="n"/>
      <c r="AL4" s="114" t="n"/>
      <c r="AS4" t="inlineStr">
        <is>
          <t>Zone graphique</t>
        </is>
      </c>
      <c r="AU4" s="520" t="n"/>
      <c r="AW4" t="inlineStr">
        <is>
          <t>Zone graphique</t>
        </is>
      </c>
      <c r="AY4" s="520" t="n"/>
    </row>
    <row r="5" ht="50" customHeight="1">
      <c r="U5" s="51" t="n"/>
      <c r="V5" s="51" t="n"/>
      <c r="W5" s="872" t="n"/>
      <c r="X5" s="873" t="n"/>
      <c r="Y5" s="873" t="inlineStr">
        <is>
          <t>PCR</t>
        </is>
      </c>
      <c r="Z5" s="873" t="n"/>
      <c r="AA5" s="873" t="n"/>
      <c r="AB5" s="873" t="n"/>
      <c r="AC5" s="51" t="n"/>
      <c r="AD5" s="51" t="inlineStr">
        <is>
          <t>Conseils selon les différences entre les atttitudes des deux parents et conseils</t>
        </is>
      </c>
      <c r="AL5" s="114" t="n"/>
      <c r="AM5" s="73" t="n"/>
      <c r="AS5" t="inlineStr">
        <is>
          <t>Attitudes et divergeance des parents</t>
        </is>
      </c>
      <c r="AW5" t="inlineStr">
        <is>
          <t>Divergeance des parents</t>
        </is>
      </c>
    </row>
    <row r="6" ht="50" customHeight="1">
      <c r="B6" s="880" t="inlineStr">
        <is>
          <t>Seuil de divergeance entre les attitudes des parents</t>
        </is>
      </c>
      <c r="U6" s="871" t="inlineStr">
        <is>
          <t>PFA</t>
        </is>
      </c>
      <c r="V6" s="871" t="n"/>
      <c r="W6" s="874" t="n">
        <v>0</v>
      </c>
      <c r="X6" s="874" t="n">
        <v>1</v>
      </c>
      <c r="Y6" s="874" t="n">
        <v>2</v>
      </c>
      <c r="Z6" s="874" t="n">
        <v>4</v>
      </c>
      <c r="AA6" s="874" t="n">
        <v>7</v>
      </c>
      <c r="AB6" s="874" t="n">
        <v>10</v>
      </c>
      <c r="AC6" s="847" t="n"/>
      <c r="AD6" s="51" t="n"/>
      <c r="AE6" s="51" t="n"/>
      <c r="AF6" s="874" t="n">
        <v>0</v>
      </c>
      <c r="AG6" s="874" t="n">
        <v>1</v>
      </c>
      <c r="AH6" s="874" t="n">
        <v>2</v>
      </c>
      <c r="AI6" s="874" t="n">
        <v>4</v>
      </c>
      <c r="AJ6" s="874" t="n">
        <v>7</v>
      </c>
      <c r="AK6" s="874" t="n">
        <v>10</v>
      </c>
      <c r="AL6" s="114" t="n"/>
      <c r="AM6" s="73" t="n"/>
      <c r="AT6" s="1" t="inlineStr">
        <is>
          <t>Comportements PFA</t>
        </is>
      </c>
      <c r="AU6" s="1" t="inlineStr">
        <is>
          <t>Comportements PCR</t>
        </is>
      </c>
      <c r="AX6" s="1" t="inlineStr">
        <is>
          <t>Écart (opposé | aligné) entre les comportements des parents</t>
        </is>
      </c>
      <c r="AY6" s="1" t="n"/>
    </row>
    <row r="7">
      <c r="U7" s="871" t="n"/>
      <c r="V7" s="871" t="n"/>
      <c r="W7" s="874" t="n"/>
      <c r="X7" s="874" t="n"/>
      <c r="Y7" s="874" t="n"/>
      <c r="Z7" s="874" t="n"/>
      <c r="AA7" s="874" t="n"/>
      <c r="AB7" s="874" t="n"/>
      <c r="AC7" s="847" t="n"/>
      <c r="AD7" s="51" t="n"/>
      <c r="AE7" s="51" t="n"/>
      <c r="AF7" s="2089" t="n">
        <v>1</v>
      </c>
      <c r="AG7" s="2036" t="n">
        <v>2</v>
      </c>
      <c r="AH7" s="2089" t="n">
        <v>3</v>
      </c>
      <c r="AI7" s="2089" t="n">
        <v>4</v>
      </c>
      <c r="AJ7" s="2089" t="n">
        <v>5</v>
      </c>
      <c r="AK7" s="2089" t="n">
        <v>6</v>
      </c>
      <c r="AL7" s="114" t="n"/>
      <c r="AM7" s="73" t="n"/>
      <c r="AS7">
        <f>B12</f>
        <v/>
      </c>
      <c r="AT7" s="6">
        <f>D12</f>
        <v/>
      </c>
      <c r="AU7" s="6">
        <f>G12</f>
        <v/>
      </c>
      <c r="AW7">
        <f>AS7</f>
        <v/>
      </c>
      <c r="AX7" s="115">
        <f>I12</f>
        <v/>
      </c>
      <c r="AY7" s="115" t="n"/>
    </row>
    <row r="8" ht="74" customHeight="1">
      <c r="B8" s="1042" t="n"/>
      <c r="L8" s="64" t="n"/>
      <c r="M8" s="2030" t="n"/>
      <c r="N8" s="2030" t="n"/>
      <c r="O8" s="2030" t="n"/>
      <c r="P8" s="2030" t="n"/>
      <c r="Q8" s="2030" t="n"/>
      <c r="R8" s="2030" t="n"/>
      <c r="S8" s="2030" t="n"/>
      <c r="U8" s="871" t="n"/>
      <c r="V8" s="875" t="n">
        <v>0</v>
      </c>
      <c r="W8" s="986" t="n">
        <v>0</v>
      </c>
      <c r="X8" s="986" t="n">
        <v>-1</v>
      </c>
      <c r="Y8" s="894" t="n">
        <v>-2</v>
      </c>
      <c r="Z8" s="894" t="n">
        <v>-4</v>
      </c>
      <c r="AA8" s="894" t="n">
        <v>-7</v>
      </c>
      <c r="AB8" s="894" t="n">
        <v>-10</v>
      </c>
      <c r="AD8" s="875" t="n">
        <v>0</v>
      </c>
      <c r="AE8" s="879" t="n">
        <v>1</v>
      </c>
      <c r="AF8" s="876" t="inlineStr">
        <is>
          <t>L'attitude des deux parents est positive pour l'enfant</t>
        </is>
      </c>
      <c r="AG8" s="876" t="inlineStr">
        <is>
          <t>L'attitude des deux parents est positive pour l'enfant</t>
        </is>
      </c>
      <c r="AH8" s="876" t="inlineStr">
        <is>
          <t>Restez attentif.ve aux raisons qui vous poussent à agir.</t>
        </is>
      </c>
      <c r="AI8" s="876" t="inlineStr">
        <is>
          <t>Restez attentif.ve aux raisons qui vous poussent à agir. Drmandez de l'aide.</t>
        </is>
      </c>
      <c r="AJ8" s="876" t="inlineStr">
        <is>
          <t>Votre attitude nuit grandement à votre coparentalité et affecte la santé de l'enfant. Demandez de l'aide.</t>
        </is>
      </c>
      <c r="AK8" s="883" t="inlineStr">
        <is>
          <t>Votre attitude nuit grandement à votre coparentalité et affecte la santé de l'enfant. Demandez de l'aide.</t>
        </is>
      </c>
      <c r="AL8" s="114" t="n"/>
      <c r="AM8" s="73" t="n"/>
      <c r="AS8">
        <f>B13</f>
        <v/>
      </c>
      <c r="AT8" s="6">
        <f>D13</f>
        <v/>
      </c>
      <c r="AU8" s="6">
        <f>G13</f>
        <v/>
      </c>
      <c r="AW8">
        <f>AS8</f>
        <v/>
      </c>
      <c r="AX8" s="115">
        <f>I13</f>
        <v/>
      </c>
      <c r="AY8" s="115" t="n"/>
    </row>
    <row r="9" ht="74" customHeight="1">
      <c r="B9" s="880" t="n"/>
      <c r="L9" s="104" t="n"/>
      <c r="M9" s="104" t="n"/>
      <c r="N9" s="104" t="inlineStr">
        <is>
          <t>Négatif, comportement PCR plus sévère que celui du PFA</t>
        </is>
      </c>
      <c r="O9" s="104" t="n"/>
      <c r="P9" s="519" t="n"/>
      <c r="Q9" s="519" t="n"/>
      <c r="R9" s="519" t="n"/>
      <c r="S9" s="2036" t="n"/>
      <c r="U9" s="871" t="n"/>
      <c r="V9" s="875" t="n">
        <v>1</v>
      </c>
      <c r="W9" s="986" t="n">
        <v>0</v>
      </c>
      <c r="X9" s="986">
        <f>V9-X6</f>
        <v/>
      </c>
      <c r="Y9" s="894">
        <f>V9-Y6</f>
        <v/>
      </c>
      <c r="Z9" s="894">
        <f>V9-Z6</f>
        <v/>
      </c>
      <c r="AA9" s="894">
        <f>V9-AA6</f>
        <v/>
      </c>
      <c r="AB9" s="894">
        <f>V9-AB6</f>
        <v/>
      </c>
      <c r="AD9" s="875" t="n"/>
      <c r="AE9" s="879" t="n"/>
      <c r="AF9" s="876" t="n"/>
      <c r="AG9" s="876" t="n"/>
      <c r="AH9" s="876" t="n"/>
      <c r="AI9" s="876" t="n"/>
      <c r="AJ9" s="876" t="n"/>
      <c r="AK9" s="883" t="n"/>
      <c r="AL9" s="114" t="n"/>
      <c r="AM9" s="73" t="n"/>
      <c r="AS9">
        <f>B14</f>
        <v/>
      </c>
      <c r="AT9" s="6">
        <f>D14</f>
        <v/>
      </c>
      <c r="AU9" s="6">
        <f>G14</f>
        <v/>
      </c>
      <c r="AW9">
        <f>AS9</f>
        <v/>
      </c>
      <c r="AX9" s="115">
        <f>I14</f>
        <v/>
      </c>
      <c r="AY9" s="115" t="n"/>
    </row>
    <row r="10" ht="63" customHeight="1">
      <c r="C10" s="886" t="n"/>
      <c r="D10" s="552" t="n"/>
      <c r="E10" s="552" t="n"/>
      <c r="F10" s="887" t="n"/>
      <c r="G10" s="887" t="n"/>
      <c r="H10" s="887" t="n"/>
      <c r="L10" s="454" t="n"/>
      <c r="M10" s="454" t="n"/>
      <c r="N10" s="1581" t="inlineStr">
        <is>
          <t>Positif, comportement PCR plus léger</t>
        </is>
      </c>
      <c r="O10" s="454" t="n"/>
      <c r="P10" s="2036" t="n"/>
      <c r="Q10" s="2036" t="n"/>
      <c r="R10" s="2036" t="n"/>
      <c r="S10" s="2036" t="n"/>
      <c r="U10" s="871" t="n"/>
      <c r="V10" s="875" t="n">
        <v>2</v>
      </c>
      <c r="W10" s="894" t="n">
        <v>2</v>
      </c>
      <c r="X10" s="894" t="n">
        <v>1</v>
      </c>
      <c r="Y10" s="894" t="n">
        <v>0</v>
      </c>
      <c r="Z10" s="987" t="n">
        <v>-2</v>
      </c>
      <c r="AA10" s="894" t="n">
        <v>-5</v>
      </c>
      <c r="AB10" s="894" t="n">
        <v>-8</v>
      </c>
      <c r="AD10" s="875" t="n">
        <v>2</v>
      </c>
      <c r="AE10" s="879" t="n">
        <v>3</v>
      </c>
      <c r="AF10" s="876" t="inlineStr">
        <is>
          <t>Conservez cette attitude tout en restant attentif à ce que l'attitude de l'autre parent ne se dégrade pas</t>
        </is>
      </c>
      <c r="AG10" s="876" t="inlineStr">
        <is>
          <t>Conservez cette attitude tout en restant attentif à ce que l'attitude de l'autre parent ne se dégrade pas</t>
        </is>
      </c>
      <c r="AH10" s="877" t="inlineStr">
        <is>
          <t xml:space="preserve"> L'attitude des deux parents est comparable, mais pas toujours adéquate pour l'enfant. Outillez vous pour prévenir l'impact chez l'enfant.</t>
        </is>
      </c>
      <c r="AI10" s="876" t="inlineStr">
        <is>
          <t>Votre attitude pourrait nuire à votre coparentalité et affecter la santé de l'enfant. Demandez de l'aide.</t>
        </is>
      </c>
      <c r="AJ10" s="876" t="inlineStr">
        <is>
          <t>Votre attitude nuit grandement à votre coparentalité et affecte la santé de l'enfant. Demandez de l'aide.</t>
        </is>
      </c>
      <c r="AK10" s="876" t="inlineStr">
        <is>
          <t>Votre attitude nuit grandement à votre coparentalité et affecte la santé de l'enfant. Demandez de l'aide.</t>
        </is>
      </c>
      <c r="AL10" s="114" t="n"/>
      <c r="AM10" s="73" t="n"/>
      <c r="AS10">
        <f>B15</f>
        <v/>
      </c>
      <c r="AT10" s="6">
        <f>D15</f>
        <v/>
      </c>
      <c r="AU10" s="6">
        <f>G15</f>
        <v/>
      </c>
      <c r="AW10">
        <f>AS10</f>
        <v/>
      </c>
      <c r="AX10" s="115">
        <f>I15</f>
        <v/>
      </c>
      <c r="AY10" s="115" t="n"/>
    </row>
    <row r="11" ht="68" customHeight="1">
      <c r="C11" s="888" t="inlineStr">
        <is>
          <t>Comportement PFA</t>
        </is>
      </c>
      <c r="D11" s="888" t="inlineStr">
        <is>
          <t>Fréquence PFA</t>
        </is>
      </c>
      <c r="E11" s="888" t="inlineStr">
        <is>
          <t>Échelle de recherche Excel</t>
        </is>
      </c>
      <c r="F11" s="888" t="inlineStr">
        <is>
          <t>Comportement PCR</t>
        </is>
      </c>
      <c r="G11" s="888" t="inlineStr">
        <is>
          <t>Fréquence PCR</t>
        </is>
      </c>
      <c r="H11" s="888" t="inlineStr">
        <is>
          <t>Échelle de recherche Excel</t>
        </is>
      </c>
      <c r="I11" s="888" t="inlineStr">
        <is>
          <t>Écart</t>
        </is>
      </c>
      <c r="J11" s="922" t="inlineStr">
        <is>
          <t>Conseils</t>
        </is>
      </c>
      <c r="K11" s="923" t="inlineStr">
        <is>
          <t>Conseils "URGENTS" au PCR</t>
        </is>
      </c>
      <c r="L11" s="1002" t="n"/>
      <c r="M11" s="1002" t="inlineStr">
        <is>
          <t>Niveau PFA</t>
        </is>
      </c>
      <c r="N11" s="1002" t="inlineStr">
        <is>
          <t>Écart avec PCR</t>
        </is>
      </c>
      <c r="O11" s="1002" t="n"/>
      <c r="P11" s="1002" t="n"/>
      <c r="Q11" s="1002" t="n"/>
      <c r="R11" s="1002" t="n"/>
      <c r="S11" s="1002" t="n"/>
      <c r="U11" s="871" t="n"/>
      <c r="V11" s="875" t="n">
        <v>4</v>
      </c>
      <c r="W11" s="894" t="n">
        <v>4</v>
      </c>
      <c r="X11" s="894" t="n">
        <v>3</v>
      </c>
      <c r="Y11" s="987" t="n">
        <v>2</v>
      </c>
      <c r="Z11" s="894" t="n">
        <v>0</v>
      </c>
      <c r="AA11" s="894" t="n">
        <v>-3</v>
      </c>
      <c r="AB11" s="894" t="n">
        <v>-6</v>
      </c>
      <c r="AD11" s="875" t="n">
        <v>4</v>
      </c>
      <c r="AE11" s="879" t="n">
        <v>4</v>
      </c>
      <c r="AF11" s="876" t="inlineStr">
        <is>
          <t>L'attitude de l'autre parent peut impacter votre coparentalité qui nuit à l'enfant.  Apprenez à intervenir adéquatement auprès de l'enfant pour le protéger.</t>
        </is>
      </c>
      <c r="AG11" s="876" t="inlineStr">
        <is>
          <t>Conservez cette attitude tout en restant attentif à ce que l'attitude de l'autre parent ne se dégrade pas. Apprenez à intervenir adéquatement auprès de l'enfant pour le protéger.</t>
        </is>
      </c>
      <c r="AH11" s="876" t="inlineStr">
        <is>
          <t>Bien que l'autre parent ait un attitude inadéquate, restez attentif.ve à votre attitude aussi. Outillez-vous pour répondre à l'autre parent et aux réactions de l'enfant.</t>
        </is>
      </c>
      <c r="AI11" s="877" t="inlineStr">
        <is>
          <t xml:space="preserve"> L'attitude des deux parents devient dommageable pour l'enfant.</t>
        </is>
      </c>
      <c r="AJ11" s="876" t="inlineStr">
        <is>
          <t>Votre attitude nuit grandement à votre coparentalité et affecte la santé de l'enfant. Demandez de l'aide.</t>
        </is>
      </c>
      <c r="AK11" s="876" t="inlineStr">
        <is>
          <t>Votre attitude nuit grandement à votre coparentalité et affecte la santé de l'enfant. Demandez de l'aide.</t>
        </is>
      </c>
      <c r="AL11" s="114" t="n"/>
      <c r="AM11" s="73" t="n"/>
      <c r="AS11" s="7">
        <f>B19</f>
        <v/>
      </c>
      <c r="AT11" s="6">
        <f>D16</f>
        <v/>
      </c>
      <c r="AU11" s="6">
        <f>G19</f>
        <v/>
      </c>
      <c r="AV11" s="7" t="n"/>
      <c r="AW11" s="7">
        <f>AS11</f>
        <v/>
      </c>
      <c r="AX11" s="6">
        <f>I19</f>
        <v/>
      </c>
      <c r="AY11" s="115" t="n"/>
    </row>
    <row r="12" ht="137" customFormat="1" customHeight="1" s="7">
      <c r="A12" s="988" t="n"/>
      <c r="B12" s="1765" t="n"/>
      <c r="C12" s="884" t="n"/>
      <c r="D12" s="893" t="n"/>
      <c r="E12" s="552" t="n"/>
      <c r="F12" s="1766" t="n"/>
      <c r="G12" s="893" t="n"/>
      <c r="H12" s="552" t="n"/>
      <c r="I12" s="893" t="n"/>
      <c r="J12" s="891" t="n"/>
      <c r="K12" s="879" t="n"/>
      <c r="L12" s="1995" t="n"/>
      <c r="M12" s="1580" t="n"/>
      <c r="N12" s="1580" t="n"/>
      <c r="O12" s="1995" t="n"/>
      <c r="P12" s="1995" t="n"/>
      <c r="Q12" s="1995" t="n"/>
      <c r="R12" s="1995" t="n"/>
      <c r="S12" s="1995" t="n"/>
      <c r="T12" s="879" t="n"/>
      <c r="U12" s="879" t="n"/>
      <c r="V12" s="1995" t="n">
        <v>7</v>
      </c>
      <c r="W12" s="894" t="n">
        <v>7</v>
      </c>
      <c r="X12" s="894" t="n">
        <v>6</v>
      </c>
      <c r="Y12" s="894" t="n">
        <v>5</v>
      </c>
      <c r="Z12" s="894" t="n">
        <v>3</v>
      </c>
      <c r="AA12" s="894" t="n">
        <v>0</v>
      </c>
      <c r="AB12" s="894" t="n">
        <v>-3</v>
      </c>
      <c r="AD12" s="1995" t="n">
        <v>7</v>
      </c>
      <c r="AE12" s="879" t="n">
        <v>5</v>
      </c>
      <c r="AF12" s="876" t="inlineStr">
        <is>
          <t>L'attitude de l'autre parent impacte fort probablement votre coparentalité et nuit à l'enfant. Apprenez à intervenir adéquatement auprès de l'enfant pour le protéger.</t>
        </is>
      </c>
      <c r="AG12" s="876" t="inlineStr">
        <is>
          <t>L'attitude de l'autre parent impacte fort probablement votre coparentalité et nuit à l'enfant. Apprenez à intervenir adéquatement auprès de l'enfant pour le protéger.</t>
        </is>
      </c>
      <c r="AH12" s="876" t="inlineStr">
        <is>
          <t>L'autre parent a un attitude néfaste. Restez aussi attentif.ve à votre attitude. Outillez-vous pour répondre à l'autre parent et aux réactions de l'enfant.</t>
        </is>
      </c>
      <c r="AI12" s="876" t="inlineStr">
        <is>
          <t>L'autre parent a un attitude néfaste. Restez aussi attentif.ve à votre attitude. Outillez-vous pour répondre à l'autre parent et aux réactions de l'enfant.</t>
        </is>
      </c>
      <c r="AJ12" s="876" t="inlineStr">
        <is>
          <t>L'attitude des deux parents est grandement dommageable pour l'enfant</t>
        </is>
      </c>
      <c r="AK12" s="876" t="inlineStr">
        <is>
          <t>L'attitude des deux parents est grandement dommageable pour l'enfant</t>
        </is>
      </c>
      <c r="AL12" s="114" t="n"/>
      <c r="AM12" s="575" t="n"/>
      <c r="AS12" s="7">
        <f>B20</f>
        <v/>
      </c>
      <c r="AT12" s="6">
        <f>D17</f>
        <v/>
      </c>
      <c r="AU12" s="6">
        <f>G20</f>
        <v/>
      </c>
      <c r="AW12" s="7">
        <f>AS12</f>
        <v/>
      </c>
      <c r="AX12" s="6">
        <f>I20</f>
        <v/>
      </c>
    </row>
    <row r="13" ht="126" customFormat="1" customHeight="1" s="7">
      <c r="A13" s="988" t="n"/>
      <c r="B13" s="885">
        <f>'Cpts miroirs des parents'!B9</f>
        <v/>
      </c>
      <c r="C13" s="884">
        <f>Test_Bible!B181</f>
        <v/>
      </c>
      <c r="D13" s="889">
        <f>Test_Bible!P181</f>
        <v/>
      </c>
      <c r="E13" s="552">
        <f>VLOOKUP(D13,$AD$8:$AE$13,2)</f>
        <v/>
      </c>
      <c r="F13" s="884">
        <f>Test_Bible!B122</f>
        <v/>
      </c>
      <c r="G13" s="889">
        <f>Test_Bible!P122</f>
        <v/>
      </c>
      <c r="H13" s="552">
        <f>HLOOKUP(G13,$AF$6:$AK$7,2)</f>
        <v/>
      </c>
      <c r="I13" s="890">
        <f>D13-G13</f>
        <v/>
      </c>
      <c r="J13" s="891">
        <f>IF(OR(D13=0,G13=0),"",VLOOKUP(E13,$AE$8:$AK$13,H13+1))</f>
        <v/>
      </c>
      <c r="K13" s="879">
        <f>IF(OR(D13&gt;=7,G13&gt;=4),"Conseils prioritaires",IF(AND(D13&lt;=3,G13&lt;=2),"Adéquat","à surveiller"))</f>
        <v/>
      </c>
      <c r="L13" s="1003" t="n"/>
      <c r="M13" s="1580">
        <f>D13</f>
        <v/>
      </c>
      <c r="N13" s="1580">
        <f>I13</f>
        <v/>
      </c>
      <c r="O13" s="1003" t="n"/>
      <c r="P13" s="1003" t="n"/>
      <c r="Q13" s="1003" t="n"/>
      <c r="R13" s="1003" t="n"/>
      <c r="S13" s="1003" t="n"/>
      <c r="T13" s="879" t="n"/>
      <c r="U13" s="1004" t="n"/>
      <c r="V13" s="875" t="n">
        <v>10</v>
      </c>
      <c r="W13" s="894" t="n">
        <v>10</v>
      </c>
      <c r="X13" s="894" t="n">
        <v>9</v>
      </c>
      <c r="Y13" s="894" t="n">
        <v>8</v>
      </c>
      <c r="Z13" s="894" t="n">
        <v>6</v>
      </c>
      <c r="AA13" s="894" t="n">
        <v>3</v>
      </c>
      <c r="AB13" s="894" t="n">
        <v>0</v>
      </c>
      <c r="AD13" s="875" t="n">
        <v>10</v>
      </c>
      <c r="AE13" s="879" t="n">
        <v>6</v>
      </c>
      <c r="AF13" s="876" t="inlineStr">
        <is>
          <t>L'attitude de l'autre parent impacte fort probablement votre coparentalité et nuit à l'enfant. Apprenez à intervenir adéquatement auprès de l'enfant pour le protéger.</t>
        </is>
      </c>
      <c r="AG13" s="876" t="inlineStr">
        <is>
          <t>L'attitude de l'autre parent impacte fort probablement votre coparentalité et nuit à l'enfant. Apprenez à intervenir adéquatement auprès de l'enfant pour le protéger.</t>
        </is>
      </c>
      <c r="AH13" s="876" t="inlineStr">
        <is>
          <t>L'autre parent a un attitude néfaste. Restez aussi attentif.ve à votre attitude. Outillez-vous pour répondre à l'autre parent et aux réactions de l'enfant.</t>
        </is>
      </c>
      <c r="AI13" s="876" t="inlineStr">
        <is>
          <t>L'autre parent a un attitude néfaste. Restez aussi attentif.ve à votre attitude. Outillez-vous pour répondre à l'autre parent et aux réactions de l'enfant.</t>
        </is>
      </c>
      <c r="AJ13" s="876" t="inlineStr">
        <is>
          <t>L'attitude des deux parents est grandement dommageable pour l'enfant</t>
        </is>
      </c>
      <c r="AK13" s="876" t="inlineStr">
        <is>
          <t>L'attitude des deux parents est grandement dommageable pour l'enfant</t>
        </is>
      </c>
      <c r="AL13" s="114" t="n"/>
      <c r="AM13" s="575" t="n"/>
      <c r="AS13" s="7">
        <f>B21</f>
        <v/>
      </c>
      <c r="AT13" s="6">
        <f>D18</f>
        <v/>
      </c>
      <c r="AU13" s="6">
        <f>G21</f>
        <v/>
      </c>
      <c r="AW13" s="7">
        <f>AS13</f>
        <v/>
      </c>
      <c r="AX13" s="6">
        <f>I21</f>
        <v/>
      </c>
    </row>
    <row r="14" ht="123" customFormat="1" customHeight="1" s="7">
      <c r="A14" s="988" t="n"/>
      <c r="B14" s="885">
        <f>'Cpts miroirs des parents'!B11</f>
        <v/>
      </c>
      <c r="C14" s="884">
        <f>Test_Bible!B203</f>
        <v/>
      </c>
      <c r="D14" s="889">
        <f>Test_Bible!P203</f>
        <v/>
      </c>
      <c r="E14" s="552">
        <f>VLOOKUP(D14,$AD$8:$AE$13,2)</f>
        <v/>
      </c>
      <c r="F14" s="884">
        <f>Test_Bible!B134</f>
        <v/>
      </c>
      <c r="G14" s="889">
        <f>Test_Bible!P134</f>
        <v/>
      </c>
      <c r="H14" s="552">
        <f>HLOOKUP(G14,$AF$6:$AK$7,2)</f>
        <v/>
      </c>
      <c r="I14" s="890">
        <f>D14-G14</f>
        <v/>
      </c>
      <c r="J14" s="891">
        <f>VLOOKUP(E14,$AE$8:$AK$13,H14+1)</f>
        <v/>
      </c>
      <c r="K14" s="879">
        <f>IF(OR(D14&gt;=7,G14&gt;=4),"Conseils prioritaires",IF(AND(D14&lt;=3,G14&lt;=2),"Adéquat","à surveiller"))</f>
        <v/>
      </c>
      <c r="L14" s="1003" t="n"/>
      <c r="M14" s="1580">
        <f>D14</f>
        <v/>
      </c>
      <c r="N14" s="1580">
        <f>I14</f>
        <v/>
      </c>
      <c r="O14" s="1003" t="n"/>
      <c r="P14" s="1003" t="n"/>
      <c r="Q14" s="1003" t="n"/>
      <c r="R14" s="1003" t="n"/>
      <c r="S14" s="1003" t="n"/>
      <c r="U14" s="879" t="n"/>
      <c r="V14" s="879" t="n"/>
      <c r="W14" s="1005" t="n"/>
      <c r="X14" s="1005" t="n"/>
      <c r="Y14" s="1005" t="n"/>
      <c r="Z14" s="1005" t="n"/>
      <c r="AA14" s="1005" t="n"/>
      <c r="AB14" s="879" t="n"/>
      <c r="AC14" s="879" t="n"/>
      <c r="AD14" s="879" t="n"/>
      <c r="AE14" s="879" t="n"/>
      <c r="AF14" s="1006" t="n"/>
      <c r="AG14" s="1007" t="n"/>
      <c r="AH14" s="1007" t="n"/>
      <c r="AI14" s="1007" t="n"/>
      <c r="AJ14" s="1007" t="n"/>
      <c r="AL14" s="114" t="n"/>
      <c r="AM14" s="575" t="n"/>
      <c r="AS14" s="7">
        <f>B22</f>
        <v/>
      </c>
      <c r="AT14" s="6">
        <f>D19</f>
        <v/>
      </c>
      <c r="AU14" s="6">
        <f>G22</f>
        <v/>
      </c>
      <c r="AW14" s="7">
        <f>AS14</f>
        <v/>
      </c>
      <c r="AX14" s="6">
        <f>I22</f>
        <v/>
      </c>
    </row>
    <row r="15" ht="93" customFormat="1" customHeight="1" s="7">
      <c r="A15" s="988" t="n"/>
      <c r="B15" s="885">
        <f>'Cpts miroirs des parents'!B13&amp;" "</f>
        <v/>
      </c>
      <c r="C15" s="884">
        <f>Test_Bible!B201</f>
        <v/>
      </c>
      <c r="D15" s="889">
        <f>Test_Bible!P201</f>
        <v/>
      </c>
      <c r="E15" s="893">
        <f>MAX(D15,D16)</f>
        <v/>
      </c>
      <c r="F15" s="884">
        <f>Test_Bible!B133</f>
        <v/>
      </c>
      <c r="G15" s="889">
        <f>Test_Bible!P133</f>
        <v/>
      </c>
      <c r="H15" s="552">
        <f>HLOOKUP(G15,$AF$6:$AK$7,2)</f>
        <v/>
      </c>
      <c r="I15" s="890">
        <f>D15-G15</f>
        <v/>
      </c>
      <c r="J15" s="891">
        <f>VLOOKUP(E15,$AE$8:$AK$13,H15+1)</f>
        <v/>
      </c>
      <c r="K15" s="879">
        <f>IF(OR(D15&gt;=7,G15&gt;=4),"Conseils prioritaires",IF(AND(D15&lt;=3,G15&lt;=2),"Adéquat","à surveiller"))</f>
        <v/>
      </c>
      <c r="L15" s="1995" t="n"/>
      <c r="M15" s="1580">
        <f>D15</f>
        <v/>
      </c>
      <c r="N15" s="1580">
        <f>I15</f>
        <v/>
      </c>
      <c r="O15" s="1995" t="n"/>
      <c r="P15" s="1995" t="n"/>
      <c r="Q15" s="1995" t="n"/>
      <c r="R15" s="1995" t="n"/>
      <c r="S15" s="1995" t="n"/>
      <c r="U15" s="879" t="n"/>
      <c r="V15" s="879" t="n"/>
      <c r="W15" s="1005" t="n"/>
      <c r="X15" s="1005" t="n"/>
      <c r="Y15" s="1005" t="n"/>
      <c r="Z15" s="1005" t="n"/>
      <c r="AA15" s="1005" t="n"/>
      <c r="AB15" s="879" t="n"/>
      <c r="AC15" s="879" t="n"/>
      <c r="AD15" s="879" t="n"/>
      <c r="AE15" s="879" t="n"/>
      <c r="AF15" s="1006" t="n"/>
      <c r="AG15" s="1007" t="n"/>
      <c r="AH15" s="1007" t="n"/>
      <c r="AI15" s="1007" t="n"/>
      <c r="AJ15" s="1007" t="n"/>
      <c r="AL15" s="114" t="n"/>
      <c r="AM15" s="575" t="n"/>
      <c r="AS15" s="7">
        <f>B23</f>
        <v/>
      </c>
      <c r="AT15" s="6">
        <f>D20</f>
        <v/>
      </c>
      <c r="AU15" s="6">
        <f>G23</f>
        <v/>
      </c>
      <c r="AW15" s="7">
        <f>AS15</f>
        <v/>
      </c>
      <c r="AX15" s="6">
        <f>I23</f>
        <v/>
      </c>
    </row>
    <row r="16" ht="93" customFormat="1" customHeight="1" s="7">
      <c r="A16" s="988" t="n"/>
      <c r="B16" s="892" t="n"/>
      <c r="C16" s="884">
        <f>Test_Bible!B202</f>
        <v/>
      </c>
      <c r="D16" s="889">
        <f>Test_Bible!P202</f>
        <v/>
      </c>
      <c r="E16" s="552" t="n"/>
      <c r="F16" s="884" t="n"/>
      <c r="G16" s="893" t="n"/>
      <c r="H16" s="552" t="n"/>
      <c r="I16" s="893" t="n"/>
      <c r="J16" s="891">
        <f>IF(OR(D16=0,G16=0),"",VLOOKUP(E16,$AE$8:$AK$13,H16+1))</f>
        <v/>
      </c>
      <c r="K16" s="879" t="n"/>
      <c r="L16" s="1995" t="n"/>
      <c r="M16" s="1580" t="n"/>
      <c r="N16" s="1580" t="n"/>
      <c r="O16" s="1995" t="n"/>
      <c r="P16" s="1995" t="n"/>
      <c r="Q16" s="1995" t="n"/>
      <c r="R16" s="1995" t="n"/>
      <c r="S16" s="1995" t="n"/>
      <c r="U16" s="879" t="n"/>
      <c r="V16" s="879" t="n"/>
      <c r="W16" s="1005" t="n"/>
      <c r="X16" s="1005" t="n"/>
      <c r="Y16" s="1005" t="n"/>
      <c r="Z16" s="1005" t="n"/>
      <c r="AA16" s="1005" t="n"/>
      <c r="AB16" s="879" t="n"/>
      <c r="AC16" s="879" t="n"/>
      <c r="AD16" s="879" t="n"/>
      <c r="AE16" s="879" t="n"/>
      <c r="AF16" s="1006" t="n"/>
      <c r="AG16" s="1007" t="n"/>
      <c r="AH16" s="1007" t="n"/>
      <c r="AI16" s="1007" t="n"/>
      <c r="AJ16" s="1007" t="n"/>
      <c r="AL16" s="114" t="n"/>
      <c r="AM16" s="575" t="n"/>
      <c r="AS16" s="7">
        <f>B24</f>
        <v/>
      </c>
      <c r="AT16" s="6">
        <f>D21</f>
        <v/>
      </c>
      <c r="AU16" s="6">
        <f>G24</f>
        <v/>
      </c>
      <c r="AW16" s="7">
        <f>AS16</f>
        <v/>
      </c>
      <c r="AX16" s="6">
        <f>I24</f>
        <v/>
      </c>
    </row>
    <row r="17" ht="104" customFormat="1" customHeight="1" s="7">
      <c r="A17" s="988" t="n"/>
      <c r="B17" s="885">
        <f>'Cpts miroirs des parents'!B38</f>
        <v/>
      </c>
      <c r="C17" s="884">
        <f>Test_Bible!B214</f>
        <v/>
      </c>
      <c r="D17" s="889">
        <f>Test_Bible!P214</f>
        <v/>
      </c>
      <c r="E17" s="552">
        <f>VLOOKUP(D17,$AD$8:$AE$13,2)</f>
        <v/>
      </c>
      <c r="F17" s="884">
        <f>Test_Bible!B135</f>
        <v/>
      </c>
      <c r="G17" s="889">
        <f>Test_Bible!P135</f>
        <v/>
      </c>
      <c r="H17" s="552">
        <f>HLOOKUP(G17,$AF$6:$AK$7,2)</f>
        <v/>
      </c>
      <c r="I17" s="890">
        <f>D17-G17</f>
        <v/>
      </c>
      <c r="J17" s="891">
        <f>VLOOKUP(E17,$AE$8:$AK$13,H17+1)</f>
        <v/>
      </c>
      <c r="K17" s="879">
        <f>IF(OR(D17&gt;=7,G17&gt;=4),"Conseils prioritaires",IF(AND(D17&lt;=3,G17&lt;=2),"Adéquat","à surveiller"))</f>
        <v/>
      </c>
      <c r="L17" s="879" t="n"/>
      <c r="M17" s="1580">
        <f>D17</f>
        <v/>
      </c>
      <c r="N17" s="1580">
        <f>I17</f>
        <v/>
      </c>
      <c r="O17" s="879" t="n"/>
      <c r="P17" s="879" t="n"/>
      <c r="Q17" s="879" t="n"/>
      <c r="R17" s="879" t="n"/>
      <c r="S17" s="879" t="n"/>
      <c r="U17" s="879" t="n"/>
      <c r="V17" s="879" t="n"/>
      <c r="W17" s="1005" t="n"/>
      <c r="X17" s="1005" t="n"/>
      <c r="Y17" s="1005" t="n"/>
      <c r="Z17" s="1005" t="n"/>
      <c r="AA17" s="1005" t="n"/>
      <c r="AB17" s="879" t="n"/>
      <c r="AC17" s="879" t="n"/>
      <c r="AD17" s="879" t="n"/>
      <c r="AE17" s="879" t="n"/>
      <c r="AF17" s="1006" t="n"/>
      <c r="AG17" s="1007" t="n"/>
      <c r="AH17" s="1007" t="n"/>
      <c r="AI17" s="1007" t="n"/>
      <c r="AJ17" s="1007" t="n"/>
      <c r="AL17" s="114" t="n"/>
      <c r="AM17" s="575" t="n"/>
      <c r="AS17">
        <f>B25</f>
        <v/>
      </c>
      <c r="AT17" s="6">
        <f>D22</f>
        <v/>
      </c>
      <c r="AU17" s="6">
        <f>G25</f>
        <v/>
      </c>
      <c r="AW17">
        <f>AS17</f>
        <v/>
      </c>
      <c r="AX17" s="115">
        <f>I25</f>
        <v/>
      </c>
    </row>
    <row r="18" ht="130" customFormat="1" customHeight="1" s="7">
      <c r="A18" s="1363" t="inlineStr">
        <is>
          <t>Traiter indépendamment, mais prendre la Q du PCR</t>
        </is>
      </c>
      <c r="B18" s="1364" t="inlineStr">
        <is>
          <t>À réfléchir, miroir plus ou moins significatif</t>
        </is>
      </c>
      <c r="C18" s="997">
        <f>Test_Bible!B215</f>
        <v/>
      </c>
      <c r="D18" s="995">
        <f>Test_Bible!P215</f>
        <v/>
      </c>
      <c r="E18" s="996" t="n"/>
      <c r="F18" s="997">
        <f>F17</f>
        <v/>
      </c>
      <c r="G18" s="995">
        <f>G17</f>
        <v/>
      </c>
      <c r="H18" s="996" t="n"/>
      <c r="I18" s="995">
        <f>D18-G18</f>
        <v/>
      </c>
      <c r="J18" s="998" t="n"/>
      <c r="K18" s="999" t="n"/>
      <c r="L18" s="1003" t="n"/>
      <c r="M18" s="1580">
        <f>D18</f>
        <v/>
      </c>
      <c r="N18" s="1580">
        <f>I18</f>
        <v/>
      </c>
      <c r="O18" s="1003" t="n"/>
      <c r="P18" s="1003" t="n"/>
      <c r="Q18" s="1003" t="n"/>
      <c r="R18" s="1003" t="n"/>
      <c r="S18" s="1003" t="n"/>
      <c r="T18" s="2059" t="n"/>
      <c r="U18" s="683" t="n"/>
      <c r="V18" s="879" t="n"/>
      <c r="W18" s="1005" t="n"/>
      <c r="X18" s="1005" t="n"/>
      <c r="Y18" s="1005" t="n"/>
      <c r="Z18" s="1005" t="n"/>
      <c r="AA18" s="1005" t="n"/>
      <c r="AB18" s="879" t="n"/>
      <c r="AC18" s="879" t="n"/>
      <c r="AD18" s="879" t="n"/>
      <c r="AE18" s="879" t="n"/>
      <c r="AF18" s="1006" t="n"/>
      <c r="AG18" s="1007" t="n"/>
      <c r="AH18" s="1007" t="n"/>
      <c r="AI18" s="1007" t="n"/>
      <c r="AJ18" s="1007" t="n"/>
      <c r="AL18" s="114" t="n"/>
      <c r="AM18" s="575" t="n"/>
      <c r="AS18">
        <f>B26</f>
        <v/>
      </c>
      <c r="AT18" s="6">
        <f>D23</f>
        <v/>
      </c>
      <c r="AU18" s="6">
        <f>G26</f>
        <v/>
      </c>
      <c r="AW18">
        <f>AS18</f>
        <v/>
      </c>
      <c r="AX18" s="115">
        <f>I26</f>
        <v/>
      </c>
    </row>
    <row r="19" ht="93" customHeight="1">
      <c r="A19" s="2063" t="inlineStr">
        <is>
          <t>Ils ont été intégré dans la section Action-Réaction</t>
        </is>
      </c>
      <c r="B19" s="885">
        <f>'Cpts miroirs des parents'!B20</f>
        <v/>
      </c>
      <c r="C19" s="884">
        <f>Test_Bible!B178</f>
        <v/>
      </c>
      <c r="D19" s="889">
        <f>Test_Bible!P178</f>
        <v/>
      </c>
      <c r="E19" s="552">
        <f>VLOOKUP(D19,$AD$8:$AE$13,2)</f>
        <v/>
      </c>
      <c r="F19" s="884">
        <f>Test_Bible!B121</f>
        <v/>
      </c>
      <c r="G19" s="889">
        <f>Test_Bible!P121</f>
        <v/>
      </c>
      <c r="H19" s="552">
        <f>HLOOKUP(G19,$AF$6:$AK$7,2)</f>
        <v/>
      </c>
      <c r="I19" s="890">
        <f>D19-G19</f>
        <v/>
      </c>
      <c r="J19" s="891">
        <f>VLOOKUP(E19,$AE$8:$AK$13,H19+1)</f>
        <v/>
      </c>
      <c r="K19" s="879">
        <f>IF(OR(D19&gt;=7,G19&gt;=4),"Conseils prioritaires",IF(AND(D19&lt;=3,G19&lt;=2),"Adéquat","à surveiller"))</f>
        <v/>
      </c>
      <c r="L19" s="2030" t="n"/>
      <c r="M19" s="2030" t="n"/>
      <c r="N19" s="2030" t="n"/>
      <c r="O19" s="2030" t="n"/>
      <c r="P19" s="2030" t="n"/>
      <c r="Q19" s="2030" t="n"/>
      <c r="R19" s="2030" t="n"/>
      <c r="S19" s="2030" t="n"/>
      <c r="T19" s="51" t="n"/>
      <c r="U19" s="116" t="n"/>
      <c r="AC19" s="7" t="n"/>
      <c r="AD19" s="849" t="n"/>
      <c r="AE19" s="111" t="n"/>
      <c r="AF19" s="487" t="n"/>
      <c r="AG19" s="114" t="n"/>
      <c r="AH19" s="491" t="n"/>
      <c r="AI19" s="114" t="n"/>
      <c r="AJ19" s="492" t="n"/>
      <c r="AK19" s="114" t="n"/>
      <c r="AL19" s="73" t="n"/>
      <c r="AS19">
        <f>B27</f>
        <v/>
      </c>
      <c r="AT19" s="6">
        <f>D24</f>
        <v/>
      </c>
      <c r="AU19" s="6">
        <f>G27</f>
        <v/>
      </c>
      <c r="AW19">
        <f>AS19</f>
        <v/>
      </c>
      <c r="AX19" s="115">
        <f>I27</f>
        <v/>
      </c>
    </row>
    <row r="20" ht="93" customHeight="1">
      <c r="B20" s="885">
        <f>'Cpts miroirs des parents'!B22</f>
        <v/>
      </c>
      <c r="C20" s="884">
        <f>Test_Bible!B182</f>
        <v/>
      </c>
      <c r="D20" s="889">
        <f>Test_Bible!P182</f>
        <v/>
      </c>
      <c r="E20" s="552">
        <f>VLOOKUP(D20,$AD$8:$AE$13,2)</f>
        <v/>
      </c>
      <c r="F20" s="884">
        <f>Test_Bible!B130</f>
        <v/>
      </c>
      <c r="G20" s="889">
        <f>Test_Bible!P130</f>
        <v/>
      </c>
      <c r="H20" s="552">
        <f>HLOOKUP(G20,$AF$6:$AK$7,2)</f>
        <v/>
      </c>
      <c r="I20" s="890">
        <f>D20-G20</f>
        <v/>
      </c>
      <c r="J20" s="891">
        <f>VLOOKUP(E20,$AE$8:$AK$13,H20+1)</f>
        <v/>
      </c>
      <c r="K20" s="879">
        <f>IF(OR(D20&gt;=7,G20&gt;=4),"Conseils prioritaires",IF(AND(D20&lt;=3,G20&lt;=2),"Adéquat","à surveiller"))</f>
        <v/>
      </c>
      <c r="L20" s="2030" t="n"/>
      <c r="M20" s="2030" t="n"/>
      <c r="N20" s="2030" t="n"/>
      <c r="O20" s="2030" t="n"/>
      <c r="P20" s="2030" t="n"/>
      <c r="Q20" s="2030" t="n"/>
      <c r="R20" s="2030" t="n"/>
      <c r="S20" s="2030" t="n"/>
      <c r="T20" s="51" t="n"/>
      <c r="U20" s="116" t="n"/>
      <c r="AC20" s="7" t="n"/>
      <c r="AD20" s="849" t="n"/>
      <c r="AE20" s="111" t="n"/>
      <c r="AF20" s="487" t="n"/>
      <c r="AG20" s="114" t="n"/>
      <c r="AH20" s="491" t="n"/>
      <c r="AI20" s="114" t="n"/>
      <c r="AJ20" s="492" t="n"/>
      <c r="AK20" s="114" t="n"/>
      <c r="AL20" s="73" t="n"/>
      <c r="AS20">
        <f>B17</f>
        <v/>
      </c>
      <c r="AT20" s="6">
        <f>D25</f>
        <v/>
      </c>
      <c r="AU20" s="6">
        <f>G17</f>
        <v/>
      </c>
      <c r="AW20">
        <f>AS20</f>
        <v/>
      </c>
      <c r="AX20" s="115">
        <f>I17</f>
        <v/>
      </c>
    </row>
    <row r="21" ht="93" customHeight="1">
      <c r="B21" s="885">
        <f>'Cpts miroirs des parents'!B24</f>
        <v/>
      </c>
      <c r="C21" s="884">
        <f>Test_Bible!B189</f>
        <v/>
      </c>
      <c r="D21" s="889">
        <f>Test_Bible!P189</f>
        <v/>
      </c>
      <c r="E21" s="552">
        <f>VLOOKUP(D21,$AD$8:$AE$13,2)</f>
        <v/>
      </c>
      <c r="F21" s="884">
        <f>Test_Bible!B136</f>
        <v/>
      </c>
      <c r="G21" s="889">
        <f>Test_Bible!P136</f>
        <v/>
      </c>
      <c r="H21" s="552">
        <f>HLOOKUP(G21,$AF$6:$AK$7,2)</f>
        <v/>
      </c>
      <c r="I21" s="890">
        <f>D21-G21</f>
        <v/>
      </c>
      <c r="J21" s="891">
        <f>VLOOKUP(E21,$AE$8:$AK$13,H21+1)</f>
        <v/>
      </c>
      <c r="K21" s="879">
        <f>IF(OR(D21&gt;=7,G21&gt;=4),"Conseils prioritaires",IF(AND(D21&lt;=3,G21&lt;=2),"Adéquat","à surveiller"))</f>
        <v/>
      </c>
      <c r="L21" s="1995" t="n"/>
      <c r="M21" s="1995" t="n"/>
      <c r="N21" s="1995" t="n"/>
      <c r="O21" s="1995" t="n"/>
      <c r="P21" s="1995" t="n"/>
      <c r="Q21" s="1995" t="n"/>
      <c r="R21" s="1995" t="n"/>
      <c r="S21" s="1995" t="n"/>
      <c r="T21" s="51" t="n"/>
      <c r="U21" s="116" t="n"/>
      <c r="AC21" s="7" t="n"/>
      <c r="AD21" s="849" t="n"/>
      <c r="AE21" s="111" t="n"/>
      <c r="AF21" s="487" t="n"/>
      <c r="AG21" s="114" t="n"/>
      <c r="AH21" s="491" t="n"/>
      <c r="AI21" s="114" t="n"/>
      <c r="AJ21" s="492" t="n"/>
      <c r="AK21" s="114" t="n"/>
      <c r="AL21" s="73" t="n"/>
      <c r="AT21" s="115" t="n"/>
      <c r="AU21" s="115" t="n"/>
    </row>
    <row r="22" ht="93" customHeight="1">
      <c r="B22" s="885">
        <f>'Cpts miroirs des parents'!B26</f>
        <v/>
      </c>
      <c r="C22" s="884">
        <f>Test_Bible!B245</f>
        <v/>
      </c>
      <c r="D22" s="889">
        <f>Test_Bible!P245</f>
        <v/>
      </c>
      <c r="E22" s="552">
        <f>VLOOKUP(D22,$AD$8:$AE$13,2)</f>
        <v/>
      </c>
      <c r="F22" s="884">
        <f>Test_Bible!B132</f>
        <v/>
      </c>
      <c r="G22" s="889">
        <f>Test_Bible!P132</f>
        <v/>
      </c>
      <c r="H22" s="552">
        <f>HLOOKUP(G22,$AF$6:$AK$7,2)</f>
        <v/>
      </c>
      <c r="I22" s="890">
        <f>D22-G22</f>
        <v/>
      </c>
      <c r="J22" s="891">
        <f>VLOOKUP(E22,$AE$8:$AK$13,H22+1)</f>
        <v/>
      </c>
      <c r="K22" s="879">
        <f>IF(OR(D22&gt;=7,G22&gt;=4),"Conseils prioritaires",IF(AND(D22&lt;=3,G22&lt;=2),"Adéquat","à surveiller"))</f>
        <v/>
      </c>
      <c r="L22" s="1995" t="n"/>
      <c r="M22" s="1995" t="n"/>
      <c r="N22" s="1995" t="n"/>
      <c r="O22" s="1995" t="n"/>
      <c r="P22" s="1995" t="n"/>
      <c r="Q22" s="1995" t="n"/>
      <c r="R22" s="1995" t="n"/>
      <c r="S22" s="1995" t="n"/>
      <c r="T22" s="51" t="n"/>
      <c r="U22" s="116" t="n"/>
      <c r="AC22" s="7" t="n"/>
      <c r="AD22" s="849" t="n"/>
      <c r="AE22" s="111" t="n"/>
      <c r="AF22" s="487" t="n"/>
      <c r="AG22" s="114" t="n"/>
      <c r="AH22" s="491" t="n"/>
      <c r="AI22" s="114" t="n"/>
      <c r="AJ22" s="492" t="n"/>
      <c r="AK22" s="114" t="n"/>
      <c r="AL22" s="73" t="n"/>
    </row>
    <row r="23" ht="93" customHeight="1">
      <c r="B23" s="885">
        <f>'Cpts miroirs des parents'!B28</f>
        <v/>
      </c>
      <c r="C23" s="884">
        <f>Test_Bible!B194</f>
        <v/>
      </c>
      <c r="D23" s="889">
        <f>Test_Bible!P194</f>
        <v/>
      </c>
      <c r="E23" s="552">
        <f>VLOOKUP(D23,$AD$8:$AE$13,2)</f>
        <v/>
      </c>
      <c r="F23" s="884">
        <f>Test_Bible!B131</f>
        <v/>
      </c>
      <c r="G23" s="889">
        <f>Test_Bible!P131</f>
        <v/>
      </c>
      <c r="H23" s="552">
        <f>HLOOKUP(G23,$AF$6:$AK$7,2)</f>
        <v/>
      </c>
      <c r="I23" s="890">
        <f>D23-G23</f>
        <v/>
      </c>
      <c r="J23" s="891">
        <f>VLOOKUP(E23,$AE$8:$AK$13,H23+1)</f>
        <v/>
      </c>
      <c r="K23" s="879">
        <f>IF(OR(D23&gt;=7,G23&gt;=4),"Conseils prioritaires",IF(AND(D23&lt;=3,G23&lt;=2),"Adéquat","à surveiller"))</f>
        <v/>
      </c>
      <c r="L23" s="51" t="n"/>
      <c r="M23" s="51" t="n"/>
      <c r="N23" s="51" t="n"/>
      <c r="O23" s="51" t="n"/>
      <c r="P23" s="51" t="n"/>
      <c r="Q23" s="51" t="n"/>
      <c r="R23" s="51" t="n"/>
      <c r="S23" s="51" t="n"/>
      <c r="T23" s="51" t="n"/>
      <c r="U23" s="116" t="n"/>
      <c r="AC23" s="7" t="n"/>
      <c r="AD23" s="849" t="n"/>
      <c r="AE23" s="111" t="n"/>
      <c r="AF23" s="487" t="n"/>
      <c r="AG23" s="114" t="n"/>
      <c r="AH23" s="491" t="n"/>
      <c r="AI23" s="114" t="n"/>
      <c r="AJ23" s="492" t="n"/>
      <c r="AK23" s="114" t="n"/>
      <c r="AL23" s="73" t="n"/>
    </row>
    <row r="24" ht="93" customHeight="1">
      <c r="B24" s="885">
        <f>'Cpts miroirs des parents'!B30</f>
        <v/>
      </c>
      <c r="C24" s="884">
        <f>Test_Bible!B176</f>
        <v/>
      </c>
      <c r="D24" s="889">
        <f>Test_Bible!P176</f>
        <v/>
      </c>
      <c r="E24" s="552">
        <f>VLOOKUP(D24,$AD$8:$AE$13,2)</f>
        <v/>
      </c>
      <c r="F24" s="884">
        <f>Test_Bible!B123</f>
        <v/>
      </c>
      <c r="G24" s="889">
        <f>Test_Bible!P123</f>
        <v/>
      </c>
      <c r="H24" s="552">
        <f>HLOOKUP(G24,$AF$6:$AK$7,2)</f>
        <v/>
      </c>
      <c r="I24" s="890">
        <f>D24-G24</f>
        <v/>
      </c>
      <c r="J24" s="891">
        <f>VLOOKUP(E24,$AE$8:$AK$13,H24+1)</f>
        <v/>
      </c>
      <c r="K24" s="879">
        <f>IF(OR(D24&gt;=7,G24&gt;=4),"Conseils prioritaires",IF(AND(D24&lt;=3,G24&lt;=2),"Adéquat","à surveiller"))</f>
        <v/>
      </c>
      <c r="L24" s="51" t="n"/>
      <c r="M24" s="51" t="n"/>
      <c r="N24" s="51" t="n"/>
      <c r="O24" s="51" t="n"/>
      <c r="P24" s="51" t="n"/>
      <c r="Q24" s="51" t="n"/>
      <c r="R24" s="51" t="n"/>
      <c r="S24" s="51" t="n"/>
      <c r="T24" s="51" t="n"/>
      <c r="U24" s="116" t="n"/>
      <c r="AC24" s="7" t="n"/>
      <c r="AD24" s="849" t="n"/>
      <c r="AE24" s="111" t="n"/>
      <c r="AF24" s="487" t="n"/>
      <c r="AG24" s="114" t="n"/>
      <c r="AH24" s="491" t="n"/>
      <c r="AI24" s="114" t="n"/>
      <c r="AJ24" s="492" t="n"/>
      <c r="AK24" s="114" t="n"/>
      <c r="AL24" s="73" t="n"/>
    </row>
    <row r="25" ht="93" customHeight="1">
      <c r="B25" s="885">
        <f>'Cpts miroirs des parents'!B32</f>
        <v/>
      </c>
      <c r="C25" s="884">
        <f>Test_Bible!B242</f>
        <v/>
      </c>
      <c r="D25" s="889">
        <f>Test_Bible!P242</f>
        <v/>
      </c>
      <c r="E25" s="552">
        <f>VLOOKUP(D25,$AD$8:$AE$13,2)</f>
        <v/>
      </c>
      <c r="F25" s="884">
        <f>Test_Bible!B147</f>
        <v/>
      </c>
      <c r="G25" s="889">
        <f>Test_Bible!P147</f>
        <v/>
      </c>
      <c r="H25" s="552">
        <f>HLOOKUP(G25,$AF$6:$AK$7,2)</f>
        <v/>
      </c>
      <c r="I25" s="890">
        <f>D25-G25</f>
        <v/>
      </c>
      <c r="J25" s="891">
        <f>VLOOKUP(E25,$AE$8:$AK$13,H25+1)</f>
        <v/>
      </c>
      <c r="K25" s="879">
        <f>IF(OR(D25&gt;=7,G25&gt;=4),"Conseils prioritaires",IF(AND(D25&lt;=3,G25&lt;=2),"Adéquat","à surveiller"))</f>
        <v/>
      </c>
      <c r="L25" s="51" t="n"/>
      <c r="M25" s="51" t="n"/>
      <c r="N25" s="51" t="n"/>
      <c r="O25" s="51" t="n"/>
      <c r="P25" s="51" t="n"/>
      <c r="Q25" s="51" t="n"/>
      <c r="R25" s="51" t="n"/>
      <c r="S25" s="51" t="n"/>
      <c r="T25" s="51" t="n"/>
      <c r="U25" s="116" t="n"/>
      <c r="AC25" s="7" t="n"/>
      <c r="AD25" s="849" t="n"/>
      <c r="AE25" s="111" t="n"/>
      <c r="AF25" s="487" t="n"/>
      <c r="AG25" s="114" t="n"/>
      <c r="AH25" s="491" t="n"/>
      <c r="AI25" s="114" t="n"/>
      <c r="AJ25" s="492" t="n"/>
      <c r="AK25" s="114" t="n"/>
      <c r="AL25" s="73" t="n"/>
    </row>
    <row r="26" ht="93" customHeight="1">
      <c r="B26" s="885">
        <f>'Cpts miroirs des parents'!B34</f>
        <v/>
      </c>
      <c r="C26" s="884">
        <f>Test_Bible!B244</f>
        <v/>
      </c>
      <c r="D26" s="889">
        <f>Test_Bible!P244</f>
        <v/>
      </c>
      <c r="E26" s="552">
        <f>VLOOKUP(D26,$AD$8:$AE$13,2)</f>
        <v/>
      </c>
      <c r="F26" s="884">
        <f>Test_Bible!B145</f>
        <v/>
      </c>
      <c r="G26" s="889">
        <f>Test_Bible!P145</f>
        <v/>
      </c>
      <c r="H26" s="552">
        <f>HLOOKUP(G26,$AF$6:$AK$7,2)</f>
        <v/>
      </c>
      <c r="I26" s="890">
        <f>D26-G26</f>
        <v/>
      </c>
      <c r="J26" s="891">
        <f>VLOOKUP(E26,$AE$8:$AK$13,H26+1)</f>
        <v/>
      </c>
      <c r="K26" s="879">
        <f>IF(OR(D26&gt;=7,G26&gt;=4),"Conseils prioritaires",IF(AND(D26&lt;=3,G26&lt;=2),"Adéquat","à surveiller"))</f>
        <v/>
      </c>
      <c r="L26" s="51" t="n"/>
      <c r="M26" s="51" t="n"/>
      <c r="N26" s="51" t="n"/>
      <c r="O26" s="51" t="n"/>
      <c r="P26" s="51" t="n"/>
      <c r="Q26" s="51" t="n"/>
      <c r="R26" s="51" t="n"/>
      <c r="S26" s="51" t="n"/>
      <c r="T26" s="51" t="n"/>
      <c r="U26" s="116" t="n"/>
      <c r="AC26" s="7" t="n"/>
      <c r="AD26" s="849" t="n"/>
      <c r="AE26" s="111" t="n"/>
      <c r="AF26" s="487" t="n"/>
      <c r="AG26" s="114" t="n"/>
      <c r="AH26" s="491" t="n"/>
      <c r="AI26" s="114" t="n"/>
      <c r="AJ26" s="492" t="n"/>
      <c r="AK26" s="114" t="n"/>
      <c r="AL26" s="73" t="n"/>
    </row>
    <row r="27" ht="99" customHeight="1">
      <c r="B27" s="885">
        <f>'Cpts miroirs des parents'!B36</f>
        <v/>
      </c>
      <c r="C27" s="884">
        <f>Test_Bible!B179</f>
        <v/>
      </c>
      <c r="D27" s="889">
        <f>Test_Bible!P179</f>
        <v/>
      </c>
      <c r="E27" s="552">
        <f>VLOOKUP(D27,$AD$8:$AE$13,2)</f>
        <v/>
      </c>
      <c r="F27" s="884">
        <f>Test_Bible!B146</f>
        <v/>
      </c>
      <c r="G27" s="889">
        <f>Test_Bible!P146</f>
        <v/>
      </c>
      <c r="H27" s="552">
        <f>HLOOKUP(G27,$AF$6:$AK$7,2)</f>
        <v/>
      </c>
      <c r="I27" s="890">
        <f>D27-G27</f>
        <v/>
      </c>
      <c r="J27" s="891">
        <f>VLOOKUP(E27,$AE$8:$AK$13,H27+1)</f>
        <v/>
      </c>
      <c r="K27" s="879">
        <f>IF(OR(D27&gt;=7,G27&gt;=4),"Conseils prioritaires",IF(AND(D27&lt;=3,G27&lt;=2),"Adéquat","à surveiller"))</f>
        <v/>
      </c>
      <c r="L27" s="51" t="n"/>
      <c r="M27" s="51" t="n"/>
      <c r="N27" s="51" t="n"/>
      <c r="O27" s="51" t="n"/>
      <c r="P27" s="51" t="n"/>
      <c r="Q27" s="51" t="n"/>
      <c r="R27" s="51" t="n"/>
      <c r="S27" s="51" t="n"/>
      <c r="T27" s="51" t="n"/>
      <c r="U27" s="116" t="n"/>
      <c r="AC27" s="7" t="n"/>
      <c r="AD27" s="849" t="n"/>
      <c r="AE27" s="111" t="n"/>
      <c r="AF27" s="487" t="n"/>
      <c r="AG27" s="114" t="n"/>
      <c r="AH27" s="491" t="n"/>
      <c r="AI27" s="114" t="n"/>
      <c r="AJ27" s="492" t="n"/>
      <c r="AK27" s="114" t="n"/>
      <c r="AL27" s="73" t="n"/>
    </row>
    <row r="28">
      <c r="B28" s="51" t="n"/>
      <c r="C28" s="51" t="n"/>
      <c r="D28" s="51" t="n"/>
      <c r="E28" s="51" t="n"/>
      <c r="F28" s="51" t="n"/>
      <c r="G28" s="51" t="n"/>
      <c r="H28" s="51" t="n"/>
      <c r="I28" s="51" t="n"/>
      <c r="J28" s="51" t="n"/>
      <c r="K28" s="879" t="n"/>
      <c r="L28" s="51" t="n"/>
      <c r="M28" s="51" t="n"/>
      <c r="N28" s="51" t="n"/>
      <c r="O28" s="51" t="n"/>
      <c r="P28" s="51" t="n"/>
      <c r="Q28" s="51" t="n"/>
      <c r="R28" s="51" t="n"/>
      <c r="S28" s="51" t="n"/>
      <c r="T28" s="51" t="n"/>
      <c r="U28" s="116" t="n"/>
      <c r="AC28" s="7" t="n"/>
      <c r="AD28" s="849" t="n"/>
      <c r="AE28" s="111" t="n"/>
      <c r="AF28" s="487" t="n"/>
      <c r="AG28" s="114" t="n"/>
      <c r="AH28" s="491" t="n"/>
      <c r="AI28" s="114" t="n"/>
      <c r="AJ28" s="492" t="n"/>
      <c r="AK28" s="114" t="n"/>
      <c r="AL28" s="73" t="n"/>
    </row>
    <row r="29">
      <c r="B29" s="51" t="n"/>
      <c r="C29" s="51" t="n"/>
      <c r="D29" s="925" t="n"/>
      <c r="E29" s="51" t="n"/>
      <c r="F29" s="51" t="n"/>
      <c r="G29" s="925" t="n"/>
      <c r="H29" s="51" t="n"/>
      <c r="I29" s="926" t="n"/>
      <c r="J29" s="1362" t="n"/>
      <c r="K29" s="51" t="n"/>
      <c r="L29" s="51" t="n"/>
      <c r="M29" s="51" t="n"/>
      <c r="N29" s="51" t="n"/>
      <c r="O29" s="51" t="n"/>
      <c r="P29" s="51" t="n"/>
      <c r="Q29" s="51" t="n"/>
      <c r="R29" s="51" t="n"/>
      <c r="S29" s="51" t="n"/>
      <c r="T29" s="51" t="n"/>
      <c r="U29" s="116" t="n"/>
      <c r="AC29" s="7" t="n"/>
      <c r="AD29" s="849" t="n"/>
      <c r="AE29" s="111" t="n"/>
      <c r="AF29" s="487" t="n"/>
      <c r="AG29" s="114" t="n"/>
      <c r="AH29" s="491" t="n"/>
      <c r="AI29" s="114" t="n"/>
      <c r="AJ29" s="492" t="n"/>
      <c r="AK29" s="114" t="n"/>
      <c r="AL29" s="73" t="n"/>
    </row>
    <row r="30">
      <c r="B30" s="51" t="n"/>
      <c r="C30" s="51" t="n"/>
      <c r="D30" s="925" t="n"/>
      <c r="E30" s="51" t="n"/>
      <c r="F30" s="51" t="n"/>
      <c r="G30" s="925" t="n"/>
      <c r="H30" s="51" t="n"/>
      <c r="I30" s="926" t="n"/>
      <c r="J30" s="1362" t="n"/>
      <c r="K30" s="51" t="n"/>
      <c r="L30" s="51" t="n"/>
      <c r="M30" s="51" t="n"/>
      <c r="N30" s="51" t="n"/>
      <c r="O30" s="51" t="n"/>
      <c r="P30" s="51" t="n"/>
      <c r="Q30" s="51" t="n"/>
      <c r="R30" s="51" t="n"/>
      <c r="S30" s="51" t="n"/>
      <c r="T30" s="51" t="n"/>
      <c r="U30" s="116" t="n"/>
      <c r="AC30" s="7" t="n"/>
      <c r="AD30" s="849" t="n"/>
      <c r="AE30" s="111" t="n"/>
      <c r="AF30" s="487" t="n"/>
      <c r="AG30" s="114" t="n"/>
      <c r="AH30" s="491" t="n"/>
      <c r="AI30" s="114" t="n"/>
      <c r="AJ30" s="492" t="n"/>
      <c r="AK30" s="114" t="n"/>
      <c r="AL30" s="73" t="n"/>
    </row>
    <row r="31">
      <c r="B31" s="51" t="n"/>
      <c r="C31" s="51" t="n"/>
      <c r="D31" s="51" t="n"/>
      <c r="E31" s="51" t="n"/>
      <c r="F31" s="51" t="n"/>
      <c r="G31" s="51" t="n"/>
      <c r="H31" s="51" t="n"/>
      <c r="I31" s="51" t="n"/>
      <c r="J31" s="51" t="n"/>
      <c r="K31" s="51" t="n"/>
      <c r="L31" s="51" t="n"/>
      <c r="M31" s="51" t="n"/>
      <c r="N31" s="51" t="n"/>
      <c r="O31" s="51" t="n"/>
      <c r="P31" s="51" t="n"/>
      <c r="Q31" s="51" t="n"/>
      <c r="R31" s="51" t="n"/>
      <c r="S31" s="51" t="n"/>
      <c r="T31" s="51" t="n"/>
      <c r="U31" s="116" t="n"/>
      <c r="AC31" s="7" t="n"/>
      <c r="AD31" s="849" t="n"/>
      <c r="AE31" s="111" t="n"/>
      <c r="AF31" s="487" t="n"/>
      <c r="AG31" s="114" t="n"/>
      <c r="AH31" s="491" t="n"/>
      <c r="AI31" s="114" t="n"/>
      <c r="AJ31" s="492" t="n"/>
      <c r="AK31" s="114" t="n"/>
      <c r="AL31" s="73" t="n"/>
    </row>
    <row r="32">
      <c r="B32" s="51" t="n"/>
      <c r="C32" s="51" t="n"/>
      <c r="D32" s="51" t="n"/>
      <c r="E32" s="51" t="n"/>
      <c r="F32" s="51" t="n"/>
      <c r="G32" s="51" t="n"/>
      <c r="H32" s="51" t="n"/>
      <c r="I32" s="51" t="n"/>
      <c r="J32" s="51" t="n"/>
      <c r="K32" s="51" t="n"/>
      <c r="L32" s="51" t="n"/>
      <c r="M32" s="51" t="n"/>
      <c r="N32" s="51" t="n"/>
      <c r="O32" s="51" t="n"/>
      <c r="P32" s="51" t="n"/>
      <c r="Q32" s="51" t="n"/>
      <c r="R32" s="51" t="n"/>
      <c r="S32" s="51" t="n"/>
      <c r="T32" s="51" t="n"/>
      <c r="AC32" s="7" t="n"/>
      <c r="AD32" s="849" t="n"/>
      <c r="AE32" s="111" t="n"/>
      <c r="AF32" s="487" t="n"/>
      <c r="AG32" s="114" t="n"/>
      <c r="AH32" s="491" t="n"/>
      <c r="AI32" s="114" t="n"/>
      <c r="AJ32" s="492" t="n"/>
      <c r="AK32" s="114" t="n"/>
    </row>
    <row r="33">
      <c r="B33" s="576" t="n"/>
      <c r="C33" s="51" t="n"/>
      <c r="D33" s="51" t="n"/>
      <c r="E33" s="51" t="n"/>
      <c r="F33" s="51" t="n"/>
      <c r="G33" s="51" t="n"/>
      <c r="H33" s="51" t="n"/>
      <c r="I33" s="51" t="n"/>
      <c r="J33" s="51" t="n"/>
      <c r="K33" s="51" t="n"/>
      <c r="L33" s="51" t="n"/>
      <c r="M33" s="51" t="n"/>
      <c r="N33" s="51" t="n"/>
      <c r="O33" s="51" t="n"/>
      <c r="P33" s="51" t="n"/>
      <c r="Q33" s="51" t="n"/>
      <c r="R33" s="51" t="n"/>
      <c r="S33" s="51" t="n"/>
      <c r="T33" s="51" t="n"/>
      <c r="AC33" s="7" t="n"/>
      <c r="AD33" s="849" t="n"/>
      <c r="AE33" s="111" t="n"/>
      <c r="AF33" s="487" t="n"/>
      <c r="AG33" s="114" t="n"/>
      <c r="AH33" s="491" t="n"/>
      <c r="AI33" s="114" t="n"/>
      <c r="AJ33" s="492" t="n"/>
      <c r="AK33" s="114" t="n"/>
    </row>
    <row r="34">
      <c r="B34" s="51" t="n"/>
      <c r="C34" s="51" t="n"/>
      <c r="D34" s="51" t="n"/>
      <c r="E34" s="51" t="n"/>
      <c r="F34" s="51" t="n"/>
      <c r="G34" s="51" t="n"/>
      <c r="H34" s="51" t="n"/>
      <c r="I34" s="51" t="n"/>
      <c r="J34" s="51" t="n"/>
      <c r="K34" s="51" t="n"/>
      <c r="L34" s="51" t="n"/>
      <c r="M34" s="51" t="n"/>
      <c r="N34" s="51" t="n"/>
      <c r="O34" s="51" t="n"/>
      <c r="P34" s="51" t="n"/>
      <c r="Q34" s="51" t="n"/>
      <c r="R34" s="51" t="n"/>
      <c r="S34" s="51" t="n"/>
      <c r="T34" s="51" t="n"/>
      <c r="AC34" s="7" t="n"/>
      <c r="AD34" s="849" t="n"/>
      <c r="AE34" s="111" t="n"/>
      <c r="AF34" s="487" t="n"/>
      <c r="AG34" s="114" t="n"/>
      <c r="AH34" s="491" t="n"/>
      <c r="AI34" s="114" t="n"/>
      <c r="AJ34" s="492" t="n"/>
      <c r="AK34" s="114" t="n"/>
    </row>
    <row r="35">
      <c r="B35" s="64" t="n"/>
      <c r="C35" s="64" t="n"/>
      <c r="D35" s="64" t="n"/>
      <c r="E35" s="64" t="n"/>
      <c r="F35" s="64" t="n"/>
      <c r="G35" s="64" t="n"/>
      <c r="H35" s="64" t="n"/>
      <c r="I35" s="64" t="n"/>
      <c r="J35" s="64" t="n"/>
      <c r="K35" s="64" t="n"/>
      <c r="L35" s="64" t="n"/>
      <c r="M35" s="64" t="n"/>
      <c r="N35" s="64" t="n"/>
      <c r="O35" s="64" t="n"/>
      <c r="P35" s="64" t="n"/>
      <c r="Q35" s="64" t="n"/>
      <c r="R35" s="64" t="n"/>
      <c r="S35" s="64" t="n"/>
      <c r="T35" s="64" t="n"/>
      <c r="AC35" s="7" t="n"/>
      <c r="AD35" s="849" t="n"/>
      <c r="AE35" s="111" t="n"/>
      <c r="AF35" s="487" t="n"/>
      <c r="AG35" s="114" t="n"/>
      <c r="AH35" s="491" t="n"/>
      <c r="AI35" s="114" t="n"/>
      <c r="AJ35" s="492" t="n"/>
      <c r="AK35" s="114" t="n"/>
    </row>
  </sheetData>
  <mergeCells count="2">
    <mergeCell ref="A19:A27"/>
    <mergeCell ref="J4:J6"/>
  </mergeCells>
  <conditionalFormatting sqref="K12:K28">
    <cfRule type="containsText" priority="3" operator="containsText" dxfId="0" text="Conseils prioritaires">
      <formula>NOT(ISERROR(SEARCH("Conseils prioritaires",K12)))</formula>
    </cfRule>
    <cfRule type="iconSet" priority="14">
      <iconSet>
        <cfvo type="percent" val="0"/>
        <cfvo type="percent" val="33"/>
        <cfvo type="percent" val="67"/>
      </iconSet>
    </cfRule>
  </conditionalFormatting>
  <conditionalFormatting sqref="K12:K27">
    <cfRule type="cellIs" priority="1" operator="equal" dxfId="13">
      <formula>"Adéquat"</formula>
    </cfRule>
    <cfRule type="containsText" priority="2" operator="containsText" dxfId="2" text="à surveiller">
      <formula>NOT(ISERROR(SEARCH("à surveiller",K12)))</formula>
    </cfRule>
  </conditionalFormatting>
  <pageMargins left="0.7" right="0.7" top="0.75" bottom="0.75" header="0.3" footer="0.3"/>
  <pageSetup orientation="landscape" scale="10" fitToHeight="8" horizontalDpi="0" verticalDpi="0"/>
</worksheet>
</file>

<file path=xl/worksheets/sheet15.xml><?xml version="1.0" encoding="utf-8"?>
<worksheet xmlns="http://schemas.openxmlformats.org/spreadsheetml/2006/main">
  <sheetPr>
    <outlinePr summaryBelow="1" summaryRight="1"/>
    <pageSetUpPr/>
  </sheetPr>
  <dimension ref="A1:AD93"/>
  <sheetViews>
    <sheetView topLeftCell="A23" workbookViewId="0">
      <selection activeCell="C35" sqref="C35:C37"/>
    </sheetView>
  </sheetViews>
  <sheetFormatPr baseColWidth="10" defaultColWidth="12.1640625" defaultRowHeight="16"/>
  <cols>
    <col width="28.1640625" customWidth="1" min="1" max="1"/>
    <col width="11.1640625" customWidth="1" min="2" max="2"/>
    <col width="93.6640625" customWidth="1" min="3" max="3"/>
    <col width="16.5" customWidth="1" min="4" max="5"/>
    <col width="18" customWidth="1" min="6" max="6"/>
    <col width="12" customWidth="1" min="7" max="7"/>
    <col width="55.1640625" customWidth="1" min="14" max="14"/>
    <col width="5.83203125" bestFit="1" customWidth="1" min="15" max="15"/>
    <col width="5.83203125" customWidth="1" min="16" max="16"/>
    <col width="12" bestFit="1" customWidth="1" min="17" max="17"/>
    <col width="14.5" customWidth="1" min="21" max="21"/>
  </cols>
  <sheetData>
    <row r="1" ht="120" customHeight="1">
      <c r="A1" s="64" t="inlineStr">
        <is>
          <t>Les différentiels indiquent uniquement s'il y a eu des changements significatifs entre l'après et avant lors de la vie commune.</t>
        </is>
      </c>
      <c r="S1" s="1032" t="inlineStr">
        <is>
          <t>Indice d'éloignement de l'enfant avec PCR (changement avant-après)</t>
        </is>
      </c>
      <c r="T1" s="1033" t="inlineStr">
        <is>
          <t>Indice de rapprochement de l'enfant avec PFA (changement avant-après)</t>
        </is>
      </c>
      <c r="U1" s="1034" t="inlineStr">
        <is>
          <t>Indice globale de changement</t>
        </is>
      </c>
      <c r="W1" t="inlineStr">
        <is>
          <t>Soit un tableau croisée éloignement PCR, rapporhcement PFA pour qualifier l'évart de changement</t>
        </is>
      </c>
    </row>
    <row r="2" ht="47" customHeight="1">
      <c r="A2" t="inlineStr">
        <is>
          <t>Les différentes options seront :</t>
        </is>
      </c>
      <c r="H2" s="2067" t="n"/>
      <c r="S2" s="147" t="n"/>
      <c r="U2" s="330" t="n"/>
      <c r="W2" t="inlineStr">
        <is>
          <t>Voir type tableau croisé dans la feuille "TEMP_Différentiel"</t>
        </is>
      </c>
    </row>
    <row r="3" ht="21" customHeight="1">
      <c r="A3" s="64" t="n"/>
      <c r="B3" t="inlineStr">
        <is>
          <t>S'il y avait absence ou peu de relation avant (en historique), il n'est pas possible de statuer sur ce facteur ou y avait déjà un terrain fertile à la fragilité de la relation avec le PCR, sa famille ou entre les parents.</t>
        </is>
      </c>
      <c r="N3" t="inlineStr">
        <is>
          <t>Changement dans les relations entre les deux parents et l'enfant depuis la séparation</t>
        </is>
      </c>
      <c r="S3" s="147" t="n"/>
      <c r="U3" s="330" t="n"/>
    </row>
    <row r="4" ht="22" customHeight="1" thickBot="1">
      <c r="A4" s="64" t="n"/>
      <c r="B4" t="inlineStr">
        <is>
          <t>S'il y a une dégradation (assez significative) depuis la séparation ou déclencheur, l'analyse permettra de soulever d'autres facteurs (NC, vengeance, etc.)</t>
        </is>
      </c>
      <c r="S4" s="1035">
        <f>(Q6+Q7+Q13+Q14)/4</f>
        <v/>
      </c>
      <c r="T4" s="1036">
        <f>(Q9+Q10+Q11)/3</f>
        <v/>
      </c>
      <c r="U4" s="1037">
        <f>TRUNC(S4-T4,0)</f>
        <v/>
      </c>
    </row>
    <row r="5" ht="25" customHeight="1">
      <c r="A5" s="64" t="n"/>
      <c r="B5" t="inlineStr">
        <is>
          <t>S'il y a une dégradation (très significative) depuis la séparation ou déclencheur par rapport à l'actuel, l'analyse permettra de soulever d'autres facteurs et conseils pour minimiser le risque de perte de lien.</t>
        </is>
      </c>
      <c r="O5" s="2002" t="inlineStr">
        <is>
          <t>Avant</t>
        </is>
      </c>
      <c r="P5" s="2002" t="inlineStr">
        <is>
          <t>Après</t>
        </is>
      </c>
      <c r="Q5" s="1985" t="inlineStr">
        <is>
          <t>Changement après</t>
        </is>
      </c>
      <c r="W5" s="1985" t="n"/>
    </row>
    <row r="6" ht="20" customHeight="1">
      <c r="B6" t="inlineStr">
        <is>
          <t>Si l'historique est presque ou égal à l'actuel, il n'y a aucun changement observé pour le moment. L'analyse permettra d'informer le répondant sur les facteurs à surveiller.</t>
        </is>
      </c>
      <c r="G6" t="inlineStr">
        <is>
          <t>Échelle de résultat :</t>
        </is>
      </c>
      <c r="N6">
        <f>A13</f>
        <v/>
      </c>
      <c r="O6" s="115">
        <f>MAX(D12:D13)</f>
        <v/>
      </c>
      <c r="P6" s="115">
        <f>O6+Q6</f>
        <v/>
      </c>
      <c r="Q6" s="115">
        <f>E15</f>
        <v/>
      </c>
      <c r="U6" s="1371" t="n"/>
      <c r="V6" s="1372" t="inlineStr">
        <is>
          <t>Faire une échelle de  changement</t>
        </is>
      </c>
      <c r="W6" s="1371" t="n"/>
    </row>
    <row r="7" ht="20" customHeight="1">
      <c r="G7" t="inlineStr">
        <is>
          <t xml:space="preserve">L'analyse des réponses démontreront que depuis la séparation, </t>
        </is>
      </c>
      <c r="N7">
        <f>A22</f>
        <v/>
      </c>
      <c r="O7" s="115">
        <f>D21</f>
        <v/>
      </c>
      <c r="P7" s="115">
        <f>O7+Q7</f>
        <v/>
      </c>
      <c r="Q7" s="115">
        <f>E23</f>
        <v/>
      </c>
      <c r="U7" s="1371" t="inlineStr">
        <is>
          <t>Entre -20 et -15</t>
        </is>
      </c>
      <c r="V7" s="1373" t="inlineStr">
        <is>
          <t>Faire une échelle de changement adaptée</t>
        </is>
      </c>
      <c r="W7" s="1374" t="n"/>
      <c r="X7" s="1374" t="n"/>
      <c r="Y7" s="1374" t="n"/>
      <c r="Z7" s="1374" t="n"/>
      <c r="AA7" s="1374" t="n"/>
      <c r="AB7" s="1374" t="n"/>
      <c r="AC7" s="1374" t="n"/>
    </row>
    <row r="8" ht="22" customHeight="1">
      <c r="H8" t="inlineStr">
        <is>
          <t>il n'y a aucun changement significatif</t>
        </is>
      </c>
      <c r="U8" s="1371" t="inlineStr">
        <is>
          <t>Entre -20 et -12</t>
        </is>
      </c>
      <c r="W8" t="inlineStr">
        <is>
          <t>Calcul qualitatif des situations différentiels entre avant et après</t>
        </is>
      </c>
    </row>
    <row r="9" ht="24" customHeight="1">
      <c r="B9" s="318" t="inlineStr">
        <is>
          <t>Différentiel entre le PCR et l'enfant</t>
        </is>
      </c>
      <c r="C9" s="68" t="n"/>
      <c r="D9" s="68" t="n"/>
      <c r="E9" s="68" t="n"/>
      <c r="H9" t="inlineStr">
        <is>
          <t xml:space="preserve">il y a eu une faible dégradation </t>
        </is>
      </c>
      <c r="N9">
        <f>A29</f>
        <v/>
      </c>
      <c r="O9" s="115">
        <f>D29</f>
        <v/>
      </c>
      <c r="P9" s="115">
        <f>O9+Q9</f>
        <v/>
      </c>
      <c r="Q9" s="115">
        <f>E31</f>
        <v/>
      </c>
      <c r="U9" s="1371" t="inlineStr">
        <is>
          <t>Entre -11 et -8</t>
        </is>
      </c>
      <c r="X9" t="inlineStr">
        <is>
          <t>Jamais</t>
        </is>
      </c>
      <c r="Y9" t="inlineStr">
        <is>
          <t>Rarement</t>
        </is>
      </c>
      <c r="Z9" t="inlineStr">
        <is>
          <t>Parfois</t>
        </is>
      </c>
      <c r="AA9" t="inlineStr">
        <is>
          <t>Régulièrement</t>
        </is>
      </c>
      <c r="AB9" t="inlineStr">
        <is>
          <t>Souvent</t>
        </is>
      </c>
      <c r="AC9" t="inlineStr">
        <is>
          <t>Toujours</t>
        </is>
      </c>
    </row>
    <row r="10">
      <c r="A10" t="inlineStr">
        <is>
          <t>1 à 10 (mauvais à bon)</t>
        </is>
      </c>
      <c r="B10" s="10" t="n"/>
      <c r="C10" s="65" t="inlineStr">
        <is>
          <t>Différentiel entre la relation de l'enfant avec le parent ciblé avant et après l'élément déclencheur</t>
        </is>
      </c>
      <c r="D10" s="65" t="n"/>
      <c r="E10" s="65" t="n"/>
      <c r="H10" t="inlineStr">
        <is>
          <t>il y a eu une dégradation modérée</t>
        </is>
      </c>
      <c r="N10">
        <f>A37</f>
        <v/>
      </c>
      <c r="O10" s="115">
        <f>D35</f>
        <v/>
      </c>
      <c r="P10" s="115">
        <f>O10+Q10</f>
        <v/>
      </c>
      <c r="Q10" s="115">
        <f>E38</f>
        <v/>
      </c>
      <c r="U10" s="1371" t="inlineStr">
        <is>
          <t>Entre -7 et -3</t>
        </is>
      </c>
      <c r="W10" s="112" t="n"/>
      <c r="X10" s="2032" t="n">
        <v>0</v>
      </c>
      <c r="Y10" s="2032" t="n">
        <v>1</v>
      </c>
      <c r="Z10" s="2032" t="n">
        <v>2</v>
      </c>
      <c r="AA10" s="2032" t="n">
        <v>4</v>
      </c>
      <c r="AB10" s="2032" t="n">
        <v>7</v>
      </c>
      <c r="AC10" s="2032" t="n">
        <v>10</v>
      </c>
    </row>
    <row r="11" ht="23" customHeight="1">
      <c r="B11" s="10" t="n"/>
      <c r="C11" s="34" t="n"/>
      <c r="D11" s="34" t="inlineStr">
        <is>
          <t>Fréquence</t>
        </is>
      </c>
      <c r="E11" s="34" t="inlineStr">
        <is>
          <t>Différentiel</t>
        </is>
      </c>
      <c r="F11" s="2066" t="inlineStr">
        <is>
          <t>On prend le MAX</t>
        </is>
      </c>
      <c r="H11" t="inlineStr">
        <is>
          <t>il y a eu une dégradation majeure</t>
        </is>
      </c>
      <c r="N11">
        <f>A43</f>
        <v/>
      </c>
      <c r="O11" s="115">
        <f>D42</f>
        <v/>
      </c>
      <c r="P11" s="115">
        <f>O11+Q11</f>
        <v/>
      </c>
      <c r="Q11" s="115">
        <f>E44</f>
        <v/>
      </c>
      <c r="U11" s="1371" t="inlineStr">
        <is>
          <t>Entre -1 et +1</t>
        </is>
      </c>
      <c r="V11" s="2" t="inlineStr">
        <is>
          <t>Jamais</t>
        </is>
      </c>
      <c r="W11" s="2032" t="n">
        <v>0</v>
      </c>
      <c r="X11" s="661" t="n"/>
      <c r="Y11" s="662" t="inlineStr">
        <is>
          <t>N.S.</t>
        </is>
      </c>
      <c r="Z11" s="813" t="inlineStr">
        <is>
          <t>Légère</t>
        </is>
      </c>
      <c r="AA11" s="812" t="inlineStr">
        <is>
          <t>Significative</t>
        </is>
      </c>
      <c r="AB11" s="810" t="inlineStr">
        <is>
          <t>Risque et/ou perte de lien</t>
        </is>
      </c>
      <c r="AC11" s="810" t="inlineStr">
        <is>
          <t>Risque et/ou perte de lien</t>
        </is>
      </c>
      <c r="AD11" s="2068" t="inlineStr">
        <is>
          <t>Détérioration</t>
        </is>
      </c>
    </row>
    <row r="12" ht="27" customHeight="1">
      <c r="B12" s="39" t="inlineStr">
        <is>
          <t>H01</t>
        </is>
      </c>
      <c r="C12" s="796">
        <f>Test_Bible!B97</f>
        <v/>
      </c>
      <c r="D12" s="823">
        <f>Test_Bible!P97</f>
        <v/>
      </c>
      <c r="E12" s="822" t="n"/>
      <c r="H12" t="inlineStr">
        <is>
          <t>Il n'est pas possible de statuer puisque l'historique est absent</t>
        </is>
      </c>
      <c r="U12" s="1371" t="inlineStr">
        <is>
          <t>Entre +3 et +7</t>
        </is>
      </c>
      <c r="V12" s="2" t="inlineStr">
        <is>
          <t>Rarement</t>
        </is>
      </c>
      <c r="W12" s="664" t="n">
        <v>1</v>
      </c>
      <c r="X12" s="662" t="inlineStr">
        <is>
          <t>N.S.</t>
        </is>
      </c>
      <c r="Y12" s="661" t="n"/>
      <c r="Z12" s="813" t="inlineStr">
        <is>
          <t>Légère</t>
        </is>
      </c>
      <c r="AA12" s="812" t="inlineStr">
        <is>
          <t>Significative</t>
        </is>
      </c>
      <c r="AB12" s="810" t="inlineStr">
        <is>
          <t>Risque et/ou perte de lien</t>
        </is>
      </c>
      <c r="AC12" s="810" t="inlineStr">
        <is>
          <t>Risque et/ou perte de lien</t>
        </is>
      </c>
    </row>
    <row r="13" ht="37" customHeight="1">
      <c r="A13" s="13" t="inlineStr">
        <is>
          <t>Complicité du parent répondant et de l'enfant</t>
        </is>
      </c>
      <c r="B13" s="39" t="inlineStr">
        <is>
          <t>H02</t>
        </is>
      </c>
      <c r="C13" s="796">
        <f>Test_Bible!B98</f>
        <v/>
      </c>
      <c r="D13" s="823">
        <f>Test_Bible!P98</f>
        <v/>
      </c>
      <c r="E13" s="822" t="n"/>
      <c r="N13">
        <f>A51</f>
        <v/>
      </c>
      <c r="O13" s="115">
        <f>MAX(D49,D50)</f>
        <v/>
      </c>
      <c r="P13" s="115">
        <f>O13+Q13</f>
        <v/>
      </c>
      <c r="Q13" s="115">
        <f>E53</f>
        <v/>
      </c>
      <c r="U13" s="1371" t="inlineStr">
        <is>
          <t>Entre +8 et +11</t>
        </is>
      </c>
      <c r="V13" s="2" t="inlineStr">
        <is>
          <t>Parfois</t>
        </is>
      </c>
      <c r="W13" s="665" t="n">
        <v>2</v>
      </c>
      <c r="X13" s="662" t="inlineStr">
        <is>
          <t>Légère</t>
        </is>
      </c>
      <c r="Y13" s="662" t="inlineStr">
        <is>
          <t>Légère</t>
        </is>
      </c>
      <c r="Z13" s="661" t="n"/>
      <c r="AA13" s="812" t="inlineStr">
        <is>
          <t>Significative</t>
        </is>
      </c>
      <c r="AB13" s="811" t="inlineStr">
        <is>
          <t>Majeure</t>
        </is>
      </c>
      <c r="AC13" s="810" t="inlineStr">
        <is>
          <t>Risque et/ou perte de lien</t>
        </is>
      </c>
    </row>
    <row r="14" ht="30" customHeight="1">
      <c r="B14" s="797" t="inlineStr">
        <is>
          <t>E01</t>
        </is>
      </c>
      <c r="C14" s="101">
        <f>Test_Bible!B259</f>
        <v/>
      </c>
      <c r="D14" s="927">
        <f>Test_Bible!P259</f>
        <v/>
      </c>
      <c r="E14" s="562" t="n"/>
      <c r="N14">
        <f>A57</f>
        <v/>
      </c>
      <c r="O14" s="115">
        <f>D57</f>
        <v/>
      </c>
      <c r="P14" s="115">
        <f>O14+Q14</f>
        <v/>
      </c>
      <c r="Q14" s="115">
        <f>E59</f>
        <v/>
      </c>
      <c r="U14" s="1371" t="inlineStr">
        <is>
          <t>Entre +12 et +20</t>
        </is>
      </c>
      <c r="V14" s="71" t="inlineStr">
        <is>
          <t>Régulièrement</t>
        </is>
      </c>
      <c r="W14" s="1999" t="n">
        <v>4</v>
      </c>
      <c r="X14" s="662" t="inlineStr">
        <is>
          <t>Modérée</t>
        </is>
      </c>
      <c r="Y14" s="662" t="inlineStr">
        <is>
          <t>Modérée</t>
        </is>
      </c>
      <c r="Z14" s="662" t="inlineStr">
        <is>
          <t>Légère</t>
        </is>
      </c>
      <c r="AA14" s="661" t="n"/>
      <c r="AB14" s="811" t="inlineStr">
        <is>
          <t>Majeure</t>
        </is>
      </c>
      <c r="AC14" s="810" t="inlineStr">
        <is>
          <t>Risque et/ou perte de lien</t>
        </is>
      </c>
    </row>
    <row r="15" ht="51" customHeight="1">
      <c r="B15" s="7" t="n"/>
      <c r="C15" s="38" t="inlineStr">
        <is>
          <t>DIFF.  (- dégradation / + amélioration )</t>
        </is>
      </c>
      <c r="D15" s="38" t="n"/>
      <c r="E15" s="929">
        <f>D14-MAX(D12,D13)</f>
        <v/>
      </c>
      <c r="V15" s="71" t="inlineStr">
        <is>
          <t>Souvent</t>
        </is>
      </c>
      <c r="W15" s="1999" t="n">
        <v>7</v>
      </c>
      <c r="X15" s="662" t="inlineStr">
        <is>
          <t>Significative</t>
        </is>
      </c>
      <c r="Y15" s="662" t="inlineStr">
        <is>
          <t>Significative</t>
        </is>
      </c>
      <c r="Z15" s="662" t="inlineStr">
        <is>
          <t>Modérée</t>
        </is>
      </c>
      <c r="AA15" s="662" t="inlineStr">
        <is>
          <t>Légère</t>
        </is>
      </c>
      <c r="AB15" s="661" t="n"/>
      <c r="AC15" s="810" t="inlineStr">
        <is>
          <t>Risque et/ou perte de lien</t>
        </is>
      </c>
    </row>
    <row r="16" ht="17" customHeight="1">
      <c r="B16" s="7" t="n"/>
      <c r="C16" s="2073" t="n"/>
      <c r="D16" s="2073" t="n"/>
      <c r="E16" s="2073" t="n"/>
      <c r="V16" s="71" t="inlineStr">
        <is>
          <t>Toujours</t>
        </is>
      </c>
      <c r="W16" s="1999" t="n">
        <v>10</v>
      </c>
      <c r="X16" s="662" t="inlineStr">
        <is>
          <t>Majeure</t>
        </is>
      </c>
      <c r="Y16" s="662" t="inlineStr">
        <is>
          <t>Majeure</t>
        </is>
      </c>
      <c r="Z16" s="662" t="inlineStr">
        <is>
          <t>Significative</t>
        </is>
      </c>
      <c r="AA16" s="662" t="inlineStr">
        <is>
          <t>Modérée</t>
        </is>
      </c>
      <c r="AB16" s="662" t="inlineStr">
        <is>
          <t>Légère</t>
        </is>
      </c>
      <c r="AC16" s="661" t="n"/>
    </row>
    <row r="17">
      <c r="B17" s="7" t="n"/>
      <c r="C17" s="2073" t="n"/>
      <c r="D17" s="2073" t="n"/>
      <c r="E17" s="2073" t="n"/>
      <c r="N17" s="10" t="inlineStr">
        <is>
          <t>Indice moyen en lien avec le parent répondant</t>
        </is>
      </c>
      <c r="O17" s="1365">
        <f>(O6+O7+O13+O14)/4</f>
        <v/>
      </c>
      <c r="P17" s="1365">
        <f>(P6+P7+P13+P14)/4</f>
        <v/>
      </c>
      <c r="Q17" s="115">
        <f>P17-O17</f>
        <v/>
      </c>
      <c r="W17" s="2002" t="n"/>
      <c r="X17" s="2069" t="inlineStr">
        <is>
          <t xml:space="preserve">Amélioration </t>
        </is>
      </c>
      <c r="AD17" s="666" t="inlineStr">
        <is>
          <t>Pas de changement</t>
        </is>
      </c>
    </row>
    <row r="18" ht="24" customHeight="1">
      <c r="B18" s="318" t="inlineStr">
        <is>
          <t>Différentiel entre l'enfant et la famille du PCR</t>
        </is>
      </c>
      <c r="C18" s="2073" t="n"/>
      <c r="D18" s="2073" t="n"/>
      <c r="E18" s="2073" t="n"/>
      <c r="N18" s="10" t="inlineStr">
        <is>
          <t>Indice moyen en lien avec le co-parent</t>
        </is>
      </c>
      <c r="O18" s="1365">
        <f>(O9+O10+O11)/3</f>
        <v/>
      </c>
      <c r="P18" s="1365">
        <f>(P9+P10+P11)/3</f>
        <v/>
      </c>
      <c r="Q18" s="115">
        <f>P18-O18</f>
        <v/>
      </c>
    </row>
    <row r="19" ht="21" customHeight="1">
      <c r="A19" s="13" t="inlineStr">
        <is>
          <t>Exponentielle (bon à mauvais)</t>
        </is>
      </c>
      <c r="B19" s="10" t="n"/>
      <c r="C19" s="65" t="inlineStr">
        <is>
          <t>Différentiel entre la relation de l'enfant avec la famille du parent ciblé avant et après l'élément déclencheur</t>
        </is>
      </c>
      <c r="D19" s="65" t="n"/>
      <c r="E19" s="65" t="n"/>
      <c r="N19" s="1369" t="inlineStr">
        <is>
          <t>Écart entre l'avant et l'après</t>
        </is>
      </c>
      <c r="O19" s="1369" t="n"/>
      <c r="P19" s="1369" t="n"/>
      <c r="Q19" s="1370">
        <f>Q17-Q18</f>
        <v/>
      </c>
      <c r="V19" s="115" t="n"/>
      <c r="W19" s="115" t="n"/>
      <c r="X19" s="115" t="n"/>
    </row>
    <row r="20" ht="16" customHeight="1">
      <c r="B20" s="10" t="n"/>
      <c r="C20" s="34" t="n"/>
      <c r="D20" s="34" t="inlineStr">
        <is>
          <t>Fréquence</t>
        </is>
      </c>
      <c r="E20" s="34" t="inlineStr">
        <is>
          <t>Différentiel</t>
        </is>
      </c>
      <c r="V20" s="115" t="n"/>
      <c r="W20" s="115" t="n"/>
      <c r="X20" s="115" t="n"/>
    </row>
    <row r="21" ht="17" customHeight="1">
      <c r="B21" s="798" t="inlineStr">
        <is>
          <t>E35a</t>
        </is>
      </c>
      <c r="C21" s="799">
        <f>Test_Bible!B332</f>
        <v/>
      </c>
      <c r="D21" s="928">
        <f>Test_Bible!P332</f>
        <v/>
      </c>
      <c r="E21" s="928" t="n"/>
      <c r="X21" s="115" t="n"/>
    </row>
    <row r="22" ht="51" customHeight="1">
      <c r="A22" s="13" t="inlineStr">
        <is>
          <t>Relation de l'enfant avec la famille élargie du parent répondant</t>
        </is>
      </c>
      <c r="B22" s="800" t="inlineStr">
        <is>
          <t>E35</t>
        </is>
      </c>
      <c r="C22" s="801">
        <f>Test_Bible!B325</f>
        <v/>
      </c>
      <c r="D22" s="927">
        <f>Test_Bible!P325</f>
        <v/>
      </c>
      <c r="E22" s="927" t="n"/>
      <c r="G22" s="7" t="n"/>
      <c r="Q22" t="inlineStr">
        <is>
          <t> </t>
        </is>
      </c>
    </row>
    <row r="23" ht="17" customHeight="1">
      <c r="B23" s="7" t="n"/>
      <c r="C23" s="38" t="inlineStr">
        <is>
          <t>DIFF.  (- dégradation / + amélioration )</t>
        </is>
      </c>
      <c r="D23" s="38" t="n"/>
      <c r="E23" s="929">
        <f>D22-D21</f>
        <v/>
      </c>
    </row>
    <row r="24">
      <c r="B24" s="7" t="n"/>
      <c r="C24" s="2073" t="n"/>
      <c r="D24" s="2073" t="n"/>
      <c r="E24" s="2073" t="n"/>
    </row>
    <row r="25">
      <c r="B25" s="7" t="n"/>
      <c r="C25" s="327" t="n"/>
      <c r="D25" s="327" t="n"/>
      <c r="E25" s="327" t="n"/>
    </row>
    <row r="26" ht="24" customHeight="1">
      <c r="B26" s="318" t="inlineStr">
        <is>
          <t>Différentiel entre le PFA et l'enfant</t>
        </is>
      </c>
    </row>
    <row r="27">
      <c r="A27" t="inlineStr">
        <is>
          <t>1 à 10</t>
        </is>
      </c>
      <c r="B27" s="22" t="n"/>
      <c r="C27" s="65" t="inlineStr">
        <is>
          <t xml:space="preserve">Différentiel "Idéalisation du parent" </t>
        </is>
      </c>
      <c r="D27" s="65" t="n"/>
      <c r="E27" s="65" t="n"/>
    </row>
    <row r="28">
      <c r="B28" s="22" t="n"/>
      <c r="C28" s="34" t="n"/>
      <c r="D28" s="34" t="inlineStr">
        <is>
          <t>Fréquence</t>
        </is>
      </c>
      <c r="E28" s="34" t="inlineStr">
        <is>
          <t>Différentiel</t>
        </is>
      </c>
    </row>
    <row r="29" ht="34" customHeight="1">
      <c r="A29" s="13" t="inlineStr">
        <is>
          <t>Idéalisation du co-parent par l'enfant</t>
        </is>
      </c>
      <c r="B29" s="795" t="inlineStr">
        <is>
          <t>H03</t>
        </is>
      </c>
      <c r="C29" s="796">
        <f>Test_Bible!B101</f>
        <v/>
      </c>
      <c r="D29" s="823">
        <f>Test_Bible!P101</f>
        <v/>
      </c>
      <c r="E29" s="823" t="n"/>
      <c r="G29" s="106" t="n"/>
    </row>
    <row r="30" ht="17" customHeight="1">
      <c r="B30" s="802" t="inlineStr">
        <is>
          <t>E02</t>
        </is>
      </c>
      <c r="C30" s="101">
        <f>Test_Bible!B260</f>
        <v/>
      </c>
      <c r="D30" s="927">
        <f>Test_Bible!P260</f>
        <v/>
      </c>
      <c r="E30" s="927" t="n"/>
    </row>
    <row r="31" ht="17" customHeight="1">
      <c r="C31" s="38" t="inlineStr">
        <is>
          <t>DIFF.  (- dégradation / + amélioration )</t>
        </is>
      </c>
      <c r="D31" s="38" t="n"/>
      <c r="E31" s="929">
        <f>D30-D29</f>
        <v/>
      </c>
    </row>
    <row r="33">
      <c r="B33" s="60" t="n"/>
      <c r="C33" s="65" t="inlineStr">
        <is>
          <t xml:space="preserve">Différentiel "nature fusionnelle" </t>
        </is>
      </c>
      <c r="D33" s="65" t="n"/>
      <c r="E33" s="65" t="n"/>
    </row>
    <row r="34" ht="17" customHeight="1">
      <c r="A34" t="inlineStr">
        <is>
          <t>1 à 10</t>
        </is>
      </c>
      <c r="B34" s="60" t="n"/>
      <c r="C34" s="34" t="n"/>
      <c r="D34" s="34" t="inlineStr">
        <is>
          <t>Fréquence</t>
        </is>
      </c>
      <c r="E34" s="34" t="inlineStr">
        <is>
          <t>Différentiel</t>
        </is>
      </c>
      <c r="F34" s="2066" t="inlineStr">
        <is>
          <t>On prend le MAX</t>
        </is>
      </c>
    </row>
    <row r="35" ht="34" customHeight="1">
      <c r="B35" s="795" t="inlineStr">
        <is>
          <t>H04a</t>
        </is>
      </c>
      <c r="C35" s="796">
        <f>Test_Bible!B100</f>
        <v/>
      </c>
      <c r="D35" s="823">
        <f>Test_Bible!P100</f>
        <v/>
      </c>
      <c r="E35" s="823" t="n"/>
    </row>
    <row r="36" ht="17" customHeight="1">
      <c r="B36" s="803" t="inlineStr">
        <is>
          <t>E02a</t>
        </is>
      </c>
      <c r="C36" s="302">
        <f>Test_Bible!B261</f>
        <v/>
      </c>
      <c r="D36" s="928">
        <f>Test_Bible!P261</f>
        <v/>
      </c>
      <c r="E36" s="555" t="n"/>
      <c r="F36" s="2066" t="n"/>
    </row>
    <row r="37" ht="34" customHeight="1">
      <c r="A37" s="13" t="inlineStr">
        <is>
          <t>Fusion de l'enfant et du co-parent</t>
        </is>
      </c>
      <c r="B37" s="587" t="inlineStr">
        <is>
          <t>PFA02</t>
        </is>
      </c>
      <c r="C37" s="587">
        <f>Test_Bible!B162</f>
        <v/>
      </c>
      <c r="D37" s="484">
        <f>Test_Bible!P162</f>
        <v/>
      </c>
      <c r="E37" s="484" t="n"/>
    </row>
    <row r="38" ht="17" customHeight="1">
      <c r="C38" s="38" t="inlineStr">
        <is>
          <t>DIFF.  (- dégradation / + amélioration )</t>
        </is>
      </c>
      <c r="D38" s="38" t="n"/>
      <c r="E38" s="929">
        <f>MAX(D36,D37)-D35</f>
        <v/>
      </c>
    </row>
    <row r="39">
      <c r="C39" s="2073" t="n"/>
      <c r="D39" s="2073" t="n"/>
      <c r="E39" s="2073" t="n"/>
    </row>
    <row r="40">
      <c r="B40" s="60" t="n"/>
      <c r="C40" s="65" t="inlineStr">
        <is>
          <t xml:space="preserve">Différentiel "complicité" </t>
        </is>
      </c>
      <c r="D40" s="65" t="n"/>
      <c r="E40" s="65" t="n"/>
    </row>
    <row r="41">
      <c r="A41" t="inlineStr">
        <is>
          <t>1 à 10</t>
        </is>
      </c>
      <c r="B41" s="60" t="n"/>
      <c r="C41" s="34" t="n"/>
      <c r="D41" s="34" t="inlineStr">
        <is>
          <t>Fréquence</t>
        </is>
      </c>
      <c r="E41" s="34" t="inlineStr">
        <is>
          <t>Différentiel</t>
        </is>
      </c>
    </row>
    <row r="42" ht="34" customHeight="1">
      <c r="B42" s="39" t="inlineStr">
        <is>
          <t>H04</t>
        </is>
      </c>
      <c r="C42" s="796">
        <f>Test_Bible!B99</f>
        <v/>
      </c>
      <c r="D42" s="823">
        <f>Test_Bible!P99</f>
        <v/>
      </c>
      <c r="E42" s="930" t="n"/>
    </row>
    <row r="43" ht="34" customHeight="1">
      <c r="A43" s="13" t="inlineStr">
        <is>
          <t>Complicité du co-parent et de l'enfant</t>
        </is>
      </c>
      <c r="B43" s="587" t="inlineStr">
        <is>
          <t>PFA01</t>
        </is>
      </c>
      <c r="C43" s="587">
        <f>Test_Bible!B161</f>
        <v/>
      </c>
      <c r="D43" s="484">
        <f>Test_Bible!P161</f>
        <v/>
      </c>
      <c r="E43" s="931" t="n"/>
    </row>
    <row r="44" ht="17" customHeight="1">
      <c r="C44" s="38" t="inlineStr">
        <is>
          <t>DIFF.  (- dégradation / + amélioration )</t>
        </is>
      </c>
      <c r="D44" s="38" t="n"/>
      <c r="E44" s="929">
        <f>D43-D42</f>
        <v/>
      </c>
    </row>
    <row r="45">
      <c r="C45" s="2073" t="n"/>
      <c r="D45" s="2073" t="n"/>
      <c r="E45" s="2073" t="n"/>
    </row>
    <row r="46" ht="24" customHeight="1">
      <c r="A46" s="3" t="n"/>
      <c r="B46" s="318" t="inlineStr">
        <is>
          <t>Différentiel entre le PFA et PCR</t>
        </is>
      </c>
    </row>
    <row r="47">
      <c r="A47" t="inlineStr">
        <is>
          <t>Exponentielle</t>
        </is>
      </c>
      <c r="B47" s="12" t="n"/>
      <c r="C47" s="65" t="inlineStr">
        <is>
          <t>Différentiel du rôle parental du PCR vu par le PFA avant et après</t>
        </is>
      </c>
      <c r="D47" s="65" t="n"/>
      <c r="E47" s="65" t="n"/>
    </row>
    <row r="48" ht="16" customHeight="1">
      <c r="B48" s="12" t="n"/>
      <c r="C48" s="34" t="n"/>
      <c r="D48" s="34" t="inlineStr">
        <is>
          <t>Fréquence</t>
        </is>
      </c>
      <c r="E48" s="34" t="inlineStr">
        <is>
          <t>Différentiel</t>
        </is>
      </c>
      <c r="F48" s="2066" t="inlineStr">
        <is>
          <t>On prend le MAX</t>
        </is>
      </c>
    </row>
    <row r="49" ht="34" customHeight="1">
      <c r="B49" s="795">
        <f>BIBLE!E45</f>
        <v/>
      </c>
      <c r="C49" s="796">
        <f>Test_Bible!B105</f>
        <v/>
      </c>
      <c r="D49" s="823">
        <f>Test_Bible!P105</f>
        <v/>
      </c>
      <c r="E49" s="823" t="n"/>
      <c r="F49" s="2066" t="n"/>
    </row>
    <row r="50" ht="39" customHeight="1">
      <c r="B50" s="22">
        <f>BIBLE!E46</f>
        <v/>
      </c>
      <c r="C50" s="799">
        <f>Test_Bible!B106</f>
        <v/>
      </c>
      <c r="D50" s="928">
        <f>Test_Bible!P106</f>
        <v/>
      </c>
      <c r="E50" s="928" t="n"/>
      <c r="F50" s="2066" t="inlineStr">
        <is>
          <t>intégrer au calcul</t>
        </is>
      </c>
    </row>
    <row r="51" ht="30" customHeight="1">
      <c r="A51" t="inlineStr">
        <is>
          <t>Perception des rôles parentaux</t>
        </is>
      </c>
      <c r="B51" s="421" t="inlineStr">
        <is>
          <t>PFA23</t>
        </is>
      </c>
      <c r="C51" s="814">
        <f>Test_Bible!B204</f>
        <v/>
      </c>
      <c r="D51" s="484">
        <f>Test_Bible!P204</f>
        <v/>
      </c>
      <c r="E51" s="428" t="n"/>
    </row>
    <row r="52" ht="25" customHeight="1">
      <c r="B52" s="814" t="inlineStr">
        <is>
          <t>PFA21</t>
        </is>
      </c>
      <c r="C52" s="814">
        <f>Test_Bible!B201</f>
        <v/>
      </c>
      <c r="D52" s="484">
        <f>Test_Bible!P201</f>
        <v/>
      </c>
      <c r="E52" s="484" t="n"/>
    </row>
    <row r="53" ht="17" customHeight="1">
      <c r="C53" s="38" t="inlineStr">
        <is>
          <t>DIFF.  (- dégradation / + amélioration )</t>
        </is>
      </c>
      <c r="D53" s="38" t="n"/>
      <c r="E53" s="929">
        <f>MAX(D51,D52)-MAX(D49,D50)</f>
        <v/>
      </c>
    </row>
    <row r="55">
      <c r="A55" t="inlineStr">
        <is>
          <t>Exponentielle</t>
        </is>
      </c>
      <c r="B55" s="12" t="n"/>
      <c r="C55" s="65" t="inlineStr">
        <is>
          <t>Différentiel sur le dénigrement du PFA envers le PCR avant et après la séparation</t>
        </is>
      </c>
      <c r="D55" s="65" t="n"/>
      <c r="E55" s="65" t="n"/>
    </row>
    <row r="56">
      <c r="B56" s="12" t="n"/>
      <c r="C56" s="34" t="n"/>
      <c r="D56" s="34" t="inlineStr">
        <is>
          <t>Fréquence</t>
        </is>
      </c>
      <c r="E56" s="34" t="inlineStr">
        <is>
          <t>Différentiel</t>
        </is>
      </c>
    </row>
    <row r="57" ht="17" customHeight="1">
      <c r="A57" t="inlineStr">
        <is>
          <t>Critique et dénigrement</t>
        </is>
      </c>
      <c r="B57" s="795" t="inlineStr">
        <is>
          <t>H05</t>
        </is>
      </c>
      <c r="C57" s="796">
        <f>Test_Bible!B103</f>
        <v/>
      </c>
      <c r="D57" s="823">
        <f>Test_Bible!P103</f>
        <v/>
      </c>
      <c r="E57" s="823" t="n"/>
    </row>
    <row r="58" ht="17" customHeight="1">
      <c r="B58" s="587" t="inlineStr">
        <is>
          <t>PFA13</t>
        </is>
      </c>
      <c r="C58" s="587">
        <f>Test_Bible!B182</f>
        <v/>
      </c>
      <c r="D58" s="484">
        <f>Test_Bible!P182</f>
        <v/>
      </c>
      <c r="E58" s="484" t="n"/>
    </row>
    <row r="59" ht="17" customHeight="1">
      <c r="C59" s="38" t="inlineStr">
        <is>
          <t>DIFF.  (- dégradation / + amélioration )</t>
        </is>
      </c>
      <c r="D59" s="38" t="n"/>
      <c r="E59" s="929">
        <f>D58-D57</f>
        <v/>
      </c>
    </row>
    <row r="62" ht="24" customHeight="1">
      <c r="B62" s="318" t="inlineStr">
        <is>
          <t>Différentiel quant à la santé de l'enfant</t>
        </is>
      </c>
    </row>
    <row r="63">
      <c r="B63" s="12" t="n"/>
      <c r="C63" s="65" t="inlineStr">
        <is>
          <t>Différentiel des symptômes psychosomatiques de l'enfant avant et maintenant</t>
        </is>
      </c>
      <c r="D63" s="65" t="n"/>
      <c r="E63" s="65" t="n"/>
    </row>
    <row r="64">
      <c r="B64" s="12" t="n"/>
      <c r="C64" s="34" t="n"/>
      <c r="D64" s="34" t="inlineStr">
        <is>
          <t>Fréquence</t>
        </is>
      </c>
      <c r="E64" s="34" t="inlineStr">
        <is>
          <t>Différentiel</t>
        </is>
      </c>
      <c r="F64" s="1992" t="n"/>
    </row>
    <row r="65" ht="17" customHeight="1">
      <c r="B65" s="557" t="inlineStr">
        <is>
          <t>E36a</t>
        </is>
      </c>
      <c r="C65" s="60">
        <f>Test_Bible!B346</f>
        <v/>
      </c>
      <c r="D65" s="60" t="n"/>
      <c r="E65" s="60" t="n"/>
      <c r="F65" s="6" t="n"/>
    </row>
    <row r="66">
      <c r="B66" s="60" t="n"/>
      <c r="C66" s="815">
        <f>Test_Bible!B347</f>
        <v/>
      </c>
      <c r="D66" s="933">
        <f>Test_Bible!P347</f>
        <v/>
      </c>
      <c r="E66" s="815" t="n"/>
      <c r="F66" s="493" t="n"/>
      <c r="G66" t="inlineStr">
        <is>
          <t>consulter</t>
        </is>
      </c>
    </row>
    <row r="67">
      <c r="B67" s="60" t="n"/>
      <c r="C67" s="815">
        <f>Test_Bible!B348</f>
        <v/>
      </c>
      <c r="D67" s="933">
        <f>Test_Bible!P348</f>
        <v/>
      </c>
      <c r="E67" s="815" t="n"/>
      <c r="F67" s="6" t="n"/>
    </row>
    <row r="68">
      <c r="B68" s="60" t="n"/>
      <c r="C68" s="815">
        <f>Test_Bible!B349</f>
        <v/>
      </c>
      <c r="D68" s="933">
        <f>Test_Bible!P349</f>
        <v/>
      </c>
      <c r="E68" s="815" t="n"/>
      <c r="F68" s="6" t="n"/>
    </row>
    <row r="69">
      <c r="B69" s="60" t="n"/>
      <c r="C69" s="815">
        <f>Test_Bible!B350</f>
        <v/>
      </c>
      <c r="D69" s="933">
        <f>Test_Bible!P350</f>
        <v/>
      </c>
      <c r="E69" s="815" t="n"/>
      <c r="F69" s="6" t="n"/>
      <c r="G69" t="inlineStr">
        <is>
          <t>consulter</t>
        </is>
      </c>
    </row>
    <row r="70">
      <c r="B70" s="60" t="n"/>
      <c r="C70" s="815">
        <f>Test_Bible!B351</f>
        <v/>
      </c>
      <c r="D70" s="933">
        <f>Test_Bible!P351</f>
        <v/>
      </c>
      <c r="E70" s="815" t="n"/>
      <c r="F70" s="6" t="n"/>
    </row>
    <row r="71">
      <c r="B71" s="60" t="n"/>
      <c r="C71" s="815">
        <f>Test_Bible!B352</f>
        <v/>
      </c>
      <c r="D71" s="933">
        <f>Test_Bible!P352</f>
        <v/>
      </c>
      <c r="E71" s="815" t="n"/>
      <c r="F71" s="6" t="n"/>
    </row>
    <row r="72">
      <c r="B72" s="60" t="n"/>
      <c r="C72" s="815">
        <f>Test_Bible!B353</f>
        <v/>
      </c>
      <c r="D72" s="933">
        <f>Test_Bible!P353</f>
        <v/>
      </c>
      <c r="E72" s="815" t="n"/>
      <c r="F72" s="6" t="n"/>
    </row>
    <row r="73">
      <c r="B73" s="60" t="n"/>
      <c r="C73" s="815">
        <f>Test_Bible!B354</f>
        <v/>
      </c>
      <c r="D73" s="933">
        <f>Test_Bible!P354</f>
        <v/>
      </c>
      <c r="E73" s="815" t="n"/>
      <c r="F73" s="6">
        <f>SUM(D66:D73)</f>
        <v/>
      </c>
      <c r="G73" t="inlineStr">
        <is>
          <t>consulter</t>
        </is>
      </c>
    </row>
    <row r="74" ht="17" customHeight="1">
      <c r="B74" s="555" t="inlineStr">
        <is>
          <t>E36b</t>
        </is>
      </c>
      <c r="C74" s="60">
        <f>Test_Bible!B335</f>
        <v/>
      </c>
      <c r="D74" s="933" t="n"/>
      <c r="E74" s="60" t="n"/>
      <c r="F74" s="493" t="n"/>
    </row>
    <row r="75">
      <c r="B75" s="60" t="n"/>
      <c r="C75" s="815">
        <f>Test_Bible!B336</f>
        <v/>
      </c>
      <c r="D75" s="933">
        <f>Test_Bible!P336</f>
        <v/>
      </c>
      <c r="E75" s="932">
        <f>D66-D75</f>
        <v/>
      </c>
      <c r="F75" s="6" t="n"/>
      <c r="G75" t="inlineStr">
        <is>
          <t>consulter</t>
        </is>
      </c>
    </row>
    <row r="76">
      <c r="B76" s="60" t="n"/>
      <c r="C76" s="815">
        <f>Test_Bible!B337</f>
        <v/>
      </c>
      <c r="D76" s="933">
        <f>Test_Bible!P337</f>
        <v/>
      </c>
      <c r="E76" s="932">
        <f>D67-D76</f>
        <v/>
      </c>
      <c r="F76" s="6" t="n"/>
    </row>
    <row r="77">
      <c r="B77" s="60" t="n"/>
      <c r="C77" s="815">
        <f>Test_Bible!B338</f>
        <v/>
      </c>
      <c r="D77" s="933">
        <f>Test_Bible!P338</f>
        <v/>
      </c>
      <c r="E77" s="932">
        <f>D68-D77</f>
        <v/>
      </c>
      <c r="F77" s="6" t="n"/>
    </row>
    <row r="78">
      <c r="B78" s="60" t="n"/>
      <c r="C78" s="815">
        <f>Test_Bible!B339</f>
        <v/>
      </c>
      <c r="D78" s="933">
        <f>Test_Bible!P339</f>
        <v/>
      </c>
      <c r="E78" s="932">
        <f>D69-D78</f>
        <v/>
      </c>
      <c r="F78" s="6" t="n"/>
      <c r="G78" t="inlineStr">
        <is>
          <t>consulter</t>
        </is>
      </c>
    </row>
    <row r="79">
      <c r="B79" s="60" t="n"/>
      <c r="C79" s="815">
        <f>Test_Bible!B340</f>
        <v/>
      </c>
      <c r="D79" s="933">
        <f>Test_Bible!P340</f>
        <v/>
      </c>
      <c r="E79" s="932">
        <f>D70-D79</f>
        <v/>
      </c>
      <c r="F79" s="6" t="n"/>
    </row>
    <row r="80">
      <c r="B80" s="60" t="n"/>
      <c r="C80" s="815">
        <f>Test_Bible!B341</f>
        <v/>
      </c>
      <c r="D80" s="933">
        <f>Test_Bible!P341</f>
        <v/>
      </c>
      <c r="E80" s="932">
        <f>D71-D80</f>
        <v/>
      </c>
      <c r="F80" s="6" t="n"/>
    </row>
    <row r="81">
      <c r="B81" s="60" t="n"/>
      <c r="C81" s="815">
        <f>Test_Bible!B342</f>
        <v/>
      </c>
      <c r="D81" s="933">
        <f>Test_Bible!P342</f>
        <v/>
      </c>
      <c r="E81" s="932">
        <f>D72-D81</f>
        <v/>
      </c>
    </row>
    <row r="82">
      <c r="B82" s="60" t="n"/>
      <c r="C82" s="815">
        <f>Test_Bible!B343</f>
        <v/>
      </c>
      <c r="D82" s="933">
        <f>Test_Bible!P343</f>
        <v/>
      </c>
      <c r="E82" s="932">
        <f>D73-D82</f>
        <v/>
      </c>
      <c r="F82" s="6">
        <f>SUM(D75:D82)</f>
        <v/>
      </c>
      <c r="G82" t="inlineStr">
        <is>
          <t>consulter</t>
        </is>
      </c>
      <c r="H82" t="inlineStr">
        <is>
          <t>il semble etre affecté par la dynamqiue, nous vous invitons à consulter</t>
        </is>
      </c>
    </row>
    <row r="92">
      <c r="C92" s="2" t="n"/>
      <c r="D92" s="2" t="n"/>
      <c r="E92" s="2" t="n"/>
    </row>
    <row r="93">
      <c r="C93" s="2" t="n"/>
      <c r="D93" s="2" t="n"/>
      <c r="E93" s="2" t="n"/>
    </row>
  </sheetData>
  <mergeCells count="4">
    <mergeCell ref="X17:AB17"/>
    <mergeCell ref="H2:L5"/>
    <mergeCell ref="F36:F37"/>
    <mergeCell ref="AD11:AD15"/>
  </mergeCells>
  <conditionalFormatting sqref="Q6:Q7 Q9:Q11 Q13:Q14">
    <cfRule type="cellIs" priority="10" operator="lessThan" dxfId="2">
      <formula>-1</formula>
    </cfRule>
    <cfRule type="cellIs" priority="12" operator="lessThan" dxfId="0">
      <formula>-1</formula>
    </cfRule>
    <cfRule type="cellIs" priority="13" operator="greaterThan" dxfId="0">
      <formula>1</formula>
    </cfRule>
  </conditionalFormatting>
  <conditionalFormatting sqref="Q17:Q18">
    <cfRule type="cellIs" priority="7" operator="lessThan" dxfId="2">
      <formula>-1</formula>
    </cfRule>
    <cfRule type="cellIs" priority="8" operator="lessThan" dxfId="0">
      <formula>-1</formula>
    </cfRule>
    <cfRule type="cellIs" priority="9" operator="greaterThan" dxfId="0">
      <formula>1</formula>
    </cfRule>
  </conditionalFormatting>
  <conditionalFormatting sqref="X8:X17">
    <cfRule type="cellIs" priority="4" operator="lessThan" dxfId="2">
      <formula>-1</formula>
    </cfRule>
    <cfRule type="cellIs" priority="5" operator="lessThan" dxfId="0">
      <formula>-1</formula>
    </cfRule>
    <cfRule type="cellIs" priority="6" operator="greaterThan" dxfId="0">
      <formula>1</formula>
    </cfRule>
  </conditionalFormatting>
  <conditionalFormatting sqref="X19:X20">
    <cfRule type="cellIs" priority="1" operator="lessThan" dxfId="2">
      <formula>-1</formula>
    </cfRule>
    <cfRule type="cellIs" priority="2" operator="lessThan" dxfId="0">
      <formula>-1</formula>
    </cfRule>
    <cfRule type="cellIs" priority="3" operator="greaterThan" dxfId="0">
      <formula>1</formula>
    </cfRule>
  </conditionalFormatting>
  <pageMargins left="0.7" right="0.7" top="0.75" bottom="0.75" header="0.3" footer="0.3"/>
  <pageSetup orientation="portrait" horizontalDpi="0" verticalDpi="0"/>
</worksheet>
</file>

<file path=xl/worksheets/sheet16.xml><?xml version="1.0" encoding="utf-8"?>
<worksheet xmlns="http://schemas.openxmlformats.org/spreadsheetml/2006/main">
  <sheetPr>
    <outlinePr summaryBelow="1" summaryRight="1"/>
    <pageSetUpPr fitToPage="1"/>
  </sheetPr>
  <dimension ref="A1:X57"/>
  <sheetViews>
    <sheetView topLeftCell="G29" workbookViewId="0">
      <selection activeCell="H37" sqref="H37"/>
    </sheetView>
  </sheetViews>
  <sheetFormatPr baseColWidth="10" defaultRowHeight="16"/>
  <cols>
    <col hidden="1" width="13" customWidth="1" min="1" max="1"/>
    <col hidden="1" width="7.6640625" customWidth="1" min="2" max="2"/>
    <col hidden="1" width="12.33203125" customWidth="1" min="3" max="3"/>
    <col width="32.1640625" customWidth="1" min="4" max="4"/>
    <col width="12.33203125" customWidth="1" min="5" max="5"/>
    <col width="14.83203125" customWidth="1" min="6" max="6"/>
    <col width="13" customWidth="1" min="7" max="7"/>
    <col width="51.6640625" customWidth="1" min="8" max="8"/>
    <col width="14.6640625" customWidth="1" min="9" max="9"/>
    <col width="3.5" customWidth="1" min="10" max="10"/>
    <col width="10.6640625" customWidth="1" min="11" max="11"/>
    <col width="46.6640625" customWidth="1" min="12" max="12"/>
    <col width="14.6640625" customWidth="1" min="13" max="13"/>
    <col width="3" customWidth="1" min="14" max="14"/>
    <col width="10.33203125" customWidth="1" min="15" max="15"/>
    <col width="51.33203125" customWidth="1" min="16" max="16"/>
    <col width="13" customWidth="1" min="17" max="17"/>
    <col width="4.5" customWidth="1" min="18" max="18"/>
    <col width="9.6640625" customWidth="1" min="19" max="19"/>
    <col width="56" customWidth="1" min="20" max="20"/>
    <col width="10.33203125" customWidth="1" min="21" max="21"/>
    <col hidden="1" width="10.83203125" customWidth="1" min="22" max="22"/>
    <col hidden="1" min="23" max="24"/>
  </cols>
  <sheetData>
    <row r="1" ht="52" customHeight="1">
      <c r="A1" s="990" t="inlineStr">
        <is>
          <t>CL</t>
        </is>
      </c>
      <c r="B1" s="990" t="inlineStr">
        <is>
          <t>CSS</t>
        </is>
      </c>
      <c r="C1" s="990" t="inlineStr">
        <is>
          <t>AP</t>
        </is>
      </c>
      <c r="D1" s="990" t="n"/>
      <c r="E1" s="64" t="inlineStr">
        <is>
          <t>Les autres comportements indépendants</t>
        </is>
      </c>
      <c r="F1" s="2066" t="n"/>
      <c r="G1" s="2073" t="n"/>
      <c r="H1" s="2059" t="n"/>
      <c r="I1" s="683" t="n"/>
      <c r="K1" s="2073" t="n"/>
      <c r="L1" s="2059" t="n"/>
      <c r="M1" s="683" t="n"/>
      <c r="O1" s="691" t="n"/>
      <c r="P1" s="2059" t="n"/>
      <c r="Q1" s="684" t="n"/>
    </row>
    <row r="2" ht="52" customHeight="1">
      <c r="A2" s="990" t="n"/>
      <c r="B2" s="990" t="n"/>
      <c r="C2" s="990" t="n"/>
      <c r="D2" s="990" t="n"/>
      <c r="E2" s="64" t="n"/>
      <c r="F2" s="2066" t="n"/>
      <c r="G2" s="2073" t="n"/>
      <c r="H2" s="2059" t="n"/>
      <c r="I2" s="683" t="n"/>
      <c r="K2" s="2073" t="n"/>
      <c r="L2" s="2059" t="n"/>
      <c r="M2" s="683" t="n"/>
      <c r="O2" s="691" t="n"/>
      <c r="P2" s="2059" t="n"/>
      <c r="Q2" s="684" t="n"/>
    </row>
    <row r="3" hidden="1" ht="53" customHeight="1">
      <c r="A3" s="2002" t="n"/>
      <c r="B3" s="2002" t="n"/>
      <c r="C3" s="2002" t="n"/>
      <c r="D3" s="2002" t="n"/>
      <c r="E3" s="64" t="n"/>
      <c r="F3" s="2066" t="n"/>
      <c r="G3" s="2072" t="n"/>
      <c r="H3" s="2072" t="inlineStr">
        <is>
          <t>Co-parent</t>
        </is>
      </c>
      <c r="I3" s="2072" t="n"/>
      <c r="J3" s="783" t="n"/>
      <c r="K3" s="2072" t="n"/>
      <c r="L3" s="2072" t="inlineStr">
        <is>
          <t>NC</t>
        </is>
      </c>
      <c r="M3" s="2072" t="n"/>
      <c r="N3" s="783" t="n"/>
      <c r="O3" s="784" t="n"/>
      <c r="P3" s="2072" t="inlineStr">
        <is>
          <t>Enfant</t>
        </is>
      </c>
      <c r="Q3" s="684" t="n"/>
      <c r="S3" s="2072" t="inlineStr">
        <is>
          <t>Parent répondant</t>
        </is>
      </c>
    </row>
    <row r="4" hidden="1" ht="53" customHeight="1">
      <c r="A4" s="2002" t="n"/>
      <c r="B4" s="2002" t="n"/>
      <c r="C4" s="2002" t="n"/>
      <c r="D4" s="2073" t="inlineStr">
        <is>
          <t>Aucune analyse CSS, AP. Indicateur si &gt;=4 pour le rapport final sur le contexte coparental.</t>
        </is>
      </c>
      <c r="E4" s="10" t="n"/>
      <c r="F4" s="2073" t="inlineStr">
        <is>
          <t>Aisance en présence du co-parent</t>
        </is>
      </c>
      <c r="G4" s="2072" t="n"/>
      <c r="H4" s="2072" t="n"/>
      <c r="I4" s="2072" t="n"/>
      <c r="J4" s="783" t="n"/>
      <c r="K4" s="2072" t="n"/>
      <c r="L4" s="2072" t="n"/>
      <c r="M4" s="2072" t="n"/>
      <c r="N4" s="783" t="n"/>
      <c r="O4" s="784" t="n"/>
      <c r="P4" s="2072" t="n"/>
      <c r="S4" s="371">
        <f>BIBLE!E49</f>
        <v/>
      </c>
      <c r="T4" s="371">
        <f>BIBLE!F49</f>
        <v/>
      </c>
      <c r="U4" s="1471">
        <f>BIBLE!U49</f>
        <v/>
      </c>
    </row>
    <row r="5" hidden="1" ht="51" customHeight="1">
      <c r="A5" s="2002" t="n"/>
      <c r="B5" s="2002" t="n"/>
      <c r="C5" s="2002" t="n"/>
      <c r="E5" s="10" t="n"/>
      <c r="G5" s="2072" t="n"/>
      <c r="H5" s="2072" t="n"/>
      <c r="I5" s="2072" t="n"/>
      <c r="J5" s="783" t="n"/>
      <c r="K5" s="2072" t="n"/>
      <c r="L5" s="2072" t="n"/>
      <c r="M5" s="2072" t="n"/>
      <c r="N5" s="783" t="n"/>
      <c r="O5" s="784" t="n"/>
      <c r="P5" s="2072" t="n"/>
      <c r="Q5" s="684" t="n"/>
      <c r="S5" s="302">
        <f>BIBLE!E50</f>
        <v/>
      </c>
      <c r="T5" s="302">
        <f>BIBLE!F50</f>
        <v/>
      </c>
      <c r="U5" s="1471">
        <f>BIBLE!GP50</f>
        <v/>
      </c>
    </row>
    <row r="6" hidden="1" ht="21" customHeight="1">
      <c r="A6" s="2002" t="n"/>
      <c r="B6" s="2002" t="n"/>
      <c r="C6" s="2002" t="n"/>
      <c r="D6" s="2002" t="n"/>
      <c r="E6" s="64" t="n"/>
      <c r="F6" s="2066" t="n"/>
      <c r="G6" s="2072" t="n"/>
      <c r="H6" s="2072" t="n"/>
      <c r="I6" s="2072" t="n"/>
      <c r="J6" s="783" t="n"/>
      <c r="K6" s="2072" t="n"/>
      <c r="L6" s="2072" t="n"/>
      <c r="M6" s="2072" t="n"/>
      <c r="N6" s="783" t="n"/>
      <c r="O6" s="784" t="n"/>
      <c r="P6" s="2072" t="n"/>
      <c r="Q6" s="684" t="n"/>
    </row>
    <row r="7" hidden="1" ht="51" customHeight="1">
      <c r="A7" s="2002" t="n"/>
      <c r="B7" s="2073" t="n"/>
      <c r="C7" s="2002" t="n"/>
      <c r="D7" s="2066" t="inlineStr">
        <is>
          <t>Indice d'exclusion!</t>
        </is>
      </c>
      <c r="E7" s="10" t="n"/>
      <c r="F7" s="2059" t="inlineStr">
        <is>
          <t>Blocage des infos entourant l'enfant</t>
        </is>
      </c>
      <c r="G7" s="428">
        <f>BIBLE!E111</f>
        <v/>
      </c>
      <c r="H7" s="587">
        <f>BIBLE!F111</f>
        <v/>
      </c>
      <c r="I7" s="688">
        <f>BIBLE!U111</f>
        <v/>
      </c>
      <c r="O7" s="691" t="n"/>
      <c r="P7" s="2059" t="n"/>
      <c r="Q7" s="684" t="n"/>
    </row>
    <row r="8" hidden="1" ht="85" customHeight="1">
      <c r="A8" s="1000" t="inlineStr">
        <is>
          <t>échelle à modifier</t>
        </is>
      </c>
      <c r="B8" s="2073" t="n"/>
      <c r="C8" s="2073" t="inlineStr">
        <is>
          <t>PFA &gt;=2 OU NC&gt;=2</t>
        </is>
      </c>
      <c r="D8" s="2066" t="n"/>
      <c r="E8" s="10" t="n"/>
      <c r="G8" s="555">
        <f>BIBLE!E112</f>
        <v/>
      </c>
      <c r="H8" s="302">
        <f>BIBLE!F112</f>
        <v/>
      </c>
      <c r="I8" s="688">
        <f>BIBLE!U112</f>
        <v/>
      </c>
      <c r="K8" s="563">
        <f>BIBLE!E229</f>
        <v/>
      </c>
      <c r="L8" s="591">
        <f>BIBLE!F229</f>
        <v/>
      </c>
      <c r="M8" s="688">
        <f>BIBLE!U229</f>
        <v/>
      </c>
      <c r="O8" s="691" t="n"/>
      <c r="P8" s="2059" t="n"/>
      <c r="Q8" s="684" t="n"/>
    </row>
    <row r="9" hidden="1">
      <c r="A9" s="2002" t="n"/>
      <c r="B9" s="2002" t="n"/>
      <c r="C9" s="2002" t="n"/>
      <c r="D9" s="2066" t="n"/>
      <c r="F9" s="2066" t="n"/>
      <c r="G9" s="2073" t="n"/>
      <c r="H9" s="2059" t="n"/>
      <c r="I9" s="683" t="n"/>
      <c r="K9" s="2073" t="n"/>
      <c r="L9" s="2059" t="n"/>
      <c r="M9" s="683" t="n"/>
      <c r="O9" s="691" t="n"/>
      <c r="P9" s="2059" t="n"/>
      <c r="Q9" s="684" t="n"/>
    </row>
    <row r="10" hidden="1" ht="51" customHeight="1">
      <c r="A10" s="2002" t="n"/>
      <c r="B10" s="2073" t="inlineStr">
        <is>
          <t>PFA &gt;= 4 ou NC&gt;=2</t>
        </is>
      </c>
      <c r="C10" s="2073" t="inlineStr">
        <is>
          <t>PFA &gt;= 4 ou NC&gt;=4</t>
        </is>
      </c>
      <c r="D10" s="2066" t="inlineStr">
        <is>
          <t>Indice contextuel!</t>
        </is>
      </c>
      <c r="E10" s="10" t="n"/>
      <c r="F10" s="2066" t="inlineStr">
        <is>
          <t>Interférence à la sortie des classes</t>
        </is>
      </c>
      <c r="G10" s="428">
        <f>BIBLE!E109</f>
        <v/>
      </c>
      <c r="H10" s="587">
        <f>BIBLE!F109</f>
        <v/>
      </c>
      <c r="I10" s="688">
        <f>BIBLE!U109</f>
        <v/>
      </c>
      <c r="K10" s="563">
        <f>BIBLE!E225</f>
        <v/>
      </c>
      <c r="L10" s="591">
        <f>BIBLE!F225</f>
        <v/>
      </c>
      <c r="M10" s="688">
        <f>BIBLE!U225</f>
        <v/>
      </c>
      <c r="O10" s="691" t="n"/>
      <c r="P10" s="2059" t="n"/>
      <c r="Q10" s="684" t="n"/>
    </row>
    <row r="11" hidden="1">
      <c r="A11" s="2002" t="n"/>
      <c r="B11" s="2002" t="n"/>
      <c r="C11" s="2002" t="n"/>
      <c r="D11" s="2066" t="n"/>
    </row>
    <row r="12" hidden="1" ht="51" customHeight="1">
      <c r="A12" s="2002" t="n"/>
      <c r="B12" s="2002" t="n">
        <v>2</v>
      </c>
      <c r="C12" s="2002" t="n">
        <v>4</v>
      </c>
      <c r="D12" s="2066" t="inlineStr">
        <is>
          <t>Indice contextuel!</t>
        </is>
      </c>
      <c r="E12" s="10" t="n"/>
      <c r="F12" s="2066" t="inlineStr">
        <is>
          <t>Vengeance depuis séparation</t>
        </is>
      </c>
      <c r="G12" s="428">
        <f>BIBLE!E122</f>
        <v/>
      </c>
      <c r="H12" s="587">
        <f>BIBLE!F122</f>
        <v/>
      </c>
      <c r="I12" s="689">
        <f>BIBLE!U122</f>
        <v/>
      </c>
      <c r="K12" s="2073" t="n"/>
      <c r="M12" s="2073" t="n"/>
      <c r="N12" s="2073" t="n"/>
      <c r="P12" s="2059" t="n"/>
      <c r="Q12" s="684" t="n"/>
    </row>
    <row r="13" hidden="1">
      <c r="A13" s="2002" t="n"/>
      <c r="B13" s="2002" t="n"/>
      <c r="C13" s="2002" t="n"/>
      <c r="D13" s="2066" t="n"/>
      <c r="F13" s="2066" t="n"/>
      <c r="G13" s="2073" t="n"/>
      <c r="H13" s="2059" t="n"/>
      <c r="I13" s="683" t="n"/>
      <c r="K13" s="2073" t="n"/>
      <c r="L13" s="2059" t="n"/>
      <c r="M13" s="683" t="n"/>
      <c r="O13" s="691" t="n"/>
      <c r="P13" s="2059" t="n"/>
      <c r="Q13" s="684" t="n"/>
    </row>
    <row r="14" hidden="1" ht="48" customHeight="1">
      <c r="A14" s="2002" t="n"/>
      <c r="B14" s="2070" t="inlineStr">
        <is>
          <t>Si nouveau &amp; 2</t>
        </is>
      </c>
      <c r="C14" s="2070" t="inlineStr">
        <is>
          <t>Si nouveau &amp; 4</t>
        </is>
      </c>
      <c r="D14" s="2066" t="inlineStr">
        <is>
          <t>Dans le rapport final</t>
        </is>
      </c>
      <c r="E14" s="10" t="n"/>
      <c r="F14" s="2066" t="inlineStr">
        <is>
          <t>Appelle par le prénom</t>
        </is>
      </c>
      <c r="G14" s="428">
        <f>BIBLE!E123</f>
        <v/>
      </c>
      <c r="H14" s="587">
        <f>BIBLE!F123</f>
        <v/>
      </c>
      <c r="I14" s="689">
        <f>BIBLE!U123</f>
        <v/>
      </c>
      <c r="K14" s="2073" t="n"/>
      <c r="L14" s="2059" t="n"/>
      <c r="M14" s="683" t="n"/>
      <c r="O14" s="691" t="n"/>
      <c r="P14" s="2059" t="n"/>
      <c r="Q14" s="684" t="n"/>
    </row>
    <row r="15" hidden="1" ht="51" customHeight="1">
      <c r="A15" s="2002" t="n"/>
      <c r="B15" s="2002" t="n"/>
      <c r="C15" s="2002" t="n"/>
      <c r="D15" s="2066" t="n"/>
      <c r="E15" s="10" t="n"/>
      <c r="F15" s="2066" t="inlineStr">
        <is>
          <t>Usuel(0) ou Nouveau(1)</t>
        </is>
      </c>
      <c r="G15" s="555">
        <f>BIBLE!E124</f>
        <v/>
      </c>
      <c r="H15" s="302">
        <f>BIBLE!F124</f>
        <v/>
      </c>
      <c r="I15" s="689">
        <f>BIBLE!U124</f>
        <v/>
      </c>
      <c r="K15" s="2073" t="n"/>
      <c r="L15" s="2059" t="n"/>
      <c r="M15" s="683" t="n"/>
      <c r="O15" s="691" t="n"/>
      <c r="P15" s="2059" t="n"/>
      <c r="Q15" s="684" t="n"/>
    </row>
    <row r="16" hidden="1">
      <c r="A16" s="2002" t="n"/>
      <c r="B16" s="2002" t="n"/>
      <c r="C16" s="2002" t="n"/>
      <c r="D16" s="2066" t="n"/>
      <c r="F16" s="2066" t="n"/>
      <c r="G16" s="2073" t="n"/>
      <c r="H16" s="2059" t="n"/>
      <c r="I16" s="683" t="n"/>
      <c r="K16" s="2073" t="n"/>
      <c r="L16" s="2059" t="n"/>
      <c r="M16" s="683" t="n"/>
      <c r="O16" s="691" t="n"/>
      <c r="P16" s="2059" t="n"/>
      <c r="Q16" s="684" t="n"/>
    </row>
    <row r="17" hidden="1" ht="105" customHeight="1">
      <c r="A17" s="994" t="inlineStr">
        <is>
          <t>Le traiter comme A-R (avec quel cpt enfant)</t>
        </is>
      </c>
      <c r="B17" s="1990" t="inlineStr">
        <is>
          <t>Les 2 VRAI avec conditions : PFA &gt;=4 et NC&gt;=4</t>
        </is>
      </c>
      <c r="C17" s="1990" t="inlineStr">
        <is>
          <t>Les 2 VRAI avec conditions : PFA &gt;=7 et NC&gt;=7</t>
        </is>
      </c>
      <c r="D17" s="2066" t="n"/>
      <c r="E17" s="10" t="n"/>
      <c r="F17" s="2066" t="inlineStr">
        <is>
          <t>Nv conjoint meilleur</t>
        </is>
      </c>
      <c r="G17" s="428">
        <f>BIBLE!E125</f>
        <v/>
      </c>
      <c r="H17" s="587">
        <f>BIBLE!F125</f>
        <v/>
      </c>
      <c r="I17" s="689">
        <f>BIBLE!U125</f>
        <v/>
      </c>
      <c r="K17" s="563">
        <f>BIBLE!E231</f>
        <v/>
      </c>
      <c r="L17" s="591">
        <f>BIBLE!F231</f>
        <v/>
      </c>
      <c r="M17" s="689">
        <f>BIBLE!U231</f>
        <v/>
      </c>
      <c r="O17" s="691" t="n"/>
      <c r="P17" s="2059" t="n"/>
      <c r="Q17" s="684" t="n"/>
    </row>
    <row r="18" hidden="1">
      <c r="A18" s="2002" t="n"/>
      <c r="B18" s="2002" t="n"/>
      <c r="C18" s="2002" t="n"/>
      <c r="D18" s="2066" t="n"/>
      <c r="F18" s="2066" t="n"/>
      <c r="G18" s="2073" t="n"/>
      <c r="H18" s="2059" t="n"/>
      <c r="I18" s="683" t="n"/>
      <c r="K18" s="2073" t="n"/>
      <c r="L18" s="2059" t="n"/>
      <c r="M18" s="683" t="n"/>
      <c r="O18" s="691" t="n"/>
      <c r="P18" s="2059" t="n"/>
      <c r="Q18" s="684" t="n"/>
    </row>
    <row r="19" hidden="1" ht="45" customHeight="1">
      <c r="A19" s="2002" t="n"/>
      <c r="B19" s="2002" t="n"/>
      <c r="C19" s="2002" t="n">
        <v>4</v>
      </c>
      <c r="D19" s="2066" t="inlineStr">
        <is>
          <t>Indice d'exclusion!</t>
        </is>
      </c>
      <c r="E19" s="10" t="n"/>
      <c r="F19" s="2066" t="inlineStr">
        <is>
          <t>Exclusion parentale</t>
        </is>
      </c>
      <c r="G19" s="555">
        <f>BIBLE!E134</f>
        <v/>
      </c>
      <c r="H19" s="785">
        <f>BIBLE!F134</f>
        <v/>
      </c>
      <c r="I19" s="689">
        <f>BIBLE!U134</f>
        <v/>
      </c>
      <c r="K19" s="2073" t="n"/>
      <c r="L19" s="2059" t="n"/>
      <c r="M19" s="683" t="n"/>
      <c r="O19" s="691" t="n"/>
      <c r="P19" s="2059" t="n"/>
      <c r="Q19" s="684" t="n"/>
    </row>
    <row r="20" hidden="1">
      <c r="A20" s="2002" t="n"/>
      <c r="B20" s="2002" t="n"/>
      <c r="C20" s="2002" t="n"/>
      <c r="D20" s="2066" t="n"/>
      <c r="F20" s="2066" t="n"/>
      <c r="G20" s="2073" t="n"/>
      <c r="H20" s="794" t="n"/>
      <c r="I20" s="683" t="n"/>
      <c r="K20" s="2073" t="n"/>
      <c r="L20" s="2059" t="n"/>
      <c r="M20" s="683" t="n"/>
      <c r="O20" s="691" t="n"/>
      <c r="P20" s="2059" t="n"/>
      <c r="Q20" s="684" t="n"/>
    </row>
    <row r="21" hidden="1" ht="51" customHeight="1">
      <c r="A21" s="2070" t="inlineStr">
        <is>
          <t>NC01&lt;=7 (valider le &lt;=)&amp; NC15&gt;=4</t>
        </is>
      </c>
      <c r="B21" s="1001" t="n"/>
      <c r="C21" s="2070" t="inlineStr">
        <is>
          <t>NC01a&gt;=4 &amp; NC15&gt;=4</t>
        </is>
      </c>
      <c r="D21" s="2066" t="n"/>
      <c r="E21" s="10" t="n"/>
      <c r="F21" s="2066" t="inlineStr">
        <is>
          <t>Position du nouveau conjoint</t>
        </is>
      </c>
      <c r="K21" s="146">
        <f>BIBLE!E215</f>
        <v/>
      </c>
      <c r="L21" s="591">
        <f>BIBLE!F215</f>
        <v/>
      </c>
      <c r="M21" s="685">
        <f>BIBLE!U215</f>
        <v/>
      </c>
      <c r="O21" s="691" t="n"/>
      <c r="P21" s="2059" t="n"/>
      <c r="Q21" s="684" t="n"/>
    </row>
    <row r="22" hidden="1" ht="34" customHeight="1">
      <c r="B22" s="1001" t="n"/>
      <c r="D22" s="2066" t="inlineStr">
        <is>
          <t>Indice contextuel!</t>
        </is>
      </c>
      <c r="E22" s="10" t="n"/>
      <c r="K22" s="143">
        <f>BIBLE!E216</f>
        <v/>
      </c>
      <c r="L22" s="302">
        <f>BIBLE!F216</f>
        <v/>
      </c>
      <c r="M22" s="685">
        <f>BIBLE!U216</f>
        <v/>
      </c>
      <c r="O22" s="691" t="n"/>
      <c r="P22" s="2059" t="n"/>
      <c r="Q22" s="684" t="n"/>
    </row>
    <row r="23" hidden="1" ht="68" customHeight="1">
      <c r="B23" s="1001" t="n"/>
      <c r="D23" s="2066" t="n"/>
      <c r="E23" s="10" t="n"/>
      <c r="G23" s="2073" t="n"/>
      <c r="H23" s="2059" t="n"/>
      <c r="I23" s="683" t="n"/>
      <c r="K23" s="2002">
        <f>BIBLE!E231</f>
        <v/>
      </c>
      <c r="L23" s="13">
        <f>BIBLE!F231</f>
        <v/>
      </c>
      <c r="M23" s="689">
        <f>BIBLE!U231</f>
        <v/>
      </c>
      <c r="O23" s="691" t="n"/>
      <c r="P23" s="2059" t="n"/>
      <c r="Q23" s="684" t="n"/>
    </row>
    <row r="24">
      <c r="A24" s="2002" t="n"/>
      <c r="B24" s="2002" t="n"/>
      <c r="C24" s="2002" t="n"/>
      <c r="D24" s="2002" t="n"/>
      <c r="F24" s="2066" t="n"/>
      <c r="G24" s="2073" t="n"/>
      <c r="H24" s="2059" t="n"/>
      <c r="I24" s="683" t="n"/>
      <c r="K24" s="2073" t="n"/>
      <c r="L24" s="2059" t="n"/>
      <c r="M24" s="683" t="n"/>
      <c r="O24" s="691" t="n"/>
      <c r="P24" s="2059" t="n"/>
      <c r="Q24" s="684" t="n"/>
      <c r="S24" s="2071" t="n"/>
    </row>
    <row r="25" ht="44" customHeight="1">
      <c r="A25" s="2002" t="n"/>
      <c r="B25" s="2002" t="n"/>
      <c r="C25" s="2002" t="n"/>
      <c r="D25" s="2002" t="n"/>
      <c r="F25" s="2066" t="n"/>
      <c r="G25" s="1977" t="inlineStr">
        <is>
          <t>Bloc parent</t>
        </is>
      </c>
      <c r="H25" s="1855" t="n"/>
      <c r="I25" s="1855" t="n"/>
      <c r="J25" s="64" t="n"/>
      <c r="K25" s="1977" t="inlineStr">
        <is>
          <t>Bloc enfant</t>
        </is>
      </c>
      <c r="L25" s="1855" t="n"/>
      <c r="M25" s="1855" t="n"/>
      <c r="O25" s="691" t="n"/>
      <c r="P25" s="2059" t="n"/>
      <c r="Q25" s="684" t="n"/>
      <c r="S25" s="2071" t="n"/>
      <c r="T25" s="2071" t="n"/>
      <c r="U25" s="2071" t="n"/>
      <c r="V25" s="2071" t="n"/>
      <c r="W25" s="2071" t="n"/>
      <c r="X25" s="2071" t="n"/>
    </row>
    <row r="26">
      <c r="A26" s="2002" t="n"/>
      <c r="B26" s="2002" t="n"/>
      <c r="C26" s="2002" t="n"/>
      <c r="D26" s="2002" t="n"/>
      <c r="F26" s="2066" t="n"/>
      <c r="G26" s="2073" t="n"/>
      <c r="H26" s="2059" t="n"/>
      <c r="K26" s="1888" t="inlineStr">
        <is>
          <t>Champion du parent</t>
        </is>
      </c>
      <c r="O26" s="691" t="n"/>
      <c r="P26" s="2059" t="n"/>
      <c r="Q26" s="684" t="n"/>
      <c r="S26" s="2071" t="n"/>
      <c r="T26" s="2071" t="n"/>
      <c r="U26" s="2071" t="n"/>
      <c r="V26" s="2071" t="n"/>
      <c r="W26" s="2071" t="n"/>
      <c r="X26" s="2071" t="n"/>
    </row>
    <row r="27" ht="51" customHeight="1">
      <c r="A27" s="2002" t="n"/>
      <c r="B27" s="2002" t="n"/>
      <c r="C27" s="2002" t="n"/>
      <c r="D27" s="2002" t="n"/>
      <c r="F27" s="2066" t="n"/>
      <c r="G27" s="2002" t="inlineStr">
        <is>
          <t>PFA23</t>
        </is>
      </c>
      <c r="H27" s="13" t="inlineStr">
        <is>
          <t>Dans quelle mesure diriez-vous que l'identité et la valeur sociale de l'autre parent passe par sa paternité ou sa maternité?</t>
        </is>
      </c>
      <c r="K27" s="597" t="inlineStr">
        <is>
          <t>E10</t>
        </is>
      </c>
      <c r="L27" s="597" t="inlineStr">
        <is>
          <t>Dans quelle mesure cet énoncé s'applique à votre situation? Votre enfant cherche à vous convaincre des qualités de l’autre parent.</t>
        </is>
      </c>
      <c r="M27" s="684" t="inlineStr">
        <is>
          <t>C: Chantage affectif, loyauté, manipulation</t>
        </is>
      </c>
      <c r="O27" s="691" t="n"/>
      <c r="P27" s="2059" t="n"/>
      <c r="Q27" s="684" t="n"/>
    </row>
    <row r="28" ht="68" customHeight="1">
      <c r="A28" s="2002" t="n"/>
      <c r="B28" s="2002" t="n"/>
      <c r="C28" s="2002" t="n"/>
      <c r="D28" s="2002" t="n"/>
      <c r="F28" s="2066" t="n"/>
      <c r="G28" s="2002" t="inlineStr">
        <is>
          <t>PFA23a</t>
        </is>
      </c>
      <c r="H28" s="2066" t="inlineStr">
        <is>
          <t>Quelle est la probabilité de l'énoncé suivant? L'autre parent s'invite dans l'univers social de l'enfant.</t>
        </is>
      </c>
      <c r="K28" t="inlineStr">
        <is>
          <t>E04</t>
        </is>
      </c>
      <c r="L28" s="13" t="inlineStr">
        <is>
          <t xml:space="preserve">Dans quelle mesure êtes-vous d'accord avec l'énoncé suivant ? Votre enfant défend systématiquement l'autre parent, quoi que vous fassiez, quoi que vous disiez. </t>
        </is>
      </c>
      <c r="M28" t="inlineStr">
        <is>
          <t>A:Alliance</t>
        </is>
      </c>
      <c r="O28" s="691" t="n"/>
      <c r="P28" s="2059" t="n"/>
      <c r="Q28" s="684" t="n"/>
    </row>
    <row r="29" ht="68" customHeight="1">
      <c r="A29" s="2002" t="n"/>
      <c r="B29" s="2002" t="n"/>
      <c r="C29" s="2002" t="n"/>
      <c r="D29" s="2002" t="n"/>
      <c r="F29" s="2066" t="n"/>
      <c r="G29" s="2002">
        <f>BIBLE!E118</f>
        <v/>
      </c>
      <c r="H29" s="13">
        <f>BIBLE!F118</f>
        <v/>
      </c>
      <c r="K29" t="inlineStr">
        <is>
          <t>E04a</t>
        </is>
      </c>
      <c r="L29" s="13" t="inlineStr">
        <is>
          <t>Dans quelle mesure êtes-vous d'accord avec l'énoncé suivant? Aux yeux de votre enfant, tout ce que fait l'autre parent est bien, voire parfait, et tout ce que vous faites est mauvais ou sujet à critiques.</t>
        </is>
      </c>
      <c r="M29" t="inlineStr">
        <is>
          <t>A:Alliance</t>
        </is>
      </c>
      <c r="O29" s="691" t="n"/>
      <c r="P29" s="2059" t="n"/>
      <c r="Q29" s="684" t="n"/>
    </row>
    <row r="30">
      <c r="A30" s="2002" t="n"/>
      <c r="B30" s="2002" t="n"/>
      <c r="C30" s="2002" t="n"/>
      <c r="D30" s="2002" t="n"/>
      <c r="F30" s="2066" t="n"/>
      <c r="O30" s="691" t="n"/>
      <c r="P30" s="2059" t="n"/>
      <c r="Q30" s="684" t="n"/>
    </row>
    <row r="31" ht="33" customHeight="1">
      <c r="A31" s="2002" t="n"/>
      <c r="B31" s="2002" t="n"/>
      <c r="C31" s="2002" t="n"/>
      <c r="D31" s="2002" t="n"/>
      <c r="F31" s="2066" t="n"/>
      <c r="K31" s="1888" t="inlineStr">
        <is>
          <t>Comportements adultoides</t>
        </is>
      </c>
      <c r="L31" s="2059" t="n"/>
    </row>
    <row r="32" ht="54" customHeight="1">
      <c r="A32" s="17" t="n"/>
      <c r="B32" s="2002" t="n"/>
      <c r="C32" s="2002" t="n"/>
      <c r="D32" s="2002" t="n"/>
      <c r="F32" s="2066" t="n"/>
      <c r="I32" s="1557" t="n"/>
      <c r="K32" s="597" t="inlineStr">
        <is>
          <t>E05</t>
        </is>
      </c>
      <c r="L32" s="597" t="inlineStr">
        <is>
          <t>Dans quelle mesure diriez-vous que votre enfant s’exprime avec des expressions ou des paroles empruntées à l’autre parent?</t>
        </is>
      </c>
      <c r="M32" s="2059" t="inlineStr">
        <is>
          <t>A:Alliance</t>
        </is>
      </c>
      <c r="O32" s="691" t="n"/>
      <c r="P32" s="2059" t="n"/>
      <c r="Q32" s="684" t="n"/>
      <c r="S32" s="13" t="n"/>
      <c r="T32" s="13" t="n"/>
      <c r="U32" s="13" t="n"/>
      <c r="V32" s="13" t="n"/>
      <c r="W32" s="13" t="n"/>
      <c r="X32" s="13" t="n"/>
    </row>
    <row r="33" ht="64" customHeight="1">
      <c r="A33" s="2002" t="n"/>
      <c r="B33" s="2002" t="n"/>
      <c r="C33" s="2002" t="n"/>
      <c r="D33" s="2002" t="n"/>
      <c r="F33" s="2066" t="n"/>
      <c r="I33" s="1557" t="n"/>
      <c r="K33" s="597" t="inlineStr">
        <is>
          <t>E31</t>
        </is>
      </c>
      <c r="L33" s="597" t="inlineStr">
        <is>
          <t xml:space="preserve">Évaluez la fréquence et l'intensité de l'énoncé : votre enfant calque les désirs et les paroles de l’autre parent. </t>
        </is>
      </c>
      <c r="M33" s="597" t="inlineStr">
        <is>
          <t>H: Rôle actif, Réponse au CC, r</t>
        </is>
      </c>
      <c r="O33" s="691" t="n"/>
      <c r="P33" s="2059" t="n"/>
      <c r="Q33" s="684" t="n"/>
      <c r="U33" s="106" t="n"/>
      <c r="V33" s="1040" t="n"/>
      <c r="W33" s="106" t="n"/>
      <c r="X33" s="106" t="n"/>
    </row>
    <row r="34" ht="66" customHeight="1">
      <c r="A34" s="2002" t="n"/>
      <c r="B34" s="2002" t="n"/>
      <c r="C34" s="2002" t="n"/>
      <c r="D34" s="2002" t="n"/>
      <c r="F34" s="2066" t="n"/>
      <c r="I34" s="1557" t="n"/>
      <c r="K34" s="597" t="inlineStr">
        <is>
          <t>E29</t>
        </is>
      </c>
      <c r="L34" s="597" t="inlineStr">
        <is>
          <t>Dans quelle mesure diriez-vous que votre enfant a changé ou adapté ses champs d’intérêts pour partager de plus en plus les intérêts de l’autre parent?</t>
        </is>
      </c>
      <c r="M34" s="597" t="inlineStr">
        <is>
          <t>H: Rôle actif, Réponse au CC, r</t>
        </is>
      </c>
      <c r="O34" s="691" t="n"/>
      <c r="P34" s="2059" t="n"/>
      <c r="Q34" s="684" t="n"/>
      <c r="U34" s="106" t="n"/>
      <c r="V34" s="1040" t="n"/>
      <c r="X34" s="1040" t="n"/>
    </row>
    <row r="35" ht="51" customHeight="1">
      <c r="A35" s="2002" t="n"/>
      <c r="B35" s="2002" t="n"/>
      <c r="C35" s="2002" t="n"/>
      <c r="D35" s="2002" t="n"/>
      <c r="F35" s="2066" t="n"/>
      <c r="I35" s="1557" t="n"/>
      <c r="K35" s="1649" t="inlineStr">
        <is>
          <t>E29a</t>
        </is>
      </c>
      <c r="L35" s="1649" t="inlineStr">
        <is>
          <t>Évaluez la fréquence et l'intensité de l'énoncé : votre enfant rejette de plus en plus vos valeurs et vos champs d’intérêts.</t>
        </is>
      </c>
      <c r="M35" s="13" t="inlineStr">
        <is>
          <t>H: Rôle actif, Réponse au CC, r</t>
        </is>
      </c>
      <c r="O35" s="691" t="n"/>
      <c r="P35" s="2059" t="n"/>
      <c r="Q35" s="684" t="n"/>
    </row>
    <row r="36" ht="60" customHeight="1">
      <c r="A36" s="2002" t="n"/>
      <c r="B36" s="2002" t="n"/>
      <c r="C36" s="2002" t="n"/>
      <c r="D36" s="2002" t="n"/>
      <c r="F36" s="2066" t="n"/>
      <c r="I36" s="1557" t="n"/>
      <c r="K36" s="1887" t="inlineStr">
        <is>
          <t>Comportement arrivée-départ</t>
        </is>
      </c>
      <c r="O36" s="691" t="n"/>
      <c r="P36" s="2059" t="n"/>
      <c r="Q36" s="684" t="n"/>
    </row>
    <row r="37" ht="51" customHeight="1">
      <c r="A37" s="2002" t="n"/>
      <c r="B37" s="2002" t="n"/>
      <c r="C37" s="2002" t="n"/>
      <c r="D37" s="2002" t="n"/>
      <c r="F37" s="2066" t="n"/>
      <c r="K37" s="2073" t="inlineStr">
        <is>
          <t>E15</t>
        </is>
      </c>
      <c r="L37" s="2059" t="inlineStr">
        <is>
          <t>Évaluez l'intensité et la fréquence de l'énoncé : il arrive à votre enfant d'être agressif envers vous à son retour d'un séjour chez l'autre parent.</t>
        </is>
      </c>
      <c r="M37" s="684" t="inlineStr">
        <is>
          <t>D: Dénigrement</t>
        </is>
      </c>
      <c r="O37" s="691" t="n"/>
      <c r="P37" s="2059" t="n"/>
      <c r="Q37" s="684" t="n"/>
    </row>
    <row r="38" ht="68" customHeight="1">
      <c r="A38" s="2002" t="n"/>
      <c r="B38" s="2002" t="n"/>
      <c r="C38" s="2002" t="n"/>
      <c r="D38" s="2002" t="n"/>
      <c r="F38" s="2066" t="n"/>
      <c r="I38" s="684" t="n"/>
      <c r="K38" s="2073" t="inlineStr">
        <is>
          <t>E37</t>
        </is>
      </c>
      <c r="L38" s="2059" t="inlineStr">
        <is>
          <t>Dans quelle mesure notez-vous un changement au niveau du comportement de votre enfant au moment de retouner chez l'autre parent (changement de garde)?</t>
        </is>
      </c>
      <c r="M38" s="684" t="n"/>
      <c r="O38" s="691" t="n"/>
      <c r="P38" s="2059" t="n"/>
      <c r="Q38" s="684" t="n"/>
    </row>
    <row r="39">
      <c r="A39" s="2002" t="n"/>
      <c r="B39" s="2002" t="n"/>
      <c r="C39" s="2002" t="n"/>
      <c r="D39" s="2002" t="n"/>
      <c r="F39" s="2066" t="n"/>
      <c r="O39" s="691" t="n"/>
      <c r="P39" s="2059" t="n"/>
      <c r="Q39" s="684" t="n"/>
    </row>
    <row r="40">
      <c r="A40" s="2002" t="n"/>
      <c r="B40" s="2002" t="n"/>
      <c r="C40" s="2002" t="n"/>
      <c r="D40" s="2002" t="n"/>
      <c r="F40" s="2066" t="n"/>
      <c r="O40" s="691" t="n"/>
      <c r="P40" s="2059" t="n"/>
      <c r="Q40" s="684" t="n"/>
    </row>
    <row r="41">
      <c r="A41" s="2002" t="n"/>
      <c r="B41" s="2002" t="n"/>
      <c r="C41" s="2002" t="n"/>
      <c r="D41" s="2002" t="n"/>
      <c r="F41" s="2066" t="n"/>
      <c r="O41" s="691" t="n"/>
      <c r="P41" s="2059" t="n"/>
      <c r="Q41" s="684" t="n"/>
    </row>
    <row r="42" ht="50" customHeight="1">
      <c r="A42" s="2002" t="n"/>
      <c r="B42" s="2002" t="n"/>
      <c r="C42" s="2002" t="n"/>
      <c r="D42" s="2002" t="n"/>
      <c r="F42" s="2066" t="n"/>
      <c r="G42" s="2073" t="n"/>
      <c r="H42" s="2059" t="n"/>
      <c r="O42" s="691" t="n"/>
      <c r="P42" s="2059" t="n"/>
      <c r="Q42" s="684" t="n"/>
    </row>
    <row r="43">
      <c r="A43" s="2002" t="n"/>
      <c r="B43" s="2002" t="n"/>
      <c r="C43" s="2002" t="n"/>
      <c r="D43" s="2002" t="n"/>
      <c r="F43" s="2066" t="n"/>
      <c r="G43" s="2073" t="n"/>
      <c r="H43" s="2059" t="n"/>
      <c r="O43" s="691" t="n"/>
      <c r="P43" s="2059" t="n"/>
      <c r="Q43" s="684" t="n"/>
    </row>
    <row r="44">
      <c r="A44" s="2002" t="n"/>
      <c r="B44" s="2002" t="n"/>
      <c r="C44" s="2002" t="n"/>
      <c r="D44" s="2002" t="n"/>
      <c r="F44" s="2066" t="n"/>
      <c r="G44" s="2073" t="n"/>
      <c r="H44" s="2059" t="n"/>
      <c r="I44" s="684" t="n"/>
      <c r="O44" s="691" t="n"/>
      <c r="P44" s="2059" t="n"/>
      <c r="Q44" s="684" t="n"/>
    </row>
    <row r="45">
      <c r="A45" s="2002" t="n"/>
      <c r="B45" s="2002" t="n"/>
      <c r="C45" s="2002" t="n"/>
      <c r="D45" s="2002" t="n"/>
      <c r="F45" s="2066" t="n"/>
      <c r="G45" s="2073" t="n"/>
      <c r="H45" s="2059" t="n"/>
      <c r="I45" s="684" t="n"/>
      <c r="K45" s="2073" t="n"/>
      <c r="L45" s="2059" t="n"/>
      <c r="M45" s="684" t="n"/>
      <c r="O45" s="691" t="n"/>
      <c r="P45" s="2059" t="n"/>
      <c r="Q45" s="684" t="n"/>
    </row>
    <row r="46">
      <c r="A46" s="2002" t="n"/>
      <c r="B46" s="2002" t="n"/>
      <c r="C46" s="2002" t="n"/>
      <c r="D46" s="2002" t="n"/>
      <c r="F46" s="2066" t="n"/>
      <c r="O46" s="691" t="n"/>
      <c r="P46" s="2059" t="n"/>
      <c r="Q46" s="684" t="n"/>
    </row>
    <row r="47" ht="59" customHeight="1">
      <c r="A47" s="2002" t="n"/>
      <c r="B47" s="2002" t="n"/>
      <c r="C47" s="2002" t="n"/>
      <c r="D47" s="2002" t="n"/>
      <c r="F47" s="2066" t="n"/>
      <c r="G47" s="2073" t="n"/>
      <c r="H47" s="2059" t="n"/>
      <c r="I47" s="683" t="n"/>
    </row>
    <row r="48">
      <c r="A48" s="2002" t="n"/>
      <c r="B48" s="2002" t="n"/>
      <c r="C48" s="2002" t="n"/>
      <c r="D48" s="2002" t="n"/>
      <c r="F48" s="2066" t="n"/>
      <c r="G48" s="2073" t="n"/>
      <c r="H48" s="2059" t="n"/>
      <c r="I48" s="683" t="n"/>
      <c r="O48" s="691" t="n"/>
      <c r="P48" s="2059" t="n"/>
      <c r="Q48" s="684" t="n"/>
    </row>
    <row r="49">
      <c r="A49" s="2002" t="n"/>
      <c r="B49" s="2002" t="n"/>
      <c r="C49" s="2002" t="n"/>
      <c r="D49" s="2002" t="n"/>
      <c r="F49" s="2066" t="n"/>
      <c r="O49" s="691" t="n"/>
      <c r="P49" s="2059" t="n"/>
      <c r="Q49" s="684" t="n"/>
    </row>
    <row r="50">
      <c r="A50" s="2002" t="n"/>
      <c r="B50" s="2002" t="n"/>
      <c r="C50" s="2002" t="n"/>
      <c r="D50" s="2002" t="n"/>
      <c r="F50" s="2066" t="n"/>
      <c r="O50" s="691" t="n"/>
      <c r="P50" s="2059" t="n"/>
      <c r="Q50" s="684" t="n"/>
    </row>
    <row r="51">
      <c r="A51" s="2002" t="n"/>
      <c r="B51" s="2002" t="n"/>
      <c r="C51" s="2002" t="n"/>
      <c r="D51" s="2002" t="n"/>
      <c r="F51" s="2066" t="n"/>
    </row>
    <row r="56">
      <c r="O56" s="691" t="n"/>
      <c r="P56" s="1849" t="n"/>
      <c r="Q56" s="684" t="n"/>
    </row>
    <row r="57">
      <c r="O57" s="691" t="n"/>
      <c r="P57" s="2059" t="n"/>
      <c r="Q57" s="684" t="n"/>
    </row>
  </sheetData>
  <mergeCells count="7">
    <mergeCell ref="A21:A23"/>
    <mergeCell ref="C21:C23"/>
    <mergeCell ref="S24:X24"/>
    <mergeCell ref="F4:F5"/>
    <mergeCell ref="D4:D5"/>
    <mergeCell ref="S3:U3"/>
    <mergeCell ref="F7:F8"/>
  </mergeCells>
  <pageMargins left="0.7" right="0.7" top="0.75" bottom="0.75" header="0.3" footer="0.3"/>
  <pageSetup orientation="landscape" scale="30" fitToHeight="2" horizontalDpi="0" verticalDpi="0"/>
</worksheet>
</file>

<file path=xl/worksheets/sheet17.xml><?xml version="1.0" encoding="utf-8"?>
<worksheet xmlns="http://schemas.openxmlformats.org/spreadsheetml/2006/main">
  <sheetPr>
    <outlinePr summaryBelow="1" summaryRight="1"/>
    <pageSetUpPr/>
  </sheetPr>
  <dimension ref="A1:AK369"/>
  <sheetViews>
    <sheetView topLeftCell="A332" zoomScale="90" zoomScaleNormal="90" workbookViewId="0">
      <selection activeCell="G342" sqref="G342"/>
    </sheetView>
  </sheetViews>
  <sheetFormatPr baseColWidth="10" defaultRowHeight="16"/>
  <cols>
    <col width="5.6640625" customWidth="1" min="1" max="1"/>
    <col width="61.83203125" customWidth="1" min="3" max="3"/>
    <col hidden="1" width="24.1640625" customWidth="1" min="4" max="4"/>
    <col hidden="1" min="11" max="14"/>
    <col hidden="1" min="21" max="21"/>
    <col hidden="1" width="6.5" customWidth="1" min="22" max="27"/>
    <col hidden="1" min="28" max="28"/>
    <col width="6.33203125" customWidth="1" min="29" max="34"/>
    <col width="7.1640625" customWidth="1" min="35" max="37"/>
    <col width="4.1640625" customWidth="1" min="38" max="38"/>
  </cols>
  <sheetData>
    <row r="1" ht="27" customHeight="1">
      <c r="AH1" s="3" t="n"/>
      <c r="AI1" s="2074" t="inlineStr">
        <is>
          <t>Thème générateur de</t>
        </is>
      </c>
    </row>
    <row r="2" ht="27" customHeight="1">
      <c r="AA2" s="1533" t="inlineStr">
        <is>
          <t>Comportements indépendants</t>
        </is>
      </c>
      <c r="AB2" s="10" t="n"/>
      <c r="AC2" s="10" t="n"/>
      <c r="AD2" s="10" t="n"/>
      <c r="AE2" s="1030" t="n"/>
      <c r="AF2" s="1030" t="inlineStr">
        <is>
          <t>AP</t>
        </is>
      </c>
      <c r="AG2" s="1030" t="inlineStr">
        <is>
          <t>CL</t>
        </is>
      </c>
      <c r="AH2" s="1030" t="inlineStr">
        <is>
          <t>CSS</t>
        </is>
      </c>
      <c r="AI2" s="2045" t="inlineStr">
        <is>
          <t>AP</t>
        </is>
      </c>
      <c r="AJ2" s="2045" t="inlineStr">
        <is>
          <t>CL</t>
        </is>
      </c>
      <c r="AK2" s="2045" t="inlineStr">
        <is>
          <t>CSS</t>
        </is>
      </c>
    </row>
    <row r="3" ht="27" customHeight="1">
      <c r="AA3" s="10" t="n"/>
      <c r="AB3" s="10" t="n"/>
      <c r="AC3" s="10" t="n"/>
      <c r="AD3" s="10" t="n"/>
      <c r="AE3" s="10" t="inlineStr">
        <is>
          <t>Binaire</t>
        </is>
      </c>
      <c r="AF3" s="1029">
        <f>AD181+AD200+AD220+AD240+AD260+AD280+AD300+AD320</f>
        <v/>
      </c>
      <c r="AG3" s="1029">
        <f>AF181+AF200+AF220+AF240+AF260+AF280+AF300+AF320</f>
        <v/>
      </c>
      <c r="AH3" s="1029">
        <f>AH181+AH200+AH220+AH240+AH260+AH280+AH300+AH320</f>
        <v/>
      </c>
      <c r="AI3" s="10" t="n"/>
      <c r="AJ3" s="10" t="n"/>
      <c r="AK3" s="10" t="n"/>
    </row>
    <row r="4">
      <c r="AA4" s="10" t="n"/>
      <c r="AB4" s="10" t="n"/>
      <c r="AC4" s="10" t="n"/>
      <c r="AD4" s="10" t="n"/>
      <c r="AE4" s="10" t="inlineStr">
        <is>
          <t>Boosté</t>
        </is>
      </c>
      <c r="AF4" s="1029">
        <f>AD182+AD201+AD221+AD241+AD261+AD281+AD301+AD321</f>
        <v/>
      </c>
      <c r="AG4" s="10" t="n"/>
      <c r="AH4" s="10" t="n"/>
      <c r="AI4" s="10" t="n"/>
      <c r="AJ4" s="10" t="n"/>
      <c r="AK4" s="10" t="n"/>
    </row>
    <row r="5">
      <c r="AA5" s="10" t="n"/>
      <c r="AB5" s="10" t="n"/>
      <c r="AC5" s="10" t="n"/>
      <c r="AD5" s="1031" t="inlineStr">
        <is>
          <t># total de thèmes</t>
        </is>
      </c>
      <c r="AE5" s="1031" t="n"/>
      <c r="AF5" s="1029">
        <f>SUM(AI181:AI320)</f>
        <v/>
      </c>
      <c r="AG5" s="1029">
        <f>SUM(AJ181:AJ320)</f>
        <v/>
      </c>
      <c r="AH5" s="1029">
        <f>SUM(AK181:AK320)</f>
        <v/>
      </c>
      <c r="AI5" s="21" t="n"/>
      <c r="AJ5" s="21" t="n"/>
      <c r="AK5" s="21" t="n"/>
    </row>
    <row r="6">
      <c r="AI6" s="10" t="n"/>
      <c r="AJ6" s="10" t="n"/>
      <c r="AK6" s="10" t="n"/>
    </row>
    <row r="7">
      <c r="AC7" s="1371" t="n"/>
      <c r="AD7" s="1371" t="n"/>
      <c r="AE7" s="1371" t="n"/>
      <c r="AF7" s="1371" t="n"/>
      <c r="AG7" s="1371" t="n"/>
      <c r="AI7" s="10" t="n"/>
      <c r="AJ7" s="10" t="n"/>
      <c r="AK7" s="10" t="n"/>
    </row>
    <row r="8" ht="24" customHeight="1">
      <c r="AC8" s="1750" t="n"/>
      <c r="AD8" s="1371" t="n"/>
      <c r="AE8" s="1371" t="n"/>
      <c r="AF8" s="1371" t="n"/>
      <c r="AG8" s="1371" t="n"/>
      <c r="AH8" s="1371" t="n"/>
      <c r="AI8" s="10" t="n"/>
      <c r="AJ8" s="10" t="n"/>
      <c r="AK8" s="10" t="n"/>
    </row>
    <row r="9">
      <c r="AC9" s="1371" t="n"/>
      <c r="AD9" s="1371" t="n"/>
      <c r="AE9" s="1371" t="n"/>
      <c r="AF9" s="1371" t="n"/>
      <c r="AG9" s="1371" t="n"/>
      <c r="AH9" s="1371" t="n"/>
      <c r="AI9" s="10" t="n"/>
      <c r="AJ9" s="10" t="n"/>
      <c r="AK9" s="10" t="n"/>
    </row>
    <row r="10" ht="29" customHeight="1">
      <c r="A10" s="686" t="n"/>
      <c r="B10" s="477" t="inlineStr">
        <is>
          <t>Comportements indépendants</t>
        </is>
      </c>
      <c r="E10" s="1755" t="inlineStr">
        <is>
          <t>Comportements indépendants des parents non-étudiés en AP, CL, CSS (Seuls les comportements de l'enfant fait) - Valider</t>
        </is>
      </c>
      <c r="AC10" s="1371" t="n"/>
      <c r="AD10" s="1371" t="n"/>
      <c r="AE10" s="1371" t="n"/>
      <c r="AF10" s="1371" t="n"/>
      <c r="AG10" s="1371" t="n"/>
      <c r="AH10" s="1371" t="n"/>
      <c r="AI10" s="10" t="n"/>
      <c r="AJ10" s="10" t="n"/>
      <c r="AK10" s="10" t="n"/>
    </row>
    <row r="11" ht="26" customHeight="1">
      <c r="A11" s="686" t="n"/>
      <c r="D11" s="109" t="n"/>
      <c r="E11" s="2060" t="inlineStr">
        <is>
          <t>COMBINAISONS</t>
        </is>
      </c>
      <c r="J11" s="2060" t="n"/>
      <c r="K11" s="2060" t="n"/>
      <c r="L11" s="2060" t="n"/>
      <c r="M11" s="2060" t="n"/>
      <c r="N11" s="2060" t="n"/>
      <c r="O11" s="2060" t="n"/>
      <c r="P11" s="2060" t="n"/>
      <c r="Q11" s="2060" t="n"/>
      <c r="R11" s="2060" t="n"/>
      <c r="S11" s="2060" t="n"/>
      <c r="T11" s="2060" t="n"/>
      <c r="U11" s="97" t="n"/>
      <c r="V11" s="97" t="n"/>
      <c r="AC11" s="1371" t="n"/>
      <c r="AD11" s="1371" t="n"/>
      <c r="AE11" s="1371" t="n"/>
      <c r="AF11" s="1371" t="n"/>
      <c r="AG11" s="1371" t="n"/>
      <c r="AH11" s="1371" t="n"/>
      <c r="AI11" s="10" t="n"/>
      <c r="AJ11" s="10" t="n"/>
      <c r="AK11" s="10" t="n"/>
    </row>
    <row r="12" ht="26" customHeight="1">
      <c r="A12" s="1601" t="n">
        <v>1</v>
      </c>
      <c r="C12" s="486">
        <f>'CPTS indépendants'!F4</f>
        <v/>
      </c>
      <c r="D12" s="108" t="n"/>
      <c r="E12" s="66" t="n"/>
      <c r="F12" s="18" t="n"/>
      <c r="G12" s="18" t="n"/>
      <c r="H12" s="67" t="n"/>
      <c r="I12" s="67" t="n"/>
      <c r="J12" s="67" t="n"/>
      <c r="K12" s="67" t="n"/>
      <c r="L12" s="67" t="n"/>
      <c r="M12" s="67" t="n"/>
      <c r="N12" s="67" t="n"/>
      <c r="O12" s="67" t="n"/>
      <c r="P12" s="67" t="n"/>
      <c r="Q12" s="67" t="n"/>
      <c r="R12" s="67" t="n"/>
      <c r="S12" s="67" t="n"/>
      <c r="T12" s="67" t="n"/>
      <c r="U12" s="15" t="n"/>
      <c r="V12" s="15" t="n"/>
      <c r="AH12" s="2089" t="n"/>
      <c r="AI12" s="10" t="n"/>
      <c r="AJ12" s="10" t="n"/>
      <c r="AK12" s="10" t="n"/>
    </row>
    <row r="13" ht="68" customHeight="1">
      <c r="A13" s="1602" t="n"/>
      <c r="C13" s="103" t="inlineStr">
        <is>
          <t>Questions et sous-questions</t>
        </is>
      </c>
      <c r="D13" s="1043" t="n"/>
      <c r="E13" s="33" t="inlineStr">
        <is>
          <t>Valeur de base
Fréquence (F)</t>
        </is>
      </c>
      <c r="F13" s="33" t="inlineStr">
        <is>
          <t>Valeur de base
intensité (I)</t>
        </is>
      </c>
      <c r="G13" s="33" t="inlineStr">
        <is>
          <t>F * I</t>
        </is>
      </c>
      <c r="H13" s="44" t="inlineStr">
        <is>
          <t>Condition Fréq. 
&gt;= que</t>
        </is>
      </c>
      <c r="I13" s="44" t="inlineStr">
        <is>
          <t>Condition Fré
&lt;= que</t>
        </is>
      </c>
      <c r="J13" s="44" t="inlineStr">
        <is>
          <t>Condition respectée</t>
        </is>
      </c>
      <c r="K13" s="44" t="n"/>
      <c r="L13" s="44" t="n"/>
      <c r="M13" s="44" t="n"/>
      <c r="N13" s="44" t="n"/>
      <c r="O13" s="44" t="n"/>
      <c r="P13" s="44" t="n"/>
      <c r="Q13" s="44" t="n"/>
      <c r="R13" s="44" t="n"/>
      <c r="S13" s="44" t="n"/>
      <c r="T13" s="44" t="n"/>
      <c r="U13" s="851" t="n"/>
      <c r="V13" s="1008" t="n"/>
      <c r="W13" s="851" t="n"/>
      <c r="X13" s="1008" t="n"/>
      <c r="Y13" s="851" t="n"/>
      <c r="Z13" s="1008" t="n"/>
      <c r="AA13" s="851" t="n"/>
      <c r="AC13" s="1985" t="n"/>
      <c r="AD13" s="1985" t="n"/>
      <c r="AE13" s="1985" t="n"/>
      <c r="AF13" s="1985" t="n"/>
      <c r="AG13" s="1985" t="n"/>
      <c r="AH13" s="1985" t="n"/>
      <c r="AI13" s="10" t="n"/>
      <c r="AJ13" s="10" t="n"/>
      <c r="AK13" s="10" t="n"/>
    </row>
    <row r="14" ht="26" customHeight="1">
      <c r="A14" s="1602" t="n"/>
      <c r="B14" s="421" t="n"/>
      <c r="C14" s="2066" t="n"/>
      <c r="D14" s="102" t="n"/>
      <c r="E14" s="823" t="n"/>
      <c r="F14" s="822" t="n"/>
      <c r="G14" s="823" t="n"/>
      <c r="H14" s="30" t="n"/>
      <c r="I14" s="30" t="n"/>
      <c r="J14" s="46" t="n"/>
      <c r="K14" s="46" t="n"/>
      <c r="L14" s="46" t="n"/>
      <c r="M14" s="46" t="n"/>
      <c r="N14" s="46" t="n"/>
      <c r="O14" s="46" t="n"/>
      <c r="P14" s="46" t="n"/>
      <c r="Q14" s="46" t="n"/>
      <c r="R14" s="46" t="n"/>
      <c r="S14" s="46" t="n"/>
      <c r="T14" s="46" t="n"/>
      <c r="U14" s="978" t="n"/>
      <c r="V14" s="978" t="n"/>
      <c r="W14" s="1512" t="n"/>
      <c r="X14" s="1512" t="n"/>
      <c r="Y14" s="1512" t="n"/>
      <c r="Z14" s="1512" t="n"/>
      <c r="AA14" s="1512" t="n"/>
      <c r="AC14" s="2002" t="n"/>
      <c r="AD14" s="2002" t="n"/>
      <c r="AE14" s="2002" t="n"/>
      <c r="AF14" s="2002" t="n"/>
      <c r="AG14" s="2002" t="n"/>
      <c r="AH14" s="2002" t="n"/>
      <c r="AI14" s="10" t="n"/>
      <c r="AJ14" s="10" t="n"/>
      <c r="AK14" s="10" t="n"/>
    </row>
    <row r="15" ht="26" customHeight="1">
      <c r="A15" s="1602" t="n"/>
      <c r="B15" s="421" t="n"/>
      <c r="C15" s="2066" t="n"/>
      <c r="D15" s="102" t="n"/>
      <c r="E15" s="823" t="n"/>
      <c r="F15" s="822" t="n"/>
      <c r="G15" s="823" t="n"/>
      <c r="H15" s="30" t="n"/>
      <c r="I15" s="30" t="n"/>
      <c r="J15" s="46" t="n"/>
      <c r="K15" s="46" t="n"/>
      <c r="L15" s="46" t="n"/>
      <c r="M15" s="46" t="n"/>
      <c r="N15" s="46" t="n"/>
      <c r="O15" s="46" t="n"/>
      <c r="P15" s="46" t="n"/>
      <c r="Q15" s="46" t="n"/>
      <c r="R15" s="46" t="n"/>
      <c r="S15" s="46" t="n"/>
      <c r="T15" s="46" t="n"/>
      <c r="U15" s="978" t="n"/>
      <c r="V15" s="978" t="n"/>
      <c r="W15" s="1512" t="n"/>
      <c r="X15" s="1512" t="n"/>
      <c r="Y15" s="1512" t="n"/>
      <c r="Z15" s="1512" t="n"/>
      <c r="AA15" s="1512" t="n"/>
      <c r="AC15" s="2002" t="n"/>
      <c r="AD15" s="2002" t="n"/>
      <c r="AE15" s="2002" t="n"/>
      <c r="AF15" s="2002" t="n"/>
      <c r="AG15" s="2002" t="n"/>
      <c r="AH15" s="2002" t="n"/>
      <c r="AI15" s="10" t="n"/>
      <c r="AJ15" s="10" t="n"/>
      <c r="AK15" s="10" t="n"/>
    </row>
    <row r="16" ht="26" customHeight="1">
      <c r="A16" s="1602" t="n"/>
      <c r="B16" s="825" t="n"/>
      <c r="C16" s="826" t="n"/>
      <c r="D16" s="827" t="n"/>
      <c r="E16" s="828" t="n"/>
      <c r="F16" s="828" t="n"/>
      <c r="G16" s="828" t="n"/>
      <c r="H16" s="829" t="n"/>
      <c r="I16" s="829" t="n"/>
      <c r="J16" s="830" t="n"/>
      <c r="K16" s="46" t="n"/>
      <c r="L16" s="46" t="n"/>
      <c r="M16" s="46" t="n"/>
      <c r="N16" s="46" t="n"/>
      <c r="O16" s="46" t="n"/>
      <c r="P16" s="46" t="n"/>
      <c r="Q16" s="46" t="n"/>
      <c r="R16" s="46" t="n"/>
      <c r="S16" s="46" t="n"/>
      <c r="T16" s="46" t="n"/>
      <c r="U16" s="978" t="n"/>
      <c r="V16" s="978" t="n"/>
      <c r="W16" s="287" t="n"/>
      <c r="X16" s="287" t="n"/>
      <c r="Y16" s="287" t="n"/>
      <c r="Z16" s="287" t="n"/>
      <c r="AA16" s="287" t="n"/>
      <c r="AC16" s="2002" t="n"/>
      <c r="AD16" s="2002" t="n"/>
      <c r="AE16" s="2002" t="n"/>
      <c r="AF16" s="2002" t="n"/>
      <c r="AG16" s="2002" t="n"/>
      <c r="AH16" s="2002" t="n"/>
      <c r="AI16" s="10" t="n"/>
      <c r="AJ16" s="10" t="n"/>
      <c r="AK16" s="10" t="n"/>
    </row>
    <row r="17" ht="26" customHeight="1">
      <c r="A17" s="1602" t="n"/>
      <c r="B17" s="53" t="n"/>
      <c r="C17" s="2066" t="n"/>
      <c r="D17" s="102" t="n"/>
      <c r="E17" s="823" t="n"/>
      <c r="F17" s="822" t="n"/>
      <c r="G17" s="823" t="n"/>
      <c r="H17" s="30" t="n"/>
      <c r="I17" s="30" t="n"/>
      <c r="J17" s="46" t="n"/>
      <c r="K17" s="46" t="n"/>
      <c r="L17" s="46" t="n"/>
      <c r="M17" s="46" t="n"/>
      <c r="N17" s="46" t="n"/>
      <c r="O17" s="46" t="n"/>
      <c r="P17" s="46" t="n"/>
      <c r="Q17" s="46" t="n"/>
      <c r="R17" s="46" t="n"/>
      <c r="S17" s="46" t="n"/>
      <c r="T17" s="46" t="n"/>
      <c r="U17" s="978" t="n"/>
      <c r="V17" s="978" t="n"/>
      <c r="W17" s="1512" t="n"/>
      <c r="X17" s="1512" t="n"/>
      <c r="Y17" s="1512" t="n"/>
      <c r="Z17" s="1512" t="n"/>
      <c r="AA17" s="1512" t="n"/>
      <c r="AC17" s="2002" t="n"/>
      <c r="AD17" s="2002" t="n"/>
      <c r="AE17" s="2002" t="n"/>
      <c r="AF17" s="2002" t="n"/>
      <c r="AG17" s="2002" t="n"/>
      <c r="AH17" s="2002" t="n"/>
      <c r="AI17" s="10" t="n"/>
      <c r="AJ17" s="10" t="n"/>
      <c r="AK17" s="10" t="n"/>
    </row>
    <row r="18" ht="26" customHeight="1">
      <c r="A18" s="1602" t="n"/>
      <c r="B18" s="53" t="n"/>
      <c r="C18" s="2066" t="n"/>
      <c r="D18" s="63" t="n"/>
      <c r="E18" s="36" t="n"/>
      <c r="F18" s="36" t="n"/>
      <c r="G18" s="36" t="n"/>
      <c r="H18" s="30" t="n"/>
      <c r="I18" s="30" t="n"/>
      <c r="J18" s="46" t="n"/>
      <c r="K18" s="46" t="n"/>
      <c r="L18" s="46" t="n"/>
      <c r="M18" s="46" t="n"/>
      <c r="N18" s="46" t="n"/>
      <c r="O18" s="46" t="n"/>
      <c r="P18" s="46" t="n"/>
      <c r="Q18" s="46" t="n"/>
      <c r="R18" s="46" t="n"/>
      <c r="S18" s="46" t="n"/>
      <c r="T18" s="46" t="n"/>
      <c r="U18" s="978" t="n"/>
      <c r="V18" s="978" t="n"/>
      <c r="W18" s="1512" t="n"/>
      <c r="X18" s="1512" t="n"/>
      <c r="Y18" s="1512" t="n"/>
      <c r="Z18" s="1512" t="n"/>
      <c r="AA18" s="1512" t="n"/>
      <c r="AC18" s="2002" t="n"/>
      <c r="AD18" s="2002" t="n"/>
      <c r="AE18" s="2002" t="n"/>
      <c r="AF18" s="2002" t="n"/>
      <c r="AG18" s="2002" t="n"/>
      <c r="AH18" s="2002" t="n"/>
      <c r="AI18" s="10" t="n"/>
      <c r="AJ18" s="10" t="n"/>
      <c r="AK18" s="10" t="n"/>
    </row>
    <row r="19" ht="27" customHeight="1" thickBot="1">
      <c r="A19" s="1602" t="n"/>
      <c r="B19" s="831" t="n"/>
      <c r="C19" s="832" t="n"/>
      <c r="D19" s="833" t="n"/>
      <c r="E19" s="834" t="n"/>
      <c r="F19" s="834" t="n"/>
      <c r="G19" s="834" t="n"/>
      <c r="H19" s="835" t="n"/>
      <c r="I19" s="835" t="n"/>
      <c r="J19" s="836" t="n"/>
      <c r="K19" s="46" t="n"/>
      <c r="L19" s="46" t="n"/>
      <c r="M19" s="46" t="n"/>
      <c r="N19" s="46" t="n"/>
      <c r="O19" s="46" t="n"/>
      <c r="P19" s="46" t="n"/>
      <c r="Q19" s="46" t="n"/>
      <c r="R19" s="46" t="n"/>
      <c r="S19" s="46" t="n"/>
      <c r="T19" s="46" t="n"/>
      <c r="U19" s="978" t="n"/>
      <c r="V19" s="978" t="n"/>
      <c r="W19" s="2002" t="n"/>
      <c r="X19" s="2002" t="n"/>
      <c r="Y19" s="2002" t="n"/>
      <c r="Z19" s="2002" t="n"/>
      <c r="AA19" s="2002" t="n"/>
      <c r="AC19" s="2002" t="n"/>
      <c r="AD19" s="2002" t="n"/>
      <c r="AE19" s="2002" t="n"/>
      <c r="AF19" s="2002" t="n"/>
      <c r="AG19" s="2002" t="n"/>
      <c r="AH19" s="2002" t="n"/>
      <c r="AI19" s="10" t="n"/>
      <c r="AJ19" s="10" t="n"/>
      <c r="AK19" s="10" t="n"/>
    </row>
    <row r="20" ht="27" customHeight="1" thickBot="1">
      <c r="A20" s="1602" t="n"/>
      <c r="B20" s="837" t="n"/>
      <c r="C20" s="838" t="n"/>
      <c r="D20" s="838" t="n"/>
      <c r="E20" s="839" t="n"/>
      <c r="F20" s="839" t="n"/>
      <c r="G20" s="839" t="n"/>
      <c r="H20" s="840" t="n"/>
      <c r="I20" s="840" t="n"/>
      <c r="J20" s="841" t="n"/>
      <c r="K20" s="1698" t="n"/>
      <c r="L20" s="1698" t="n"/>
      <c r="M20" s="1698" t="n"/>
      <c r="N20" s="1698" t="n"/>
      <c r="O20" s="1698" t="n"/>
      <c r="P20" s="1698" t="n"/>
      <c r="Q20" s="1698" t="n"/>
      <c r="R20" s="1698" t="n"/>
      <c r="S20" s="1698" t="n"/>
      <c r="T20" s="1698" t="n"/>
      <c r="U20" s="978" t="n"/>
      <c r="V20" s="978" t="n"/>
      <c r="W20" s="2002" t="n"/>
      <c r="X20" s="2002" t="n"/>
      <c r="Y20" s="2002" t="n"/>
      <c r="Z20" s="2002" t="n"/>
      <c r="AA20" s="2002" t="n"/>
      <c r="AC20" s="2002" t="n"/>
      <c r="AD20" s="2002" t="n"/>
      <c r="AE20" s="2002" t="n"/>
      <c r="AF20" s="2002" t="n"/>
      <c r="AG20" s="2002" t="n"/>
      <c r="AH20" s="2002" t="n"/>
      <c r="AI20" s="10" t="n"/>
      <c r="AJ20" s="10" t="n"/>
      <c r="AK20" s="10" t="n"/>
    </row>
    <row r="21" ht="26" customHeight="1">
      <c r="A21" s="1602" t="n"/>
      <c r="B21" s="316" t="n"/>
      <c r="C21" s="2066" t="n"/>
      <c r="D21" s="63" t="n"/>
      <c r="E21" s="823" t="n"/>
      <c r="F21" s="822" t="n"/>
      <c r="G21" s="823" t="n"/>
      <c r="H21" s="30" t="n"/>
      <c r="I21" s="30" t="n"/>
      <c r="J21" s="46" t="n"/>
      <c r="K21" s="46" t="n"/>
      <c r="L21" s="46" t="n"/>
      <c r="M21" s="46" t="n"/>
      <c r="N21" s="46" t="n"/>
      <c r="O21" s="46" t="n"/>
      <c r="P21" s="46" t="n"/>
      <c r="Q21" s="46" t="n"/>
      <c r="R21" s="46" t="n"/>
      <c r="S21" s="46" t="n"/>
      <c r="T21" s="46" t="n"/>
      <c r="U21" s="978" t="n"/>
      <c r="V21" s="978" t="n"/>
      <c r="W21" s="1512" t="n"/>
      <c r="X21" s="1512" t="n"/>
      <c r="Y21" s="1512" t="n"/>
      <c r="Z21" s="1512" t="n"/>
      <c r="AA21" s="1512" t="n"/>
      <c r="AC21" s="2002" t="n"/>
      <c r="AD21" s="2002" t="n"/>
      <c r="AE21" s="2002" t="n"/>
      <c r="AF21" s="2002" t="n"/>
      <c r="AG21" s="2002" t="n"/>
      <c r="AH21" s="2002" t="n"/>
      <c r="AI21" s="10" t="n"/>
      <c r="AJ21" s="10" t="n"/>
      <c r="AK21" s="10" t="n"/>
    </row>
    <row r="22" ht="27" customHeight="1" thickBot="1">
      <c r="A22" s="1602" t="n"/>
      <c r="B22" s="316" t="n"/>
      <c r="C22" s="799" t="n"/>
      <c r="D22" s="63" t="n"/>
      <c r="E22" s="823" t="n"/>
      <c r="F22" s="822" t="n"/>
      <c r="G22" s="823" t="n"/>
      <c r="H22" s="30" t="n"/>
      <c r="I22" s="30" t="n"/>
      <c r="J22" s="46" t="n"/>
      <c r="K22" s="46" t="n"/>
      <c r="L22" s="46" t="n"/>
      <c r="M22" s="46" t="n"/>
      <c r="N22" s="46" t="n"/>
      <c r="O22" s="46" t="n"/>
      <c r="P22" s="46" t="n"/>
      <c r="Q22" s="46" t="n"/>
      <c r="R22" s="46" t="n"/>
      <c r="S22" s="46" t="n"/>
      <c r="T22" s="46" t="n"/>
      <c r="U22" s="978" t="n"/>
      <c r="V22" s="978" t="n"/>
      <c r="W22" s="1512" t="n"/>
      <c r="X22" s="1512" t="n"/>
      <c r="Y22" s="1512" t="n"/>
      <c r="Z22" s="1512" t="n"/>
      <c r="AA22" s="1512" t="n"/>
      <c r="AC22" s="2002" t="n"/>
      <c r="AD22" s="2002" t="n"/>
      <c r="AE22" s="2002" t="n"/>
      <c r="AF22" s="2002" t="n"/>
      <c r="AG22" s="2002" t="n"/>
      <c r="AH22" s="2002" t="n"/>
      <c r="AI22" s="10" t="n"/>
      <c r="AJ22" s="10" t="n"/>
      <c r="AK22" s="10" t="n"/>
    </row>
    <row r="23" ht="27" customHeight="1" thickBot="1">
      <c r="A23" s="1602" t="n"/>
      <c r="B23" s="842" t="n"/>
      <c r="C23" s="843" t="n"/>
      <c r="D23" s="843" t="n"/>
      <c r="E23" s="844" t="n"/>
      <c r="F23" s="844" t="n"/>
      <c r="G23" s="844" t="n"/>
      <c r="H23" s="845" t="n"/>
      <c r="I23" s="845" t="n"/>
      <c r="J23" s="846" t="n"/>
      <c r="K23" s="1699" t="n"/>
      <c r="L23" s="1699" t="n"/>
      <c r="M23" s="1699" t="n"/>
      <c r="N23" s="1699" t="n"/>
      <c r="O23" s="1699" t="n"/>
      <c r="P23" s="1699" t="n"/>
      <c r="Q23" s="1699" t="n"/>
      <c r="R23" s="1699" t="n"/>
      <c r="S23" s="1699" t="n"/>
      <c r="T23" s="1699" t="n"/>
      <c r="U23" s="978" t="n"/>
      <c r="V23" s="978" t="n"/>
      <c r="AC23" s="2002" t="n"/>
      <c r="AD23" s="2002" t="n"/>
      <c r="AE23" s="2002" t="n"/>
      <c r="AF23" s="2002" t="n"/>
      <c r="AG23" s="2002" t="n"/>
      <c r="AH23" s="2002" t="n"/>
      <c r="AI23" s="10" t="n"/>
      <c r="AJ23" s="10" t="n"/>
      <c r="AK23" s="10" t="n"/>
    </row>
    <row r="24" ht="26" customHeight="1">
      <c r="A24" s="1602" t="n"/>
      <c r="C24" s="428" t="inlineStr">
        <is>
          <t>COMPARATIF Comportement PFA-Enf</t>
        </is>
      </c>
      <c r="D24" s="2058" t="n"/>
      <c r="E24" s="484" t="n"/>
      <c r="F24" s="48" t="n"/>
      <c r="G24" s="48" t="n"/>
      <c r="H24" s="485" t="n"/>
      <c r="I24" s="485" t="n"/>
      <c r="J24" s="1701" t="n"/>
      <c r="K24" s="1701" t="n"/>
      <c r="L24" s="1701" t="n"/>
      <c r="M24" s="1701" t="n"/>
      <c r="N24" s="1701" t="n"/>
      <c r="O24" s="1701" t="n"/>
      <c r="P24" s="1701" t="n"/>
      <c r="Q24" s="1701" t="n"/>
      <c r="R24" s="1701" t="n"/>
      <c r="S24" s="1701" t="n"/>
      <c r="T24" s="1701" t="n"/>
      <c r="U24" s="1754" t="n"/>
      <c r="V24" s="980" t="n"/>
      <c r="AC24" s="2002" t="n"/>
      <c r="AD24" s="2002" t="n"/>
      <c r="AE24" s="2002" t="n"/>
      <c r="AF24" s="2002" t="n"/>
      <c r="AG24" s="2002" t="n"/>
      <c r="AH24" s="2002" t="n"/>
      <c r="AI24" s="10" t="n"/>
      <c r="AJ24" s="10" t="n"/>
      <c r="AK24" s="10" t="n"/>
    </row>
    <row r="25" ht="26" customHeight="1">
      <c r="A25" s="1602" t="n"/>
      <c r="B25" t="inlineStr">
        <is>
          <t>PCR</t>
        </is>
      </c>
      <c r="AC25" s="2002" t="n"/>
      <c r="AD25" s="2002" t="n"/>
      <c r="AE25" s="2002" t="n"/>
      <c r="AF25" s="2002" t="n"/>
      <c r="AG25" s="2002" t="n"/>
      <c r="AH25" s="2002" t="n"/>
      <c r="AI25" s="10" t="n"/>
      <c r="AJ25" s="10" t="n"/>
      <c r="AK25" s="10" t="n"/>
    </row>
    <row r="26" ht="34" customHeight="1">
      <c r="A26" s="1602" t="n"/>
      <c r="B26" s="1017">
        <f>'CPTS indépendants'!S4</f>
        <v/>
      </c>
      <c r="C26" s="1044">
        <f>Test_Bible!B109</f>
        <v/>
      </c>
      <c r="D26" s="1018" t="n"/>
      <c r="E26" s="1020">
        <f>Test_Bible!P109</f>
        <v/>
      </c>
      <c r="F26" s="1019">
        <f>Test_Bible!D109</f>
        <v/>
      </c>
      <c r="G26" s="1020">
        <f>E26*F26</f>
        <v/>
      </c>
      <c r="H26" s="1021" t="n"/>
      <c r="I26" s="1021" t="n"/>
      <c r="J26" s="1022" t="n"/>
      <c r="K26" s="1022" t="n"/>
      <c r="L26" s="1022" t="n"/>
      <c r="M26" s="1022" t="n"/>
      <c r="N26" s="1022" t="n"/>
      <c r="O26" s="1022" t="n"/>
      <c r="P26" s="1022" t="n"/>
      <c r="Q26" s="1022" t="n"/>
      <c r="R26" s="1022" t="n"/>
      <c r="S26" s="1022" t="n"/>
      <c r="T26" s="1022" t="n"/>
      <c r="U26" s="978" t="n"/>
      <c r="V26" s="1751" t="n"/>
      <c r="W26" s="2002" t="n"/>
      <c r="X26" s="1512" t="n"/>
      <c r="Y26" s="1512" t="n"/>
      <c r="Z26" s="1512" t="n"/>
      <c r="AA26" s="2002" t="n"/>
      <c r="AC26" s="2002" t="n"/>
      <c r="AD26" s="2002" t="n"/>
      <c r="AE26" s="2002" t="n"/>
      <c r="AF26" s="2002" t="n"/>
      <c r="AG26" s="2002" t="n"/>
      <c r="AH26" s="2002" t="n"/>
      <c r="AI26" s="10" t="n"/>
      <c r="AJ26" s="10" t="n"/>
      <c r="AK26" s="10" t="n"/>
    </row>
    <row r="27" ht="34" customHeight="1">
      <c r="A27" s="1602" t="n"/>
      <c r="B27" s="22">
        <f>'CPTS indépendants'!S5</f>
        <v/>
      </c>
      <c r="C27" s="799">
        <f>Test_Bible!B110</f>
        <v/>
      </c>
      <c r="D27" s="302" t="n"/>
      <c r="E27" s="928">
        <f>Test_Bible!P110</f>
        <v/>
      </c>
      <c r="F27" s="555">
        <f>Test_Bible!D110</f>
        <v/>
      </c>
      <c r="G27" s="928">
        <f>E27*F27</f>
        <v/>
      </c>
      <c r="H27" s="1599" t="n"/>
      <c r="I27" s="1599" t="n"/>
      <c r="J27" s="1600" t="n"/>
      <c r="K27" s="1600" t="n"/>
      <c r="L27" s="1600" t="n"/>
      <c r="M27" s="1600" t="n"/>
      <c r="N27" s="1600" t="n"/>
      <c r="O27" s="1600" t="n"/>
      <c r="P27" s="1600" t="n"/>
      <c r="Q27" s="1600" t="n"/>
      <c r="R27" s="1600" t="n"/>
      <c r="S27" s="1600" t="n"/>
      <c r="T27" s="1600" t="n"/>
      <c r="U27" s="978" t="n"/>
      <c r="V27" s="1751" t="n"/>
      <c r="W27" s="2002" t="n"/>
      <c r="X27" s="1512" t="n"/>
      <c r="Y27" s="1512" t="n"/>
      <c r="Z27" s="1512" t="n"/>
      <c r="AA27" s="2002" t="n"/>
      <c r="AC27" s="2002" t="n"/>
      <c r="AD27" s="2002" t="n"/>
      <c r="AE27" s="2002" t="n"/>
      <c r="AF27" s="2002" t="n"/>
      <c r="AG27" s="2002" t="n"/>
      <c r="AH27" s="2002" t="n"/>
      <c r="AI27" s="10" t="n"/>
      <c r="AJ27" s="10" t="n"/>
      <c r="AK27" s="10" t="n"/>
    </row>
    <row r="28" ht="26" customHeight="1">
      <c r="A28" s="686" t="n"/>
      <c r="D28" s="847" t="n"/>
      <c r="E28" s="97" t="n"/>
      <c r="F28" s="97" t="n"/>
      <c r="G28" s="97" t="n"/>
      <c r="H28" s="97" t="n"/>
      <c r="I28" s="97" t="n"/>
      <c r="J28" s="97" t="n"/>
      <c r="K28" s="97" t="n"/>
      <c r="L28" s="97" t="n"/>
      <c r="M28" s="97" t="n"/>
      <c r="N28" s="97" t="n"/>
      <c r="O28" s="97" t="n"/>
      <c r="P28" s="97" t="n"/>
      <c r="Q28" s="97" t="n"/>
      <c r="R28" s="97" t="n"/>
      <c r="S28" s="97" t="n"/>
      <c r="T28" s="97" t="n"/>
      <c r="U28" s="97" t="n"/>
      <c r="AC28" s="1490" t="n"/>
      <c r="AD28" s="1490" t="n"/>
      <c r="AE28" s="1490" t="n"/>
      <c r="AF28" s="1490" t="n"/>
      <c r="AG28" s="1490" t="n"/>
      <c r="AH28" s="1490" t="n"/>
      <c r="AI28" s="10" t="n"/>
      <c r="AJ28" s="10" t="n"/>
      <c r="AK28" s="10" t="n"/>
    </row>
    <row r="29" ht="26" customHeight="1">
      <c r="A29" s="686" t="n"/>
      <c r="D29" s="847" t="n"/>
      <c r="E29" s="97" t="n"/>
      <c r="F29" s="97" t="n"/>
      <c r="G29" s="97" t="n"/>
      <c r="H29" s="97" t="n"/>
      <c r="I29" s="97" t="n"/>
      <c r="J29" s="97" t="n"/>
      <c r="K29" s="97" t="n"/>
      <c r="L29" s="97" t="n"/>
      <c r="M29" s="97" t="n"/>
      <c r="N29" s="97" t="n"/>
      <c r="O29" s="97" t="n"/>
      <c r="P29" s="97" t="n"/>
      <c r="Q29" s="97" t="n"/>
      <c r="R29" s="97" t="n"/>
      <c r="S29" s="97" t="n"/>
      <c r="T29" s="97" t="n"/>
      <c r="U29" s="97" t="n"/>
      <c r="AC29" t="inlineStr">
        <is>
          <t>Indice de répartition AP - CL</t>
        </is>
      </c>
      <c r="AH29" s="167">
        <f>'Constat Final'!V15</f>
        <v/>
      </c>
      <c r="AI29" s="10" t="n"/>
      <c r="AJ29" s="10" t="n"/>
      <c r="AK29" s="10" t="n"/>
    </row>
    <row r="30" ht="26" customHeight="1">
      <c r="A30" s="686" t="n"/>
      <c r="D30" s="847" t="n"/>
      <c r="E30" s="97" t="n"/>
      <c r="F30" s="97" t="n"/>
      <c r="G30" s="97" t="n"/>
      <c r="H30" s="97" t="n"/>
      <c r="I30" s="97" t="n"/>
      <c r="J30" s="97" t="n"/>
      <c r="K30" s="97" t="n"/>
      <c r="L30" s="97" t="n"/>
      <c r="M30" s="97" t="n"/>
      <c r="N30" s="97" t="n"/>
      <c r="O30" s="97" t="n"/>
      <c r="P30" s="97" t="n"/>
      <c r="Q30" s="97" t="n"/>
      <c r="R30" s="97" t="n"/>
      <c r="S30" s="97" t="n"/>
      <c r="T30" s="97" t="n"/>
      <c r="U30" s="97" t="n"/>
      <c r="AC30" s="1490" t="inlineStr">
        <is>
          <t xml:space="preserve">Si le PFA a des comportements aliénants, </t>
        </is>
      </c>
      <c r="AD30" s="1490" t="n"/>
      <c r="AE30" s="1490" t="n"/>
      <c r="AF30" s="1490" t="n"/>
      <c r="AG30" s="1490" t="n"/>
      <c r="AH30" s="1490" t="n"/>
      <c r="AI30" s="10" t="n"/>
      <c r="AJ30" s="10" t="n"/>
      <c r="AK30" s="10" t="n"/>
    </row>
    <row r="31" ht="26" customHeight="1">
      <c r="A31" s="1601" t="n">
        <v>2</v>
      </c>
      <c r="C31" s="486">
        <f>'CPTS indépendants'!F7</f>
        <v/>
      </c>
      <c r="D31" s="108" t="n"/>
      <c r="E31" s="66" t="n"/>
      <c r="F31" s="18" t="n"/>
      <c r="G31" s="18" t="n"/>
      <c r="H31" s="2052" t="inlineStr">
        <is>
          <t>AP</t>
        </is>
      </c>
      <c r="K31" s="2055" t="inlineStr">
        <is>
          <t>Dynamique d'AP</t>
        </is>
      </c>
      <c r="N31" s="330" t="n"/>
      <c r="O31" s="2122" t="inlineStr">
        <is>
          <t>CL</t>
        </is>
      </c>
      <c r="Q31" s="330" t="n"/>
      <c r="R31" s="2123" t="inlineStr">
        <is>
          <t>CSS</t>
        </is>
      </c>
      <c r="T31" s="330" t="n"/>
      <c r="U31" s="1753" t="n"/>
      <c r="V31" s="15" t="n"/>
      <c r="AC31" s="1009" t="n"/>
      <c r="AD31" s="1009" t="n"/>
      <c r="AE31" s="1009" t="n"/>
      <c r="AF31" s="1009" t="n"/>
      <c r="AG31" s="1009" t="n"/>
      <c r="AH31" s="1010" t="n"/>
      <c r="AI31" s="10" t="n"/>
      <c r="AJ31" s="10" t="n"/>
      <c r="AK31" s="10" t="n"/>
    </row>
    <row r="32" ht="68" customHeight="1">
      <c r="A32" s="1602" t="n"/>
      <c r="C32" s="103" t="inlineStr">
        <is>
          <t>Questions et sous-questions</t>
        </is>
      </c>
      <c r="D32" s="1043" t="n"/>
      <c r="E32" s="33" t="inlineStr">
        <is>
          <t>Valeur de base
Fréquence (F)</t>
        </is>
      </c>
      <c r="F32" s="33" t="inlineStr">
        <is>
          <t>Valeur de base
intensité (I)</t>
        </is>
      </c>
      <c r="G32" s="33" t="inlineStr">
        <is>
          <t>F * I</t>
        </is>
      </c>
      <c r="H32" s="1708" t="inlineStr">
        <is>
          <t>Condition Fréq. 
&gt;= que</t>
        </is>
      </c>
      <c r="I32" s="44" t="inlineStr">
        <is>
          <t>Condition Fré
&lt;= que</t>
        </is>
      </c>
      <c r="J32" s="44" t="inlineStr">
        <is>
          <t>Condition respectée</t>
        </is>
      </c>
      <c r="K32" s="44" t="n"/>
      <c r="L32" s="44" t="n"/>
      <c r="M32" s="44" t="n"/>
      <c r="N32" s="1709" t="n"/>
      <c r="O32" s="1708" t="inlineStr">
        <is>
          <t>Condition Fréq. 
&gt;= que</t>
        </is>
      </c>
      <c r="P32" s="44" t="inlineStr">
        <is>
          <t>Condition Fré
&lt;= que</t>
        </is>
      </c>
      <c r="Q32" s="1709" t="inlineStr">
        <is>
          <t>Condition respectée</t>
        </is>
      </c>
      <c r="R32" s="1708" t="inlineStr">
        <is>
          <t>Condition Fréq. 
&gt;= que</t>
        </is>
      </c>
      <c r="S32" s="44" t="inlineStr">
        <is>
          <t>Condition Fré
&lt;= que</t>
        </is>
      </c>
      <c r="T32" s="1709" t="inlineStr">
        <is>
          <t>Condition respectée</t>
        </is>
      </c>
      <c r="U32" s="851" t="n"/>
      <c r="V32" s="1008" t="inlineStr">
        <is>
          <t>Condition</t>
        </is>
      </c>
      <c r="W32" s="1472" t="inlineStr">
        <is>
          <t>AP</t>
        </is>
      </c>
      <c r="X32" s="1008" t="inlineStr">
        <is>
          <t>Condition</t>
        </is>
      </c>
      <c r="Y32" s="1476" t="inlineStr">
        <is>
          <t>CL</t>
        </is>
      </c>
      <c r="Z32" s="1008" t="inlineStr">
        <is>
          <t>Condition</t>
        </is>
      </c>
      <c r="AA32" s="1480" t="inlineStr">
        <is>
          <t>CSS</t>
        </is>
      </c>
      <c r="AC32" s="1023" t="inlineStr">
        <is>
          <t>AP</t>
        </is>
      </c>
      <c r="AD32" s="1024" t="inlineStr">
        <is>
          <t>AP_F</t>
        </is>
      </c>
      <c r="AE32" s="1023" t="inlineStr">
        <is>
          <t>CL</t>
        </is>
      </c>
      <c r="AF32" s="1024" t="inlineStr">
        <is>
          <t>CL_F</t>
        </is>
      </c>
      <c r="AG32" s="1023" t="inlineStr">
        <is>
          <t>CSS</t>
        </is>
      </c>
      <c r="AH32" s="1024" t="inlineStr">
        <is>
          <t>CSS_F</t>
        </is>
      </c>
      <c r="AI32" s="10" t="n"/>
      <c r="AJ32" s="10" t="n"/>
      <c r="AK32" s="10" t="n"/>
    </row>
    <row r="33" ht="51" customHeight="1">
      <c r="A33" s="1604" t="n"/>
      <c r="B33" s="421">
        <f>'CPTS indépendants'!G7</f>
        <v/>
      </c>
      <c r="C33" s="2066">
        <f>Test_Bible!B195</f>
        <v/>
      </c>
      <c r="D33" s="102" t="n"/>
      <c r="E33" s="823">
        <f>Test_Bible!P195</f>
        <v/>
      </c>
      <c r="F33" s="822">
        <f>Test_Bible!D195</f>
        <v/>
      </c>
      <c r="G33" s="823">
        <f>E33*F33</f>
        <v/>
      </c>
      <c r="H33" s="1710" t="n">
        <v>2</v>
      </c>
      <c r="I33" s="1703" t="n">
        <v>10</v>
      </c>
      <c r="J33" s="46">
        <f>IF(AND(E33&gt;=H33,E33&lt;=I33),TRUE,FALSE)</f>
        <v/>
      </c>
      <c r="K33" s="46" t="n"/>
      <c r="L33" s="46" t="n"/>
      <c r="M33" s="46" t="n"/>
      <c r="N33" s="1711" t="n"/>
      <c r="O33" s="1735" t="n">
        <v>11</v>
      </c>
      <c r="P33" s="1736" t="n">
        <v>11</v>
      </c>
      <c r="Q33" s="1711">
        <f>IF(AND(E33&gt;=O33,E33&lt;=P33),TRUE,FALSE)</f>
        <v/>
      </c>
      <c r="R33" s="1735" t="n">
        <v>11</v>
      </c>
      <c r="S33" s="1736" t="n">
        <v>11</v>
      </c>
      <c r="T33" s="1711">
        <f>IF(AND(E33&gt;=R33,E33&lt;=S33),TRUE,FALSE)</f>
        <v/>
      </c>
      <c r="U33" s="978" t="n"/>
      <c r="V33" s="1484" t="n"/>
      <c r="W33" s="1485" t="n">
        <v>2</v>
      </c>
      <c r="X33" s="2029" t="n"/>
      <c r="Y33" s="1505" t="n">
        <v>11</v>
      </c>
      <c r="Z33" s="2029" t="n"/>
      <c r="AA33" s="1497" t="n">
        <v>11</v>
      </c>
      <c r="AC33" s="1011" t="n"/>
      <c r="AD33" s="1012" t="n"/>
      <c r="AE33" s="1011" t="n"/>
      <c r="AF33" s="1012" t="n"/>
      <c r="AG33" s="1011" t="n"/>
      <c r="AH33" s="1012" t="n"/>
      <c r="AI33" s="10" t="n"/>
      <c r="AJ33" s="10" t="n"/>
      <c r="AK33" s="10" t="n"/>
    </row>
    <row r="34" ht="51" customHeight="1">
      <c r="A34" s="1605" t="n"/>
      <c r="B34" s="421">
        <f>'CPTS indépendants'!G8</f>
        <v/>
      </c>
      <c r="C34" s="2066">
        <f>Test_Bible!B196</f>
        <v/>
      </c>
      <c r="D34" s="102" t="n"/>
      <c r="E34" s="823">
        <f>Test_Bible!P196</f>
        <v/>
      </c>
      <c r="F34" s="822">
        <f>Test_Bible!D196</f>
        <v/>
      </c>
      <c r="G34" s="823">
        <f>E34*F34</f>
        <v/>
      </c>
      <c r="H34" s="1710" t="n">
        <v>2</v>
      </c>
      <c r="I34" s="1703" t="n">
        <v>10</v>
      </c>
      <c r="J34" s="46">
        <f>IF(AND(E34&gt;=H34,E34&lt;=I34),TRUE,FALSE)</f>
        <v/>
      </c>
      <c r="K34" s="46" t="n"/>
      <c r="L34" s="46" t="n"/>
      <c r="M34" s="46" t="n"/>
      <c r="N34" s="1711" t="n"/>
      <c r="O34" s="1735" t="n">
        <v>11</v>
      </c>
      <c r="P34" s="1736" t="n">
        <v>11</v>
      </c>
      <c r="Q34" s="1711">
        <f>IF(AND(E34&gt;=O34,E34&lt;=P34),TRUE,FALSE)</f>
        <v/>
      </c>
      <c r="R34" s="1735" t="n">
        <v>11</v>
      </c>
      <c r="S34" s="1736" t="n">
        <v>11</v>
      </c>
      <c r="T34" s="1711">
        <f>IF(AND(E34&gt;=R34,E34&lt;=S34),TRUE,FALSE)</f>
        <v/>
      </c>
      <c r="U34" s="978" t="n"/>
      <c r="V34" s="1487" t="inlineStr">
        <is>
          <t>ou</t>
        </is>
      </c>
      <c r="W34" s="1492" t="n">
        <v>2</v>
      </c>
      <c r="X34" s="1493" t="n"/>
      <c r="Y34" s="1508" t="n">
        <v>11</v>
      </c>
      <c r="Z34" s="1493" t="n"/>
      <c r="AA34" s="1502" t="n">
        <v>11</v>
      </c>
      <c r="AC34" s="1013" t="n"/>
      <c r="AD34" s="1014" t="n"/>
      <c r="AE34" s="1013" t="n"/>
      <c r="AF34" s="1014" t="n"/>
      <c r="AG34" s="1013" t="n"/>
      <c r="AH34" s="1014" t="n"/>
      <c r="AI34" s="10" t="n"/>
      <c r="AJ34" s="10" t="n"/>
      <c r="AK34" s="10" t="n"/>
    </row>
    <row r="35" ht="26" customHeight="1">
      <c r="A35" s="1604" t="n"/>
      <c r="B35" s="825" t="n"/>
      <c r="C35" s="826" t="n"/>
      <c r="D35" s="827" t="n"/>
      <c r="E35" s="828" t="n"/>
      <c r="F35" s="828" t="n"/>
      <c r="G35" s="828" t="n"/>
      <c r="H35" s="1712" t="n"/>
      <c r="I35" s="829" t="n"/>
      <c r="J35" s="830">
        <f>IF(AND(J33=FALSE,J34=FALSE),FALSE,TRUE)</f>
        <v/>
      </c>
      <c r="K35" s="46" t="n"/>
      <c r="L35" s="46" t="n"/>
      <c r="M35" s="46" t="n"/>
      <c r="N35" s="1711" t="n"/>
      <c r="O35" s="1712" t="n"/>
      <c r="P35" s="829" t="n"/>
      <c r="Q35" s="1725">
        <f>IF(AND(Q33=FALSE,Q34=FALSE),FALSE,TRUE)</f>
        <v/>
      </c>
      <c r="R35" s="1712" t="n"/>
      <c r="S35" s="829" t="n"/>
      <c r="T35" s="1725">
        <f>IF(AND(T33=FALSE,T34=FALSE),FALSE,TRUE)</f>
        <v/>
      </c>
      <c r="U35" s="978" t="n"/>
      <c r="V35" s="978" t="inlineStr">
        <is>
          <t>ou</t>
        </is>
      </c>
      <c r="W35" s="1473" t="n"/>
      <c r="X35" s="2002" t="n"/>
      <c r="Y35" s="1478" t="n"/>
      <c r="Z35" s="2002" t="n"/>
      <c r="AA35" s="1482" t="n"/>
      <c r="AC35" s="1013" t="n"/>
      <c r="AD35" s="1014" t="n"/>
      <c r="AE35" s="1013" t="n"/>
      <c r="AF35" s="1014" t="n"/>
      <c r="AG35" s="1013" t="n"/>
      <c r="AH35" s="1014" t="n"/>
      <c r="AI35" s="10" t="n"/>
      <c r="AJ35" s="10" t="n"/>
      <c r="AK35" s="10" t="n"/>
    </row>
    <row r="36" ht="68" customHeight="1">
      <c r="A36" s="1602" t="n"/>
      <c r="B36" s="53">
        <f>'CPTS indépendants'!K8</f>
        <v/>
      </c>
      <c r="C36" s="2066">
        <f>Test_Bible!B408</f>
        <v/>
      </c>
      <c r="D36" s="102" t="n"/>
      <c r="E36" s="823" t="n"/>
      <c r="F36" s="822" t="n"/>
      <c r="G36" s="823" t="n"/>
      <c r="H36" s="1710" t="n">
        <v>2</v>
      </c>
      <c r="I36" s="1703" t="n">
        <v>10</v>
      </c>
      <c r="J36" s="46">
        <f>IF(AND(E36&gt;=H36,E36&lt;=I36),TRUE,FALSE)</f>
        <v/>
      </c>
      <c r="K36" s="46" t="n"/>
      <c r="L36" s="46" t="n"/>
      <c r="M36" s="46" t="n"/>
      <c r="N36" s="1711" t="n"/>
      <c r="O36" s="1735" t="n">
        <v>11</v>
      </c>
      <c r="P36" s="1736" t="n">
        <v>11</v>
      </c>
      <c r="Q36" s="1711">
        <f>IF(AND(E36&gt;=O36,E36&lt;=P36),TRUE,FALSE)</f>
        <v/>
      </c>
      <c r="R36" s="1735" t="n">
        <v>11</v>
      </c>
      <c r="S36" s="1736" t="n">
        <v>11</v>
      </c>
      <c r="T36" s="1711">
        <f>IF(AND(E36&gt;=R36,E36&lt;=S36),TRUE,FALSE)</f>
        <v/>
      </c>
      <c r="U36" s="978" t="n"/>
      <c r="V36" s="1484" t="n"/>
      <c r="W36" s="1485" t="n">
        <v>2</v>
      </c>
      <c r="X36" s="1504" t="n"/>
      <c r="Y36" s="1505" t="n">
        <v>11</v>
      </c>
      <c r="Z36" s="1504" t="n"/>
      <c r="AA36" s="1497" t="n">
        <v>11</v>
      </c>
      <c r="AC36" s="1013" t="n"/>
      <c r="AD36" s="1014" t="n"/>
      <c r="AE36" s="1013" t="n"/>
      <c r="AF36" s="1014" t="n"/>
      <c r="AG36" s="1013" t="n"/>
      <c r="AH36" s="1014" t="n"/>
      <c r="AI36" s="10" t="n"/>
      <c r="AJ36" s="10" t="n"/>
      <c r="AK36" s="10" t="n"/>
    </row>
    <row r="37" ht="26" customHeight="1">
      <c r="A37" s="1602" t="n"/>
      <c r="B37" s="53" t="n"/>
      <c r="C37" s="2066" t="n"/>
      <c r="D37" s="63" t="n"/>
      <c r="E37" s="36" t="n"/>
      <c r="F37" s="36" t="n"/>
      <c r="G37" s="36" t="n"/>
      <c r="H37" s="1735" t="n">
        <v>11</v>
      </c>
      <c r="I37" s="1736" t="n">
        <v>11</v>
      </c>
      <c r="J37" s="46">
        <f>IF(AND(E37&gt;=H37,E37&lt;=I37),TRUE,FALSE)</f>
        <v/>
      </c>
      <c r="K37" s="46" t="n"/>
      <c r="L37" s="46" t="n"/>
      <c r="M37" s="46" t="n"/>
      <c r="N37" s="1711" t="n"/>
      <c r="O37" s="1735" t="n">
        <v>11</v>
      </c>
      <c r="P37" s="1736" t="n">
        <v>11</v>
      </c>
      <c r="Q37" s="1711">
        <f>IF(AND(E37&gt;=O37,E37&lt;=P37),TRUE,FALSE)</f>
        <v/>
      </c>
      <c r="R37" s="1735" t="n">
        <v>11</v>
      </c>
      <c r="S37" s="1736" t="n">
        <v>11</v>
      </c>
      <c r="T37" s="1711">
        <f>IF(AND(E37&gt;=R37,E37&lt;=S37),TRUE,FALSE)</f>
        <v/>
      </c>
      <c r="U37" s="978" t="n"/>
      <c r="V37" s="1487" t="inlineStr">
        <is>
          <t>ou</t>
        </is>
      </c>
      <c r="W37" s="1506" t="n">
        <v>11</v>
      </c>
      <c r="X37" s="1507" t="n"/>
      <c r="Y37" s="1508" t="n">
        <v>11</v>
      </c>
      <c r="Z37" s="1507" t="n"/>
      <c r="AA37" s="1502" t="n">
        <v>11</v>
      </c>
      <c r="AC37" s="1013" t="n"/>
      <c r="AD37" s="1014" t="n"/>
      <c r="AE37" s="1013" t="n"/>
      <c r="AF37" s="1014" t="n"/>
      <c r="AG37" s="1013" t="n"/>
      <c r="AH37" s="1014" t="n"/>
      <c r="AI37" s="10" t="n"/>
      <c r="AJ37" s="10" t="n"/>
      <c r="AK37" s="10" t="n"/>
    </row>
    <row r="38" ht="27" customHeight="1" thickBot="1">
      <c r="A38" s="1602" t="n"/>
      <c r="B38" s="831" t="n"/>
      <c r="C38" s="832" t="n"/>
      <c r="D38" s="833" t="n"/>
      <c r="E38" s="834" t="n"/>
      <c r="F38" s="834" t="n"/>
      <c r="G38" s="834" t="n"/>
      <c r="H38" s="1713" t="n"/>
      <c r="I38" s="835" t="n"/>
      <c r="J38" s="836">
        <f>IF(AND(J36=FALSE,J37=FALSE),FALSE,TRUE)</f>
        <v/>
      </c>
      <c r="K38" s="46" t="n"/>
      <c r="L38" s="46" t="n"/>
      <c r="M38" s="46" t="n"/>
      <c r="N38" s="1711" t="n"/>
      <c r="O38" s="1713" t="n"/>
      <c r="P38" s="835" t="n"/>
      <c r="Q38" s="1726">
        <f>IF(AND(Q36=FALSE,Q37=FALSE),FALSE,TRUE)</f>
        <v/>
      </c>
      <c r="R38" s="1713" t="n"/>
      <c r="S38" s="835" t="n"/>
      <c r="T38" s="1726">
        <f>IF(AND(T36=FALSE,T37=FALSE),FALSE,TRUE)</f>
        <v/>
      </c>
      <c r="U38" s="978" t="n"/>
      <c r="V38" s="978" t="n"/>
      <c r="W38" s="1473" t="n"/>
      <c r="X38" s="2002" t="n"/>
      <c r="Y38" s="1478" t="n"/>
      <c r="Z38" s="2002" t="n"/>
      <c r="AA38" s="1481" t="n"/>
      <c r="AC38" s="1013" t="n"/>
      <c r="AD38" s="1014" t="n"/>
      <c r="AE38" s="1013" t="n"/>
      <c r="AF38" s="1014" t="n"/>
      <c r="AG38" s="1013" t="n"/>
      <c r="AH38" s="1014" t="n"/>
      <c r="AI38" s="10" t="n"/>
      <c r="AJ38" s="10" t="n"/>
      <c r="AK38" s="10" t="n"/>
    </row>
    <row r="39" ht="27" customHeight="1" thickBot="1">
      <c r="A39" s="1602" t="n"/>
      <c r="B39" s="837" t="n"/>
      <c r="C39" s="838" t="n"/>
      <c r="D39" s="838" t="n"/>
      <c r="E39" s="839" t="n"/>
      <c r="F39" s="839" t="n"/>
      <c r="G39" s="839" t="n"/>
      <c r="H39" s="1714" t="n"/>
      <c r="I39" s="840" t="n"/>
      <c r="J39" s="841">
        <f>IF(AND(J35=FALSE,J38=FALSE),FALSE,TRUE)</f>
        <v/>
      </c>
      <c r="K39" s="1698" t="n"/>
      <c r="L39" s="1698" t="n"/>
      <c r="M39" s="1698" t="n"/>
      <c r="N39" s="1715" t="n"/>
      <c r="O39" s="1714" t="n"/>
      <c r="P39" s="840" t="n"/>
      <c r="Q39" s="841">
        <f>IF(AND(Q35=FALSE,Q38=FALSE),FALSE,TRUE)</f>
        <v/>
      </c>
      <c r="R39" s="1714" t="n"/>
      <c r="S39" s="840" t="n"/>
      <c r="T39" s="841">
        <f>IF(AND(T35=FALSE,T38=FALSE),FALSE,TRUE)</f>
        <v/>
      </c>
      <c r="U39" s="978" t="n"/>
      <c r="V39" s="978" t="inlineStr">
        <is>
          <t>et</t>
        </is>
      </c>
      <c r="W39" s="1473" t="n"/>
      <c r="X39" s="2002" t="n"/>
      <c r="Y39" s="1478" t="n"/>
      <c r="Z39" s="2002" t="n"/>
      <c r="AA39" s="1481" t="n"/>
      <c r="AC39" s="1013" t="n"/>
      <c r="AD39" s="1014" t="n"/>
      <c r="AE39" s="1013" t="n"/>
      <c r="AF39" s="1014" t="n"/>
      <c r="AG39" s="1013" t="n"/>
      <c r="AH39" s="1014" t="n"/>
      <c r="AI39" s="10" t="n"/>
      <c r="AJ39" s="10" t="n"/>
      <c r="AK39" s="10" t="n"/>
    </row>
    <row r="40" ht="26" customHeight="1">
      <c r="A40" s="1602" t="n"/>
      <c r="B40" s="316" t="n"/>
      <c r="C40" s="2066" t="n"/>
      <c r="D40" s="102" t="n"/>
      <c r="E40" s="823" t="n"/>
      <c r="F40" s="822" t="n"/>
      <c r="G40" s="823" t="n"/>
      <c r="H40" s="1735" t="n">
        <v>11</v>
      </c>
      <c r="I40" s="1736" t="n">
        <v>11</v>
      </c>
      <c r="J40" s="46">
        <f>IF(AND(E40&gt;=H40,E40&lt;=I40),TRUE,FALSE)</f>
        <v/>
      </c>
      <c r="K40" s="46" t="n"/>
      <c r="L40" s="46" t="n"/>
      <c r="M40" s="46" t="n"/>
      <c r="N40" s="1711" t="n"/>
      <c r="O40" s="1735" t="n">
        <v>11</v>
      </c>
      <c r="P40" s="1736" t="n">
        <v>11</v>
      </c>
      <c r="Q40" s="1711">
        <f>IF(AND(E40&gt;=O40,E40&lt;=P40),TRUE,FALSE)</f>
        <v/>
      </c>
      <c r="R40" s="1710" t="n"/>
      <c r="S40" s="1703" t="n"/>
      <c r="T40" s="1711" t="n"/>
      <c r="U40" s="978" t="n"/>
      <c r="V40" s="1484" t="n"/>
      <c r="W40" s="1503" t="inlineStr">
        <is>
          <t> </t>
        </is>
      </c>
      <c r="X40" s="1504" t="n"/>
      <c r="Y40" s="1505" t="n">
        <v>11</v>
      </c>
      <c r="Z40" s="1504" t="n"/>
      <c r="AA40" s="1497" t="n">
        <v>11</v>
      </c>
      <c r="AC40" s="1013" t="n"/>
      <c r="AD40" s="1014" t="n"/>
      <c r="AE40" s="1013" t="n"/>
      <c r="AF40" s="1014" t="n"/>
      <c r="AG40" s="1013" t="n"/>
      <c r="AH40" s="1014" t="n"/>
      <c r="AI40" s="10" t="n"/>
      <c r="AJ40" s="10" t="n"/>
      <c r="AK40" s="10" t="n"/>
    </row>
    <row r="41" ht="27" customHeight="1" thickBot="1">
      <c r="A41" s="1602" t="n"/>
      <c r="B41" s="316" t="n"/>
      <c r="C41" s="2066" t="n"/>
      <c r="D41" s="102" t="n"/>
      <c r="E41" s="823" t="n"/>
      <c r="F41" s="822" t="n"/>
      <c r="G41" s="823" t="n"/>
      <c r="H41" s="1735" t="n">
        <v>11</v>
      </c>
      <c r="I41" s="1736" t="n">
        <v>11</v>
      </c>
      <c r="J41" s="46">
        <f>IF(AND(E41&gt;=H41,E41&lt;=I41),TRUE,FALSE)</f>
        <v/>
      </c>
      <c r="K41" s="46" t="n"/>
      <c r="L41" s="46" t="n"/>
      <c r="M41" s="46" t="n"/>
      <c r="N41" s="1711" t="n"/>
      <c r="O41" s="1735" t="n">
        <v>11</v>
      </c>
      <c r="P41" s="1736" t="n">
        <v>11</v>
      </c>
      <c r="Q41" s="1711">
        <f>IF(AND(E41&gt;=O41,E41&lt;=P41),TRUE,FALSE)</f>
        <v/>
      </c>
      <c r="R41" s="1735" t="n"/>
      <c r="S41" s="1736" t="n"/>
      <c r="T41" s="1711" t="n"/>
      <c r="U41" s="978" t="n"/>
      <c r="V41" s="1487" t="inlineStr">
        <is>
          <t>ou</t>
        </is>
      </c>
      <c r="W41" s="1506" t="n">
        <v>11</v>
      </c>
      <c r="X41" s="1507" t="n"/>
      <c r="Y41" s="1508" t="n">
        <v>11</v>
      </c>
      <c r="Z41" s="1507" t="n"/>
      <c r="AA41" s="1502" t="n">
        <v>11</v>
      </c>
      <c r="AC41" s="1013" t="n"/>
      <c r="AD41" s="1014" t="n"/>
      <c r="AE41" s="1013" t="n"/>
      <c r="AF41" s="1014" t="n"/>
      <c r="AG41" s="1013" t="n"/>
      <c r="AH41" s="1014" t="n"/>
      <c r="AI41" s="10" t="n"/>
      <c r="AJ41" s="10" t="n"/>
      <c r="AK41" s="10" t="n"/>
    </row>
    <row r="42" ht="27" customHeight="1" thickBot="1">
      <c r="A42" s="1602" t="n"/>
      <c r="B42" s="842" t="n"/>
      <c r="C42" s="843" t="n"/>
      <c r="D42" s="843" t="n"/>
      <c r="E42" s="844" t="n"/>
      <c r="F42" s="844" t="n"/>
      <c r="G42" s="844" t="n"/>
      <c r="H42" s="1716" t="n"/>
      <c r="I42" s="845" t="n"/>
      <c r="J42" s="846">
        <f>IF(AND(J40=FALSE,J41=FALSE),FALSE,TRUE)</f>
        <v/>
      </c>
      <c r="K42" s="1699" t="n"/>
      <c r="L42" s="1699" t="n"/>
      <c r="M42" s="1699" t="n"/>
      <c r="N42" s="1717" t="n"/>
      <c r="O42" s="1716" t="n"/>
      <c r="P42" s="845" t="n"/>
      <c r="Q42" s="846">
        <f>IF(AND(Q40=FALSE,Q41=FALSE),FALSE,TRUE)</f>
        <v/>
      </c>
      <c r="R42" s="1716" t="n"/>
      <c r="S42" s="845" t="n"/>
      <c r="T42" s="846" t="n"/>
      <c r="U42" s="978" t="n"/>
      <c r="V42" s="978" t="n"/>
      <c r="W42" s="1475" t="n"/>
      <c r="Y42" s="1479" t="n"/>
      <c r="AA42" s="1483" t="n"/>
      <c r="AC42" s="1013" t="n"/>
      <c r="AD42" s="1014" t="n"/>
      <c r="AE42" s="1013" t="n"/>
      <c r="AF42" s="1014" t="n"/>
      <c r="AG42" s="1013" t="n"/>
      <c r="AH42" s="1014" t="n"/>
      <c r="AI42" s="10" t="n"/>
      <c r="AJ42" s="10" t="n"/>
      <c r="AK42" s="10" t="n"/>
    </row>
    <row r="43" ht="26" customHeight="1">
      <c r="A43" s="1602" t="n"/>
      <c r="C43" s="428" t="inlineStr">
        <is>
          <t>COMPARATIF Comportement PFA-Enf</t>
        </is>
      </c>
      <c r="D43" s="2058" t="n"/>
      <c r="E43" s="484" t="inlineStr">
        <is>
          <t>Valeur =&gt;</t>
        </is>
      </c>
      <c r="F43" s="48" t="n"/>
      <c r="G43" s="48">
        <f>G35+G38+G42</f>
        <v/>
      </c>
      <c r="H43" s="1718" t="n"/>
      <c r="I43" s="485" t="n"/>
      <c r="J43" s="1701" t="n"/>
      <c r="K43" s="1702" t="n"/>
      <c r="L43" s="1702" t="n"/>
      <c r="M43" s="1702" t="n"/>
      <c r="N43" s="1719" t="n"/>
      <c r="O43" s="1718" t="n"/>
      <c r="P43" s="485" t="n"/>
      <c r="Q43" s="1727" t="n"/>
      <c r="R43" s="1718" t="n"/>
      <c r="S43" s="485" t="n"/>
      <c r="T43" s="1727" t="n"/>
      <c r="U43" s="1754" t="n"/>
      <c r="V43" s="980" t="n"/>
      <c r="W43" s="1475" t="n"/>
      <c r="Y43" s="1479" t="n"/>
      <c r="AA43" s="1483" t="n"/>
      <c r="AC43" s="1015" t="n"/>
      <c r="AD43" s="1016" t="n"/>
      <c r="AE43" s="1015" t="n"/>
      <c r="AF43" s="1016" t="n"/>
      <c r="AG43" s="1015" t="n"/>
      <c r="AH43" s="1016" t="n"/>
      <c r="AI43" s="10" t="n"/>
      <c r="AJ43" s="10" t="n"/>
      <c r="AK43" s="10" t="n"/>
    </row>
    <row r="44" ht="26" customHeight="1">
      <c r="A44" s="1602" t="n"/>
      <c r="B44" t="inlineStr">
        <is>
          <t>PCR</t>
        </is>
      </c>
      <c r="H44" s="147" t="n"/>
      <c r="K44" s="1992" t="n"/>
      <c r="L44" s="1992" t="n"/>
      <c r="M44" s="1992" t="n"/>
      <c r="N44" s="1740" t="n"/>
      <c r="O44" s="147" t="n"/>
      <c r="Q44" s="330" t="n"/>
      <c r="R44" s="147" t="n"/>
      <c r="T44" s="330" t="n"/>
      <c r="W44" s="1475" t="n"/>
      <c r="Y44" s="1479" t="n"/>
      <c r="AA44" s="1483" t="n"/>
      <c r="AC44" s="1013" t="n"/>
      <c r="AD44" s="1014" t="n"/>
      <c r="AE44" s="1013" t="n"/>
      <c r="AF44" s="1014" t="n"/>
      <c r="AG44" s="1013" t="n"/>
      <c r="AH44" s="1014" t="n"/>
      <c r="AI44" s="10" t="n"/>
      <c r="AJ44" s="10" t="n"/>
      <c r="AK44" s="10" t="n"/>
    </row>
    <row r="45" ht="26" customHeight="1">
      <c r="A45" s="1602" t="n"/>
      <c r="B45" s="1017" t="n"/>
      <c r="C45" s="1025" t="n"/>
      <c r="D45" s="1018" t="n"/>
      <c r="E45" s="1026" t="n"/>
      <c r="F45" s="1026" t="n"/>
      <c r="G45" s="1026" t="n"/>
      <c r="H45" s="1735" t="n">
        <v>11</v>
      </c>
      <c r="I45" s="1736" t="n">
        <v>11</v>
      </c>
      <c r="J45" s="46">
        <f>IF(AND(E45&gt;=H45,E45&lt;=I45),TRUE,FALSE)</f>
        <v/>
      </c>
      <c r="K45" s="33" t="n"/>
      <c r="L45" s="33" t="n"/>
      <c r="M45" s="33" t="n"/>
      <c r="N45" s="1720" t="n"/>
      <c r="O45" s="1735" t="n">
        <v>11</v>
      </c>
      <c r="P45" s="1736" t="n">
        <v>11</v>
      </c>
      <c r="Q45" s="1711">
        <f>IF(AND(E45&gt;=O45,E45&lt;=P45),TRUE,FALSE)</f>
        <v/>
      </c>
      <c r="R45" s="1735" t="n">
        <v>11</v>
      </c>
      <c r="S45" s="1736" t="n">
        <v>11</v>
      </c>
      <c r="T45" s="1711">
        <f>IF(AND(E45&gt;=R45,E45&lt;=S45),TRUE,FALSE)</f>
        <v/>
      </c>
      <c r="U45" s="978" t="n"/>
      <c r="V45" s="1509" t="n"/>
      <c r="W45" s="1503" t="inlineStr">
        <is>
          <t> </t>
        </is>
      </c>
      <c r="X45" s="1504" t="n"/>
      <c r="Y45" s="1505" t="n">
        <v>11</v>
      </c>
      <c r="Z45" s="1504" t="n"/>
      <c r="AA45" s="1497" t="n">
        <v>11</v>
      </c>
      <c r="AC45" s="1013" t="n"/>
      <c r="AD45" s="1014" t="n"/>
      <c r="AE45" s="1013" t="n"/>
      <c r="AF45" s="1014" t="n"/>
      <c r="AG45" s="1013" t="n"/>
      <c r="AH45" s="1014" t="n"/>
      <c r="AI45" s="10" t="n"/>
      <c r="AJ45" s="10" t="n"/>
      <c r="AK45" s="10" t="n"/>
    </row>
    <row r="46" ht="27" customHeight="1" thickBot="1">
      <c r="A46" s="1602" t="n"/>
      <c r="B46" s="1017" t="n"/>
      <c r="C46" s="1025" t="n"/>
      <c r="D46" s="1018" t="n"/>
      <c r="E46" s="1026" t="n"/>
      <c r="F46" s="1026" t="n"/>
      <c r="G46" s="1026" t="n"/>
      <c r="H46" s="1735" t="n">
        <v>11</v>
      </c>
      <c r="I46" s="1736" t="n">
        <v>11</v>
      </c>
      <c r="J46" s="46">
        <f>IF(AND(E46&gt;=H46,E46&lt;=I46),TRUE,FALSE)</f>
        <v/>
      </c>
      <c r="K46" s="33" t="n"/>
      <c r="L46" s="33" t="n"/>
      <c r="M46" s="33" t="n"/>
      <c r="N46" s="1720" t="n"/>
      <c r="O46" s="1735" t="n">
        <v>11</v>
      </c>
      <c r="P46" s="1736" t="n">
        <v>11</v>
      </c>
      <c r="Q46" s="1711">
        <f>IF(AND(E46&gt;=O46,E46&lt;=P46),TRUE,FALSE)</f>
        <v/>
      </c>
      <c r="R46" s="1735" t="n">
        <v>11</v>
      </c>
      <c r="S46" s="1736" t="n">
        <v>11</v>
      </c>
      <c r="T46" s="1711">
        <f>IF(AND(E46&gt;=R46,E46&lt;=S46),TRUE,FALSE)</f>
        <v/>
      </c>
      <c r="U46" s="978" t="n"/>
      <c r="V46" s="1510" t="n"/>
      <c r="W46" s="1506" t="n">
        <v>11</v>
      </c>
      <c r="X46" s="1507" t="n"/>
      <c r="Y46" s="1508" t="n">
        <v>11</v>
      </c>
      <c r="Z46" s="1507" t="n"/>
      <c r="AA46" s="1502" t="n">
        <v>11</v>
      </c>
      <c r="AC46" s="1013" t="n"/>
      <c r="AD46" s="1014" t="n"/>
      <c r="AE46" s="1013" t="n"/>
      <c r="AF46" s="1014" t="n"/>
      <c r="AG46" s="1013" t="n"/>
      <c r="AH46" s="1014" t="n"/>
      <c r="AI46" s="10" t="n"/>
      <c r="AJ46" s="10" t="n"/>
      <c r="AK46" s="10" t="n"/>
    </row>
    <row r="47" ht="27" customHeight="1" thickBot="1">
      <c r="A47" s="686" t="n"/>
      <c r="D47" s="847" t="n"/>
      <c r="E47" s="97" t="n"/>
      <c r="F47" s="97" t="n"/>
      <c r="G47" s="97" t="n"/>
      <c r="H47" s="1732" t="n"/>
      <c r="I47" s="1733" t="n"/>
      <c r="J47" s="1739">
        <f>IF(AND(J45=FALSE,J46=FALSE),FALSE,TRUE)</f>
        <v/>
      </c>
      <c r="K47" s="1721" t="n"/>
      <c r="L47" s="1722" t="n"/>
      <c r="M47" s="1722" t="n"/>
      <c r="N47" s="1723" t="n"/>
      <c r="O47" s="1732" t="n"/>
      <c r="P47" s="1733" t="n"/>
      <c r="Q47" s="1739">
        <f>IF(AND(Q45=FALSE,Q46=FALSE),FALSE,TRUE)</f>
        <v/>
      </c>
      <c r="R47" s="1744" t="n"/>
      <c r="S47" s="1745" t="n"/>
      <c r="T47" s="1746">
        <f>IF(AND(T45=FALSE,T46=FALSE),FALSE,TRUE)</f>
        <v/>
      </c>
      <c r="U47" s="978" t="n"/>
      <c r="AC47" s="1650" t="n"/>
      <c r="AD47" s="1651" t="n"/>
      <c r="AE47" s="1650" t="n"/>
      <c r="AF47" s="1651" t="n"/>
      <c r="AG47" s="1650" t="n"/>
      <c r="AH47" s="1651" t="n"/>
      <c r="AI47" s="10" t="n"/>
      <c r="AJ47" s="10" t="n"/>
      <c r="AK47" s="10" t="n"/>
    </row>
    <row r="48" ht="26" customHeight="1">
      <c r="A48" s="686" t="n"/>
      <c r="D48" s="847" t="n"/>
      <c r="E48" s="97" t="n"/>
      <c r="F48" s="97" t="n"/>
      <c r="G48" s="97" t="n"/>
      <c r="H48" s="97" t="n"/>
      <c r="I48" s="97" t="n"/>
      <c r="J48" s="97" t="n"/>
      <c r="K48" s="97" t="n"/>
      <c r="L48" s="97" t="n"/>
      <c r="M48" s="97" t="n"/>
      <c r="N48" s="97" t="n"/>
      <c r="O48" s="97" t="n"/>
      <c r="P48" s="97" t="n"/>
      <c r="Q48" s="97" t="n"/>
      <c r="R48" s="97" t="n"/>
      <c r="S48" s="97" t="n"/>
      <c r="T48" s="97" t="n"/>
      <c r="U48" s="97" t="n"/>
      <c r="AC48" s="1737" t="n"/>
      <c r="AD48" s="1738" t="n"/>
      <c r="AE48" s="1737" t="n"/>
      <c r="AF48" s="1738" t="n"/>
      <c r="AG48" s="1737" t="n"/>
      <c r="AH48" s="1738" t="n"/>
      <c r="AI48" s="10" t="n"/>
      <c r="AJ48" s="10" t="n"/>
      <c r="AK48" s="10" t="n"/>
    </row>
    <row r="49" ht="26" customHeight="1">
      <c r="A49" s="686" t="n"/>
      <c r="D49" s="847" t="n"/>
      <c r="E49" s="97" t="n"/>
      <c r="F49" s="97" t="n"/>
      <c r="G49" s="97" t="n"/>
      <c r="H49" s="97" t="n"/>
      <c r="I49" s="97" t="n"/>
      <c r="J49" s="97" t="n"/>
      <c r="K49" s="97" t="n"/>
      <c r="L49" s="97" t="n"/>
      <c r="M49" s="97" t="n"/>
      <c r="N49" s="97" t="n"/>
      <c r="O49" s="97" t="n"/>
      <c r="P49" s="97" t="n"/>
      <c r="Q49" s="97" t="n"/>
      <c r="R49" s="97" t="n"/>
      <c r="S49" s="97" t="n"/>
      <c r="T49" s="97" t="n"/>
      <c r="U49" s="97" t="n"/>
      <c r="AC49" s="1756" t="inlineStr">
        <is>
          <t>Indice boosté</t>
        </is>
      </c>
      <c r="AD49" s="1757">
        <f>IF(AF48=1,AD48*(1+$AH$28),AD48)</f>
        <v/>
      </c>
      <c r="AE49" s="1490" t="n"/>
      <c r="AF49" s="1490" t="n"/>
      <c r="AG49" s="1490" t="n"/>
      <c r="AH49" s="1490" t="n"/>
      <c r="AI49" s="10" t="n"/>
      <c r="AJ49" s="10" t="n"/>
      <c r="AK49" s="10" t="n"/>
    </row>
    <row r="50" ht="26" customHeight="1">
      <c r="A50" s="1601" t="n">
        <v>3</v>
      </c>
      <c r="C50" s="486">
        <f>'CPTS indépendants'!F10</f>
        <v/>
      </c>
      <c r="D50" s="108" t="n"/>
      <c r="E50" s="66" t="n"/>
      <c r="F50" s="18" t="n"/>
      <c r="G50" s="18" t="n"/>
      <c r="H50" s="2052" t="inlineStr">
        <is>
          <t>AP</t>
        </is>
      </c>
      <c r="K50" s="2055" t="inlineStr">
        <is>
          <t>Dynamique d'AP</t>
        </is>
      </c>
      <c r="N50" s="330" t="n"/>
      <c r="O50" s="2122" t="inlineStr">
        <is>
          <t>CL</t>
        </is>
      </c>
      <c r="Q50" s="330" t="n"/>
      <c r="R50" s="2123" t="inlineStr">
        <is>
          <t>CSS</t>
        </is>
      </c>
      <c r="T50" s="330" t="n"/>
      <c r="U50" s="15" t="n"/>
      <c r="V50" s="15" t="n"/>
      <c r="AC50" s="1009" t="n"/>
      <c r="AD50" s="1009" t="n"/>
      <c r="AE50" s="1009" t="n"/>
      <c r="AF50" s="1009" t="n"/>
      <c r="AG50" s="1009" t="n"/>
      <c r="AH50" s="1010" t="n"/>
      <c r="AI50" s="10" t="n"/>
      <c r="AJ50" s="10" t="n"/>
      <c r="AK50" s="10" t="n"/>
    </row>
    <row r="51" ht="68" customHeight="1">
      <c r="A51" s="1602" t="n"/>
      <c r="C51" s="103" t="inlineStr">
        <is>
          <t>Questions et sous-questions</t>
        </is>
      </c>
      <c r="D51" s="1043" t="n"/>
      <c r="E51" s="33" t="inlineStr">
        <is>
          <t>Valeur de base
Fréquence (F)</t>
        </is>
      </c>
      <c r="F51" s="33" t="inlineStr">
        <is>
          <t>Valeur de base
intensité (I)</t>
        </is>
      </c>
      <c r="G51" s="33" t="inlineStr">
        <is>
          <t>F * I</t>
        </is>
      </c>
      <c r="H51" s="1708" t="inlineStr">
        <is>
          <t>Condition Fréq. 
&gt;= que</t>
        </is>
      </c>
      <c r="I51" s="44" t="inlineStr">
        <is>
          <t>Condition Fré
&lt;= que</t>
        </is>
      </c>
      <c r="J51" s="44" t="inlineStr">
        <is>
          <t>Condition respectée</t>
        </is>
      </c>
      <c r="K51" s="44" t="n"/>
      <c r="L51" s="44" t="n"/>
      <c r="M51" s="44" t="n"/>
      <c r="N51" s="1709" t="n"/>
      <c r="O51" s="1708" t="inlineStr">
        <is>
          <t>Condition Fréq. 
&gt;= que</t>
        </is>
      </c>
      <c r="P51" s="44" t="inlineStr">
        <is>
          <t>Condition Fré
&lt;= que</t>
        </is>
      </c>
      <c r="Q51" s="1709" t="inlineStr">
        <is>
          <t>Condition respectée</t>
        </is>
      </c>
      <c r="R51" s="1708" t="inlineStr">
        <is>
          <t>Condition Fréq. 
&gt;= que</t>
        </is>
      </c>
      <c r="S51" s="44" t="inlineStr">
        <is>
          <t>Condition Fré
&lt;= que</t>
        </is>
      </c>
      <c r="T51" s="1709" t="inlineStr">
        <is>
          <t>Condition respectée</t>
        </is>
      </c>
      <c r="U51" s="851" t="n"/>
      <c r="V51" s="1008" t="inlineStr">
        <is>
          <t>Condition</t>
        </is>
      </c>
      <c r="W51" s="1472" t="inlineStr">
        <is>
          <t>AP</t>
        </is>
      </c>
      <c r="X51" s="1008" t="inlineStr">
        <is>
          <t>Condition</t>
        </is>
      </c>
      <c r="Y51" s="1476" t="inlineStr">
        <is>
          <t>CL</t>
        </is>
      </c>
      <c r="Z51" s="1008" t="inlineStr">
        <is>
          <t>Condition</t>
        </is>
      </c>
      <c r="AA51" s="1480" t="inlineStr">
        <is>
          <t>CSS</t>
        </is>
      </c>
      <c r="AC51" s="1023" t="inlineStr">
        <is>
          <t>AP</t>
        </is>
      </c>
      <c r="AD51" s="1024" t="inlineStr">
        <is>
          <t>AP_F</t>
        </is>
      </c>
      <c r="AE51" s="1023" t="inlineStr">
        <is>
          <t>CL</t>
        </is>
      </c>
      <c r="AF51" s="1024" t="inlineStr">
        <is>
          <t>CL_F</t>
        </is>
      </c>
      <c r="AG51" s="1023" t="inlineStr">
        <is>
          <t>CSS</t>
        </is>
      </c>
      <c r="AH51" s="1024" t="inlineStr">
        <is>
          <t>CSS_F</t>
        </is>
      </c>
      <c r="AI51" s="10" t="n"/>
      <c r="AJ51" s="10" t="n"/>
      <c r="AK51" s="10" t="n"/>
    </row>
    <row r="52" ht="51" customHeight="1">
      <c r="A52" s="1604" t="n"/>
      <c r="B52" s="421">
        <f>'CPTS indépendants'!G10</f>
        <v/>
      </c>
      <c r="C52" s="2066">
        <f>Test_Bible!B193</f>
        <v/>
      </c>
      <c r="D52" s="102" t="n"/>
      <c r="E52" s="823">
        <f>Test_Bible!P193</f>
        <v/>
      </c>
      <c r="F52" s="822">
        <f>Test_Bible!D193</f>
        <v/>
      </c>
      <c r="G52" s="823">
        <f>E52*F52</f>
        <v/>
      </c>
      <c r="H52" s="1710" t="n">
        <v>4</v>
      </c>
      <c r="I52" s="1703" t="n">
        <v>10</v>
      </c>
      <c r="J52" s="46">
        <f>IF(AND(E52&gt;=H52,E52&lt;=I52),TRUE,FALSE)</f>
        <v/>
      </c>
      <c r="K52" s="46" t="n"/>
      <c r="L52" s="46" t="n"/>
      <c r="M52" s="46" t="n"/>
      <c r="N52" s="1711" t="n"/>
      <c r="O52" s="1735" t="n">
        <v>11</v>
      </c>
      <c r="P52" s="1736" t="n">
        <v>11</v>
      </c>
      <c r="Q52" s="1711">
        <f>IF(AND(E52&gt;=O52,E52&lt;=P52),TRUE,FALSE)</f>
        <v/>
      </c>
      <c r="R52" s="1710" t="n">
        <v>4</v>
      </c>
      <c r="S52" s="1703" t="n">
        <v>10</v>
      </c>
      <c r="T52" s="1711">
        <f>IF(AND(E52&gt;=R52,E52&lt;=S52),TRUE,FALSE)</f>
        <v/>
      </c>
      <c r="U52" s="978" t="n"/>
      <c r="V52" s="1484" t="n"/>
      <c r="W52" s="1485" t="n">
        <v>4</v>
      </c>
      <c r="X52" s="2029" t="n"/>
      <c r="Y52" s="1505" t="n">
        <v>11</v>
      </c>
      <c r="Z52" s="2029" t="n"/>
      <c r="AA52" s="1496" t="n">
        <v>4</v>
      </c>
      <c r="AC52" s="1011" t="n"/>
      <c r="AD52" s="1012" t="n"/>
      <c r="AE52" s="1011" t="n"/>
      <c r="AF52" s="1012" t="n"/>
      <c r="AG52" s="1011" t="n"/>
      <c r="AH52" s="1012" t="n"/>
      <c r="AI52" s="10" t="n"/>
      <c r="AJ52" s="10" t="n"/>
      <c r="AK52" s="10" t="n"/>
    </row>
    <row r="53" ht="26" customHeight="1">
      <c r="A53" s="1604" t="n"/>
      <c r="B53" s="421" t="n"/>
      <c r="C53" s="2066" t="n"/>
      <c r="D53" s="102" t="n"/>
      <c r="E53" s="823" t="n"/>
      <c r="F53" s="822" t="n"/>
      <c r="G53" s="823" t="n"/>
      <c r="H53" s="1735" t="n">
        <v>11</v>
      </c>
      <c r="I53" s="1736" t="n">
        <v>11</v>
      </c>
      <c r="J53" s="46">
        <f>IF(AND(E53&gt;=H53,E53&lt;=I53),TRUE,FALSE)</f>
        <v/>
      </c>
      <c r="K53" s="46" t="n"/>
      <c r="L53" s="46" t="n"/>
      <c r="M53" s="46" t="n"/>
      <c r="N53" s="1711" t="n"/>
      <c r="O53" s="1735" t="n">
        <v>11</v>
      </c>
      <c r="P53" s="1736" t="n">
        <v>11</v>
      </c>
      <c r="Q53" s="1711">
        <f>IF(AND(E53&gt;=O53,E53&lt;=P53),TRUE,FALSE)</f>
        <v/>
      </c>
      <c r="R53" s="1735" t="n">
        <v>11</v>
      </c>
      <c r="S53" s="1736" t="n">
        <v>11</v>
      </c>
      <c r="T53" s="1711">
        <f>IF(AND(E53&gt;=R53,E53&lt;=S53),TRUE,FALSE)</f>
        <v/>
      </c>
      <c r="U53" s="978" t="n"/>
      <c r="V53" s="1487" t="inlineStr">
        <is>
          <t>ou</t>
        </is>
      </c>
      <c r="W53" s="1506" t="n">
        <v>11</v>
      </c>
      <c r="X53" s="1507" t="n"/>
      <c r="Y53" s="1508" t="n">
        <v>11</v>
      </c>
      <c r="Z53" s="1507" t="n"/>
      <c r="AA53" s="1502" t="n">
        <v>11</v>
      </c>
      <c r="AC53" s="1013" t="n"/>
      <c r="AD53" s="1014" t="n"/>
      <c r="AE53" s="1013" t="n"/>
      <c r="AF53" s="1014" t="n"/>
      <c r="AG53" s="1013" t="n"/>
      <c r="AH53" s="1014" t="n"/>
      <c r="AI53" s="10" t="n"/>
      <c r="AJ53" s="10" t="n"/>
      <c r="AK53" s="10" t="n"/>
    </row>
    <row r="54" ht="26" customHeight="1">
      <c r="A54" s="1604" t="n"/>
      <c r="B54" s="825" t="inlineStr">
        <is>
          <t>Max PFA</t>
        </is>
      </c>
      <c r="C54" s="826" t="n"/>
      <c r="D54" s="827" t="n"/>
      <c r="E54" s="828" t="n"/>
      <c r="F54" s="828" t="n"/>
      <c r="G54" s="828" t="n"/>
      <c r="H54" s="1712" t="n"/>
      <c r="I54" s="829" t="n"/>
      <c r="J54" s="830">
        <f>IF(AND(J52=FALSE,J53=FALSE),FALSE,TRUE)</f>
        <v/>
      </c>
      <c r="K54" s="46" t="n"/>
      <c r="L54" s="46" t="n"/>
      <c r="M54" s="46" t="n"/>
      <c r="N54" s="1711" t="n"/>
      <c r="O54" s="1712" t="n"/>
      <c r="P54" s="829" t="n"/>
      <c r="Q54" s="1725">
        <f>IF(AND(Q52=FALSE,Q53=FALSE),FALSE,TRUE)</f>
        <v/>
      </c>
      <c r="R54" s="1712" t="n"/>
      <c r="S54" s="829" t="n"/>
      <c r="T54" s="1725">
        <f>IF(AND(T52=FALSE,T53=FALSE),FALSE,TRUE)</f>
        <v/>
      </c>
      <c r="U54" s="978" t="n"/>
      <c r="V54" s="978" t="inlineStr">
        <is>
          <t>ou</t>
        </is>
      </c>
      <c r="W54" s="1473" t="n"/>
      <c r="X54" s="2002" t="n"/>
      <c r="Y54" s="1478" t="n"/>
      <c r="Z54" s="2002" t="n"/>
      <c r="AA54" s="1481" t="n"/>
      <c r="AC54" s="1013" t="n"/>
      <c r="AD54" s="1014" t="n"/>
      <c r="AE54" s="1013" t="n"/>
      <c r="AF54" s="1014" t="n"/>
      <c r="AG54" s="1013" t="n"/>
      <c r="AH54" s="1014" t="n"/>
      <c r="AI54" s="10" t="n"/>
      <c r="AJ54" s="10" t="n"/>
      <c r="AK54" s="10" t="n"/>
    </row>
    <row r="55" ht="51" customHeight="1">
      <c r="A55" s="1602" t="n"/>
      <c r="B55" s="53">
        <f>'CPTS indépendants'!K10</f>
        <v/>
      </c>
      <c r="C55" s="2066">
        <f>Test_Bible!B404</f>
        <v/>
      </c>
      <c r="D55" s="102" t="n"/>
      <c r="E55" s="823">
        <f>Test_Bible!P404</f>
        <v/>
      </c>
      <c r="F55" s="822">
        <f>Test_Bible!D404</f>
        <v/>
      </c>
      <c r="G55" s="823">
        <f>E55*F55</f>
        <v/>
      </c>
      <c r="H55" s="1710" t="n">
        <v>4</v>
      </c>
      <c r="I55" s="1703" t="n">
        <v>10</v>
      </c>
      <c r="J55" s="46">
        <f>IF(AND(E55&gt;=H55,E55&lt;=I55),TRUE,FALSE)</f>
        <v/>
      </c>
      <c r="K55" s="46" t="n"/>
      <c r="L55" s="46" t="n"/>
      <c r="M55" s="46" t="n"/>
      <c r="N55" s="1711" t="n"/>
      <c r="O55" s="1735" t="n">
        <v>11</v>
      </c>
      <c r="P55" s="1736" t="n">
        <v>11</v>
      </c>
      <c r="Q55" s="1711">
        <f>IF(AND(E55&gt;=O55,E55&lt;=P55),TRUE,FALSE)</f>
        <v/>
      </c>
      <c r="R55" s="1710" t="n">
        <v>2</v>
      </c>
      <c r="S55" s="1703" t="n">
        <v>10</v>
      </c>
      <c r="T55" s="1711">
        <f>IF(AND(E55&gt;=R55,E55&lt;=S55),TRUE,FALSE)</f>
        <v/>
      </c>
      <c r="U55" s="978" t="n"/>
      <c r="V55" s="1484" t="n"/>
      <c r="W55" s="1485" t="n">
        <v>4</v>
      </c>
      <c r="X55" s="1504" t="n"/>
      <c r="Y55" s="1505" t="n">
        <v>11</v>
      </c>
      <c r="Z55" s="1504" t="n"/>
      <c r="AA55" s="1496" t="n">
        <v>2</v>
      </c>
      <c r="AC55" s="1013" t="n"/>
      <c r="AD55" s="1014" t="n"/>
      <c r="AE55" s="1013" t="n"/>
      <c r="AF55" s="1014" t="n"/>
      <c r="AG55" s="1013" t="n"/>
      <c r="AH55" s="1014" t="n"/>
      <c r="AI55" s="10" t="n"/>
      <c r="AJ55" s="10" t="n"/>
      <c r="AK55" s="10" t="n"/>
    </row>
    <row r="56" ht="26" customHeight="1">
      <c r="A56" s="1602" t="n"/>
      <c r="B56" s="53" t="n"/>
      <c r="C56" s="2066" t="n"/>
      <c r="D56" s="63" t="n"/>
      <c r="E56" s="36" t="n"/>
      <c r="F56" s="36" t="n"/>
      <c r="G56" s="36" t="n"/>
      <c r="H56" s="1735" t="n">
        <v>11</v>
      </c>
      <c r="I56" s="1736" t="n">
        <v>11</v>
      </c>
      <c r="J56" s="46">
        <f>IF(AND(E56&gt;=H56,E56&lt;=I56),TRUE,FALSE)</f>
        <v/>
      </c>
      <c r="K56" s="46" t="n"/>
      <c r="L56" s="46" t="n"/>
      <c r="M56" s="46" t="n"/>
      <c r="N56" s="1711" t="n"/>
      <c r="O56" s="1735" t="n">
        <v>11</v>
      </c>
      <c r="P56" s="1736" t="n">
        <v>11</v>
      </c>
      <c r="Q56" s="1711">
        <f>IF(AND(E56&gt;=O56,E56&lt;=P56),TRUE,FALSE)</f>
        <v/>
      </c>
      <c r="R56" s="1735" t="n">
        <v>11</v>
      </c>
      <c r="S56" s="1736" t="n">
        <v>11</v>
      </c>
      <c r="T56" s="1711">
        <f>IF(AND(E56&gt;=R56,E56&lt;=S56),TRUE,FALSE)</f>
        <v/>
      </c>
      <c r="U56" s="978" t="n"/>
      <c r="V56" s="1487" t="inlineStr">
        <is>
          <t>ou</t>
        </is>
      </c>
      <c r="W56" s="1506" t="n">
        <v>11</v>
      </c>
      <c r="X56" s="1507" t="n"/>
      <c r="Y56" s="1508" t="n">
        <v>11</v>
      </c>
      <c r="Z56" s="1507" t="n"/>
      <c r="AA56" s="1502" t="n">
        <v>11</v>
      </c>
      <c r="AC56" s="1013" t="n"/>
      <c r="AD56" s="1014" t="n"/>
      <c r="AE56" s="1013" t="n"/>
      <c r="AF56" s="1014" t="n"/>
      <c r="AG56" s="1013" t="n"/>
      <c r="AH56" s="1014" t="n"/>
      <c r="AI56" s="10" t="n"/>
      <c r="AJ56" s="10" t="n"/>
      <c r="AK56" s="10" t="n"/>
    </row>
    <row r="57" ht="27" customHeight="1" thickBot="1">
      <c r="A57" s="1602" t="n"/>
      <c r="B57" s="831" t="inlineStr">
        <is>
          <t>Max NC</t>
        </is>
      </c>
      <c r="C57" s="832" t="n"/>
      <c r="D57" s="833" t="n"/>
      <c r="E57" s="834" t="n"/>
      <c r="F57" s="834" t="n"/>
      <c r="G57" s="834" t="n"/>
      <c r="H57" s="1713" t="n"/>
      <c r="I57" s="835" t="n"/>
      <c r="J57" s="836">
        <f>IF(AND(J55=FALSE,J56=FALSE),FALSE,TRUE)</f>
        <v/>
      </c>
      <c r="K57" s="46" t="n"/>
      <c r="L57" s="46" t="n"/>
      <c r="M57" s="46" t="n"/>
      <c r="N57" s="1711" t="n"/>
      <c r="O57" s="1713" t="n"/>
      <c r="P57" s="835" t="n"/>
      <c r="Q57" s="1726">
        <f>IF(AND(Q55=FALSE,Q56=FALSE),FALSE,TRUE)</f>
        <v/>
      </c>
      <c r="R57" s="1713" t="n"/>
      <c r="S57" s="835" t="n"/>
      <c r="T57" s="1726">
        <f>IF(AND(T55=FALSE,T56=FALSE),FALSE,TRUE)</f>
        <v/>
      </c>
      <c r="U57" s="978" t="n"/>
      <c r="V57" s="978" t="n"/>
      <c r="W57" s="1473" t="n"/>
      <c r="X57" s="2002" t="n"/>
      <c r="Y57" s="1478" t="n"/>
      <c r="Z57" s="2002" t="n"/>
      <c r="AA57" s="1481" t="n"/>
      <c r="AC57" s="1013" t="n"/>
      <c r="AD57" s="1014" t="n"/>
      <c r="AE57" s="1013" t="n"/>
      <c r="AF57" s="1014" t="n"/>
      <c r="AG57" s="1013" t="n"/>
      <c r="AH57" s="1014" t="n"/>
      <c r="AI57" s="10" t="n"/>
      <c r="AJ57" s="10" t="n"/>
      <c r="AK57" s="10" t="n"/>
    </row>
    <row r="58" ht="35" customHeight="1" thickBot="1">
      <c r="A58" s="1602" t="n"/>
      <c r="B58" s="837" t="inlineStr">
        <is>
          <t>Max PFA &amp; NC</t>
        </is>
      </c>
      <c r="C58" s="838" t="n"/>
      <c r="D58" s="838" t="n"/>
      <c r="E58" s="839" t="n"/>
      <c r="F58" s="839" t="n"/>
      <c r="G58" s="839" t="n"/>
      <c r="H58" s="1714" t="n"/>
      <c r="I58" s="840" t="n"/>
      <c r="J58" s="841">
        <f>IF(AND(J54=FALSE,J57=FALSE),FALSE,TRUE)</f>
        <v/>
      </c>
      <c r="K58" s="1698" t="n"/>
      <c r="L58" s="1698" t="n"/>
      <c r="M58" s="1698" t="n"/>
      <c r="N58" s="1715" t="n"/>
      <c r="O58" s="1714" t="n"/>
      <c r="P58" s="840" t="n"/>
      <c r="Q58" s="841">
        <f>IF(AND(Q54=FALSE,Q57=FALSE),FALSE,TRUE)</f>
        <v/>
      </c>
      <c r="R58" s="1714" t="n"/>
      <c r="S58" s="840" t="n"/>
      <c r="T58" s="841">
        <f>IF(AND(T54=FALSE,T57=FALSE),FALSE,TRUE)</f>
        <v/>
      </c>
      <c r="U58" s="978" t="n"/>
      <c r="V58" s="978" t="inlineStr">
        <is>
          <t>et</t>
        </is>
      </c>
      <c r="W58" s="1473" t="n"/>
      <c r="X58" s="2002" t="n"/>
      <c r="Y58" s="1478" t="n"/>
      <c r="Z58" s="2002" t="n"/>
      <c r="AA58" s="1481" t="n"/>
      <c r="AC58" s="1013" t="n"/>
      <c r="AD58" s="1014" t="n"/>
      <c r="AE58" s="1013" t="n"/>
      <c r="AF58" s="1014" t="n"/>
      <c r="AG58" s="1013" t="n"/>
      <c r="AH58" s="1014" t="n"/>
      <c r="AI58" s="10" t="n"/>
      <c r="AJ58" s="10" t="n"/>
      <c r="AK58" s="10" t="n"/>
    </row>
    <row r="59" ht="26" customHeight="1">
      <c r="A59" s="1602" t="n"/>
      <c r="B59" s="316" t="n"/>
      <c r="C59" s="2066" t="n"/>
      <c r="D59" s="102" t="n"/>
      <c r="E59" s="823" t="n"/>
      <c r="F59" s="822" t="n"/>
      <c r="G59" s="823" t="n"/>
      <c r="H59" s="1735" t="n">
        <v>11</v>
      </c>
      <c r="I59" s="1736" t="n">
        <v>11</v>
      </c>
      <c r="J59" s="46">
        <f>IF(AND(E59&gt;=H59,E59&lt;=I59),TRUE,FALSE)</f>
        <v/>
      </c>
      <c r="K59" s="46" t="n"/>
      <c r="L59" s="46" t="n"/>
      <c r="M59" s="46" t="n"/>
      <c r="N59" s="1711" t="n"/>
      <c r="O59" s="1735" t="n">
        <v>11</v>
      </c>
      <c r="P59" s="1736" t="n">
        <v>11</v>
      </c>
      <c r="Q59" s="1711">
        <f>IF(AND(E59&gt;=O59,E59&lt;=P59),TRUE,FALSE)</f>
        <v/>
      </c>
      <c r="R59" s="1710" t="n"/>
      <c r="S59" s="1703" t="n"/>
      <c r="T59" s="1711" t="n"/>
      <c r="U59" s="978" t="n"/>
      <c r="V59" s="1484" t="n"/>
      <c r="W59" s="1503" t="n">
        <v>11</v>
      </c>
      <c r="X59" s="1504" t="n"/>
      <c r="Y59" s="1505" t="n">
        <v>11</v>
      </c>
      <c r="Z59" s="1504" t="n"/>
      <c r="AA59" s="1497" t="n">
        <v>11</v>
      </c>
      <c r="AC59" s="1013" t="n"/>
      <c r="AD59" s="1014" t="n"/>
      <c r="AE59" s="1013" t="n"/>
      <c r="AF59" s="1014" t="n"/>
      <c r="AG59" s="1013" t="n"/>
      <c r="AH59" s="1014" t="n"/>
      <c r="AI59" s="10" t="n"/>
      <c r="AJ59" s="10" t="n"/>
      <c r="AK59" s="10" t="n"/>
    </row>
    <row r="60" ht="27" customHeight="1" thickBot="1">
      <c r="A60" s="1602" t="n"/>
      <c r="B60" s="316" t="n"/>
      <c r="C60" s="2066" t="n"/>
      <c r="D60" s="102" t="n"/>
      <c r="E60" s="823" t="n"/>
      <c r="F60" s="822" t="n"/>
      <c r="G60" s="823" t="n"/>
      <c r="H60" s="1735" t="n">
        <v>11</v>
      </c>
      <c r="I60" s="1736" t="n">
        <v>11</v>
      </c>
      <c r="J60" s="46">
        <f>IF(AND(E60&gt;=H60,E60&lt;=I60),TRUE,FALSE)</f>
        <v/>
      </c>
      <c r="K60" s="46" t="n"/>
      <c r="L60" s="46" t="n"/>
      <c r="M60" s="46" t="n"/>
      <c r="N60" s="1711" t="n"/>
      <c r="O60" s="1735" t="n">
        <v>11</v>
      </c>
      <c r="P60" s="1736" t="n">
        <v>11</v>
      </c>
      <c r="Q60" s="1711">
        <f>IF(AND(E60&gt;=O60,E60&lt;=P60),TRUE,FALSE)</f>
        <v/>
      </c>
      <c r="R60" s="1735" t="n"/>
      <c r="S60" s="1736" t="n"/>
      <c r="T60" s="1711" t="n"/>
      <c r="U60" s="978" t="n"/>
      <c r="V60" s="1487" t="inlineStr">
        <is>
          <t>ou</t>
        </is>
      </c>
      <c r="W60" s="1506" t="n">
        <v>11</v>
      </c>
      <c r="X60" s="1507" t="n"/>
      <c r="Y60" s="1508" t="n">
        <v>11</v>
      </c>
      <c r="Z60" s="1507" t="n"/>
      <c r="AA60" s="1502" t="n">
        <v>11</v>
      </c>
      <c r="AC60" s="1013" t="n"/>
      <c r="AD60" s="1014" t="n"/>
      <c r="AE60" s="1013" t="n"/>
      <c r="AF60" s="1014" t="n"/>
      <c r="AG60" s="1013" t="n"/>
      <c r="AH60" s="1014" t="n"/>
      <c r="AI60" s="10" t="n"/>
      <c r="AJ60" s="10" t="n"/>
      <c r="AK60" s="10" t="n"/>
    </row>
    <row r="61" ht="27" customHeight="1" thickBot="1">
      <c r="A61" s="1602" t="n"/>
      <c r="B61" s="842" t="inlineStr">
        <is>
          <t>Max Enf</t>
        </is>
      </c>
      <c r="C61" s="843">
        <f>_xlfn.XLOOKUP(G61,G59:G60,C59:C60)</f>
        <v/>
      </c>
      <c r="D61" s="843" t="n"/>
      <c r="E61" s="844" t="n"/>
      <c r="F61" s="844" t="n"/>
      <c r="G61" s="844" t="n"/>
      <c r="H61" s="1716" t="n"/>
      <c r="I61" s="845" t="n"/>
      <c r="J61" s="846">
        <f>IF(AND(J59=FALSE,J60=FALSE),FALSE,TRUE)</f>
        <v/>
      </c>
      <c r="K61" s="1699" t="n"/>
      <c r="L61" s="1699" t="n"/>
      <c r="M61" s="1699" t="n"/>
      <c r="N61" s="1717" t="n"/>
      <c r="O61" s="1716" t="n"/>
      <c r="P61" s="845" t="n"/>
      <c r="Q61" s="846">
        <f>IF(AND(Q59=FALSE,Q60=FALSE),FALSE,TRUE)</f>
        <v/>
      </c>
      <c r="R61" s="1716" t="n"/>
      <c r="S61" s="845" t="n"/>
      <c r="T61" s="846" t="n"/>
      <c r="U61" s="978" t="n"/>
      <c r="V61" s="978" t="n"/>
      <c r="W61" s="1475" t="n"/>
      <c r="Y61" s="1479" t="n"/>
      <c r="AA61" s="1483" t="n"/>
      <c r="AC61" s="1013" t="n"/>
      <c r="AD61" s="1014" t="n"/>
      <c r="AE61" s="1013" t="n"/>
      <c r="AF61" s="1014" t="n"/>
      <c r="AG61" s="1013" t="n"/>
      <c r="AH61" s="1014" t="n"/>
      <c r="AI61" s="10" t="n"/>
      <c r="AJ61" s="10" t="n"/>
      <c r="AK61" s="10" t="n"/>
    </row>
    <row r="62" ht="26" customHeight="1">
      <c r="A62" s="1602" t="n"/>
      <c r="C62" s="428" t="inlineStr">
        <is>
          <t>COMPARATIF Comportement PFA-Enf</t>
        </is>
      </c>
      <c r="D62" s="2058" t="n"/>
      <c r="E62" s="484" t="inlineStr">
        <is>
          <t>Valeur =&gt;</t>
        </is>
      </c>
      <c r="F62" s="48" t="n"/>
      <c r="G62" s="48" t="n"/>
      <c r="H62" s="1718" t="n"/>
      <c r="I62" s="485" t="n"/>
      <c r="J62" s="1701" t="n"/>
      <c r="K62" s="1702" t="n"/>
      <c r="L62" s="1702" t="n"/>
      <c r="M62" s="1702" t="n"/>
      <c r="N62" s="1719" t="n"/>
      <c r="O62" s="1718" t="n"/>
      <c r="P62" s="485" t="n"/>
      <c r="Q62" s="1727" t="n"/>
      <c r="R62" s="1718" t="n"/>
      <c r="S62" s="485" t="n"/>
      <c r="T62" s="1727" t="n"/>
      <c r="U62" s="1754" t="n"/>
      <c r="V62" s="980" t="n"/>
      <c r="W62" s="1475" t="n"/>
      <c r="Y62" s="1479" t="n"/>
      <c r="AA62" s="1483" t="n"/>
      <c r="AC62" s="1015" t="n"/>
      <c r="AD62" s="1016" t="n"/>
      <c r="AE62" s="1015" t="n"/>
      <c r="AF62" s="1016" t="n"/>
      <c r="AG62" s="1015" t="n"/>
      <c r="AH62" s="1016" t="n"/>
      <c r="AI62" s="10" t="n"/>
      <c r="AJ62" s="10" t="n"/>
      <c r="AK62" s="10" t="n"/>
    </row>
    <row r="63" ht="26" customHeight="1">
      <c r="A63" s="1602" t="n"/>
      <c r="B63" t="inlineStr">
        <is>
          <t>PCR</t>
        </is>
      </c>
      <c r="H63" s="147" t="n"/>
      <c r="K63" s="1992" t="n"/>
      <c r="L63" s="1992" t="n"/>
      <c r="M63" s="1992" t="n"/>
      <c r="N63" s="1740" t="n"/>
      <c r="O63" s="147" t="n"/>
      <c r="Q63" s="330" t="n"/>
      <c r="R63" s="147" t="n"/>
      <c r="T63" s="330" t="n"/>
      <c r="W63" s="1475" t="n"/>
      <c r="Y63" s="1479" t="n"/>
      <c r="AA63" s="1483" t="n"/>
      <c r="AC63" s="1013" t="n"/>
      <c r="AD63" s="1014" t="n"/>
      <c r="AE63" s="1013" t="n"/>
      <c r="AF63" s="1014" t="n"/>
      <c r="AG63" s="1013" t="n"/>
      <c r="AH63" s="1014" t="n"/>
      <c r="AI63" s="10" t="n"/>
      <c r="AJ63" s="10" t="n"/>
      <c r="AK63" s="10" t="n"/>
    </row>
    <row r="64" ht="26" customHeight="1">
      <c r="A64" s="1602" t="n"/>
      <c r="B64" s="1017" t="n"/>
      <c r="C64" s="1025" t="n"/>
      <c r="D64" s="1018" t="n"/>
      <c r="E64" s="1026" t="n"/>
      <c r="F64" s="1026" t="n"/>
      <c r="G64" s="1026" t="n"/>
      <c r="H64" s="1735" t="n">
        <v>11</v>
      </c>
      <c r="I64" s="1736" t="n">
        <v>11</v>
      </c>
      <c r="J64" s="46">
        <f>IF(AND(E64&gt;=H64,E64&lt;=I64),TRUE,FALSE)</f>
        <v/>
      </c>
      <c r="K64" s="33" t="n"/>
      <c r="L64" s="33" t="n"/>
      <c r="M64" s="33" t="n"/>
      <c r="N64" s="1720" t="n"/>
      <c r="O64" s="1735" t="n">
        <v>11</v>
      </c>
      <c r="P64" s="1736" t="n">
        <v>11</v>
      </c>
      <c r="Q64" s="1711">
        <f>IF(AND(E64&gt;=O64,E64&lt;=P64),TRUE,FALSE)</f>
        <v/>
      </c>
      <c r="R64" s="1735" t="n">
        <v>11</v>
      </c>
      <c r="S64" s="1736" t="n">
        <v>11</v>
      </c>
      <c r="T64" s="1711">
        <f>IF(AND(E64&gt;=R64,E64&lt;=S64),TRUE,FALSE)</f>
        <v/>
      </c>
      <c r="U64" s="978" t="n"/>
      <c r="V64" s="1509" t="n"/>
      <c r="W64" s="1503" t="n">
        <v>11</v>
      </c>
      <c r="X64" s="1504" t="n"/>
      <c r="Y64" s="1505" t="n">
        <v>11</v>
      </c>
      <c r="Z64" s="1504" t="n"/>
      <c r="AA64" s="1497" t="n">
        <v>11</v>
      </c>
      <c r="AC64" s="1013" t="n"/>
      <c r="AD64" s="1014" t="n"/>
      <c r="AE64" s="1013" t="n"/>
      <c r="AF64" s="1014" t="n"/>
      <c r="AG64" s="1013" t="n"/>
      <c r="AH64" s="1014" t="n"/>
      <c r="AI64" s="10" t="n"/>
      <c r="AJ64" s="10" t="n"/>
      <c r="AK64" s="10" t="n"/>
    </row>
    <row r="65" ht="27" customHeight="1" thickBot="1">
      <c r="A65" s="1602" t="n"/>
      <c r="B65" s="1017" t="n"/>
      <c r="C65" s="1025" t="n"/>
      <c r="D65" s="1018" t="n"/>
      <c r="E65" s="1026" t="n"/>
      <c r="F65" s="1026" t="n"/>
      <c r="G65" s="1026" t="n"/>
      <c r="H65" s="1735" t="n">
        <v>11</v>
      </c>
      <c r="I65" s="1736" t="n">
        <v>11</v>
      </c>
      <c r="J65" s="46">
        <f>IF(AND(E65&gt;=H65,E65&lt;=I65),TRUE,FALSE)</f>
        <v/>
      </c>
      <c r="K65" s="33" t="n"/>
      <c r="L65" s="33" t="n"/>
      <c r="M65" s="33" t="n"/>
      <c r="N65" s="1720" t="n"/>
      <c r="O65" s="1735" t="n">
        <v>11</v>
      </c>
      <c r="P65" s="1736" t="n">
        <v>11</v>
      </c>
      <c r="Q65" s="1711">
        <f>IF(AND(E65&gt;=O65,E65&lt;=P65),TRUE,FALSE)</f>
        <v/>
      </c>
      <c r="R65" s="1735" t="n">
        <v>11</v>
      </c>
      <c r="S65" s="1736" t="n">
        <v>11</v>
      </c>
      <c r="T65" s="1711">
        <f>IF(AND(E65&gt;=R65,E65&lt;=S65),TRUE,FALSE)</f>
        <v/>
      </c>
      <c r="U65" s="978" t="n"/>
      <c r="V65" s="1510" t="n"/>
      <c r="W65" s="1506" t="n">
        <v>11</v>
      </c>
      <c r="X65" s="1507" t="n"/>
      <c r="Y65" s="1508" t="n">
        <v>11</v>
      </c>
      <c r="Z65" s="1507" t="n"/>
      <c r="AA65" s="1502" t="n">
        <v>11</v>
      </c>
      <c r="AC65" s="1013" t="n"/>
      <c r="AD65" s="1014" t="n"/>
      <c r="AE65" s="1013" t="n"/>
      <c r="AF65" s="1014" t="n"/>
      <c r="AG65" s="1013" t="n"/>
      <c r="AH65" s="1014" t="n"/>
      <c r="AI65" s="10" t="n"/>
      <c r="AJ65" s="10" t="n"/>
      <c r="AK65" s="10" t="n"/>
    </row>
    <row r="66" ht="27" customHeight="1" thickBot="1">
      <c r="A66" s="686" t="n"/>
      <c r="D66" s="847" t="n"/>
      <c r="E66" s="97" t="n"/>
      <c r="F66" s="97" t="n"/>
      <c r="G66" s="97" t="n"/>
      <c r="H66" s="1732" t="n"/>
      <c r="I66" s="1733" t="n"/>
      <c r="J66" s="1739">
        <f>IF(AND(J64=FALSE,J65=FALSE),FALSE,TRUE)</f>
        <v/>
      </c>
      <c r="K66" s="1721" t="n"/>
      <c r="L66" s="1722" t="n"/>
      <c r="M66" s="1722" t="n"/>
      <c r="N66" s="1723" t="n"/>
      <c r="O66" s="1732" t="n"/>
      <c r="P66" s="1733" t="n"/>
      <c r="Q66" s="1739">
        <f>IF(AND(Q64=FALSE,Q65=FALSE),FALSE,TRUE)</f>
        <v/>
      </c>
      <c r="R66" s="1744" t="n"/>
      <c r="S66" s="1745" t="n"/>
      <c r="T66" s="1746">
        <f>IF(AND(T64=FALSE,T65=FALSE),FALSE,TRUE)</f>
        <v/>
      </c>
      <c r="U66" s="97" t="n"/>
      <c r="AC66" s="1650" t="n"/>
      <c r="AD66" s="1651" t="n"/>
      <c r="AE66" s="1650" t="n"/>
      <c r="AF66" s="1651" t="n"/>
      <c r="AG66" s="1650" t="n"/>
      <c r="AH66" s="1651" t="n"/>
      <c r="AI66" s="10" t="n"/>
      <c r="AJ66" s="10" t="n"/>
      <c r="AK66" s="10" t="n"/>
    </row>
    <row r="67" ht="26" customHeight="1">
      <c r="A67" s="686" t="n"/>
      <c r="D67" s="847" t="n"/>
      <c r="E67" s="97" t="n"/>
      <c r="F67" s="97" t="n"/>
      <c r="G67" s="97" t="n"/>
      <c r="H67" s="97" t="n"/>
      <c r="I67" s="97" t="n"/>
      <c r="J67" s="97" t="n"/>
      <c r="K67" s="97" t="n"/>
      <c r="L67" s="97" t="n"/>
      <c r="M67" s="97" t="n"/>
      <c r="N67" s="97" t="n"/>
      <c r="O67" s="97" t="n"/>
      <c r="P67" s="97" t="n"/>
      <c r="Q67" s="97" t="n"/>
      <c r="R67" s="97" t="n"/>
      <c r="S67" s="97" t="n"/>
      <c r="T67" s="97" t="n"/>
      <c r="U67" s="97" t="n"/>
      <c r="AC67" s="1737" t="n"/>
      <c r="AD67" s="1738" t="n"/>
      <c r="AE67" s="1737" t="n"/>
      <c r="AF67" s="1738" t="n"/>
      <c r="AG67" s="1737" t="n"/>
      <c r="AH67" s="1738" t="n"/>
      <c r="AI67" s="10" t="n"/>
      <c r="AJ67" s="10" t="n"/>
      <c r="AK67" s="10" t="n"/>
    </row>
    <row r="68" ht="26" customHeight="1">
      <c r="A68" s="686" t="n"/>
      <c r="D68" s="847" t="n"/>
      <c r="E68" s="97" t="n"/>
      <c r="F68" s="97" t="n"/>
      <c r="G68" s="97" t="n"/>
      <c r="H68" s="97" t="n"/>
      <c r="I68" s="97" t="n"/>
      <c r="J68" s="97" t="n"/>
      <c r="K68" s="97" t="n"/>
      <c r="L68" s="97" t="n"/>
      <c r="M68" s="97" t="n"/>
      <c r="N68" s="97" t="n"/>
      <c r="O68" s="97" t="n"/>
      <c r="P68" s="97" t="n"/>
      <c r="Q68" s="97" t="n"/>
      <c r="R68" s="97" t="n"/>
      <c r="S68" s="97" t="n"/>
      <c r="T68" s="97" t="n"/>
      <c r="U68" s="97" t="n"/>
      <c r="AC68" s="1756" t="inlineStr">
        <is>
          <t>Indice boosté</t>
        </is>
      </c>
      <c r="AD68" s="1757">
        <f>IF(AF67=1,AD67*(1+$AH$28),AD67)</f>
        <v/>
      </c>
      <c r="AE68" s="1490" t="n"/>
      <c r="AF68" s="1490" t="n"/>
      <c r="AG68" s="1490" t="n"/>
      <c r="AH68" s="1490" t="n"/>
      <c r="AI68" s="10" t="n"/>
      <c r="AJ68" s="10" t="n"/>
      <c r="AK68" s="10" t="n"/>
    </row>
    <row r="69" ht="26" customHeight="1">
      <c r="A69" s="1601" t="n">
        <v>4</v>
      </c>
      <c r="C69" s="486">
        <f>'CPTS indépendants'!F12</f>
        <v/>
      </c>
      <c r="D69" s="108" t="n"/>
      <c r="E69" s="66" t="n"/>
      <c r="F69" s="18" t="n"/>
      <c r="G69" s="18" t="n"/>
      <c r="H69" s="2052" t="inlineStr">
        <is>
          <t>AP</t>
        </is>
      </c>
      <c r="K69" s="2055" t="inlineStr">
        <is>
          <t>Dynamique d'AP</t>
        </is>
      </c>
      <c r="N69" s="330" t="n"/>
      <c r="O69" s="2122" t="inlineStr">
        <is>
          <t>CL</t>
        </is>
      </c>
      <c r="Q69" s="330" t="n"/>
      <c r="R69" s="2123" t="inlineStr">
        <is>
          <t>CSS</t>
        </is>
      </c>
      <c r="T69" s="330" t="n"/>
      <c r="U69" s="15" t="n"/>
      <c r="V69" s="15" t="n"/>
      <c r="AC69" s="1009" t="n"/>
      <c r="AD69" s="1009" t="n"/>
      <c r="AE69" s="1009" t="n"/>
      <c r="AF69" s="1009" t="n"/>
      <c r="AG69" s="1009" t="n"/>
      <c r="AH69" s="1010" t="n"/>
      <c r="AI69" s="10" t="n"/>
      <c r="AJ69" s="10" t="n"/>
      <c r="AK69" s="10" t="n"/>
    </row>
    <row r="70" ht="68" customHeight="1">
      <c r="A70" s="1602" t="n"/>
      <c r="C70" s="103" t="inlineStr">
        <is>
          <t>Questions et sous-questions</t>
        </is>
      </c>
      <c r="D70" s="1043" t="n"/>
      <c r="E70" s="33" t="inlineStr">
        <is>
          <t>Valeur de base
Fréquence (F)</t>
        </is>
      </c>
      <c r="F70" s="33" t="inlineStr">
        <is>
          <t>Valeur de base
intensité (I)</t>
        </is>
      </c>
      <c r="G70" s="33" t="inlineStr">
        <is>
          <t>F * I</t>
        </is>
      </c>
      <c r="H70" s="1708" t="inlineStr">
        <is>
          <t>Condition Fréq. 
&gt;= que</t>
        </is>
      </c>
      <c r="I70" s="44" t="inlineStr">
        <is>
          <t>Condition Fré
&lt;= que</t>
        </is>
      </c>
      <c r="J70" s="44" t="inlineStr">
        <is>
          <t>Condition respectée</t>
        </is>
      </c>
      <c r="K70" s="44" t="n"/>
      <c r="L70" s="44" t="n"/>
      <c r="M70" s="44" t="n"/>
      <c r="N70" s="1709" t="n"/>
      <c r="O70" s="1708" t="inlineStr">
        <is>
          <t>Condition Fréq. 
&gt;= que</t>
        </is>
      </c>
      <c r="P70" s="44" t="inlineStr">
        <is>
          <t>Condition Fré
&lt;= que</t>
        </is>
      </c>
      <c r="Q70" s="1709" t="inlineStr">
        <is>
          <t>Condition respectée</t>
        </is>
      </c>
      <c r="R70" s="1708" t="inlineStr">
        <is>
          <t>Condition Fréq. 
&gt;= que</t>
        </is>
      </c>
      <c r="S70" s="44" t="inlineStr">
        <is>
          <t>Condition Fré
&lt;= que</t>
        </is>
      </c>
      <c r="T70" s="1709" t="inlineStr">
        <is>
          <t>Condition respectée</t>
        </is>
      </c>
      <c r="U70" s="851" t="n"/>
      <c r="V70" s="1008" t="inlineStr">
        <is>
          <t>Condition</t>
        </is>
      </c>
      <c r="W70" s="1472" t="inlineStr">
        <is>
          <t>AP</t>
        </is>
      </c>
      <c r="X70" s="1008" t="inlineStr">
        <is>
          <t>Condition</t>
        </is>
      </c>
      <c r="Y70" s="1476" t="inlineStr">
        <is>
          <t>CL</t>
        </is>
      </c>
      <c r="Z70" s="1008" t="inlineStr">
        <is>
          <t>Condition</t>
        </is>
      </c>
      <c r="AA70" s="1480" t="inlineStr">
        <is>
          <t>CSS</t>
        </is>
      </c>
      <c r="AC70" s="1023" t="n"/>
      <c r="AD70" s="1024" t="n"/>
      <c r="AE70" s="1023" t="n"/>
      <c r="AF70" s="1024" t="n"/>
      <c r="AG70" s="1023" t="n"/>
      <c r="AH70" s="1024" t="n"/>
      <c r="AI70" s="10" t="n"/>
      <c r="AJ70" s="10" t="n"/>
      <c r="AK70" s="10" t="n"/>
    </row>
    <row r="71" ht="51" customHeight="1">
      <c r="A71" s="1602" t="n"/>
      <c r="B71" s="421">
        <f>'CPTS indépendants'!G12</f>
        <v/>
      </c>
      <c r="C71" s="2066">
        <f>Test_Bible!B206</f>
        <v/>
      </c>
      <c r="D71" s="102" t="n"/>
      <c r="E71" s="823">
        <f>Test_Bible!P206</f>
        <v/>
      </c>
      <c r="F71" s="822">
        <f>Test_Bible!D206</f>
        <v/>
      </c>
      <c r="G71" s="823">
        <f>E71*F71</f>
        <v/>
      </c>
      <c r="H71" s="1710" t="n">
        <v>4</v>
      </c>
      <c r="I71" s="1703" t="n">
        <v>10</v>
      </c>
      <c r="J71" s="46">
        <f>IF(AND(E71&gt;=H71,E71&lt;=I71),TRUE,FALSE)</f>
        <v/>
      </c>
      <c r="K71" s="46" t="n"/>
      <c r="L71" s="46" t="n"/>
      <c r="M71" s="46" t="n"/>
      <c r="N71" s="1711" t="n"/>
      <c r="O71" s="1735" t="n">
        <v>11</v>
      </c>
      <c r="P71" s="1736" t="n">
        <v>11</v>
      </c>
      <c r="Q71" s="1711">
        <f>IF(AND(E71&gt;=O71,E71&lt;=P71),TRUE,FALSE)</f>
        <v/>
      </c>
      <c r="R71" s="1710" t="n">
        <v>2</v>
      </c>
      <c r="S71" s="1703" t="n">
        <v>10</v>
      </c>
      <c r="T71" s="1711">
        <f>IF(AND(E71&gt;=R71,E71&lt;=S71),TRUE,FALSE)</f>
        <v/>
      </c>
      <c r="U71" s="978" t="n"/>
      <c r="V71" s="1484" t="n"/>
      <c r="W71" s="1485" t="n">
        <v>4</v>
      </c>
      <c r="X71" s="2029" t="n"/>
      <c r="Y71" s="1505" t="n">
        <v>11</v>
      </c>
      <c r="Z71" s="2029" t="n"/>
      <c r="AA71" s="1496" t="n">
        <v>2</v>
      </c>
      <c r="AC71" s="1011" t="n"/>
      <c r="AD71" s="1012" t="n"/>
      <c r="AE71" s="1011" t="n"/>
      <c r="AF71" s="1012" t="n"/>
      <c r="AG71" s="1011" t="n"/>
      <c r="AH71" s="1012" t="n"/>
      <c r="AI71" s="10" t="n"/>
      <c r="AJ71" s="10" t="n"/>
      <c r="AK71" s="10" t="n"/>
    </row>
    <row r="72" ht="26" customHeight="1">
      <c r="A72" s="1602" t="n"/>
      <c r="B72" s="421" t="n"/>
      <c r="C72" s="2066" t="n"/>
      <c r="D72" s="102" t="n"/>
      <c r="E72" s="823" t="n"/>
      <c r="F72" s="822" t="n"/>
      <c r="G72" s="823" t="n"/>
      <c r="H72" s="1735" t="n">
        <v>11</v>
      </c>
      <c r="I72" s="1736" t="n">
        <v>11</v>
      </c>
      <c r="J72" s="46">
        <f>IF(AND(E72&gt;=H72,E72&lt;=I72),TRUE,FALSE)</f>
        <v/>
      </c>
      <c r="K72" s="46" t="n"/>
      <c r="L72" s="46" t="n"/>
      <c r="M72" s="46" t="n"/>
      <c r="N72" s="1711" t="n"/>
      <c r="O72" s="1735" t="n">
        <v>11</v>
      </c>
      <c r="P72" s="1736" t="n">
        <v>11</v>
      </c>
      <c r="Q72" s="1711">
        <f>IF(AND(E72&gt;=O72,E72&lt;=P72),TRUE,FALSE)</f>
        <v/>
      </c>
      <c r="R72" s="1735" t="n">
        <v>11</v>
      </c>
      <c r="S72" s="1736" t="n">
        <v>11</v>
      </c>
      <c r="T72" s="1711">
        <f>IF(AND(E72&gt;=R72,E72&lt;=S72),TRUE,FALSE)</f>
        <v/>
      </c>
      <c r="U72" s="978" t="n"/>
      <c r="V72" s="1487" t="inlineStr">
        <is>
          <t>ou</t>
        </is>
      </c>
      <c r="W72" s="1506" t="n">
        <v>11</v>
      </c>
      <c r="X72" s="1507" t="n"/>
      <c r="Y72" s="1508" t="n">
        <v>11</v>
      </c>
      <c r="Z72" s="1507" t="n"/>
      <c r="AA72" s="1502" t="n">
        <v>11</v>
      </c>
      <c r="AC72" s="1013" t="n"/>
      <c r="AD72" s="1014" t="n"/>
      <c r="AE72" s="1013" t="n"/>
      <c r="AF72" s="1014" t="n"/>
      <c r="AG72" s="1013" t="n"/>
      <c r="AH72" s="1014" t="n"/>
      <c r="AI72" s="10" t="n"/>
      <c r="AJ72" s="10" t="n"/>
      <c r="AK72" s="10" t="n"/>
    </row>
    <row r="73" ht="26" customHeight="1">
      <c r="A73" s="1602" t="n"/>
      <c r="B73" s="825" t="n"/>
      <c r="C73" s="826" t="n"/>
      <c r="D73" s="827" t="n"/>
      <c r="E73" s="828" t="n"/>
      <c r="F73" s="828" t="n"/>
      <c r="G73" s="828" t="n"/>
      <c r="H73" s="1712" t="n"/>
      <c r="I73" s="829" t="n"/>
      <c r="J73" s="830">
        <f>IF(AND(J71=FALSE,J72=FALSE),FALSE,TRUE)</f>
        <v/>
      </c>
      <c r="K73" s="46" t="n"/>
      <c r="L73" s="46" t="n"/>
      <c r="M73" s="46" t="n"/>
      <c r="N73" s="1711" t="n"/>
      <c r="O73" s="1712" t="n"/>
      <c r="P73" s="829" t="n"/>
      <c r="Q73" s="1725">
        <f>IF(AND(Q71=FALSE,Q72=FALSE),FALSE,TRUE)</f>
        <v/>
      </c>
      <c r="R73" s="1712" t="n"/>
      <c r="S73" s="829" t="n"/>
      <c r="T73" s="1725">
        <f>IF(AND(T71=FALSE,T72=FALSE),FALSE,TRUE)</f>
        <v/>
      </c>
      <c r="U73" s="978" t="n"/>
      <c r="V73" s="978" t="inlineStr">
        <is>
          <t>ou</t>
        </is>
      </c>
      <c r="W73" s="1473" t="n"/>
      <c r="X73" s="2002" t="n"/>
      <c r="Y73" s="1478" t="n"/>
      <c r="Z73" s="2002" t="n"/>
      <c r="AA73" s="1481" t="n"/>
      <c r="AC73" s="1013" t="n"/>
      <c r="AD73" s="1014" t="n"/>
      <c r="AE73" s="1013" t="n"/>
      <c r="AF73" s="1014" t="n"/>
      <c r="AG73" s="1013" t="n"/>
      <c r="AH73" s="1014" t="n"/>
      <c r="AI73" s="10" t="n"/>
      <c r="AJ73" s="10" t="n"/>
      <c r="AK73" s="10" t="n"/>
    </row>
    <row r="74" ht="26" customHeight="1">
      <c r="A74" s="1602" t="n"/>
      <c r="B74" s="53" t="n"/>
      <c r="C74" s="2066" t="n"/>
      <c r="D74" s="102" t="n"/>
      <c r="E74" s="823" t="n"/>
      <c r="F74" s="822" t="n"/>
      <c r="G74" s="823" t="n"/>
      <c r="H74" s="1735" t="n">
        <v>11</v>
      </c>
      <c r="I74" s="1736" t="n">
        <v>11</v>
      </c>
      <c r="J74" s="46">
        <f>IF(AND(E74&gt;=H74,E74&lt;=I74),TRUE,FALSE)</f>
        <v/>
      </c>
      <c r="K74" s="46" t="n"/>
      <c r="L74" s="46" t="n"/>
      <c r="M74" s="46" t="n"/>
      <c r="N74" s="1711" t="n"/>
      <c r="O74" s="1735" t="n">
        <v>11</v>
      </c>
      <c r="P74" s="1736" t="n">
        <v>11</v>
      </c>
      <c r="Q74" s="1711">
        <f>IF(AND(E74&gt;=O74,E74&lt;=P74),TRUE,FALSE)</f>
        <v/>
      </c>
      <c r="R74" s="1735" t="n">
        <v>11</v>
      </c>
      <c r="S74" s="1736" t="n">
        <v>11</v>
      </c>
      <c r="T74" s="1711">
        <f>IF(AND(E74&gt;=R74,E74&lt;=S74),TRUE,FALSE)</f>
        <v/>
      </c>
      <c r="U74" s="978" t="n"/>
      <c r="V74" s="1484" t="n"/>
      <c r="W74" s="1503" t="n">
        <v>11</v>
      </c>
      <c r="X74" s="1504" t="n"/>
      <c r="Y74" s="1505" t="n">
        <v>11</v>
      </c>
      <c r="Z74" s="1504" t="n"/>
      <c r="AA74" s="1497" t="n">
        <v>11</v>
      </c>
      <c r="AC74" s="1013" t="n"/>
      <c r="AD74" s="1014" t="n"/>
      <c r="AE74" s="1013" t="n"/>
      <c r="AF74" s="1014" t="n"/>
      <c r="AG74" s="1013" t="n"/>
      <c r="AH74" s="1014" t="n"/>
      <c r="AI74" s="10" t="n"/>
      <c r="AJ74" s="10" t="n"/>
      <c r="AK74" s="10" t="n"/>
    </row>
    <row r="75" ht="26" customHeight="1">
      <c r="A75" s="1602" t="n"/>
      <c r="B75" s="53" t="n"/>
      <c r="C75" s="2066" t="n"/>
      <c r="D75" s="63" t="n"/>
      <c r="E75" s="36" t="n"/>
      <c r="F75" s="36" t="n"/>
      <c r="G75" s="36" t="n"/>
      <c r="H75" s="1735" t="n">
        <v>11</v>
      </c>
      <c r="I75" s="1736" t="n">
        <v>11</v>
      </c>
      <c r="J75" s="46">
        <f>IF(AND(E75&gt;=H75,E75&lt;=I75),TRUE,FALSE)</f>
        <v/>
      </c>
      <c r="K75" s="46" t="n"/>
      <c r="L75" s="46" t="n"/>
      <c r="M75" s="46" t="n"/>
      <c r="N75" s="1711" t="n"/>
      <c r="O75" s="1735" t="n">
        <v>11</v>
      </c>
      <c r="P75" s="1736" t="n">
        <v>11</v>
      </c>
      <c r="Q75" s="1711">
        <f>IF(AND(E75&gt;=O75,E75&lt;=P75),TRUE,FALSE)</f>
        <v/>
      </c>
      <c r="R75" s="1735" t="n">
        <v>11</v>
      </c>
      <c r="S75" s="1736" t="n">
        <v>11</v>
      </c>
      <c r="T75" s="1711">
        <f>IF(AND(E75&gt;=R75,E75&lt;=S75),TRUE,FALSE)</f>
        <v/>
      </c>
      <c r="U75" s="978" t="n"/>
      <c r="V75" s="1487" t="inlineStr">
        <is>
          <t>ou</t>
        </is>
      </c>
      <c r="W75" s="1506" t="n">
        <v>11</v>
      </c>
      <c r="X75" s="1507" t="n"/>
      <c r="Y75" s="1508" t="n">
        <v>11</v>
      </c>
      <c r="Z75" s="1507" t="n"/>
      <c r="AA75" s="1502" t="n">
        <v>11</v>
      </c>
      <c r="AC75" s="1013" t="n"/>
      <c r="AD75" s="1014" t="n"/>
      <c r="AE75" s="1013" t="n"/>
      <c r="AF75" s="1014" t="n"/>
      <c r="AG75" s="1013" t="n"/>
      <c r="AH75" s="1014" t="n"/>
      <c r="AI75" s="10" t="n"/>
      <c r="AJ75" s="10" t="n"/>
      <c r="AK75" s="10" t="n"/>
    </row>
    <row r="76" ht="27" customHeight="1" thickBot="1">
      <c r="A76" s="1602" t="n"/>
      <c r="B76" s="831" t="n"/>
      <c r="C76" s="832" t="n"/>
      <c r="D76" s="833" t="n"/>
      <c r="E76" s="834" t="n"/>
      <c r="F76" s="834" t="n"/>
      <c r="G76" s="834" t="n"/>
      <c r="H76" s="1713" t="n"/>
      <c r="I76" s="835" t="n"/>
      <c r="J76" s="836">
        <f>IF(AND(J74=FALSE,J75=FALSE),FALSE,TRUE)</f>
        <v/>
      </c>
      <c r="K76" s="46" t="n"/>
      <c r="L76" s="46" t="n"/>
      <c r="M76" s="46" t="n"/>
      <c r="N76" s="1711" t="n"/>
      <c r="O76" s="1713" t="n"/>
      <c r="P76" s="835" t="n"/>
      <c r="Q76" s="1726">
        <f>IF(AND(Q74=FALSE,Q75=FALSE),FALSE,TRUE)</f>
        <v/>
      </c>
      <c r="R76" s="1713" t="n"/>
      <c r="S76" s="835" t="n"/>
      <c r="T76" s="1726">
        <f>IF(AND(T74=FALSE,T75=FALSE),FALSE,TRUE)</f>
        <v/>
      </c>
      <c r="U76" s="978" t="n"/>
      <c r="V76" s="978" t="n"/>
      <c r="W76" s="1473" t="n"/>
      <c r="X76" s="2002" t="n"/>
      <c r="Y76" s="1478" t="n"/>
      <c r="Z76" s="2002" t="n"/>
      <c r="AA76" s="1481" t="n"/>
      <c r="AC76" s="1013" t="n"/>
      <c r="AD76" s="1014" t="n"/>
      <c r="AE76" s="1013" t="n"/>
      <c r="AF76" s="1014" t="n"/>
      <c r="AG76" s="1013" t="n"/>
      <c r="AH76" s="1014" t="n"/>
      <c r="AI76" s="10" t="n"/>
      <c r="AJ76" s="10" t="n"/>
      <c r="AK76" s="10" t="n"/>
    </row>
    <row r="77" ht="27" customHeight="1" thickBot="1">
      <c r="A77" s="1602" t="n"/>
      <c r="B77" s="837" t="n"/>
      <c r="C77" s="838" t="n"/>
      <c r="D77" s="838" t="n"/>
      <c r="E77" s="839" t="n"/>
      <c r="F77" s="839" t="n"/>
      <c r="G77" s="839" t="n"/>
      <c r="H77" s="1714" t="n"/>
      <c r="I77" s="840" t="n"/>
      <c r="J77" s="841">
        <f>IF(AND(J73=FALSE,J76=FALSE),FALSE,TRUE)</f>
        <v/>
      </c>
      <c r="K77" s="1698" t="n"/>
      <c r="L77" s="1698" t="n"/>
      <c r="M77" s="1698" t="n"/>
      <c r="N77" s="1715" t="n"/>
      <c r="O77" s="1714" t="n"/>
      <c r="P77" s="840" t="n"/>
      <c r="Q77" s="841">
        <f>IF(AND(Q73=FALSE,Q76=FALSE),FALSE,TRUE)</f>
        <v/>
      </c>
      <c r="R77" s="1714" t="n"/>
      <c r="S77" s="840" t="n"/>
      <c r="T77" s="841">
        <f>IF(AND(T73=FALSE,T76=FALSE),FALSE,TRUE)</f>
        <v/>
      </c>
      <c r="U77" s="978" t="n"/>
      <c r="V77" s="978" t="inlineStr">
        <is>
          <t>et</t>
        </is>
      </c>
      <c r="W77" s="1473" t="n"/>
      <c r="X77" s="2002" t="n"/>
      <c r="Y77" s="1478" t="n"/>
      <c r="Z77" s="2002" t="n"/>
      <c r="AA77" s="1481" t="n"/>
      <c r="AC77" s="1013" t="n"/>
      <c r="AD77" s="1014" t="n"/>
      <c r="AE77" s="1013" t="n"/>
      <c r="AF77" s="1014" t="n"/>
      <c r="AG77" s="1013" t="n"/>
      <c r="AH77" s="1014" t="n"/>
      <c r="AI77" s="10">
        <f>IF(OR(AC77="V",AE77="V"),IF(G76&gt;G73,"Le NC contribue plus que le coparent","Le coparent joue un plus grand rôle que le NC"),"pas de contexte significatif de la part du coparent et NC")</f>
        <v/>
      </c>
      <c r="AJ77" s="10" t="n"/>
      <c r="AK77" s="10" t="n"/>
    </row>
    <row r="78" ht="26" customHeight="1">
      <c r="A78" s="1602" t="n"/>
      <c r="B78" s="316" t="n"/>
      <c r="C78" s="2066" t="n"/>
      <c r="D78" s="102" t="n"/>
      <c r="E78" s="823" t="n"/>
      <c r="F78" s="822" t="n"/>
      <c r="G78" s="823" t="n"/>
      <c r="H78" s="1735" t="n">
        <v>11</v>
      </c>
      <c r="I78" s="1736" t="n">
        <v>11</v>
      </c>
      <c r="J78" s="46">
        <f>IF(AND(E78&gt;=H78,E78&lt;=I78),TRUE,FALSE)</f>
        <v/>
      </c>
      <c r="K78" s="46" t="n"/>
      <c r="L78" s="46" t="n"/>
      <c r="M78" s="46" t="n"/>
      <c r="N78" s="1711" t="n"/>
      <c r="O78" s="1735" t="n">
        <v>11</v>
      </c>
      <c r="P78" s="1736" t="n">
        <v>11</v>
      </c>
      <c r="Q78" s="1711">
        <f>IF(AND(E78&gt;=O78,E78&lt;=P78),TRUE,FALSE)</f>
        <v/>
      </c>
      <c r="R78" s="1710" t="n"/>
      <c r="S78" s="1703" t="n"/>
      <c r="T78" s="1711" t="n"/>
      <c r="U78" s="978" t="n"/>
      <c r="V78" s="1484" t="n"/>
      <c r="W78" s="1503" t="n">
        <v>11</v>
      </c>
      <c r="X78" s="1504" t="n"/>
      <c r="Y78" s="1505" t="n">
        <v>11</v>
      </c>
      <c r="Z78" s="1504" t="n"/>
      <c r="AA78" s="1497" t="n">
        <v>11</v>
      </c>
      <c r="AC78" s="1013" t="n"/>
      <c r="AD78" s="1014" t="n"/>
      <c r="AE78" s="1013" t="n"/>
      <c r="AF78" s="1014" t="n"/>
      <c r="AG78" s="1013" t="n"/>
      <c r="AH78" s="1014" t="n"/>
      <c r="AI78" s="10" t="n"/>
      <c r="AJ78" s="10" t="n"/>
      <c r="AK78" s="10" t="n"/>
    </row>
    <row r="79" ht="27" customHeight="1" thickBot="1">
      <c r="A79" s="1602" t="n"/>
      <c r="B79" s="316" t="n"/>
      <c r="C79" s="2066" t="n"/>
      <c r="D79" s="102" t="n"/>
      <c r="E79" s="823" t="n"/>
      <c r="F79" s="822" t="n"/>
      <c r="G79" s="823" t="n"/>
      <c r="H79" s="1735" t="n">
        <v>11</v>
      </c>
      <c r="I79" s="1736" t="n">
        <v>11</v>
      </c>
      <c r="J79" s="46">
        <f>IF(AND(E79&gt;=H79,E79&lt;=I79),TRUE,FALSE)</f>
        <v/>
      </c>
      <c r="K79" s="46" t="n"/>
      <c r="L79" s="46" t="n"/>
      <c r="M79" s="46" t="n"/>
      <c r="N79" s="1711" t="n"/>
      <c r="O79" s="1735" t="n">
        <v>11</v>
      </c>
      <c r="P79" s="1736" t="n">
        <v>11</v>
      </c>
      <c r="Q79" s="1711">
        <f>IF(AND(E79&gt;=O79,E79&lt;=P79),TRUE,FALSE)</f>
        <v/>
      </c>
      <c r="R79" s="1735" t="n"/>
      <c r="S79" s="1736" t="n"/>
      <c r="T79" s="1711" t="n"/>
      <c r="U79" s="978" t="n"/>
      <c r="V79" s="1487" t="inlineStr">
        <is>
          <t>ou</t>
        </is>
      </c>
      <c r="W79" s="1506" t="n">
        <v>11</v>
      </c>
      <c r="X79" s="1507" t="n"/>
      <c r="Y79" s="1508" t="n">
        <v>11</v>
      </c>
      <c r="Z79" s="1507" t="n"/>
      <c r="AA79" s="1502" t="n">
        <v>11</v>
      </c>
      <c r="AC79" s="1013" t="n"/>
      <c r="AD79" s="1014" t="n"/>
      <c r="AE79" s="1013" t="n"/>
      <c r="AF79" s="1014" t="n"/>
      <c r="AG79" s="1013" t="n"/>
      <c r="AH79" s="1014" t="n"/>
      <c r="AI79" s="10" t="n"/>
      <c r="AJ79" s="10" t="n"/>
      <c r="AK79" s="10" t="n"/>
    </row>
    <row r="80" ht="27" customHeight="1" thickBot="1">
      <c r="A80" s="1602" t="n"/>
      <c r="B80" s="842" t="n"/>
      <c r="C80" s="843" t="n"/>
      <c r="D80" s="843" t="n"/>
      <c r="E80" s="844" t="n"/>
      <c r="F80" s="844" t="n"/>
      <c r="G80" s="844" t="n"/>
      <c r="H80" s="1716" t="n"/>
      <c r="I80" s="845" t="n"/>
      <c r="J80" s="846">
        <f>IF(AND(J78=FALSE,J79=FALSE),FALSE,TRUE)</f>
        <v/>
      </c>
      <c r="K80" s="1699" t="n"/>
      <c r="L80" s="1699" t="n"/>
      <c r="M80" s="1699" t="n"/>
      <c r="N80" s="1717" t="n"/>
      <c r="O80" s="1716" t="n"/>
      <c r="P80" s="845" t="n"/>
      <c r="Q80" s="846">
        <f>IF(AND(Q78=FALSE,Q79=FALSE),FALSE,TRUE)</f>
        <v/>
      </c>
      <c r="R80" s="1716" t="n"/>
      <c r="S80" s="845" t="n"/>
      <c r="T80" s="846" t="n"/>
      <c r="U80" s="978" t="n"/>
      <c r="V80" s="978" t="n"/>
      <c r="W80" s="1475" t="n"/>
      <c r="Y80" s="1479" t="n"/>
      <c r="AA80" s="1483" t="n"/>
      <c r="AC80" s="1013" t="n"/>
      <c r="AD80" s="1014" t="n"/>
      <c r="AE80" s="1013" t="n"/>
      <c r="AF80" s="1014" t="n"/>
      <c r="AG80" s="1013" t="n"/>
      <c r="AH80" s="1014" t="n"/>
      <c r="AI80" s="10" t="n"/>
      <c r="AJ80" s="10" t="n"/>
      <c r="AK80" s="10" t="n"/>
    </row>
    <row r="81" ht="26" customHeight="1">
      <c r="A81" s="1602" t="n"/>
      <c r="C81" s="428" t="n"/>
      <c r="D81" s="2058" t="n"/>
      <c r="E81" s="484" t="n"/>
      <c r="F81" s="48" t="n"/>
      <c r="G81" s="48" t="n"/>
      <c r="H81" s="1718" t="n"/>
      <c r="I81" s="485" t="n"/>
      <c r="J81" s="1701" t="n"/>
      <c r="K81" s="1702" t="n"/>
      <c r="L81" s="1702" t="n"/>
      <c r="M81" s="1702" t="n"/>
      <c r="N81" s="1719" t="n"/>
      <c r="O81" s="1718" t="n"/>
      <c r="P81" s="485" t="n"/>
      <c r="Q81" s="1727" t="n"/>
      <c r="R81" s="1718" t="n"/>
      <c r="S81" s="485" t="n"/>
      <c r="T81" s="1727" t="n"/>
      <c r="U81" s="1754" t="n"/>
      <c r="V81" s="980" t="n"/>
      <c r="W81" s="1475" t="n"/>
      <c r="Y81" s="1479" t="n"/>
      <c r="AA81" s="1483" t="n"/>
      <c r="AC81" s="1015" t="n"/>
      <c r="AD81" s="1016" t="n"/>
      <c r="AE81" s="1015" t="n"/>
      <c r="AF81" s="1016" t="n"/>
      <c r="AG81" s="1015" t="n"/>
      <c r="AH81" s="1016" t="n"/>
      <c r="AI81" s="10" t="n"/>
      <c r="AJ81" s="10" t="n"/>
      <c r="AK81" s="10" t="n"/>
    </row>
    <row r="82" ht="26" customHeight="1">
      <c r="A82" s="1602" t="n"/>
      <c r="B82" t="inlineStr">
        <is>
          <t>PCR</t>
        </is>
      </c>
      <c r="H82" s="147" t="n"/>
      <c r="K82" s="1992" t="n"/>
      <c r="L82" s="1992" t="n"/>
      <c r="M82" s="1992" t="n"/>
      <c r="N82" s="1740" t="n"/>
      <c r="O82" s="147" t="n"/>
      <c r="Q82" s="330" t="n"/>
      <c r="R82" s="147" t="n"/>
      <c r="T82" s="330" t="n"/>
      <c r="W82" s="1475" t="n"/>
      <c r="Y82" s="1479" t="n"/>
      <c r="AA82" s="1483" t="n"/>
      <c r="AC82" s="1013" t="n"/>
      <c r="AD82" s="1014" t="n"/>
      <c r="AE82" s="1013" t="n"/>
      <c r="AF82" s="1014" t="n"/>
      <c r="AG82" s="1013" t="n"/>
      <c r="AH82" s="1014" t="n"/>
      <c r="AI82" s="10" t="n"/>
      <c r="AJ82" s="10" t="n"/>
      <c r="AK82" s="10" t="n"/>
    </row>
    <row r="83" ht="26" customHeight="1">
      <c r="A83" s="1602" t="n"/>
      <c r="B83" s="1017" t="n"/>
      <c r="C83" s="1025" t="n"/>
      <c r="D83" s="1018" t="n"/>
      <c r="E83" s="1026" t="n"/>
      <c r="F83" s="1026" t="n"/>
      <c r="G83" s="1026" t="n"/>
      <c r="H83" s="1735" t="n">
        <v>11</v>
      </c>
      <c r="I83" s="1736" t="n">
        <v>11</v>
      </c>
      <c r="J83" s="46">
        <f>IF(AND(E83&gt;=H83,E83&lt;=I83),TRUE,FALSE)</f>
        <v/>
      </c>
      <c r="K83" s="33" t="n"/>
      <c r="L83" s="33" t="n"/>
      <c r="M83" s="33" t="n"/>
      <c r="N83" s="1720" t="n"/>
      <c r="O83" s="1735" t="n">
        <v>11</v>
      </c>
      <c r="P83" s="1736" t="n">
        <v>11</v>
      </c>
      <c r="Q83" s="1711">
        <f>IF(AND(E83&gt;=O83,E83&lt;=P83),TRUE,FALSE)</f>
        <v/>
      </c>
      <c r="R83" s="1735" t="n">
        <v>11</v>
      </c>
      <c r="S83" s="1736" t="n">
        <v>11</v>
      </c>
      <c r="T83" s="1711">
        <f>IF(AND(E83&gt;=R83,E83&lt;=S83),TRUE,FALSE)</f>
        <v/>
      </c>
      <c r="U83" s="978" t="n"/>
      <c r="V83" s="1509" t="n"/>
      <c r="W83" s="1503" t="n">
        <v>11</v>
      </c>
      <c r="X83" s="1504" t="n"/>
      <c r="Y83" s="1505" t="n">
        <v>11</v>
      </c>
      <c r="Z83" s="1504" t="n"/>
      <c r="AA83" s="1497" t="n">
        <v>11</v>
      </c>
      <c r="AC83" s="1013" t="n"/>
      <c r="AD83" s="1014" t="n"/>
      <c r="AE83" s="1013" t="n"/>
      <c r="AF83" s="1014" t="n"/>
      <c r="AG83" s="1013" t="n"/>
      <c r="AH83" s="1014" t="n"/>
      <c r="AI83" s="10" t="n"/>
      <c r="AJ83" s="10" t="n"/>
      <c r="AK83" s="10" t="n"/>
    </row>
    <row r="84" ht="27" customHeight="1" thickBot="1">
      <c r="A84" s="1602" t="n"/>
      <c r="B84" s="1017" t="n"/>
      <c r="C84" s="1025" t="n"/>
      <c r="D84" s="1018" t="n"/>
      <c r="E84" s="1026" t="n"/>
      <c r="F84" s="1026" t="n"/>
      <c r="G84" s="1026" t="n"/>
      <c r="H84" s="1735" t="n">
        <v>11</v>
      </c>
      <c r="I84" s="1736" t="n">
        <v>11</v>
      </c>
      <c r="J84" s="46">
        <f>IF(AND(E84&gt;=H84,E84&lt;=I84),TRUE,FALSE)</f>
        <v/>
      </c>
      <c r="K84" s="33" t="n"/>
      <c r="L84" s="33" t="n"/>
      <c r="M84" s="33" t="n"/>
      <c r="N84" s="1720" t="n"/>
      <c r="O84" s="1735" t="n">
        <v>11</v>
      </c>
      <c r="P84" s="1736" t="n">
        <v>11</v>
      </c>
      <c r="Q84" s="1711">
        <f>IF(AND(E84&gt;=O84,E84&lt;=P84),TRUE,FALSE)</f>
        <v/>
      </c>
      <c r="R84" s="1735" t="n">
        <v>11</v>
      </c>
      <c r="S84" s="1736" t="n">
        <v>11</v>
      </c>
      <c r="T84" s="1711">
        <f>IF(AND(E84&gt;=R84,E84&lt;=S84),TRUE,FALSE)</f>
        <v/>
      </c>
      <c r="U84" s="978" t="n"/>
      <c r="V84" s="1510" t="n"/>
      <c r="W84" s="1506" t="n">
        <v>11</v>
      </c>
      <c r="X84" s="1507" t="n"/>
      <c r="Y84" s="1508" t="n">
        <v>11</v>
      </c>
      <c r="Z84" s="1507" t="n"/>
      <c r="AA84" s="1502" t="n">
        <v>11</v>
      </c>
      <c r="AC84" s="1013" t="n"/>
      <c r="AD84" s="1014" t="n"/>
      <c r="AE84" s="1013" t="n"/>
      <c r="AF84" s="1014" t="n"/>
      <c r="AG84" s="1013" t="n"/>
      <c r="AH84" s="1014" t="n"/>
      <c r="AI84" s="10" t="n"/>
      <c r="AJ84" s="10" t="n"/>
      <c r="AK84" s="10" t="n"/>
    </row>
    <row r="85" ht="27" customHeight="1" thickBot="1">
      <c r="A85" s="686" t="n"/>
      <c r="C85" s="2073" t="n"/>
      <c r="D85" s="2073" t="n"/>
      <c r="E85" s="90" t="n"/>
      <c r="F85" s="483" t="n"/>
      <c r="G85" s="483" t="n"/>
      <c r="H85" s="1732" t="n"/>
      <c r="I85" s="1733" t="n"/>
      <c r="J85" s="1739">
        <f>IF(AND(J83=FALSE,J84=FALSE),FALSE,TRUE)</f>
        <v/>
      </c>
      <c r="K85" s="1721" t="n"/>
      <c r="L85" s="1722" t="n"/>
      <c r="M85" s="1722" t="n"/>
      <c r="N85" s="1723" t="n"/>
      <c r="O85" s="1732" t="n"/>
      <c r="P85" s="1733" t="n"/>
      <c r="Q85" s="1739">
        <f>IF(AND(Q83=FALSE,Q84=FALSE),FALSE,TRUE)</f>
        <v/>
      </c>
      <c r="R85" s="1744" t="n"/>
      <c r="S85" s="1745" t="n"/>
      <c r="T85" s="1746">
        <f>IF(AND(T83=FALSE,T84=FALSE),FALSE,TRUE)</f>
        <v/>
      </c>
      <c r="U85" s="979" t="n"/>
      <c r="AC85" s="1650" t="n"/>
      <c r="AD85" s="1651" t="n"/>
      <c r="AE85" s="1650" t="n"/>
      <c r="AF85" s="1651" t="n"/>
      <c r="AG85" s="1650" t="n"/>
      <c r="AH85" s="1651" t="n"/>
      <c r="AI85" s="10" t="n"/>
      <c r="AJ85" s="10" t="n"/>
      <c r="AK85" s="10" t="n"/>
    </row>
    <row r="86" ht="26" customHeight="1">
      <c r="A86" s="686" t="n"/>
      <c r="C86" s="2073" t="n"/>
      <c r="D86" s="2073" t="n"/>
      <c r="E86" s="90" t="n"/>
      <c r="F86" s="483" t="n"/>
      <c r="G86" s="483" t="n"/>
      <c r="H86" s="2002" t="n"/>
      <c r="I86" s="2002" t="n"/>
      <c r="J86" s="979" t="n"/>
      <c r="K86" s="979" t="n"/>
      <c r="L86" s="979" t="n"/>
      <c r="M86" s="979" t="n"/>
      <c r="N86" s="979" t="n"/>
      <c r="O86" s="979" t="n"/>
      <c r="P86" s="979" t="n"/>
      <c r="Q86" s="979" t="n"/>
      <c r="R86" s="979" t="n"/>
      <c r="S86" s="979" t="n"/>
      <c r="T86" s="979" t="n"/>
      <c r="U86" s="979" t="n"/>
      <c r="AC86" s="1737" t="n"/>
      <c r="AD86" s="1738" t="n"/>
      <c r="AE86" s="1737" t="n"/>
      <c r="AF86" s="1738" t="n"/>
      <c r="AG86" s="1737" t="n"/>
      <c r="AH86" s="1738" t="n"/>
      <c r="AI86" s="10" t="n"/>
      <c r="AJ86" s="10" t="n"/>
      <c r="AK86" s="10" t="n"/>
    </row>
    <row r="87" ht="26" customHeight="1">
      <c r="A87" s="686" t="n"/>
      <c r="C87" s="2073" t="n"/>
      <c r="D87" s="2073" t="n"/>
      <c r="E87" s="90" t="n"/>
      <c r="F87" s="483" t="n"/>
      <c r="G87" s="483" t="n"/>
      <c r="H87" s="2002" t="n"/>
      <c r="I87" s="2002" t="n"/>
      <c r="J87" s="979" t="n"/>
      <c r="K87" s="979" t="n"/>
      <c r="L87" s="979" t="n"/>
      <c r="M87" s="979" t="n"/>
      <c r="N87" s="979" t="n"/>
      <c r="O87" s="979" t="n"/>
      <c r="P87" s="979" t="n"/>
      <c r="Q87" s="979" t="n"/>
      <c r="R87" s="979" t="n"/>
      <c r="S87" s="979" t="n"/>
      <c r="T87" s="979" t="n"/>
      <c r="U87" s="979" t="n"/>
      <c r="AC87" s="1756" t="inlineStr">
        <is>
          <t>Indice boosté</t>
        </is>
      </c>
      <c r="AD87" s="1757">
        <f>IF(AF86=1,AD86*(1+$AH$28),AD86)</f>
        <v/>
      </c>
      <c r="AE87" s="1490" t="n"/>
      <c r="AF87" s="1490" t="n"/>
      <c r="AG87" s="1490" t="n"/>
      <c r="AH87" s="1490" t="n"/>
      <c r="AI87" s="10" t="n"/>
      <c r="AJ87" s="10" t="n"/>
      <c r="AK87" s="10" t="n"/>
    </row>
    <row r="88" ht="26" customHeight="1">
      <c r="A88" s="1601" t="n">
        <v>5</v>
      </c>
      <c r="C88" s="486">
        <f>'CPTS indépendants'!F14</f>
        <v/>
      </c>
      <c r="D88" s="108" t="n"/>
      <c r="E88" s="66" t="n"/>
      <c r="F88" s="18" t="n"/>
      <c r="G88" s="18" t="n"/>
      <c r="H88" s="2052" t="inlineStr">
        <is>
          <t>AP</t>
        </is>
      </c>
      <c r="K88" s="2055" t="inlineStr">
        <is>
          <t>Dynamique d'AP</t>
        </is>
      </c>
      <c r="N88" s="330" t="n"/>
      <c r="O88" s="2122" t="inlineStr">
        <is>
          <t>CL</t>
        </is>
      </c>
      <c r="Q88" s="330" t="n"/>
      <c r="R88" s="2123" t="inlineStr">
        <is>
          <t>CSS</t>
        </is>
      </c>
      <c r="T88" s="330" t="n"/>
      <c r="U88" s="15" t="n"/>
      <c r="V88" s="15" t="n"/>
      <c r="AC88" s="1009" t="n"/>
      <c r="AD88" s="1009" t="n"/>
      <c r="AE88" s="1009" t="n"/>
      <c r="AF88" s="1009" t="n"/>
      <c r="AG88" s="1009" t="n"/>
      <c r="AH88" s="1010" t="n"/>
      <c r="AI88" s="10" t="n"/>
      <c r="AJ88" s="10" t="n"/>
      <c r="AK88" s="10" t="n"/>
    </row>
    <row r="89" ht="68" customHeight="1">
      <c r="A89" s="1602" t="n"/>
      <c r="C89" s="103" t="inlineStr">
        <is>
          <t>Questions et sous-questions</t>
        </is>
      </c>
      <c r="D89" s="1043" t="n"/>
      <c r="E89" s="33" t="inlineStr">
        <is>
          <t>Valeur de base
Fréquence (F)</t>
        </is>
      </c>
      <c r="F89" s="33" t="inlineStr">
        <is>
          <t>Valeur de base
intensité (I)</t>
        </is>
      </c>
      <c r="G89" s="33" t="inlineStr">
        <is>
          <t>F * I</t>
        </is>
      </c>
      <c r="H89" s="1708" t="inlineStr">
        <is>
          <t>Condition Fréq. 
&gt;= que</t>
        </is>
      </c>
      <c r="I89" s="44" t="inlineStr">
        <is>
          <t>Condition Fré
&lt;= que</t>
        </is>
      </c>
      <c r="J89" s="44" t="inlineStr">
        <is>
          <t>Condition respectée</t>
        </is>
      </c>
      <c r="K89" s="44" t="n"/>
      <c r="L89" s="44" t="n"/>
      <c r="M89" s="44" t="n"/>
      <c r="N89" s="1709" t="n"/>
      <c r="O89" s="1708" t="inlineStr">
        <is>
          <t>Condition Fréq. 
&gt;= que</t>
        </is>
      </c>
      <c r="P89" s="44" t="inlineStr">
        <is>
          <t>Condition Fré
&lt;= que</t>
        </is>
      </c>
      <c r="Q89" s="1709" t="inlineStr">
        <is>
          <t>Condition respectée</t>
        </is>
      </c>
      <c r="R89" s="1708" t="inlineStr">
        <is>
          <t>Condition Fréq. 
&gt;= que</t>
        </is>
      </c>
      <c r="S89" s="44" t="inlineStr">
        <is>
          <t>Condition Fré
&lt;= que</t>
        </is>
      </c>
      <c r="T89" s="1709" t="inlineStr">
        <is>
          <t>Condition respectée</t>
        </is>
      </c>
      <c r="U89" s="851" t="n"/>
      <c r="V89" s="1008" t="inlineStr">
        <is>
          <t>Condition</t>
        </is>
      </c>
      <c r="W89" s="1472" t="inlineStr">
        <is>
          <t>AP</t>
        </is>
      </c>
      <c r="X89" s="1008" t="inlineStr">
        <is>
          <t>Condition</t>
        </is>
      </c>
      <c r="Y89" s="1476" t="inlineStr">
        <is>
          <t>CL</t>
        </is>
      </c>
      <c r="Z89" s="1008" t="inlineStr">
        <is>
          <t>Condition</t>
        </is>
      </c>
      <c r="AA89" s="1480" t="inlineStr">
        <is>
          <t>CSS</t>
        </is>
      </c>
      <c r="AC89" s="1023" t="inlineStr">
        <is>
          <t>AP</t>
        </is>
      </c>
      <c r="AD89" s="1024" t="inlineStr">
        <is>
          <t>AP_F</t>
        </is>
      </c>
      <c r="AE89" s="1023" t="inlineStr">
        <is>
          <t>CL</t>
        </is>
      </c>
      <c r="AF89" s="1024" t="inlineStr">
        <is>
          <t>CL_F</t>
        </is>
      </c>
      <c r="AG89" s="1023" t="inlineStr">
        <is>
          <t>CSS</t>
        </is>
      </c>
      <c r="AH89" s="1024" t="inlineStr">
        <is>
          <t>CSS_F</t>
        </is>
      </c>
      <c r="AI89" s="10" t="n"/>
      <c r="AJ89" s="10" t="n"/>
      <c r="AK89" s="10" t="n"/>
    </row>
    <row r="90" ht="34" customHeight="1">
      <c r="A90" s="1604" t="n"/>
      <c r="B90" s="421">
        <f>'CPTS indépendants'!G14</f>
        <v/>
      </c>
      <c r="C90" s="2066">
        <f>Test_Bible!B207</f>
        <v/>
      </c>
      <c r="D90" s="102" t="n"/>
      <c r="E90" s="823">
        <f>Test_Bible!P207</f>
        <v/>
      </c>
      <c r="F90" s="822">
        <f>Test_Bible!D207</f>
        <v/>
      </c>
      <c r="G90" s="823">
        <f>E90*F90</f>
        <v/>
      </c>
      <c r="H90" s="1710" t="n">
        <v>4</v>
      </c>
      <c r="I90" s="1703" t="n">
        <v>10</v>
      </c>
      <c r="J90" s="46">
        <f>IF(AND(E90&gt;=H90,E90&lt;=I90),TRUE,FALSE)</f>
        <v/>
      </c>
      <c r="K90" s="46" t="n"/>
      <c r="L90" s="46" t="n"/>
      <c r="M90" s="46" t="n"/>
      <c r="N90" s="1711" t="n"/>
      <c r="O90" s="1735" t="n">
        <v>11</v>
      </c>
      <c r="P90" s="1736" t="n">
        <v>11</v>
      </c>
      <c r="Q90" s="1711">
        <f>IF(AND(E90&gt;=O90,E90&lt;=P90),TRUE,FALSE)</f>
        <v/>
      </c>
      <c r="R90" s="1710" t="n">
        <v>2</v>
      </c>
      <c r="S90" s="1703" t="n">
        <v>10</v>
      </c>
      <c r="T90" s="1711">
        <f>IF(AND(E90&gt;=R90,E90&lt;=S90),TRUE,FALSE)</f>
        <v/>
      </c>
      <c r="U90" s="978" t="n"/>
      <c r="V90" s="1484" t="n"/>
      <c r="W90" s="1485" t="n">
        <v>4</v>
      </c>
      <c r="X90" s="2029" t="n"/>
      <c r="Y90" s="1505" t="n">
        <v>11</v>
      </c>
      <c r="Z90" s="2029" t="n"/>
      <c r="AA90" s="1496" t="n">
        <v>2</v>
      </c>
      <c r="AC90" s="1011" t="n"/>
      <c r="AD90" s="1012" t="n"/>
      <c r="AE90" s="1011" t="n"/>
      <c r="AF90" s="1012" t="n"/>
      <c r="AG90" s="1011" t="n"/>
      <c r="AH90" s="1012" t="n"/>
      <c r="AI90" s="10" t="n"/>
      <c r="AJ90" s="10" t="n"/>
      <c r="AK90" s="10" t="n"/>
    </row>
    <row r="91" ht="26" customHeight="1">
      <c r="A91" s="1604" t="n"/>
      <c r="B91" s="421" t="n"/>
      <c r="C91" s="2066" t="n"/>
      <c r="D91" s="102" t="n"/>
      <c r="E91" s="823" t="n"/>
      <c r="F91" s="822" t="n"/>
      <c r="G91" s="823" t="n"/>
      <c r="H91" s="1735" t="n">
        <v>11</v>
      </c>
      <c r="I91" s="1736" t="n">
        <v>11</v>
      </c>
      <c r="J91" s="46">
        <f>IF(AND(E91&gt;=H91,E91&lt;=I91),TRUE,FALSE)</f>
        <v/>
      </c>
      <c r="K91" s="46" t="n"/>
      <c r="L91" s="46" t="n"/>
      <c r="M91" s="46" t="n"/>
      <c r="N91" s="1711" t="n"/>
      <c r="O91" s="1735" t="n">
        <v>11</v>
      </c>
      <c r="P91" s="1736" t="n">
        <v>11</v>
      </c>
      <c r="Q91" s="1711">
        <f>IF(AND(E91&gt;=O91,E91&lt;=P91),TRUE,FALSE)</f>
        <v/>
      </c>
      <c r="R91" s="1735" t="n">
        <v>11</v>
      </c>
      <c r="S91" s="1736" t="n">
        <v>11</v>
      </c>
      <c r="T91" s="1711">
        <f>IF(AND(E91&gt;=R91,E91&lt;=S91),TRUE,FALSE)</f>
        <v/>
      </c>
      <c r="U91" s="978" t="n"/>
      <c r="V91" s="1487" t="inlineStr">
        <is>
          <t>ou</t>
        </is>
      </c>
      <c r="W91" s="1506" t="n">
        <v>11</v>
      </c>
      <c r="X91" s="1493" t="n"/>
      <c r="Y91" s="1508" t="n">
        <v>11</v>
      </c>
      <c r="Z91" s="1493" t="n"/>
      <c r="AA91" s="1502" t="n">
        <v>11</v>
      </c>
      <c r="AC91" s="1013" t="n"/>
      <c r="AD91" s="1014" t="n"/>
      <c r="AE91" s="1013" t="n"/>
      <c r="AF91" s="1014" t="n"/>
      <c r="AG91" s="1013" t="n"/>
      <c r="AH91" s="1014" t="n"/>
      <c r="AI91" s="10" t="n"/>
      <c r="AJ91" s="10" t="n"/>
      <c r="AK91" s="10" t="n"/>
    </row>
    <row r="92" ht="26" customHeight="1">
      <c r="A92" s="1602" t="n"/>
      <c r="B92" s="825" t="n"/>
      <c r="C92" s="826" t="n"/>
      <c r="D92" s="827" t="n"/>
      <c r="E92" s="828" t="n"/>
      <c r="F92" s="828" t="n"/>
      <c r="G92" s="828" t="n"/>
      <c r="H92" s="1712" t="n"/>
      <c r="I92" s="829" t="n"/>
      <c r="J92" s="830">
        <f>IF(AND(J90=FALSE,J91=FALSE),FALSE,TRUE)</f>
        <v/>
      </c>
      <c r="K92" s="46" t="n"/>
      <c r="L92" s="46" t="n"/>
      <c r="M92" s="46" t="n"/>
      <c r="N92" s="1711" t="n"/>
      <c r="O92" s="1712" t="n"/>
      <c r="P92" s="829" t="n"/>
      <c r="Q92" s="1725">
        <f>IF(AND(Q90=FALSE,Q91=FALSE),FALSE,TRUE)</f>
        <v/>
      </c>
      <c r="R92" s="1712" t="n"/>
      <c r="S92" s="829" t="n"/>
      <c r="T92" s="1725">
        <f>IF(AND(T90=FALSE,T91=FALSE),FALSE,TRUE)</f>
        <v/>
      </c>
      <c r="U92" s="978" t="n"/>
      <c r="V92" s="978" t="inlineStr">
        <is>
          <t>ou</t>
        </is>
      </c>
      <c r="W92" s="1473" t="n"/>
      <c r="X92" s="2002" t="n"/>
      <c r="Y92" s="1478" t="n"/>
      <c r="Z92" s="2002" t="n"/>
      <c r="AA92" s="1481" t="n"/>
      <c r="AC92" s="1013" t="n"/>
      <c r="AD92" s="1014" t="n"/>
      <c r="AE92" s="1013" t="n"/>
      <c r="AF92" s="1014" t="n"/>
      <c r="AG92" s="1013" t="n"/>
      <c r="AH92" s="1014" t="n"/>
      <c r="AI92" s="10" t="n"/>
      <c r="AJ92" s="10" t="n"/>
      <c r="AK92" s="10" t="n"/>
    </row>
    <row r="93" ht="26" customHeight="1">
      <c r="A93" s="1602" t="n"/>
      <c r="B93" s="53" t="n"/>
      <c r="C93" s="2066" t="n"/>
      <c r="D93" s="102" t="n"/>
      <c r="E93" s="823" t="n"/>
      <c r="F93" s="822" t="n"/>
      <c r="G93" s="823" t="n"/>
      <c r="H93" s="1735" t="n">
        <v>11</v>
      </c>
      <c r="I93" s="1736" t="n">
        <v>11</v>
      </c>
      <c r="J93" s="46">
        <f>IF(AND(E93&gt;=H93,E93&lt;=I93),TRUE,FALSE)</f>
        <v/>
      </c>
      <c r="K93" s="46" t="n"/>
      <c r="L93" s="46" t="n"/>
      <c r="M93" s="46" t="n"/>
      <c r="N93" s="1711" t="n"/>
      <c r="O93" s="1735" t="n">
        <v>11</v>
      </c>
      <c r="P93" s="1736" t="n">
        <v>11</v>
      </c>
      <c r="Q93" s="1711">
        <f>IF(AND(E93&gt;=O93,E93&lt;=P93),TRUE,FALSE)</f>
        <v/>
      </c>
      <c r="R93" s="1735" t="n">
        <v>11</v>
      </c>
      <c r="S93" s="1736" t="n">
        <v>11</v>
      </c>
      <c r="T93" s="1711">
        <f>IF(AND(E93&gt;=R93,E93&lt;=S93),TRUE,FALSE)</f>
        <v/>
      </c>
      <c r="U93" s="978" t="n"/>
      <c r="V93" s="1484" t="n"/>
      <c r="W93" s="1503" t="n">
        <v>11</v>
      </c>
      <c r="X93" s="1504" t="n"/>
      <c r="Y93" s="1505" t="n">
        <v>11</v>
      </c>
      <c r="Z93" s="1504" t="n"/>
      <c r="AA93" s="1497" t="n">
        <v>11</v>
      </c>
      <c r="AC93" s="1013" t="n"/>
      <c r="AD93" s="1014" t="n"/>
      <c r="AE93" s="1013" t="n"/>
      <c r="AF93" s="1014" t="n"/>
      <c r="AG93" s="1013" t="n"/>
      <c r="AH93" s="1014" t="n"/>
      <c r="AI93" s="10" t="n"/>
      <c r="AJ93" s="10" t="n"/>
      <c r="AK93" s="10" t="n"/>
    </row>
    <row r="94" ht="26" customHeight="1">
      <c r="A94" s="1602" t="n"/>
      <c r="B94" s="53" t="n"/>
      <c r="C94" s="2066" t="n"/>
      <c r="D94" s="63" t="n"/>
      <c r="E94" s="36" t="n"/>
      <c r="F94" s="36" t="n"/>
      <c r="G94" s="36" t="n"/>
      <c r="H94" s="1735" t="n">
        <v>11</v>
      </c>
      <c r="I94" s="1736" t="n">
        <v>11</v>
      </c>
      <c r="J94" s="46">
        <f>IF(AND(E94&gt;=H94,E94&lt;=I94),TRUE,FALSE)</f>
        <v/>
      </c>
      <c r="K94" s="46" t="n"/>
      <c r="L94" s="46" t="n"/>
      <c r="M94" s="46" t="n"/>
      <c r="N94" s="1711" t="n"/>
      <c r="O94" s="1735" t="n">
        <v>11</v>
      </c>
      <c r="P94" s="1736" t="n">
        <v>11</v>
      </c>
      <c r="Q94" s="1711">
        <f>IF(AND(E94&gt;=O94,E94&lt;=P94),TRUE,FALSE)</f>
        <v/>
      </c>
      <c r="R94" s="1735" t="n">
        <v>11</v>
      </c>
      <c r="S94" s="1736" t="n">
        <v>11</v>
      </c>
      <c r="T94" s="1711">
        <f>IF(AND(E94&gt;=R94,E94&lt;=S94),TRUE,FALSE)</f>
        <v/>
      </c>
      <c r="U94" s="978" t="n"/>
      <c r="V94" s="1487" t="inlineStr">
        <is>
          <t>ou</t>
        </is>
      </c>
      <c r="W94" s="1506" t="n">
        <v>11</v>
      </c>
      <c r="X94" s="1507" t="n"/>
      <c r="Y94" s="1508" t="n">
        <v>11</v>
      </c>
      <c r="Z94" s="1507" t="n"/>
      <c r="AA94" s="1502" t="n">
        <v>11</v>
      </c>
      <c r="AC94" s="1013" t="n"/>
      <c r="AD94" s="1014" t="n"/>
      <c r="AE94" s="1013" t="n"/>
      <c r="AF94" s="1014" t="n"/>
      <c r="AG94" s="1013" t="n"/>
      <c r="AH94" s="1014" t="n"/>
      <c r="AI94" s="10" t="n"/>
      <c r="AJ94" s="10" t="n"/>
      <c r="AK94" s="10" t="n"/>
    </row>
    <row r="95" ht="27" customHeight="1" thickBot="1">
      <c r="A95" s="1602" t="n"/>
      <c r="B95" s="831" t="n"/>
      <c r="C95" s="832" t="n"/>
      <c r="D95" s="833" t="n"/>
      <c r="E95" s="834" t="n"/>
      <c r="F95" s="834" t="n"/>
      <c r="G95" s="834" t="n"/>
      <c r="H95" s="1713" t="n"/>
      <c r="I95" s="835" t="n"/>
      <c r="J95" s="836">
        <f>IF(AND(J93=FALSE,J94=FALSE),FALSE,TRUE)</f>
        <v/>
      </c>
      <c r="K95" s="46" t="n"/>
      <c r="L95" s="46" t="n"/>
      <c r="M95" s="46" t="n"/>
      <c r="N95" s="1711" t="n"/>
      <c r="O95" s="1713" t="n"/>
      <c r="P95" s="835" t="n"/>
      <c r="Q95" s="1726">
        <f>IF(AND(Q93=FALSE,Q94=FALSE),FALSE,TRUE)</f>
        <v/>
      </c>
      <c r="R95" s="1713" t="n"/>
      <c r="S95" s="835" t="n"/>
      <c r="T95" s="1726">
        <f>IF(AND(T93=FALSE,T94=FALSE),FALSE,TRUE)</f>
        <v/>
      </c>
      <c r="U95" s="978" t="n"/>
      <c r="V95" s="978" t="n"/>
      <c r="W95" s="1473" t="n"/>
      <c r="X95" s="2002" t="n"/>
      <c r="Y95" s="1478" t="n"/>
      <c r="Z95" s="2002" t="n"/>
      <c r="AA95" s="1481" t="n"/>
      <c r="AC95" s="1013" t="n"/>
      <c r="AD95" s="1014" t="n"/>
      <c r="AE95" s="1013" t="n"/>
      <c r="AF95" s="1014" t="n"/>
      <c r="AG95" s="1013" t="n"/>
      <c r="AH95" s="1014" t="n"/>
      <c r="AI95" s="10" t="n"/>
      <c r="AJ95" s="10" t="n"/>
      <c r="AK95" s="10" t="n"/>
    </row>
    <row r="96" ht="27" customHeight="1" thickBot="1">
      <c r="A96" s="1602" t="n"/>
      <c r="B96" s="837" t="n"/>
      <c r="C96" s="838" t="n"/>
      <c r="D96" s="838" t="n"/>
      <c r="E96" s="839" t="n"/>
      <c r="F96" s="839" t="n"/>
      <c r="G96" s="839" t="n"/>
      <c r="H96" s="1714" t="n"/>
      <c r="I96" s="840" t="n"/>
      <c r="J96" s="841">
        <f>IF(AND(J92=FALSE,J95=FALSE),FALSE,TRUE)</f>
        <v/>
      </c>
      <c r="K96" s="1698" t="n"/>
      <c r="L96" s="1698" t="n"/>
      <c r="M96" s="1698" t="n"/>
      <c r="N96" s="1715" t="n"/>
      <c r="O96" s="1714" t="n"/>
      <c r="P96" s="840" t="n"/>
      <c r="Q96" s="841">
        <f>IF(AND(Q92=FALSE,Q95=FALSE),FALSE,TRUE)</f>
        <v/>
      </c>
      <c r="R96" s="1714" t="n"/>
      <c r="S96" s="840" t="n"/>
      <c r="T96" s="841">
        <f>IF(AND(T92=FALSE,T95=FALSE),FALSE,TRUE)</f>
        <v/>
      </c>
      <c r="U96" s="978" t="n"/>
      <c r="V96" s="978" t="inlineStr">
        <is>
          <t>et</t>
        </is>
      </c>
      <c r="W96" s="1473" t="n"/>
      <c r="X96" s="2002" t="n"/>
      <c r="Y96" s="1478" t="n"/>
      <c r="Z96" s="2002" t="n"/>
      <c r="AA96" s="1481" t="n"/>
      <c r="AC96" s="1013" t="n"/>
      <c r="AD96" s="1014" t="n"/>
      <c r="AE96" s="1013" t="n"/>
      <c r="AF96" s="1014" t="n"/>
      <c r="AG96" s="1013" t="n"/>
      <c r="AH96" s="1014" t="n"/>
      <c r="AI96" s="10">
        <f>IF(OR(AC96="V",AE96="V"),IF(G95&gt;G92,"Le NC contribue plus que le coparent","Le coparent joue un plus grand rôle que le NC"),"pas de contexte significatif de la part du coparent et NC")</f>
        <v/>
      </c>
      <c r="AJ96" s="10" t="n"/>
      <c r="AK96" s="10" t="n"/>
    </row>
    <row r="97" ht="26" customHeight="1">
      <c r="A97" s="1602" t="n"/>
      <c r="B97" s="316" t="n"/>
      <c r="C97" s="2066" t="n"/>
      <c r="D97" s="102" t="n"/>
      <c r="E97" s="823" t="n"/>
      <c r="F97" s="822" t="n"/>
      <c r="G97" s="823" t="n"/>
      <c r="H97" s="1735" t="n">
        <v>11</v>
      </c>
      <c r="I97" s="1736" t="n">
        <v>11</v>
      </c>
      <c r="J97" s="46">
        <f>IF(AND(E97&gt;=H97,E97&lt;=I97),TRUE,FALSE)</f>
        <v/>
      </c>
      <c r="K97" s="46" t="n"/>
      <c r="L97" s="46" t="n"/>
      <c r="M97" s="46" t="n"/>
      <c r="N97" s="1711" t="n"/>
      <c r="O97" s="1735" t="n">
        <v>11</v>
      </c>
      <c r="P97" s="1736" t="n">
        <v>11</v>
      </c>
      <c r="Q97" s="1711">
        <f>IF(AND(E97&gt;=O97,E97&lt;=P97),TRUE,FALSE)</f>
        <v/>
      </c>
      <c r="R97" s="1710" t="n"/>
      <c r="S97" s="1703" t="n"/>
      <c r="T97" s="1711" t="n"/>
      <c r="U97" s="978" t="n"/>
      <c r="V97" s="1484" t="n"/>
      <c r="W97" s="1503" t="n">
        <v>11</v>
      </c>
      <c r="X97" s="1504" t="n"/>
      <c r="Y97" s="1505" t="n">
        <v>11</v>
      </c>
      <c r="Z97" s="1504" t="n"/>
      <c r="AA97" s="1497" t="n">
        <v>11</v>
      </c>
      <c r="AC97" s="1013" t="n"/>
      <c r="AD97" s="1014" t="n"/>
      <c r="AE97" s="1013" t="n"/>
      <c r="AF97" s="1014" t="n"/>
      <c r="AG97" s="1013" t="n"/>
      <c r="AH97" s="1014" t="n"/>
      <c r="AI97" s="10" t="n"/>
      <c r="AJ97" s="10" t="n"/>
      <c r="AK97" s="10" t="n"/>
    </row>
    <row r="98" ht="27" customHeight="1" thickBot="1">
      <c r="A98" s="1602" t="n"/>
      <c r="B98" s="316" t="n"/>
      <c r="C98" s="2066" t="n"/>
      <c r="D98" s="102" t="n"/>
      <c r="E98" s="823" t="n"/>
      <c r="F98" s="822" t="n"/>
      <c r="G98" s="823" t="n"/>
      <c r="H98" s="1735" t="n">
        <v>11</v>
      </c>
      <c r="I98" s="1736" t="n">
        <v>11</v>
      </c>
      <c r="J98" s="46">
        <f>IF(AND(E98&gt;=H98,E98&lt;=I98),TRUE,FALSE)</f>
        <v/>
      </c>
      <c r="K98" s="46" t="n"/>
      <c r="L98" s="46" t="n"/>
      <c r="M98" s="46" t="n"/>
      <c r="N98" s="1711" t="n"/>
      <c r="O98" s="1735" t="n">
        <v>11</v>
      </c>
      <c r="P98" s="1736" t="n">
        <v>11</v>
      </c>
      <c r="Q98" s="1711">
        <f>IF(AND(E98&gt;=O98,E98&lt;=P98),TRUE,FALSE)</f>
        <v/>
      </c>
      <c r="R98" s="1735" t="n"/>
      <c r="S98" s="1736" t="n"/>
      <c r="T98" s="1711" t="n"/>
      <c r="U98" s="978" t="n"/>
      <c r="V98" s="1487" t="inlineStr">
        <is>
          <t>ou</t>
        </is>
      </c>
      <c r="W98" s="1506" t="n">
        <v>11</v>
      </c>
      <c r="X98" s="1507" t="n"/>
      <c r="Y98" s="1508" t="n">
        <v>11</v>
      </c>
      <c r="Z98" s="1507" t="n"/>
      <c r="AA98" s="1502" t="n">
        <v>11</v>
      </c>
      <c r="AC98" s="1013" t="n"/>
      <c r="AD98" s="1014" t="n"/>
      <c r="AE98" s="1013" t="n"/>
      <c r="AF98" s="1014" t="n"/>
      <c r="AG98" s="1013" t="n"/>
      <c r="AH98" s="1014" t="n"/>
      <c r="AI98" s="10" t="n"/>
      <c r="AJ98" s="10" t="n"/>
      <c r="AK98" s="10" t="n"/>
    </row>
    <row r="99" ht="27" customHeight="1" thickBot="1">
      <c r="A99" s="1602" t="n"/>
      <c r="B99" s="842" t="inlineStr">
        <is>
          <t>Max Enf</t>
        </is>
      </c>
      <c r="C99" s="843">
        <f>_xlfn.XLOOKUP(G99,G97:G98,C97:C98)</f>
        <v/>
      </c>
      <c r="D99" s="843" t="n"/>
      <c r="E99" s="844" t="n"/>
      <c r="F99" s="844" t="n"/>
      <c r="G99" s="844" t="n"/>
      <c r="H99" s="1716" t="n"/>
      <c r="I99" s="845" t="n"/>
      <c r="J99" s="846">
        <f>IF(AND(J97=FALSE,J98=FALSE),FALSE,TRUE)</f>
        <v/>
      </c>
      <c r="K99" s="1699" t="n"/>
      <c r="L99" s="1699" t="n"/>
      <c r="M99" s="1699" t="n"/>
      <c r="N99" s="1717" t="n"/>
      <c r="O99" s="1716" t="n"/>
      <c r="P99" s="845" t="n"/>
      <c r="Q99" s="846">
        <f>IF(AND(Q97=FALSE,Q98=FALSE),FALSE,TRUE)</f>
        <v/>
      </c>
      <c r="R99" s="1716" t="n"/>
      <c r="S99" s="845" t="n"/>
      <c r="T99" s="846" t="n"/>
      <c r="U99" s="978" t="n"/>
      <c r="V99" s="978" t="n"/>
      <c r="W99" s="1475" t="n"/>
      <c r="Y99" s="1479" t="n"/>
      <c r="AA99" s="1483" t="n"/>
      <c r="AC99" s="1013" t="n"/>
      <c r="AD99" s="1014" t="n"/>
      <c r="AE99" s="1013" t="n"/>
      <c r="AF99" s="1014" t="n"/>
      <c r="AG99" s="1013" t="n"/>
      <c r="AH99" s="1014" t="n"/>
      <c r="AI99" s="10" t="n"/>
      <c r="AJ99" s="10" t="n"/>
      <c r="AK99" s="10" t="n"/>
    </row>
    <row r="100" ht="26" customHeight="1">
      <c r="A100" s="1602" t="n"/>
      <c r="C100" s="428" t="inlineStr">
        <is>
          <t>COMPARATIF Comportement PFA-Enf</t>
        </is>
      </c>
      <c r="D100" s="2058" t="n"/>
      <c r="E100" s="484" t="inlineStr">
        <is>
          <t>Valeur =&gt;</t>
        </is>
      </c>
      <c r="F100" s="48" t="n"/>
      <c r="G100" s="48">
        <f>G92+G95+G99</f>
        <v/>
      </c>
      <c r="H100" s="1718" t="n"/>
      <c r="I100" s="485" t="n"/>
      <c r="J100" s="1701" t="n"/>
      <c r="K100" s="1702" t="n"/>
      <c r="L100" s="1702" t="n"/>
      <c r="M100" s="1702" t="n"/>
      <c r="N100" s="1719" t="n"/>
      <c r="O100" s="1718" t="n"/>
      <c r="P100" s="485" t="n"/>
      <c r="Q100" s="1727" t="n"/>
      <c r="R100" s="1718" t="n"/>
      <c r="S100" s="485" t="n"/>
      <c r="T100" s="1727" t="n"/>
      <c r="U100" s="1754" t="n"/>
      <c r="V100" s="980" t="n"/>
      <c r="W100" s="1475" t="n"/>
      <c r="Y100" s="1479" t="n"/>
      <c r="AA100" s="1483" t="n"/>
      <c r="AC100" s="1015" t="n"/>
      <c r="AD100" s="1016" t="n"/>
      <c r="AE100" s="1015" t="n"/>
      <c r="AF100" s="1016" t="n"/>
      <c r="AG100" s="1015" t="n"/>
      <c r="AH100" s="1016" t="n"/>
      <c r="AI100" s="10" t="n"/>
      <c r="AJ100" s="10" t="n"/>
      <c r="AK100" s="10" t="n"/>
    </row>
    <row r="101" ht="26" customHeight="1">
      <c r="A101" s="1602" t="n"/>
      <c r="B101" t="inlineStr">
        <is>
          <t>PCR</t>
        </is>
      </c>
      <c r="H101" s="147" t="n"/>
      <c r="K101" s="1992" t="n"/>
      <c r="L101" s="1992" t="n"/>
      <c r="M101" s="1992" t="n"/>
      <c r="N101" s="1740" t="n"/>
      <c r="O101" s="147" t="n"/>
      <c r="Q101" s="330" t="n"/>
      <c r="R101" s="147" t="n"/>
      <c r="T101" s="330" t="n"/>
      <c r="W101" s="1475" t="n"/>
      <c r="Y101" s="1479" t="n"/>
      <c r="AA101" s="1483" t="n"/>
      <c r="AC101" s="1013" t="n"/>
      <c r="AD101" s="1014" t="n"/>
      <c r="AE101" s="1013" t="n"/>
      <c r="AF101" s="1014" t="n"/>
      <c r="AG101" s="1013" t="n"/>
      <c r="AH101" s="1014" t="n"/>
      <c r="AI101" s="10" t="n"/>
      <c r="AJ101" s="10" t="n"/>
      <c r="AK101" s="10" t="n"/>
    </row>
    <row r="102" ht="26" customHeight="1">
      <c r="A102" s="1602" t="n"/>
      <c r="B102" s="1017" t="n"/>
      <c r="C102" s="1025" t="n"/>
      <c r="D102" s="1018" t="n"/>
      <c r="E102" s="1026" t="n"/>
      <c r="F102" s="1026" t="n"/>
      <c r="G102" s="1026" t="n"/>
      <c r="H102" s="1735" t="n">
        <v>11</v>
      </c>
      <c r="I102" s="1736" t="n">
        <v>11</v>
      </c>
      <c r="J102" s="46">
        <f>IF(AND(E102&gt;=H102,E102&lt;=I102),TRUE,FALSE)</f>
        <v/>
      </c>
      <c r="K102" s="33" t="n"/>
      <c r="L102" s="33" t="n"/>
      <c r="M102" s="33" t="n"/>
      <c r="N102" s="1720" t="n"/>
      <c r="O102" s="1735" t="n">
        <v>11</v>
      </c>
      <c r="P102" s="1736" t="n">
        <v>11</v>
      </c>
      <c r="Q102" s="1711">
        <f>IF(AND(E102&gt;=O102,E102&lt;=P102),TRUE,FALSE)</f>
        <v/>
      </c>
      <c r="R102" s="1735" t="n">
        <v>11</v>
      </c>
      <c r="S102" s="1736" t="n">
        <v>11</v>
      </c>
      <c r="T102" s="1711">
        <f>IF(AND(E102&gt;=R102,E102&lt;=S102),TRUE,FALSE)</f>
        <v/>
      </c>
      <c r="U102" s="978" t="n"/>
      <c r="V102" s="1509" t="n"/>
      <c r="W102" s="1503" t="n">
        <v>11</v>
      </c>
      <c r="X102" s="1504" t="n"/>
      <c r="Y102" s="1505" t="n">
        <v>11</v>
      </c>
      <c r="Z102" s="1504" t="n"/>
      <c r="AA102" s="1497" t="n">
        <v>11</v>
      </c>
      <c r="AC102" s="1013" t="n"/>
      <c r="AD102" s="1014" t="n"/>
      <c r="AE102" s="1013" t="n"/>
      <c r="AF102" s="1014" t="n"/>
      <c r="AG102" s="1013" t="n"/>
      <c r="AH102" s="1014" t="n"/>
      <c r="AI102" s="10" t="n"/>
      <c r="AJ102" s="10" t="n"/>
      <c r="AK102" s="10" t="n"/>
    </row>
    <row r="103" ht="27" customHeight="1" thickBot="1">
      <c r="A103" s="1602" t="n"/>
      <c r="B103" s="1017" t="n"/>
      <c r="C103" s="1025" t="n"/>
      <c r="D103" s="1018" t="n"/>
      <c r="E103" s="1026" t="n"/>
      <c r="F103" s="1026" t="n"/>
      <c r="G103" s="1026" t="n"/>
      <c r="H103" s="1735" t="n">
        <v>11</v>
      </c>
      <c r="I103" s="1736" t="n">
        <v>11</v>
      </c>
      <c r="J103" s="46">
        <f>IF(AND(E103&gt;=H103,E103&lt;=I103),TRUE,FALSE)</f>
        <v/>
      </c>
      <c r="K103" s="33" t="n"/>
      <c r="L103" s="33" t="n"/>
      <c r="M103" s="33" t="n"/>
      <c r="N103" s="1720" t="n"/>
      <c r="O103" s="1735" t="n">
        <v>11</v>
      </c>
      <c r="P103" s="1736" t="n">
        <v>11</v>
      </c>
      <c r="Q103" s="1711">
        <f>IF(AND(E103&gt;=O103,E103&lt;=P103),TRUE,FALSE)</f>
        <v/>
      </c>
      <c r="R103" s="1735" t="n">
        <v>11</v>
      </c>
      <c r="S103" s="1736" t="n">
        <v>11</v>
      </c>
      <c r="T103" s="1711">
        <f>IF(AND(E103&gt;=R103,E103&lt;=S103),TRUE,FALSE)</f>
        <v/>
      </c>
      <c r="U103" s="978" t="n"/>
      <c r="V103" s="1510" t="n"/>
      <c r="W103" s="1506" t="n">
        <v>11</v>
      </c>
      <c r="X103" s="1507" t="n"/>
      <c r="Y103" s="1508" t="n">
        <v>11</v>
      </c>
      <c r="Z103" s="1507" t="n"/>
      <c r="AA103" s="1502" t="n">
        <v>11</v>
      </c>
      <c r="AC103" s="1013" t="n"/>
      <c r="AD103" s="1014" t="n"/>
      <c r="AE103" s="1013" t="n"/>
      <c r="AF103" s="1014" t="n"/>
      <c r="AG103" s="1013" t="n"/>
      <c r="AH103" s="1014" t="n"/>
      <c r="AI103" s="10" t="n"/>
      <c r="AJ103" s="10" t="n"/>
      <c r="AK103" s="10" t="n"/>
    </row>
    <row r="104" ht="27" customHeight="1" thickBot="1">
      <c r="A104" s="686" t="n"/>
      <c r="C104" s="2073" t="n"/>
      <c r="D104" s="2073" t="n"/>
      <c r="E104" s="90" t="n"/>
      <c r="F104" s="483" t="n"/>
      <c r="G104" s="483" t="n"/>
      <c r="H104" s="1732" t="n"/>
      <c r="I104" s="1733" t="n"/>
      <c r="J104" s="1739">
        <f>IF(AND(J102=FALSE,J103=FALSE),FALSE,TRUE)</f>
        <v/>
      </c>
      <c r="K104" s="1721" t="n"/>
      <c r="L104" s="1722" t="n"/>
      <c r="M104" s="1722" t="n"/>
      <c r="N104" s="1723" t="n"/>
      <c r="O104" s="1732" t="n"/>
      <c r="P104" s="1733" t="n"/>
      <c r="Q104" s="1739">
        <f>IF(AND(Q102=FALSE,Q103=FALSE),FALSE,TRUE)</f>
        <v/>
      </c>
      <c r="R104" s="1744" t="n"/>
      <c r="S104" s="1745" t="n"/>
      <c r="T104" s="1746">
        <f>IF(AND(T102=FALSE,T103=FALSE),FALSE,TRUE)</f>
        <v/>
      </c>
      <c r="U104" s="979" t="n"/>
      <c r="AC104" s="1650" t="n"/>
      <c r="AD104" s="1651" t="n"/>
      <c r="AE104" s="1650" t="n"/>
      <c r="AF104" s="1651" t="n"/>
      <c r="AG104" s="1650" t="n"/>
      <c r="AH104" s="1651" t="n"/>
      <c r="AI104" s="10" t="n"/>
      <c r="AJ104" s="10" t="n"/>
      <c r="AK104" s="10" t="n"/>
    </row>
    <row r="105" ht="26" customHeight="1">
      <c r="A105" s="686" t="n"/>
      <c r="C105" s="2073" t="n"/>
      <c r="D105" s="2073" t="n"/>
      <c r="E105" s="90" t="n"/>
      <c r="F105" s="483" t="n"/>
      <c r="G105" s="483" t="n"/>
      <c r="H105" s="2002" t="n"/>
      <c r="I105" s="2002" t="n"/>
      <c r="J105" s="979" t="n"/>
      <c r="K105" s="979" t="n"/>
      <c r="L105" s="979" t="n"/>
      <c r="M105" s="979" t="n"/>
      <c r="N105" s="979" t="n"/>
      <c r="O105" s="979" t="n"/>
      <c r="P105" s="979" t="n"/>
      <c r="Q105" s="979" t="n"/>
      <c r="R105" s="979" t="n"/>
      <c r="S105" s="979" t="n"/>
      <c r="T105" s="979" t="n"/>
      <c r="U105" s="979" t="n"/>
      <c r="AC105" s="1737" t="n"/>
      <c r="AD105" s="1738" t="n"/>
      <c r="AE105" s="1737" t="n"/>
      <c r="AF105" s="1738" t="n"/>
      <c r="AG105" s="1737" t="n"/>
      <c r="AH105" s="1738" t="n"/>
      <c r="AI105" s="10" t="n"/>
      <c r="AJ105" s="10" t="n"/>
      <c r="AK105" s="10" t="n"/>
    </row>
    <row r="106" ht="26" customHeight="1">
      <c r="A106" s="686" t="n"/>
      <c r="C106" s="2073" t="n"/>
      <c r="D106" s="2073" t="n"/>
      <c r="E106" s="90" t="n"/>
      <c r="F106" s="483" t="n"/>
      <c r="G106" s="483" t="n"/>
      <c r="H106" s="2002" t="n"/>
      <c r="I106" s="2002" t="n"/>
      <c r="J106" s="979" t="n"/>
      <c r="K106" s="979" t="n"/>
      <c r="L106" s="979" t="n"/>
      <c r="M106" s="979" t="n"/>
      <c r="N106" s="979" t="n"/>
      <c r="O106" s="979" t="n"/>
      <c r="P106" s="979" t="n"/>
      <c r="Q106" s="979" t="n"/>
      <c r="R106" s="979" t="n"/>
      <c r="S106" s="979" t="n"/>
      <c r="T106" s="979" t="n"/>
      <c r="U106" s="979" t="n"/>
      <c r="AC106" s="1756" t="inlineStr">
        <is>
          <t>Indice boosté</t>
        </is>
      </c>
      <c r="AD106" s="1757">
        <f>IF(AF105=1,AD105*(1+$AH$28),AD105)</f>
        <v/>
      </c>
      <c r="AE106" s="1490" t="n"/>
      <c r="AF106" s="1490" t="n"/>
      <c r="AG106" s="1490" t="n"/>
      <c r="AH106" s="1490" t="n"/>
      <c r="AI106" s="10" t="n"/>
      <c r="AJ106" s="10" t="n"/>
      <c r="AK106" s="10" t="n"/>
    </row>
    <row r="107" ht="26" customHeight="1">
      <c r="A107" s="1601" t="n">
        <v>6</v>
      </c>
      <c r="C107" s="486">
        <f>'CPTS indépendants'!F17</f>
        <v/>
      </c>
      <c r="D107" s="108" t="n"/>
      <c r="E107" s="66" t="n"/>
      <c r="F107" s="18" t="n"/>
      <c r="G107" s="18" t="n"/>
      <c r="H107" s="2052" t="inlineStr">
        <is>
          <t>AP</t>
        </is>
      </c>
      <c r="K107" s="2055" t="inlineStr">
        <is>
          <t>Dynamique d'AP</t>
        </is>
      </c>
      <c r="N107" s="330" t="n"/>
      <c r="O107" s="2122" t="inlineStr">
        <is>
          <t>CL</t>
        </is>
      </c>
      <c r="Q107" s="330" t="n"/>
      <c r="R107" s="2123" t="inlineStr">
        <is>
          <t>CSS</t>
        </is>
      </c>
      <c r="T107" s="330" t="n"/>
      <c r="U107" s="15" t="n"/>
      <c r="V107" s="15" t="n"/>
      <c r="AC107" s="1009" t="n"/>
      <c r="AD107" s="1009" t="n"/>
      <c r="AE107" s="1009" t="n"/>
      <c r="AF107" s="1009" t="n"/>
      <c r="AG107" s="1009" t="n"/>
      <c r="AH107" s="1010" t="n"/>
      <c r="AI107" s="10" t="n"/>
      <c r="AJ107" s="10" t="n"/>
      <c r="AK107" s="10" t="n"/>
    </row>
    <row r="108" ht="68" customHeight="1">
      <c r="A108" s="1602" t="n"/>
      <c r="C108" s="103" t="inlineStr">
        <is>
          <t>Questions et sous-questions</t>
        </is>
      </c>
      <c r="D108" s="1043" t="n"/>
      <c r="E108" s="33" t="inlineStr">
        <is>
          <t>Valeur de base
Fréquence (F)</t>
        </is>
      </c>
      <c r="F108" s="33" t="inlineStr">
        <is>
          <t>Valeur de base
intensité (I)</t>
        </is>
      </c>
      <c r="G108" s="33" t="inlineStr">
        <is>
          <t>F * I</t>
        </is>
      </c>
      <c r="H108" s="1708" t="inlineStr">
        <is>
          <t>Condition Fréq. 
&gt;= que</t>
        </is>
      </c>
      <c r="I108" s="44" t="inlineStr">
        <is>
          <t>Condition Fré
&lt;= que</t>
        </is>
      </c>
      <c r="J108" s="44" t="inlineStr">
        <is>
          <t>Condition respectée</t>
        </is>
      </c>
      <c r="K108" s="44" t="n"/>
      <c r="L108" s="44" t="n"/>
      <c r="M108" s="44" t="n"/>
      <c r="N108" s="1709" t="n"/>
      <c r="O108" s="1708" t="inlineStr">
        <is>
          <t>Condition Fréq. 
&gt;= que</t>
        </is>
      </c>
      <c r="P108" s="44" t="inlineStr">
        <is>
          <t>Condition Fré
&lt;= que</t>
        </is>
      </c>
      <c r="Q108" s="1709" t="inlineStr">
        <is>
          <t>Condition respectée</t>
        </is>
      </c>
      <c r="R108" s="1708" t="inlineStr">
        <is>
          <t>Condition Fréq. 
&gt;= que</t>
        </is>
      </c>
      <c r="S108" s="44" t="inlineStr">
        <is>
          <t>Condition Fré
&lt;= que</t>
        </is>
      </c>
      <c r="T108" s="1709" t="inlineStr">
        <is>
          <t>Condition respectée</t>
        </is>
      </c>
      <c r="U108" s="851" t="n"/>
      <c r="V108" s="1008" t="inlineStr">
        <is>
          <t>Condition</t>
        </is>
      </c>
      <c r="W108" s="1472" t="inlineStr">
        <is>
          <t>AP</t>
        </is>
      </c>
      <c r="X108" s="1008" t="inlineStr">
        <is>
          <t>Condition</t>
        </is>
      </c>
      <c r="Y108" s="1476" t="inlineStr">
        <is>
          <t>CL</t>
        </is>
      </c>
      <c r="Z108" s="1008" t="inlineStr">
        <is>
          <t>Condition</t>
        </is>
      </c>
      <c r="AA108" s="1480" t="inlineStr">
        <is>
          <t>CSS</t>
        </is>
      </c>
      <c r="AC108" s="1023" t="n"/>
      <c r="AD108" s="1024" t="n"/>
      <c r="AE108" s="1023" t="n"/>
      <c r="AF108" s="1024" t="n"/>
      <c r="AG108" s="1023" t="n"/>
      <c r="AH108" s="1024" t="n"/>
      <c r="AI108" s="10" t="n"/>
      <c r="AJ108" s="10" t="n"/>
      <c r="AK108" s="10" t="n"/>
    </row>
    <row r="109" ht="51" customHeight="1">
      <c r="A109" s="1602" t="n"/>
      <c r="B109" s="421">
        <f>'CPTS indépendants'!G17</f>
        <v/>
      </c>
      <c r="C109" s="2066">
        <f>Test_Bible!B212</f>
        <v/>
      </c>
      <c r="D109" s="102" t="n"/>
      <c r="E109" s="823">
        <f>Test_Bible!P212</f>
        <v/>
      </c>
      <c r="F109" s="822">
        <f>Test_Bible!D212</f>
        <v/>
      </c>
      <c r="G109" s="823">
        <f>E109*F109</f>
        <v/>
      </c>
      <c r="H109" s="1710" t="n">
        <v>7</v>
      </c>
      <c r="I109" s="1703" t="n">
        <v>10</v>
      </c>
      <c r="J109" s="46">
        <f>IF(AND(E109&gt;=H109,E109&lt;=I109),TRUE,FALSE)</f>
        <v/>
      </c>
      <c r="K109" s="46" t="n"/>
      <c r="L109" s="46" t="n"/>
      <c r="M109" s="46" t="n"/>
      <c r="N109" s="1711" t="n"/>
      <c r="O109" s="1735" t="n">
        <v>11</v>
      </c>
      <c r="P109" s="1736" t="n">
        <v>11</v>
      </c>
      <c r="Q109" s="1711">
        <f>IF(AND(E109&gt;=O109,E109&lt;=P109),TRUE,FALSE)</f>
        <v/>
      </c>
      <c r="R109" s="1710" t="n">
        <v>4</v>
      </c>
      <c r="S109" s="1703" t="n">
        <v>10</v>
      </c>
      <c r="T109" s="1711">
        <f>IF(AND(E109&gt;=R109,E109&lt;=S109),TRUE,FALSE)</f>
        <v/>
      </c>
      <c r="U109" s="978" t="n"/>
      <c r="V109" s="1484" t="n"/>
      <c r="W109" s="1485" t="n">
        <v>7</v>
      </c>
      <c r="X109" s="2029" t="n"/>
      <c r="Y109" s="1505" t="n">
        <v>11</v>
      </c>
      <c r="Z109" s="2029" t="n"/>
      <c r="AA109" s="1496" t="n">
        <v>4</v>
      </c>
      <c r="AC109" s="1011" t="n"/>
      <c r="AD109" s="1012" t="n"/>
      <c r="AE109" s="1011" t="n"/>
      <c r="AF109" s="1012" t="n"/>
      <c r="AG109" s="1011" t="n"/>
      <c r="AH109" s="1012" t="n"/>
      <c r="AI109" s="10" t="n"/>
      <c r="AJ109" s="10" t="n"/>
      <c r="AK109" s="10" t="n"/>
    </row>
    <row r="110" ht="26" customHeight="1">
      <c r="A110" s="1602" t="n"/>
      <c r="B110" s="421" t="n"/>
      <c r="C110" s="2066" t="n"/>
      <c r="D110" s="102" t="n"/>
      <c r="E110" s="823" t="n"/>
      <c r="F110" s="822" t="n"/>
      <c r="G110" s="823" t="n"/>
      <c r="H110" s="1735" t="n">
        <v>11</v>
      </c>
      <c r="I110" s="1736" t="n">
        <v>11</v>
      </c>
      <c r="J110" s="46">
        <f>IF(AND(E110&gt;=H110,E110&lt;=I110),TRUE,FALSE)</f>
        <v/>
      </c>
      <c r="K110" s="46" t="n"/>
      <c r="L110" s="46" t="n"/>
      <c r="M110" s="46" t="n"/>
      <c r="N110" s="1711" t="n"/>
      <c r="O110" s="1735" t="n">
        <v>11</v>
      </c>
      <c r="P110" s="1736" t="n">
        <v>11</v>
      </c>
      <c r="Q110" s="1711">
        <f>IF(AND(E110&gt;=O110,E110&lt;=P110),TRUE,FALSE)</f>
        <v/>
      </c>
      <c r="R110" s="1735" t="n">
        <v>11</v>
      </c>
      <c r="S110" s="1736" t="n">
        <v>11</v>
      </c>
      <c r="T110" s="1711">
        <f>IF(AND(E110&gt;=R110,E110&lt;=S110),TRUE,FALSE)</f>
        <v/>
      </c>
      <c r="U110" s="978" t="n"/>
      <c r="V110" s="1487" t="inlineStr">
        <is>
          <t>ou</t>
        </is>
      </c>
      <c r="W110" s="1506" t="n">
        <v>11</v>
      </c>
      <c r="X110" s="1507" t="n"/>
      <c r="Y110" s="1508" t="n">
        <v>11</v>
      </c>
      <c r="Z110" s="1507" t="n"/>
      <c r="AA110" s="1502" t="n">
        <v>11</v>
      </c>
      <c r="AC110" s="1013" t="n"/>
      <c r="AD110" s="1014" t="n"/>
      <c r="AE110" s="1013" t="n"/>
      <c r="AF110" s="1014" t="n"/>
      <c r="AG110" s="1013" t="n"/>
      <c r="AH110" s="1014" t="n"/>
      <c r="AI110" s="10" t="n"/>
      <c r="AJ110" s="10" t="n"/>
      <c r="AK110" s="10" t="n"/>
    </row>
    <row r="111" ht="26" customHeight="1">
      <c r="A111" s="1602" t="n"/>
      <c r="B111" s="825" t="inlineStr">
        <is>
          <t>Max PFA</t>
        </is>
      </c>
      <c r="C111" s="826" t="n"/>
      <c r="D111" s="827" t="n"/>
      <c r="E111" s="828" t="n"/>
      <c r="F111" s="828" t="n"/>
      <c r="G111" s="828" t="n"/>
      <c r="H111" s="1712" t="n"/>
      <c r="I111" s="829" t="n"/>
      <c r="J111" s="830">
        <f>IF(AND(J109=FALSE,J110=FALSE),FALSE,TRUE)</f>
        <v/>
      </c>
      <c r="K111" s="46" t="n"/>
      <c r="L111" s="46" t="n"/>
      <c r="M111" s="46" t="n"/>
      <c r="N111" s="1711" t="n"/>
      <c r="O111" s="1712" t="n"/>
      <c r="P111" s="829" t="n"/>
      <c r="Q111" s="1725">
        <f>IF(AND(Q109=FALSE,Q110=FALSE),FALSE,TRUE)</f>
        <v/>
      </c>
      <c r="R111" s="1712" t="n"/>
      <c r="S111" s="829" t="n"/>
      <c r="T111" s="1725">
        <f>IF(AND(T109=FALSE,T110=FALSE),FALSE,TRUE)</f>
        <v/>
      </c>
      <c r="U111" s="978" t="n"/>
      <c r="V111" s="978" t="inlineStr">
        <is>
          <t>ou</t>
        </is>
      </c>
      <c r="W111" s="1473" t="n"/>
      <c r="X111" s="2002" t="n"/>
      <c r="Y111" s="1478" t="n"/>
      <c r="Z111" s="2002" t="n"/>
      <c r="AA111" s="1481" t="n"/>
      <c r="AC111" s="1013" t="n"/>
      <c r="AD111" s="1014" t="n"/>
      <c r="AE111" s="1013" t="n"/>
      <c r="AF111" s="1014" t="n"/>
      <c r="AG111" s="1013" t="n"/>
      <c r="AH111" s="1014" t="n"/>
      <c r="AI111" s="10" t="n"/>
      <c r="AJ111" s="10" t="n"/>
      <c r="AK111" s="10" t="n"/>
    </row>
    <row r="112" ht="51" customHeight="1">
      <c r="A112" s="1602" t="n"/>
      <c r="B112" s="53">
        <f>'CPTS indépendants'!K17</f>
        <v/>
      </c>
      <c r="C112" s="2066">
        <f>Test_Bible!B410</f>
        <v/>
      </c>
      <c r="D112" s="102" t="n"/>
      <c r="E112" s="823">
        <f>Test_Bible!P410</f>
        <v/>
      </c>
      <c r="F112" s="822">
        <f>Test_Bible!D410</f>
        <v/>
      </c>
      <c r="G112" s="823">
        <f>E112*F112</f>
        <v/>
      </c>
      <c r="H112" s="1710" t="n">
        <v>7</v>
      </c>
      <c r="I112" s="1703" t="n">
        <v>10</v>
      </c>
      <c r="J112" s="46">
        <f>IF(AND(E112&gt;=H112,E112&lt;=I112),TRUE,FALSE)</f>
        <v/>
      </c>
      <c r="K112" s="46" t="n"/>
      <c r="L112" s="46" t="n"/>
      <c r="M112" s="46" t="n"/>
      <c r="N112" s="1711" t="n"/>
      <c r="O112" s="1735" t="n">
        <v>11</v>
      </c>
      <c r="P112" s="1736" t="n">
        <v>11</v>
      </c>
      <c r="Q112" s="1711">
        <f>IF(AND(E112&gt;=O112,E112&lt;=P112),TRUE,FALSE)</f>
        <v/>
      </c>
      <c r="R112" s="1710" t="n">
        <v>4</v>
      </c>
      <c r="S112" s="1703" t="n">
        <v>10</v>
      </c>
      <c r="T112" s="1711">
        <f>IF(AND(E112&gt;=R112,E112&lt;=S112),TRUE,FALSE)</f>
        <v/>
      </c>
      <c r="U112" s="978" t="n"/>
      <c r="V112" s="1484" t="n"/>
      <c r="W112" s="1485" t="n">
        <v>7</v>
      </c>
      <c r="X112" s="2029" t="n"/>
      <c r="Y112" s="1505" t="n">
        <v>11</v>
      </c>
      <c r="Z112" s="2029" t="n"/>
      <c r="AA112" s="1496" t="n">
        <v>4</v>
      </c>
      <c r="AC112" s="1013" t="n"/>
      <c r="AD112" s="1014" t="n"/>
      <c r="AE112" s="1013" t="n"/>
      <c r="AF112" s="1014" t="n"/>
      <c r="AG112" s="1013" t="n"/>
      <c r="AH112" s="1014" t="n"/>
      <c r="AI112" s="10" t="n"/>
      <c r="AJ112" s="10" t="n"/>
      <c r="AK112" s="10" t="n"/>
    </row>
    <row r="113" ht="26" customHeight="1">
      <c r="A113" s="1602" t="n"/>
      <c r="B113" s="53" t="n"/>
      <c r="C113" s="2066" t="n"/>
      <c r="D113" s="63" t="n"/>
      <c r="E113" s="36" t="n"/>
      <c r="F113" s="36" t="n"/>
      <c r="G113" s="36" t="n"/>
      <c r="H113" s="1735" t="n">
        <v>11</v>
      </c>
      <c r="I113" s="1736" t="n">
        <v>11</v>
      </c>
      <c r="J113" s="46">
        <f>IF(AND(E113&gt;=H113,E113&lt;=I113),TRUE,FALSE)</f>
        <v/>
      </c>
      <c r="K113" s="46" t="n"/>
      <c r="L113" s="46" t="n"/>
      <c r="M113" s="46" t="n"/>
      <c r="N113" s="1711" t="n"/>
      <c r="O113" s="1735" t="n">
        <v>11</v>
      </c>
      <c r="P113" s="1736" t="n">
        <v>11</v>
      </c>
      <c r="Q113" s="1711">
        <f>IF(AND(E113&gt;=O113,E113&lt;=P113),TRUE,FALSE)</f>
        <v/>
      </c>
      <c r="R113" s="1735" t="n">
        <v>11</v>
      </c>
      <c r="S113" s="1736" t="n">
        <v>11</v>
      </c>
      <c r="T113" s="1711">
        <f>IF(AND(E113&gt;=R113,E113&lt;=S113),TRUE,FALSE)</f>
        <v/>
      </c>
      <c r="U113" s="978" t="n"/>
      <c r="V113" s="1487" t="inlineStr">
        <is>
          <t>ou</t>
        </is>
      </c>
      <c r="W113" s="1506" t="n">
        <v>11</v>
      </c>
      <c r="X113" s="1507" t="n"/>
      <c r="Y113" s="1508" t="n">
        <v>11</v>
      </c>
      <c r="Z113" s="1507" t="n"/>
      <c r="AA113" s="1502" t="n">
        <v>11</v>
      </c>
      <c r="AC113" s="1013" t="n"/>
      <c r="AD113" s="1014" t="n"/>
      <c r="AE113" s="1013" t="n"/>
      <c r="AF113" s="1014" t="n"/>
      <c r="AG113" s="1013" t="n"/>
      <c r="AH113" s="1014" t="n"/>
      <c r="AI113" s="10" t="n"/>
      <c r="AJ113" s="10" t="n"/>
      <c r="AK113" s="10" t="n"/>
    </row>
    <row r="114" ht="27" customHeight="1" thickBot="1">
      <c r="A114" s="1602" t="n"/>
      <c r="B114" s="831" t="n"/>
      <c r="C114" s="832" t="n"/>
      <c r="D114" s="833" t="n"/>
      <c r="E114" s="834" t="n"/>
      <c r="F114" s="834" t="n"/>
      <c r="G114" s="834" t="n"/>
      <c r="H114" s="1713" t="n"/>
      <c r="I114" s="835" t="n"/>
      <c r="J114" s="836">
        <f>IF(AND(J112=FALSE,J113=FALSE),FALSE,TRUE)</f>
        <v/>
      </c>
      <c r="K114" s="46" t="n"/>
      <c r="L114" s="46" t="n"/>
      <c r="M114" s="46" t="n"/>
      <c r="N114" s="1711" t="n"/>
      <c r="O114" s="1713" t="n"/>
      <c r="P114" s="835" t="n"/>
      <c r="Q114" s="1726">
        <f>IF(AND(Q112=FALSE,Q113=FALSE),FALSE,TRUE)</f>
        <v/>
      </c>
      <c r="R114" s="1713" t="n"/>
      <c r="S114" s="835" t="n"/>
      <c r="T114" s="1726">
        <f>IF(AND(T112=FALSE,T113=FALSE),FALSE,TRUE)</f>
        <v/>
      </c>
      <c r="U114" s="978" t="n"/>
      <c r="V114" s="978" t="n"/>
      <c r="W114" s="1473" t="n"/>
      <c r="X114" s="2002" t="n"/>
      <c r="Y114" s="1478" t="n"/>
      <c r="Z114" s="2002" t="n"/>
      <c r="AA114" s="1481" t="n"/>
      <c r="AC114" s="1013" t="n"/>
      <c r="AD114" s="1014" t="n"/>
      <c r="AE114" s="1013" t="n"/>
      <c r="AF114" s="1014" t="n"/>
      <c r="AG114" s="1013" t="n"/>
      <c r="AH114" s="1014" t="n"/>
      <c r="AI114" s="10" t="n"/>
      <c r="AJ114" s="10" t="n"/>
      <c r="AK114" s="10" t="n"/>
    </row>
    <row r="115" ht="27" customHeight="1" thickBot="1">
      <c r="A115" s="1602" t="n"/>
      <c r="B115" s="837" t="n"/>
      <c r="C115" s="838" t="n"/>
      <c r="D115" s="838" t="n"/>
      <c r="E115" s="839" t="n"/>
      <c r="F115" s="839" t="n"/>
      <c r="G115" s="839" t="n"/>
      <c r="H115" s="1714" t="n"/>
      <c r="I115" s="840" t="n"/>
      <c r="J115" s="841">
        <f>IF(AND(J111=FALSE,J114=FALSE),FALSE,TRUE)</f>
        <v/>
      </c>
      <c r="K115" s="1698" t="n"/>
      <c r="L115" s="1698" t="n"/>
      <c r="M115" s="1698" t="n"/>
      <c r="N115" s="1715" t="n"/>
      <c r="O115" s="1714" t="n"/>
      <c r="P115" s="840" t="n"/>
      <c r="Q115" s="841">
        <f>IF(AND(Q111=FALSE,Q114=FALSE),FALSE,TRUE)</f>
        <v/>
      </c>
      <c r="R115" s="1714" t="n"/>
      <c r="S115" s="840" t="n"/>
      <c r="T115" s="841">
        <f>IF(AND(T111=FALSE,T114=FALSE),FALSE,TRUE)</f>
        <v/>
      </c>
      <c r="U115" s="978" t="n"/>
      <c r="V115" s="978" t="inlineStr">
        <is>
          <t>et</t>
        </is>
      </c>
      <c r="W115" s="1473" t="n"/>
      <c r="X115" s="2002" t="n"/>
      <c r="Y115" s="1478" t="n"/>
      <c r="Z115" s="2002" t="n"/>
      <c r="AA115" s="1481" t="n"/>
      <c r="AC115" s="1013" t="n"/>
      <c r="AD115" s="1014" t="n"/>
      <c r="AE115" s="1013" t="n"/>
      <c r="AF115" s="1014" t="n"/>
      <c r="AG115" s="1013" t="n"/>
      <c r="AH115" s="1014" t="n"/>
      <c r="AI115" s="10">
        <f>IF(OR(AC115="V",AE115="V"),IF(G114&gt;G111,"Le NC contribue plus que le coparent","Le coparent joue un plus grand rôle que le NC"),"pas de contexte significatif de la part du coparent et NC")</f>
        <v/>
      </c>
      <c r="AJ115" s="10" t="n"/>
      <c r="AK115" s="10" t="n"/>
    </row>
    <row r="116" ht="26" customHeight="1">
      <c r="A116" s="1602" t="n"/>
      <c r="B116" s="316" t="n"/>
      <c r="C116" s="2066" t="n"/>
      <c r="D116" s="102" t="n"/>
      <c r="E116" s="823" t="n"/>
      <c r="F116" s="822" t="n"/>
      <c r="G116" s="823" t="n"/>
      <c r="H116" s="1735" t="n">
        <v>11</v>
      </c>
      <c r="I116" s="1736" t="n">
        <v>11</v>
      </c>
      <c r="J116" s="46">
        <f>IF(AND(E116&gt;=H116,E116&lt;=I116),TRUE,FALSE)</f>
        <v/>
      </c>
      <c r="K116" s="46" t="n"/>
      <c r="L116" s="46" t="n"/>
      <c r="M116" s="46" t="n"/>
      <c r="N116" s="1711" t="n"/>
      <c r="O116" s="1735" t="n">
        <v>11</v>
      </c>
      <c r="P116" s="1736" t="n">
        <v>11</v>
      </c>
      <c r="Q116" s="1711">
        <f>IF(AND(E116&gt;=O116,E116&lt;=P116),TRUE,FALSE)</f>
        <v/>
      </c>
      <c r="R116" s="1710" t="n"/>
      <c r="S116" s="1703" t="n"/>
      <c r="T116" s="1711" t="n"/>
      <c r="U116" s="978" t="n"/>
      <c r="V116" s="1484" t="n"/>
      <c r="W116" s="1503" t="n">
        <v>11</v>
      </c>
      <c r="X116" s="1504" t="n"/>
      <c r="Y116" s="1505" t="n">
        <v>11</v>
      </c>
      <c r="Z116" s="1504" t="n"/>
      <c r="AA116" s="1497" t="n">
        <v>11</v>
      </c>
      <c r="AC116" s="1013" t="n"/>
      <c r="AD116" s="1014" t="n"/>
      <c r="AE116" s="1013" t="n"/>
      <c r="AF116" s="1014" t="n"/>
      <c r="AG116" s="1013" t="n"/>
      <c r="AH116" s="1014" t="n"/>
      <c r="AI116" s="10" t="n"/>
      <c r="AJ116" s="10" t="n"/>
      <c r="AK116" s="10" t="n"/>
    </row>
    <row r="117" ht="27" customHeight="1" thickBot="1">
      <c r="A117" s="1602" t="n"/>
      <c r="B117" s="316" t="n"/>
      <c r="C117" s="2066" t="n"/>
      <c r="D117" s="102" t="n"/>
      <c r="E117" s="823" t="n"/>
      <c r="F117" s="822" t="n"/>
      <c r="G117" s="823" t="n"/>
      <c r="H117" s="1735" t="n">
        <v>11</v>
      </c>
      <c r="I117" s="1736" t="n">
        <v>11</v>
      </c>
      <c r="J117" s="46">
        <f>IF(AND(E117&gt;=H117,E117&lt;=I117),TRUE,FALSE)</f>
        <v/>
      </c>
      <c r="K117" s="46" t="n"/>
      <c r="L117" s="46" t="n"/>
      <c r="M117" s="46" t="n"/>
      <c r="N117" s="1711" t="n"/>
      <c r="O117" s="1735" t="n">
        <v>11</v>
      </c>
      <c r="P117" s="1736" t="n">
        <v>11</v>
      </c>
      <c r="Q117" s="1711">
        <f>IF(AND(E117&gt;=O117,E117&lt;=P117),TRUE,FALSE)</f>
        <v/>
      </c>
      <c r="R117" s="1735" t="n"/>
      <c r="S117" s="1736" t="n"/>
      <c r="T117" s="1711" t="n"/>
      <c r="U117" s="978" t="n"/>
      <c r="V117" s="1487" t="inlineStr">
        <is>
          <t>ou</t>
        </is>
      </c>
      <c r="W117" s="1506" t="n">
        <v>11</v>
      </c>
      <c r="X117" s="1507" t="n"/>
      <c r="Y117" s="1508" t="n">
        <v>11</v>
      </c>
      <c r="Z117" s="1507" t="n"/>
      <c r="AA117" s="1502" t="n">
        <v>11</v>
      </c>
      <c r="AC117" s="1013" t="n"/>
      <c r="AD117" s="1014" t="n"/>
      <c r="AE117" s="1013" t="n"/>
      <c r="AF117" s="1014" t="n"/>
      <c r="AG117" s="1013" t="n"/>
      <c r="AH117" s="1014" t="n"/>
      <c r="AI117" s="10" t="n"/>
      <c r="AJ117" s="10" t="n"/>
      <c r="AK117" s="10" t="n"/>
    </row>
    <row r="118" ht="27" customHeight="1" thickBot="1">
      <c r="A118" s="1602" t="n"/>
      <c r="B118" s="842" t="n"/>
      <c r="C118" s="843" t="n"/>
      <c r="D118" s="843" t="n"/>
      <c r="E118" s="844" t="n"/>
      <c r="F118" s="844" t="n"/>
      <c r="G118" s="844" t="n"/>
      <c r="H118" s="1716" t="n"/>
      <c r="I118" s="845" t="n"/>
      <c r="J118" s="846">
        <f>IF(AND(J116=FALSE,J117=FALSE),FALSE,TRUE)</f>
        <v/>
      </c>
      <c r="K118" s="1699" t="n"/>
      <c r="L118" s="1699" t="n"/>
      <c r="M118" s="1699" t="n"/>
      <c r="N118" s="1717" t="n"/>
      <c r="O118" s="1716" t="n"/>
      <c r="P118" s="845" t="n"/>
      <c r="Q118" s="846">
        <f>IF(AND(Q116=FALSE,Q117=FALSE),FALSE,TRUE)</f>
        <v/>
      </c>
      <c r="R118" s="1716" t="n"/>
      <c r="S118" s="845" t="n"/>
      <c r="T118" s="846" t="n"/>
      <c r="U118" s="978" t="n"/>
      <c r="V118" s="978" t="n"/>
      <c r="W118" s="1475" t="n"/>
      <c r="Y118" s="1479" t="n"/>
      <c r="AA118" s="1483" t="n"/>
      <c r="AC118" s="1013" t="n"/>
      <c r="AD118" s="1014" t="n"/>
      <c r="AE118" s="1013" t="n"/>
      <c r="AF118" s="1014" t="n"/>
      <c r="AG118" s="1013" t="n"/>
      <c r="AH118" s="1014" t="n"/>
      <c r="AI118" s="10" t="n"/>
      <c r="AJ118" s="10" t="n"/>
      <c r="AK118" s="10" t="n"/>
    </row>
    <row r="119" ht="26" customHeight="1">
      <c r="A119" s="1602" t="n"/>
      <c r="C119" s="428" t="n"/>
      <c r="D119" s="2058" t="n"/>
      <c r="E119" s="484" t="n"/>
      <c r="F119" s="48" t="n"/>
      <c r="G119" s="48" t="n"/>
      <c r="H119" s="1718" t="n"/>
      <c r="I119" s="485" t="n"/>
      <c r="J119" s="1701" t="n"/>
      <c r="K119" s="1702">
        <f>IF(AND(J118=TRUE,J115=TRUE),D118,"")</f>
        <v/>
      </c>
      <c r="L119" s="1702" t="n"/>
      <c r="M119" s="1702">
        <f>IF(AND(J115=FALSE,J118=TRUE),D118&amp;" sans signe de la participation du parent favorisé et|ou nouveau conjoint.e","")</f>
        <v/>
      </c>
      <c r="N119" s="1719" t="n"/>
      <c r="O119" s="1718" t="n"/>
      <c r="P119" s="485" t="n"/>
      <c r="Q119" s="1727" t="n"/>
      <c r="R119" s="1718" t="n"/>
      <c r="S119" s="485" t="n"/>
      <c r="T119" s="1727" t="n"/>
      <c r="U119" s="1754" t="n"/>
      <c r="V119" s="980" t="n"/>
      <c r="W119" s="1475" t="n"/>
      <c r="Y119" s="1479" t="n"/>
      <c r="AA119" s="1483" t="n"/>
      <c r="AC119" s="1015" t="n"/>
      <c r="AD119" s="1016" t="n"/>
      <c r="AE119" s="1015" t="n"/>
      <c r="AF119" s="1016" t="n"/>
      <c r="AG119" s="1015" t="n"/>
      <c r="AH119" s="1016" t="n"/>
      <c r="AI119" s="10" t="n"/>
      <c r="AJ119" s="10" t="n"/>
      <c r="AK119" s="10" t="n"/>
    </row>
    <row r="120" ht="26" customHeight="1">
      <c r="A120" s="1602" t="n"/>
      <c r="B120" t="inlineStr">
        <is>
          <t>PCR</t>
        </is>
      </c>
      <c r="H120" s="147" t="n"/>
      <c r="K120" s="1992" t="n"/>
      <c r="L120" s="1992" t="n"/>
      <c r="M120" s="1992" t="n"/>
      <c r="N120" s="1740" t="n"/>
      <c r="O120" s="147" t="n"/>
      <c r="Q120" s="330" t="n"/>
      <c r="R120" s="147" t="n"/>
      <c r="T120" s="330" t="n"/>
      <c r="W120" s="1475" t="n"/>
      <c r="Y120" s="1479" t="n"/>
      <c r="AA120" s="1483" t="n"/>
      <c r="AC120" s="1013" t="n"/>
      <c r="AD120" s="1014" t="n"/>
      <c r="AE120" s="1013" t="n"/>
      <c r="AF120" s="1014" t="n"/>
      <c r="AG120" s="1013" t="n"/>
      <c r="AH120" s="1014" t="n"/>
      <c r="AI120" s="10" t="n"/>
      <c r="AJ120" s="10" t="n"/>
      <c r="AK120" s="10" t="n"/>
    </row>
    <row r="121" ht="26" customHeight="1">
      <c r="A121" s="1602" t="n"/>
      <c r="B121" s="1017" t="n"/>
      <c r="C121" s="1025" t="n"/>
      <c r="D121" s="1018" t="n"/>
      <c r="E121" s="1026" t="n"/>
      <c r="F121" s="1026" t="n"/>
      <c r="G121" s="1026" t="n"/>
      <c r="H121" s="1735" t="n">
        <v>11</v>
      </c>
      <c r="I121" s="1736" t="n">
        <v>11</v>
      </c>
      <c r="J121" s="46">
        <f>IF(AND(E121&gt;=H121,E121&lt;=I121),TRUE,FALSE)</f>
        <v/>
      </c>
      <c r="K121" s="33" t="n"/>
      <c r="L121" s="33" t="n"/>
      <c r="M121" s="33" t="n"/>
      <c r="N121" s="1720" t="n"/>
      <c r="O121" s="1735" t="n">
        <v>11</v>
      </c>
      <c r="P121" s="1736" t="n">
        <v>11</v>
      </c>
      <c r="Q121" s="1711">
        <f>IF(AND(E121&gt;=O121,E121&lt;=P121),TRUE,FALSE)</f>
        <v/>
      </c>
      <c r="R121" s="1735" t="n">
        <v>11</v>
      </c>
      <c r="S121" s="1736" t="n">
        <v>11</v>
      </c>
      <c r="T121" s="1711">
        <f>IF(AND(E121&gt;=R121,E121&lt;=S121),TRUE,FALSE)</f>
        <v/>
      </c>
      <c r="U121" s="978" t="n"/>
      <c r="V121" s="1509" t="n"/>
      <c r="W121" s="1503" t="n">
        <v>11</v>
      </c>
      <c r="X121" s="1504" t="n"/>
      <c r="Y121" s="1505" t="n">
        <v>11</v>
      </c>
      <c r="Z121" s="1504" t="n"/>
      <c r="AA121" s="1497" t="n">
        <v>11</v>
      </c>
      <c r="AC121" s="1013" t="n"/>
      <c r="AD121" s="1014" t="n"/>
      <c r="AE121" s="1013" t="n"/>
      <c r="AF121" s="1014" t="n"/>
      <c r="AG121" s="1013" t="n"/>
      <c r="AH121" s="1014" t="n"/>
      <c r="AI121" s="10" t="n"/>
      <c r="AJ121" s="10" t="n"/>
      <c r="AK121" s="10" t="n"/>
    </row>
    <row r="122" ht="27" customHeight="1" thickBot="1">
      <c r="A122" s="1602" t="n"/>
      <c r="B122" s="1017" t="n"/>
      <c r="C122" s="1025" t="n"/>
      <c r="D122" s="1018" t="n"/>
      <c r="E122" s="1026" t="n"/>
      <c r="F122" s="1026" t="n"/>
      <c r="G122" s="1026" t="n"/>
      <c r="H122" s="1735" t="n">
        <v>11</v>
      </c>
      <c r="I122" s="1736" t="n">
        <v>11</v>
      </c>
      <c r="J122" s="46">
        <f>IF(AND(E122&gt;=H122,E122&lt;=I122),TRUE,FALSE)</f>
        <v/>
      </c>
      <c r="K122" s="33" t="n"/>
      <c r="L122" s="33" t="n"/>
      <c r="M122" s="33" t="n"/>
      <c r="N122" s="1720" t="n"/>
      <c r="O122" s="1735" t="n">
        <v>11</v>
      </c>
      <c r="P122" s="1736" t="n">
        <v>11</v>
      </c>
      <c r="Q122" s="1711">
        <f>IF(AND(E122&gt;=O122,E122&lt;=P122),TRUE,FALSE)</f>
        <v/>
      </c>
      <c r="R122" s="1735" t="n">
        <v>11</v>
      </c>
      <c r="S122" s="1736" t="n">
        <v>11</v>
      </c>
      <c r="T122" s="1711">
        <f>IF(AND(E122&gt;=R122,E122&lt;=S122),TRUE,FALSE)</f>
        <v/>
      </c>
      <c r="U122" s="978" t="n"/>
      <c r="V122" s="1510" t="n"/>
      <c r="W122" s="1506" t="n">
        <v>11</v>
      </c>
      <c r="X122" s="1507" t="n"/>
      <c r="Y122" s="1508" t="n">
        <v>11</v>
      </c>
      <c r="Z122" s="1507" t="n"/>
      <c r="AA122" s="1502" t="n">
        <v>11</v>
      </c>
      <c r="AC122" s="1013" t="n"/>
      <c r="AD122" s="1014" t="n"/>
      <c r="AE122" s="1013" t="n"/>
      <c r="AF122" s="1014" t="n"/>
      <c r="AG122" s="1013" t="n"/>
      <c r="AH122" s="1014" t="n"/>
      <c r="AI122" s="10" t="n"/>
      <c r="AJ122" s="10" t="n"/>
      <c r="AK122" s="10" t="n"/>
    </row>
    <row r="123" ht="27" customHeight="1" thickBot="1">
      <c r="A123" s="686" t="n"/>
      <c r="C123" s="2073" t="n"/>
      <c r="D123" s="2073" t="n"/>
      <c r="E123" s="90" t="n"/>
      <c r="F123" s="483" t="n"/>
      <c r="G123" s="483" t="n"/>
      <c r="H123" s="1732" t="n"/>
      <c r="I123" s="1733" t="n"/>
      <c r="J123" s="1739">
        <f>IF(AND(J121=FALSE,J122=FALSE),FALSE,TRUE)</f>
        <v/>
      </c>
      <c r="K123" s="1721" t="n"/>
      <c r="L123" s="1722" t="n"/>
      <c r="M123" s="1722" t="n"/>
      <c r="N123" s="1723" t="n"/>
      <c r="O123" s="1732" t="n"/>
      <c r="P123" s="1733" t="n"/>
      <c r="Q123" s="1739">
        <f>IF(AND(Q121=FALSE,Q122=FALSE),FALSE,TRUE)</f>
        <v/>
      </c>
      <c r="R123" s="1744" t="n"/>
      <c r="S123" s="1745" t="n"/>
      <c r="T123" s="1746">
        <f>IF(AND(T121=FALSE,T122=FALSE),FALSE,TRUE)</f>
        <v/>
      </c>
      <c r="U123" s="979" t="n"/>
      <c r="AC123" s="1650" t="n"/>
      <c r="AD123" s="1651" t="n"/>
      <c r="AE123" s="1650" t="n"/>
      <c r="AF123" s="1651" t="n"/>
      <c r="AG123" s="1650" t="n"/>
      <c r="AH123" s="1651" t="n"/>
      <c r="AI123" s="10" t="n"/>
      <c r="AJ123" s="10" t="n"/>
      <c r="AK123" s="10" t="n"/>
    </row>
    <row r="124" ht="26" customHeight="1">
      <c r="A124" s="686" t="n"/>
      <c r="C124" s="2073" t="n"/>
      <c r="D124" s="2073" t="n"/>
      <c r="E124" s="90" t="n"/>
      <c r="F124" s="483" t="n"/>
      <c r="G124" s="483" t="n"/>
      <c r="H124" s="2002" t="n"/>
      <c r="I124" s="2002" t="n"/>
      <c r="J124" s="979" t="n"/>
      <c r="K124" s="979" t="n"/>
      <c r="L124" s="979" t="n"/>
      <c r="M124" s="979" t="n"/>
      <c r="N124" s="979" t="n"/>
      <c r="O124" s="979" t="n"/>
      <c r="P124" s="979" t="n"/>
      <c r="Q124" s="979" t="n"/>
      <c r="R124" s="979" t="n"/>
      <c r="S124" s="979" t="n"/>
      <c r="T124" s="979" t="n"/>
      <c r="U124" s="979" t="n"/>
      <c r="AC124" s="1737" t="n"/>
      <c r="AD124" s="1738" t="n"/>
      <c r="AE124" s="1737" t="n"/>
      <c r="AF124" s="1738" t="n"/>
      <c r="AG124" s="1737" t="n"/>
      <c r="AH124" s="1738" t="n"/>
      <c r="AI124" s="10" t="n"/>
      <c r="AJ124" s="10" t="n"/>
      <c r="AK124" s="10" t="n"/>
    </row>
    <row r="125" ht="26" customHeight="1">
      <c r="A125" s="686" t="n"/>
      <c r="C125" s="2073" t="n"/>
      <c r="D125" s="2073" t="n"/>
      <c r="E125" s="90" t="n"/>
      <c r="F125" s="483" t="n"/>
      <c r="G125" s="483" t="n"/>
      <c r="H125" s="2002" t="n"/>
      <c r="I125" s="2002" t="n"/>
      <c r="J125" s="979" t="n"/>
      <c r="K125" s="979" t="n"/>
      <c r="L125" s="979" t="n"/>
      <c r="M125" s="979" t="n"/>
      <c r="N125" s="979" t="n"/>
      <c r="O125" s="979" t="n"/>
      <c r="P125" s="979" t="n"/>
      <c r="Q125" s="979" t="n"/>
      <c r="R125" s="979" t="n"/>
      <c r="S125" s="979" t="n"/>
      <c r="T125" s="979" t="n"/>
      <c r="U125" s="979" t="n"/>
      <c r="AC125" s="1756" t="inlineStr">
        <is>
          <t>Indice boosté</t>
        </is>
      </c>
      <c r="AD125" s="1757">
        <f>IF(AF124=1,AD124*(1+$AH$28),AD124)</f>
        <v/>
      </c>
      <c r="AI125" s="10" t="n"/>
      <c r="AJ125" s="10" t="n"/>
      <c r="AK125" s="10" t="n"/>
    </row>
    <row r="126" ht="26" customHeight="1">
      <c r="A126" s="1601" t="n">
        <v>7</v>
      </c>
      <c r="C126" s="486">
        <f>'CPTS indépendants'!F19</f>
        <v/>
      </c>
      <c r="D126" s="108" t="n"/>
      <c r="E126" s="66" t="n"/>
      <c r="F126" s="18" t="n"/>
      <c r="G126" s="18" t="n"/>
      <c r="H126" s="2052" t="inlineStr">
        <is>
          <t>AP</t>
        </is>
      </c>
      <c r="K126" s="2055" t="inlineStr">
        <is>
          <t>Dynamique d'AP</t>
        </is>
      </c>
      <c r="N126" s="330" t="n"/>
      <c r="O126" s="2122" t="inlineStr">
        <is>
          <t>CL</t>
        </is>
      </c>
      <c r="Q126" s="330" t="n"/>
      <c r="R126" s="2123" t="inlineStr">
        <is>
          <t>CSS</t>
        </is>
      </c>
      <c r="T126" s="330" t="n"/>
      <c r="U126" s="15" t="n"/>
      <c r="V126" s="980" t="n"/>
      <c r="AC126" s="1009" t="n"/>
      <c r="AD126" s="1009" t="n"/>
      <c r="AE126" s="1009" t="n"/>
      <c r="AF126" s="1009" t="n"/>
      <c r="AG126" s="1009" t="n"/>
      <c r="AH126" s="1010" t="n"/>
      <c r="AI126" s="10" t="n"/>
      <c r="AJ126" s="10" t="n"/>
      <c r="AK126" s="10" t="n"/>
    </row>
    <row r="127" ht="68" customHeight="1">
      <c r="A127" s="1602" t="n"/>
      <c r="C127" s="103" t="inlineStr">
        <is>
          <t>Questions et sous-questions</t>
        </is>
      </c>
      <c r="D127" s="1043" t="n"/>
      <c r="E127" s="33" t="inlineStr">
        <is>
          <t>Valeur de base
Fréquence (F)</t>
        </is>
      </c>
      <c r="F127" s="33" t="inlineStr">
        <is>
          <t>Valeur de base
intensité (I)</t>
        </is>
      </c>
      <c r="G127" s="33" t="inlineStr">
        <is>
          <t>F * I</t>
        </is>
      </c>
      <c r="H127" s="1708" t="inlineStr">
        <is>
          <t>Condition Fréq. 
&gt;= que</t>
        </is>
      </c>
      <c r="I127" s="44" t="inlineStr">
        <is>
          <t>Condition Fré
&lt;= que</t>
        </is>
      </c>
      <c r="J127" s="44" t="inlineStr">
        <is>
          <t>Condition respectée</t>
        </is>
      </c>
      <c r="K127" s="44" t="n"/>
      <c r="L127" s="44" t="n"/>
      <c r="M127" s="44" t="n"/>
      <c r="N127" s="1709" t="n"/>
      <c r="O127" s="1708" t="inlineStr">
        <is>
          <t>Condition Fréq. 
&gt;= que</t>
        </is>
      </c>
      <c r="P127" s="44" t="inlineStr">
        <is>
          <t>Condition Fré
&lt;= que</t>
        </is>
      </c>
      <c r="Q127" s="1709" t="inlineStr">
        <is>
          <t>Condition respectée</t>
        </is>
      </c>
      <c r="R127" s="1708" t="inlineStr">
        <is>
          <t>Condition Fréq. 
&gt;= que</t>
        </is>
      </c>
      <c r="S127" s="44" t="inlineStr">
        <is>
          <t>Condition Fré
&lt;= que</t>
        </is>
      </c>
      <c r="T127" s="1709" t="inlineStr">
        <is>
          <t>Condition respectée</t>
        </is>
      </c>
      <c r="U127" s="851" t="n"/>
      <c r="V127" s="1008" t="inlineStr">
        <is>
          <t>Condition</t>
        </is>
      </c>
      <c r="W127" s="1472" t="inlineStr">
        <is>
          <t>AP</t>
        </is>
      </c>
      <c r="X127" s="1008" t="inlineStr">
        <is>
          <t>Condition</t>
        </is>
      </c>
      <c r="Y127" s="1476" t="inlineStr">
        <is>
          <t>CL</t>
        </is>
      </c>
      <c r="Z127" s="1008" t="inlineStr">
        <is>
          <t>Condition</t>
        </is>
      </c>
      <c r="AA127" s="1480" t="inlineStr">
        <is>
          <t>CSS</t>
        </is>
      </c>
      <c r="AC127" s="1023" t="n"/>
      <c r="AD127" s="1024" t="n"/>
      <c r="AE127" s="1023" t="n"/>
      <c r="AF127" s="1024" t="n"/>
      <c r="AG127" s="1023" t="n"/>
      <c r="AH127" s="1024" t="n"/>
      <c r="AI127" s="10" t="n"/>
      <c r="AJ127" s="10" t="n"/>
      <c r="AK127" s="10" t="n"/>
    </row>
    <row r="128" ht="34" customHeight="1">
      <c r="A128" s="1602" t="n"/>
      <c r="B128" s="421">
        <f>'CPTS indépendants'!G19</f>
        <v/>
      </c>
      <c r="C128" s="2066">
        <f>Test_Bible!B231</f>
        <v/>
      </c>
      <c r="D128" s="102" t="n"/>
      <c r="E128" s="823">
        <f>Test_Bible!P231</f>
        <v/>
      </c>
      <c r="F128" s="822">
        <f>Test_Bible!D231</f>
        <v/>
      </c>
      <c r="G128" s="823">
        <f>E128*F128</f>
        <v/>
      </c>
      <c r="H128" s="1710" t="n">
        <v>4</v>
      </c>
      <c r="I128" s="1703" t="n">
        <v>10</v>
      </c>
      <c r="J128" s="46">
        <f>IF(AND(E128&gt;=H128,E128&lt;=I128),TRUE,FALSE)</f>
        <v/>
      </c>
      <c r="K128" s="46" t="n"/>
      <c r="L128" s="46" t="n"/>
      <c r="M128" s="46" t="n"/>
      <c r="N128" s="1711" t="n"/>
      <c r="O128" s="1735" t="n">
        <v>11</v>
      </c>
      <c r="P128" s="1736" t="n">
        <v>11</v>
      </c>
      <c r="Q128" s="1711">
        <f>IF(AND(E128&gt;=O128,E128&lt;=P128),TRUE,FALSE)</f>
        <v/>
      </c>
      <c r="R128" s="1735" t="n">
        <v>11</v>
      </c>
      <c r="S128" s="1736" t="n">
        <v>11</v>
      </c>
      <c r="T128" s="1711">
        <f>IF(AND(E128&gt;=R128,E128&lt;=S128),TRUE,FALSE)</f>
        <v/>
      </c>
      <c r="U128" s="978" t="n"/>
      <c r="V128" s="1484" t="n"/>
      <c r="W128" s="1485" t="n">
        <v>4</v>
      </c>
      <c r="X128" s="2029" t="n"/>
      <c r="Y128" s="1505" t="n">
        <v>11</v>
      </c>
      <c r="Z128" s="2029" t="n"/>
      <c r="AA128" s="1497" t="n">
        <v>11</v>
      </c>
      <c r="AC128" s="1011" t="n"/>
      <c r="AD128" s="1012" t="n"/>
      <c r="AE128" s="1011" t="n"/>
      <c r="AF128" s="1012" t="n"/>
      <c r="AG128" s="1011" t="n"/>
      <c r="AH128" s="1012" t="n"/>
      <c r="AI128" s="10" t="n"/>
      <c r="AJ128" s="10" t="n"/>
      <c r="AK128" s="10" t="n"/>
    </row>
    <row r="129" ht="26" customHeight="1">
      <c r="A129" s="1604" t="n"/>
      <c r="B129" s="421" t="n"/>
      <c r="C129" s="2066" t="n"/>
      <c r="D129" s="102" t="n"/>
      <c r="E129" s="823" t="n"/>
      <c r="F129" s="822" t="n"/>
      <c r="G129" s="823" t="n"/>
      <c r="H129" s="1735" t="n">
        <v>11</v>
      </c>
      <c r="I129" s="1736" t="n">
        <v>11</v>
      </c>
      <c r="J129" s="46">
        <f>IF(AND(E129&gt;=H129,E129&lt;=I129),TRUE,FALSE)</f>
        <v/>
      </c>
      <c r="K129" s="46" t="n"/>
      <c r="L129" s="46" t="n"/>
      <c r="M129" s="46" t="n"/>
      <c r="N129" s="1711" t="n"/>
      <c r="O129" s="1735" t="n">
        <v>11</v>
      </c>
      <c r="P129" s="1736" t="n">
        <v>11</v>
      </c>
      <c r="Q129" s="1711">
        <f>IF(AND(E129&gt;=O129,E129&lt;=P129),TRUE,FALSE)</f>
        <v/>
      </c>
      <c r="R129" s="1735" t="n">
        <v>11</v>
      </c>
      <c r="S129" s="1736" t="n">
        <v>11</v>
      </c>
      <c r="T129" s="1711">
        <f>IF(AND(E129&gt;=R129,E129&lt;=S129),TRUE,FALSE)</f>
        <v/>
      </c>
      <c r="U129" s="978" t="n"/>
      <c r="V129" s="1487" t="inlineStr">
        <is>
          <t>ou</t>
        </is>
      </c>
      <c r="W129" s="1506" t="n">
        <v>11</v>
      </c>
      <c r="X129" s="1507" t="n"/>
      <c r="Y129" s="1508" t="n">
        <v>11</v>
      </c>
      <c r="Z129" s="1507" t="n"/>
      <c r="AA129" s="1502" t="n">
        <v>11</v>
      </c>
      <c r="AC129" s="1013" t="n"/>
      <c r="AD129" s="1014" t="n"/>
      <c r="AE129" s="1013" t="n"/>
      <c r="AF129" s="1014" t="n"/>
      <c r="AG129" s="1013" t="n"/>
      <c r="AH129" s="1014" t="n"/>
      <c r="AI129" s="10" t="n"/>
      <c r="AJ129" s="10" t="n"/>
      <c r="AK129" s="10" t="n"/>
    </row>
    <row r="130" ht="26" customHeight="1">
      <c r="A130" s="1604" t="n"/>
      <c r="B130" s="825" t="n"/>
      <c r="C130" s="826" t="n"/>
      <c r="D130" s="827" t="n"/>
      <c r="E130" s="828" t="n"/>
      <c r="F130" s="828" t="n"/>
      <c r="G130" s="828" t="n"/>
      <c r="H130" s="1712" t="n"/>
      <c r="I130" s="829" t="n"/>
      <c r="J130" s="830">
        <f>IF(AND(J128=FALSE,J129=FALSE),FALSE,TRUE)</f>
        <v/>
      </c>
      <c r="K130" s="46" t="n"/>
      <c r="L130" s="46" t="n"/>
      <c r="M130" s="46" t="n"/>
      <c r="N130" s="1711" t="n"/>
      <c r="O130" s="1712" t="n"/>
      <c r="P130" s="829" t="n"/>
      <c r="Q130" s="1725">
        <f>IF(AND(Q128=FALSE,Q129=FALSE),FALSE,TRUE)</f>
        <v/>
      </c>
      <c r="R130" s="1712" t="n"/>
      <c r="S130" s="829" t="n"/>
      <c r="T130" s="1725">
        <f>IF(AND(T128=FALSE,T129=FALSE),FALSE,TRUE)</f>
        <v/>
      </c>
      <c r="U130" s="978" t="n"/>
      <c r="V130" s="978" t="inlineStr">
        <is>
          <t>ou</t>
        </is>
      </c>
      <c r="W130" s="1473" t="n"/>
      <c r="X130" s="2002" t="n"/>
      <c r="Y130" s="1478" t="n"/>
      <c r="Z130" s="2002" t="n"/>
      <c r="AA130" s="1481" t="n"/>
      <c r="AC130" s="1013" t="n"/>
      <c r="AD130" s="1014" t="n"/>
      <c r="AE130" s="1013" t="n"/>
      <c r="AF130" s="1014" t="n"/>
      <c r="AG130" s="1013" t="n"/>
      <c r="AH130" s="1014" t="n"/>
      <c r="AI130" s="10" t="n"/>
      <c r="AJ130" s="10" t="n"/>
      <c r="AK130" s="10" t="n"/>
    </row>
    <row r="131" ht="26" customHeight="1">
      <c r="A131" s="1604" t="n"/>
      <c r="B131" s="53" t="n"/>
      <c r="C131" s="2066" t="n"/>
      <c r="D131" s="102" t="n"/>
      <c r="E131" s="823" t="n"/>
      <c r="F131" s="822" t="n"/>
      <c r="G131" s="823" t="n"/>
      <c r="H131" s="1735" t="n">
        <v>11</v>
      </c>
      <c r="I131" s="1736" t="n">
        <v>11</v>
      </c>
      <c r="J131" s="46">
        <f>IF(AND(E131&gt;=H131,E131&lt;=I131),TRUE,FALSE)</f>
        <v/>
      </c>
      <c r="K131" s="46" t="n"/>
      <c r="L131" s="46" t="n"/>
      <c r="M131" s="46" t="n"/>
      <c r="N131" s="1711" t="n"/>
      <c r="O131" s="1735" t="n">
        <v>11</v>
      </c>
      <c r="P131" s="1736" t="n">
        <v>11</v>
      </c>
      <c r="Q131" s="1711">
        <f>IF(AND(E131&gt;=O131,E131&lt;=P131),TRUE,FALSE)</f>
        <v/>
      </c>
      <c r="R131" s="1735" t="n">
        <v>11</v>
      </c>
      <c r="S131" s="1736" t="n">
        <v>11</v>
      </c>
      <c r="T131" s="1711">
        <f>IF(AND(E131&gt;=R131,E131&lt;=S131),TRUE,FALSE)</f>
        <v/>
      </c>
      <c r="U131" s="978" t="n"/>
      <c r="V131" s="1484" t="n"/>
      <c r="W131" s="1503" t="n">
        <v>11</v>
      </c>
      <c r="X131" s="1504" t="n"/>
      <c r="Y131" s="1505" t="n">
        <v>11</v>
      </c>
      <c r="Z131" s="1504" t="n"/>
      <c r="AA131" s="1497" t="n">
        <v>11</v>
      </c>
      <c r="AC131" s="1013" t="n"/>
      <c r="AD131" s="1014" t="n"/>
      <c r="AE131" s="1013" t="n"/>
      <c r="AF131" s="1014" t="n"/>
      <c r="AG131" s="1013" t="n"/>
      <c r="AH131" s="1014" t="n"/>
      <c r="AI131" s="10" t="n"/>
      <c r="AJ131" s="10" t="n"/>
      <c r="AK131" s="10" t="n"/>
    </row>
    <row r="132" ht="26" customHeight="1">
      <c r="A132" s="1602" t="n"/>
      <c r="B132" s="53" t="n"/>
      <c r="C132" s="2066" t="n"/>
      <c r="D132" s="63" t="n"/>
      <c r="E132" s="36" t="n"/>
      <c r="F132" s="36" t="n"/>
      <c r="G132" s="36" t="n"/>
      <c r="H132" s="1735" t="n">
        <v>11</v>
      </c>
      <c r="I132" s="1736" t="n">
        <v>11</v>
      </c>
      <c r="J132" s="46">
        <f>IF(AND(E132&gt;=H132,E132&lt;=I132),TRUE,FALSE)</f>
        <v/>
      </c>
      <c r="K132" s="46" t="n"/>
      <c r="L132" s="46" t="n"/>
      <c r="M132" s="46" t="n"/>
      <c r="N132" s="1711" t="n"/>
      <c r="O132" s="1735" t="n">
        <v>11</v>
      </c>
      <c r="P132" s="1736" t="n">
        <v>11</v>
      </c>
      <c r="Q132" s="1711">
        <f>IF(AND(E132&gt;=O132,E132&lt;=P132),TRUE,FALSE)</f>
        <v/>
      </c>
      <c r="R132" s="1735" t="n">
        <v>11</v>
      </c>
      <c r="S132" s="1736" t="n">
        <v>11</v>
      </c>
      <c r="T132" s="1711">
        <f>IF(AND(E132&gt;=R132,E132&lt;=S132),TRUE,FALSE)</f>
        <v/>
      </c>
      <c r="U132" s="978" t="n"/>
      <c r="V132" s="1487" t="inlineStr">
        <is>
          <t>ou</t>
        </is>
      </c>
      <c r="W132" s="1506" t="n">
        <v>11</v>
      </c>
      <c r="X132" s="1507" t="n"/>
      <c r="Y132" s="1508" t="n">
        <v>11</v>
      </c>
      <c r="Z132" s="1507" t="n"/>
      <c r="AA132" s="1502" t="n">
        <v>11</v>
      </c>
      <c r="AC132" s="1013" t="n"/>
      <c r="AD132" s="1014" t="n"/>
      <c r="AE132" s="1013" t="n"/>
      <c r="AF132" s="1014" t="n"/>
      <c r="AG132" s="1013" t="n"/>
      <c r="AH132" s="1014" t="n"/>
      <c r="AI132" s="10" t="n"/>
      <c r="AJ132" s="10" t="n"/>
      <c r="AK132" s="10" t="n"/>
    </row>
    <row r="133" ht="27" customHeight="1" thickBot="1">
      <c r="A133" s="1602" t="n"/>
      <c r="B133" s="831" t="n"/>
      <c r="C133" s="832" t="n"/>
      <c r="D133" s="833" t="n"/>
      <c r="E133" s="834" t="n"/>
      <c r="F133" s="834" t="n"/>
      <c r="G133" s="834" t="n"/>
      <c r="H133" s="1713" t="n"/>
      <c r="I133" s="835" t="n"/>
      <c r="J133" s="836">
        <f>IF(AND(J131=FALSE,J132=FALSE),FALSE,TRUE)</f>
        <v/>
      </c>
      <c r="K133" s="46" t="n"/>
      <c r="L133" s="46" t="n"/>
      <c r="M133" s="46" t="n"/>
      <c r="N133" s="1711" t="n"/>
      <c r="O133" s="1713" t="n"/>
      <c r="P133" s="835" t="n"/>
      <c r="Q133" s="1726">
        <f>IF(AND(Q131=FALSE,Q132=FALSE),FALSE,TRUE)</f>
        <v/>
      </c>
      <c r="R133" s="1713" t="n"/>
      <c r="S133" s="835" t="n"/>
      <c r="T133" s="1726">
        <f>IF(AND(T131=FALSE,T132=FALSE),FALSE,TRUE)</f>
        <v/>
      </c>
      <c r="U133" s="978" t="n"/>
      <c r="V133" s="978" t="n"/>
      <c r="W133" s="1473" t="n"/>
      <c r="X133" s="2002" t="n"/>
      <c r="Y133" s="1478" t="n"/>
      <c r="Z133" s="2002" t="n"/>
      <c r="AA133" s="1481" t="n"/>
      <c r="AC133" s="1013" t="n"/>
      <c r="AD133" s="1014" t="n"/>
      <c r="AE133" s="1013" t="n"/>
      <c r="AF133" s="1014" t="n"/>
      <c r="AG133" s="1013" t="n"/>
      <c r="AH133" s="1014" t="n"/>
      <c r="AI133" s="10" t="n"/>
      <c r="AJ133" s="10" t="n"/>
      <c r="AK133" s="10" t="n"/>
    </row>
    <row r="134" ht="27" customHeight="1" thickBot="1">
      <c r="A134" s="1602" t="n"/>
      <c r="B134" s="837" t="n"/>
      <c r="C134" s="838" t="n"/>
      <c r="D134" s="838" t="n"/>
      <c r="E134" s="839" t="n"/>
      <c r="F134" s="839" t="n"/>
      <c r="G134" s="839" t="n"/>
      <c r="H134" s="1714" t="n"/>
      <c r="I134" s="840" t="n"/>
      <c r="J134" s="841">
        <f>IF(AND(J130=FALSE,J133=FALSE),FALSE,TRUE)</f>
        <v/>
      </c>
      <c r="K134" s="1698" t="n"/>
      <c r="L134" s="1698" t="n"/>
      <c r="M134" s="1698" t="n"/>
      <c r="N134" s="1715" t="n"/>
      <c r="O134" s="1714" t="n"/>
      <c r="P134" s="840" t="n"/>
      <c r="Q134" s="841">
        <f>IF(AND(Q130=FALSE,Q133=FALSE),FALSE,TRUE)</f>
        <v/>
      </c>
      <c r="R134" s="1714" t="n"/>
      <c r="S134" s="840" t="n"/>
      <c r="T134" s="841">
        <f>IF(AND(T130=FALSE,T133=FALSE),FALSE,TRUE)</f>
        <v/>
      </c>
      <c r="U134" s="978" t="n"/>
      <c r="V134" s="978" t="inlineStr">
        <is>
          <t>et</t>
        </is>
      </c>
      <c r="W134" s="1473" t="n"/>
      <c r="X134" s="2002" t="n"/>
      <c r="Y134" s="1478" t="n"/>
      <c r="Z134" s="2002" t="n"/>
      <c r="AA134" s="1481" t="n"/>
      <c r="AC134" s="1013" t="n"/>
      <c r="AD134" s="1014" t="n"/>
      <c r="AE134" s="1013" t="n"/>
      <c r="AF134" s="1014" t="n"/>
      <c r="AG134" s="1013" t="n"/>
      <c r="AH134" s="1014" t="n"/>
      <c r="AI134" s="10">
        <f>IF(OR(AC134="V",AE134="V"),IF(G133&gt;G130,"Le NC contribue plus que le coparent","Le coparent joue un plus grand rôle que le NC"),"pas de contexte significatif de la part du coparent et NC")</f>
        <v/>
      </c>
      <c r="AJ134" s="10" t="n"/>
      <c r="AK134" s="10" t="n"/>
    </row>
    <row r="135" ht="26" customHeight="1">
      <c r="A135" s="1602" t="n"/>
      <c r="B135" s="316" t="n"/>
      <c r="C135" s="2066" t="n"/>
      <c r="D135" s="102" t="n"/>
      <c r="E135" s="823" t="n"/>
      <c r="F135" s="822" t="n"/>
      <c r="G135" s="823" t="n"/>
      <c r="H135" s="1735" t="n">
        <v>11</v>
      </c>
      <c r="I135" s="1736" t="n">
        <v>11</v>
      </c>
      <c r="J135" s="46">
        <f>IF(AND(E135&gt;=H135,E135&lt;=I135),TRUE,FALSE)</f>
        <v/>
      </c>
      <c r="K135" s="46" t="n"/>
      <c r="L135" s="46" t="n"/>
      <c r="M135" s="46" t="n"/>
      <c r="N135" s="1711" t="n"/>
      <c r="O135" s="1735" t="n">
        <v>11</v>
      </c>
      <c r="P135" s="1736" t="n">
        <v>11</v>
      </c>
      <c r="Q135" s="1711">
        <f>IF(AND(E135&gt;=O135,E135&lt;=P135),TRUE,FALSE)</f>
        <v/>
      </c>
      <c r="R135" s="1710" t="n"/>
      <c r="S135" s="1703" t="n"/>
      <c r="T135" s="1711" t="n"/>
      <c r="U135" s="978" t="n"/>
      <c r="V135" s="1484" t="n"/>
      <c r="W135" s="1503" t="n">
        <v>11</v>
      </c>
      <c r="X135" s="2029" t="n"/>
      <c r="Y135" s="1505" t="n">
        <v>11</v>
      </c>
      <c r="Z135" s="2029" t="n"/>
      <c r="AA135" s="1529" t="n">
        <v>11</v>
      </c>
      <c r="AC135" s="1013" t="n"/>
      <c r="AD135" s="1014" t="n"/>
      <c r="AE135" s="1013" t="n"/>
      <c r="AF135" s="1014" t="n"/>
      <c r="AG135" s="1013" t="n"/>
      <c r="AH135" s="1014" t="n"/>
      <c r="AI135" s="10" t="n"/>
      <c r="AJ135" s="10" t="n"/>
      <c r="AK135" s="10" t="n"/>
    </row>
    <row r="136" ht="27" customHeight="1" thickBot="1">
      <c r="A136" s="1602" t="n"/>
      <c r="B136" s="316" t="n"/>
      <c r="C136" s="2066" t="n"/>
      <c r="D136" s="102" t="n"/>
      <c r="E136" s="823" t="n"/>
      <c r="F136" s="822" t="n"/>
      <c r="G136" s="823" t="n"/>
      <c r="H136" s="1735" t="n">
        <v>11</v>
      </c>
      <c r="I136" s="1736" t="n">
        <v>11</v>
      </c>
      <c r="J136" s="46">
        <f>IF(AND(E136&gt;=H136,E136&lt;=I136),TRUE,FALSE)</f>
        <v/>
      </c>
      <c r="K136" s="46" t="n"/>
      <c r="L136" s="46" t="n"/>
      <c r="M136" s="46" t="n"/>
      <c r="N136" s="1711" t="n"/>
      <c r="O136" s="1735" t="n">
        <v>11</v>
      </c>
      <c r="P136" s="1736" t="n">
        <v>11</v>
      </c>
      <c r="Q136" s="1711">
        <f>IF(AND(E136&gt;=O136,E136&lt;=P136),TRUE,FALSE)</f>
        <v/>
      </c>
      <c r="R136" s="1735" t="n"/>
      <c r="S136" s="1736" t="n"/>
      <c r="T136" s="1711" t="n"/>
      <c r="U136" s="978" t="n"/>
      <c r="V136" s="1487" t="inlineStr">
        <is>
          <t>ou</t>
        </is>
      </c>
      <c r="W136" s="1506" t="n">
        <v>11</v>
      </c>
      <c r="X136" s="1507" t="n"/>
      <c r="Y136" s="1508" t="n">
        <v>11</v>
      </c>
      <c r="Z136" s="1507" t="n"/>
      <c r="AA136" s="1502" t="n">
        <v>11</v>
      </c>
      <c r="AC136" s="1013" t="n"/>
      <c r="AD136" s="1014" t="n"/>
      <c r="AE136" s="1013" t="n"/>
      <c r="AF136" s="1014" t="n"/>
      <c r="AG136" s="1013" t="n"/>
      <c r="AH136" s="1014" t="n"/>
      <c r="AI136" s="10" t="n"/>
      <c r="AJ136" s="10" t="n"/>
      <c r="AK136" s="10" t="n"/>
    </row>
    <row r="137" ht="27" customHeight="1" thickBot="1">
      <c r="A137" s="1602" t="n"/>
      <c r="B137" s="842" t="n"/>
      <c r="C137" s="843" t="n"/>
      <c r="D137" s="843" t="n"/>
      <c r="E137" s="844" t="n"/>
      <c r="F137" s="844" t="n"/>
      <c r="G137" s="844" t="n"/>
      <c r="H137" s="1716" t="n"/>
      <c r="I137" s="845" t="n"/>
      <c r="J137" s="846">
        <f>IF(AND(J135=FALSE,J136=FALSE),FALSE,TRUE)</f>
        <v/>
      </c>
      <c r="K137" s="1699" t="n"/>
      <c r="L137" s="1699" t="n"/>
      <c r="M137" s="1699" t="n"/>
      <c r="N137" s="1717" t="n"/>
      <c r="O137" s="1716" t="n"/>
      <c r="P137" s="845" t="n"/>
      <c r="Q137" s="846">
        <f>IF(AND(Q135=FALSE,Q136=FALSE),FALSE,TRUE)</f>
        <v/>
      </c>
      <c r="R137" s="1716" t="n"/>
      <c r="S137" s="845" t="n"/>
      <c r="T137" s="846" t="n"/>
      <c r="U137" s="978" t="n"/>
      <c r="V137" s="978" t="n"/>
      <c r="W137" s="1475" t="n"/>
      <c r="Y137" s="1479" t="n"/>
      <c r="AA137" s="1483" t="n"/>
      <c r="AC137" s="1013" t="n"/>
      <c r="AD137" s="1014" t="n"/>
      <c r="AE137" s="1013" t="n"/>
      <c r="AF137" s="1014" t="n"/>
      <c r="AG137" s="1013" t="n"/>
      <c r="AH137" s="1014" t="n"/>
      <c r="AI137" s="10" t="n"/>
      <c r="AJ137" s="10" t="n"/>
      <c r="AK137" s="10" t="n"/>
    </row>
    <row r="138" ht="26" customHeight="1">
      <c r="A138" s="1602" t="n"/>
      <c r="C138" s="428" t="inlineStr">
        <is>
          <t>COMPARATIF Comportement PFA-Enf</t>
        </is>
      </c>
      <c r="D138" s="2058" t="n"/>
      <c r="E138" s="484" t="inlineStr">
        <is>
          <t>Valeur =&gt;</t>
        </is>
      </c>
      <c r="F138" s="48" t="n"/>
      <c r="G138" s="48">
        <f>G130+G133+G137</f>
        <v/>
      </c>
      <c r="H138" s="1718" t="n"/>
      <c r="I138" s="485" t="n"/>
      <c r="J138" s="1701" t="n"/>
      <c r="K138" s="1702" t="n"/>
      <c r="L138" s="1702" t="n"/>
      <c r="M138" s="1702" t="n"/>
      <c r="N138" s="1719" t="n"/>
      <c r="O138" s="1718" t="n"/>
      <c r="P138" s="485" t="n"/>
      <c r="Q138" s="1727" t="n"/>
      <c r="R138" s="1718" t="n"/>
      <c r="S138" s="485" t="n"/>
      <c r="T138" s="1727" t="n"/>
      <c r="U138" s="1754" t="n"/>
      <c r="V138" s="980" t="n"/>
      <c r="W138" s="1475" t="n"/>
      <c r="Y138" s="1479" t="n"/>
      <c r="AA138" s="1483" t="n"/>
      <c r="AC138" s="1015" t="n"/>
      <c r="AD138" s="1016" t="n"/>
      <c r="AE138" s="1015" t="n"/>
      <c r="AF138" s="1016" t="n"/>
      <c r="AG138" s="1015" t="n"/>
      <c r="AH138" s="1016" t="n"/>
      <c r="AI138" s="10" t="n"/>
      <c r="AJ138" s="10" t="n"/>
      <c r="AK138" s="10" t="n"/>
    </row>
    <row r="139" ht="26" customHeight="1">
      <c r="A139" s="1602" t="n"/>
      <c r="B139" t="inlineStr">
        <is>
          <t>PCR</t>
        </is>
      </c>
      <c r="H139" s="147" t="n"/>
      <c r="K139" s="1992" t="n"/>
      <c r="L139" s="1992" t="n"/>
      <c r="M139" s="1992" t="n"/>
      <c r="N139" s="1740" t="n"/>
      <c r="O139" s="147" t="n"/>
      <c r="Q139" s="330" t="n"/>
      <c r="R139" s="147" t="n"/>
      <c r="T139" s="330" t="n"/>
      <c r="W139" s="1475" t="n"/>
      <c r="Y139" s="1479" t="n"/>
      <c r="AA139" s="1483" t="n"/>
      <c r="AC139" s="1013" t="n"/>
      <c r="AD139" s="1014" t="n"/>
      <c r="AE139" s="1013" t="n"/>
      <c r="AF139" s="1014" t="n"/>
      <c r="AG139" s="1013" t="n"/>
      <c r="AH139" s="1014" t="n"/>
      <c r="AI139" s="10" t="n"/>
      <c r="AJ139" s="10" t="n"/>
      <c r="AK139" s="10" t="n"/>
    </row>
    <row r="140" ht="26" customHeight="1">
      <c r="A140" s="1602" t="n"/>
      <c r="B140" s="1017" t="n"/>
      <c r="C140" s="1018" t="n"/>
      <c r="D140" s="1018" t="n"/>
      <c r="E140" s="1026" t="n"/>
      <c r="F140" s="1026" t="n"/>
      <c r="G140" s="1026" t="n"/>
      <c r="H140" s="1735" t="n">
        <v>11</v>
      </c>
      <c r="I140" s="1736" t="n">
        <v>11</v>
      </c>
      <c r="J140" s="46">
        <f>IF(AND(E140&gt;=H140,E140&lt;=I140),TRUE,FALSE)</f>
        <v/>
      </c>
      <c r="K140" s="33" t="n"/>
      <c r="L140" s="33" t="n"/>
      <c r="M140" s="33" t="n"/>
      <c r="N140" s="1720" t="n"/>
      <c r="O140" s="1735" t="n">
        <v>11</v>
      </c>
      <c r="P140" s="1736" t="n">
        <v>11</v>
      </c>
      <c r="Q140" s="1711">
        <f>IF(AND(E140&gt;=O140,E140&lt;=P140),TRUE,FALSE)</f>
        <v/>
      </c>
      <c r="R140" s="1735" t="n">
        <v>11</v>
      </c>
      <c r="S140" s="1736" t="n">
        <v>11</v>
      </c>
      <c r="T140" s="1711">
        <f>IF(AND(E140&gt;=R140,E140&lt;=S140),TRUE,FALSE)</f>
        <v/>
      </c>
      <c r="U140" s="978" t="n"/>
      <c r="V140" s="1509" t="n"/>
      <c r="W140" s="1503" t="n">
        <v>11</v>
      </c>
      <c r="X140" s="2029" t="n"/>
      <c r="Y140" s="1505" t="n">
        <v>11</v>
      </c>
      <c r="Z140" s="2029" t="n"/>
      <c r="AA140" s="1529" t="n">
        <v>11</v>
      </c>
      <c r="AC140" s="1013" t="n"/>
      <c r="AD140" s="1014" t="n"/>
      <c r="AE140" s="1013" t="n"/>
      <c r="AF140" s="1014" t="n"/>
      <c r="AG140" s="1013" t="n"/>
      <c r="AH140" s="1014" t="n"/>
      <c r="AI140" s="10" t="n"/>
      <c r="AJ140" s="10" t="n"/>
      <c r="AK140" s="10" t="n"/>
    </row>
    <row r="141" ht="27" customHeight="1" thickBot="1">
      <c r="A141" s="1602" t="n"/>
      <c r="B141" s="1017" t="n"/>
      <c r="C141" s="1025" t="n"/>
      <c r="D141" s="1018" t="n"/>
      <c r="E141" s="1026" t="n"/>
      <c r="F141" s="1026" t="n"/>
      <c r="G141" s="1026" t="n"/>
      <c r="H141" s="1735" t="n">
        <v>11</v>
      </c>
      <c r="I141" s="1736" t="n">
        <v>11</v>
      </c>
      <c r="J141" s="46">
        <f>IF(AND(E141&gt;=H141,E141&lt;=I141),TRUE,FALSE)</f>
        <v/>
      </c>
      <c r="K141" s="33" t="n"/>
      <c r="L141" s="33" t="n"/>
      <c r="M141" s="33" t="n"/>
      <c r="N141" s="1720" t="n"/>
      <c r="O141" s="1735" t="n">
        <v>11</v>
      </c>
      <c r="P141" s="1736" t="n">
        <v>11</v>
      </c>
      <c r="Q141" s="1711">
        <f>IF(AND(E141&gt;=O141,E141&lt;=P141),TRUE,FALSE)</f>
        <v/>
      </c>
      <c r="R141" s="1735" t="n">
        <v>11</v>
      </c>
      <c r="S141" s="1736" t="n">
        <v>11</v>
      </c>
      <c r="T141" s="1711">
        <f>IF(AND(E141&gt;=R141,E141&lt;=S141),TRUE,FALSE)</f>
        <v/>
      </c>
      <c r="U141" s="978" t="n"/>
      <c r="V141" s="1510" t="n"/>
      <c r="W141" s="1506" t="n">
        <v>11</v>
      </c>
      <c r="X141" s="1507" t="n"/>
      <c r="Y141" s="1508" t="n">
        <v>11</v>
      </c>
      <c r="Z141" s="1507" t="n"/>
      <c r="AA141" s="1502" t="n">
        <v>11</v>
      </c>
      <c r="AC141" s="1013" t="n"/>
      <c r="AD141" s="1014" t="n"/>
      <c r="AE141" s="1013" t="n"/>
      <c r="AF141" s="1014" t="n"/>
      <c r="AG141" s="1013" t="n"/>
      <c r="AH141" s="1014" t="n"/>
      <c r="AI141" s="10" t="n"/>
      <c r="AJ141" s="10" t="n"/>
      <c r="AK141" s="10" t="n"/>
    </row>
    <row r="142" ht="27" customHeight="1" thickBot="1">
      <c r="A142" s="1602" t="n"/>
      <c r="B142" s="7" t="n"/>
      <c r="C142" s="2059" t="n"/>
      <c r="D142" s="2059" t="n"/>
      <c r="E142" s="90" t="n"/>
      <c r="F142" s="2073" t="n"/>
      <c r="G142" s="90" t="n"/>
      <c r="H142" s="1732" t="n"/>
      <c r="I142" s="1733" t="n"/>
      <c r="J142" s="1739">
        <f>IF(AND(J140=FALSE,J141=FALSE),FALSE,TRUE)</f>
        <v/>
      </c>
      <c r="K142" s="1721" t="n"/>
      <c r="L142" s="1722" t="n"/>
      <c r="M142" s="1722" t="n"/>
      <c r="N142" s="1723" t="n"/>
      <c r="O142" s="1732" t="n"/>
      <c r="P142" s="1733" t="n"/>
      <c r="Q142" s="1739">
        <f>IF(AND(Q140=FALSE,Q141=FALSE),FALSE,TRUE)</f>
        <v/>
      </c>
      <c r="R142" s="1744" t="n"/>
      <c r="S142" s="1745" t="n"/>
      <c r="T142" s="1746">
        <f>IF(AND(T140=FALSE,T141=FALSE),FALSE,TRUE)</f>
        <v/>
      </c>
      <c r="U142" s="978" t="n"/>
      <c r="AC142" s="1650" t="n"/>
      <c r="AD142" s="1651" t="n"/>
      <c r="AE142" s="1650" t="n"/>
      <c r="AF142" s="1651" t="n"/>
      <c r="AG142" s="1650" t="n"/>
      <c r="AH142" s="1651" t="n"/>
      <c r="AI142" s="10" t="n"/>
      <c r="AJ142" s="10" t="n"/>
      <c r="AK142" s="10" t="n"/>
    </row>
    <row r="143" ht="26" customHeight="1">
      <c r="A143" s="686" t="n"/>
      <c r="C143" s="2073" t="n"/>
      <c r="D143" s="2073" t="n"/>
      <c r="E143" s="90" t="n"/>
      <c r="F143" s="483" t="n"/>
      <c r="G143" s="483" t="n"/>
      <c r="H143" s="2002" t="n"/>
      <c r="I143" s="2002" t="n"/>
      <c r="J143" s="979" t="n"/>
      <c r="K143" s="979" t="n"/>
      <c r="L143" s="979" t="n"/>
      <c r="M143" s="979" t="n"/>
      <c r="N143" s="979" t="n"/>
      <c r="O143" s="979" t="n"/>
      <c r="P143" s="979" t="n"/>
      <c r="Q143" s="979" t="n"/>
      <c r="R143" s="979" t="n"/>
      <c r="S143" s="979" t="n"/>
      <c r="T143" s="979" t="n"/>
      <c r="U143" s="979" t="n"/>
      <c r="V143" s="980" t="n"/>
      <c r="AC143" s="1737" t="n"/>
      <c r="AD143" s="1738" t="n"/>
      <c r="AE143" s="1737" t="n"/>
      <c r="AF143" s="1738" t="n"/>
      <c r="AG143" s="1737" t="n"/>
      <c r="AH143" s="1738" t="n"/>
      <c r="AI143" s="10" t="n"/>
      <c r="AJ143" s="10" t="n"/>
      <c r="AK143" s="10" t="n"/>
    </row>
    <row r="144" ht="26" customHeight="1">
      <c r="A144" s="686" t="n"/>
      <c r="C144" s="2073" t="n"/>
      <c r="D144" s="2073" t="n"/>
      <c r="E144" s="90" t="n"/>
      <c r="F144" s="483" t="n"/>
      <c r="G144" s="483" t="n"/>
      <c r="H144" s="2002" t="n"/>
      <c r="I144" s="2002" t="n"/>
      <c r="J144" s="979" t="n"/>
      <c r="K144" s="979" t="n"/>
      <c r="L144" s="979" t="n"/>
      <c r="M144" s="979" t="n"/>
      <c r="N144" s="979" t="n"/>
      <c r="O144" s="979" t="n"/>
      <c r="P144" s="979" t="n"/>
      <c r="Q144" s="979" t="n"/>
      <c r="R144" s="979" t="n"/>
      <c r="S144" s="979" t="n"/>
      <c r="T144" s="979" t="n"/>
      <c r="U144" s="979" t="n"/>
      <c r="AC144" s="1756" t="inlineStr">
        <is>
          <t>Indice boosté</t>
        </is>
      </c>
      <c r="AD144" s="1757">
        <f>IF(AF143=1,AD143*(1+$AH$28),AD143)</f>
        <v/>
      </c>
      <c r="AI144" s="10" t="n"/>
      <c r="AJ144" s="10" t="n"/>
      <c r="AK144" s="10" t="n"/>
    </row>
    <row r="145" ht="26" customHeight="1">
      <c r="A145" s="1601" t="n">
        <v>8</v>
      </c>
      <c r="C145" s="486">
        <f>'CPTS indépendants'!F21</f>
        <v/>
      </c>
      <c r="D145" s="108" t="n"/>
      <c r="E145" s="66" t="n"/>
      <c r="F145" s="18" t="n"/>
      <c r="G145" s="18" t="n"/>
      <c r="H145" s="2052" t="inlineStr">
        <is>
          <t>AP</t>
        </is>
      </c>
      <c r="K145" s="2055" t="inlineStr">
        <is>
          <t>Dynamique d'AP</t>
        </is>
      </c>
      <c r="N145" s="330" t="n"/>
      <c r="O145" s="2122" t="inlineStr">
        <is>
          <t>CL</t>
        </is>
      </c>
      <c r="Q145" s="330" t="n"/>
      <c r="R145" s="2123" t="inlineStr">
        <is>
          <t>CSS</t>
        </is>
      </c>
      <c r="T145" s="330" t="n"/>
      <c r="U145" s="15" t="n"/>
      <c r="X145" s="9" t="n"/>
      <c r="AC145" s="1009" t="n"/>
      <c r="AD145" s="1009" t="n"/>
      <c r="AE145" s="1009" t="n"/>
      <c r="AF145" s="1009" t="n"/>
      <c r="AG145" s="1009" t="n"/>
      <c r="AH145" s="1010" t="n"/>
      <c r="AI145" s="10" t="n"/>
      <c r="AJ145" s="10" t="n"/>
      <c r="AK145" s="10" t="n"/>
    </row>
    <row r="146" ht="68" customHeight="1">
      <c r="A146" s="1602" t="n"/>
      <c r="C146" s="103" t="inlineStr">
        <is>
          <t>Questions et sous-questions</t>
        </is>
      </c>
      <c r="D146" s="1043" t="n"/>
      <c r="E146" s="33" t="inlineStr">
        <is>
          <t>Valeur de base
Fréquence (F)</t>
        </is>
      </c>
      <c r="F146" s="33" t="inlineStr">
        <is>
          <t>Valeur de base
intensité (I)</t>
        </is>
      </c>
      <c r="G146" s="33" t="inlineStr">
        <is>
          <t>F * I</t>
        </is>
      </c>
      <c r="H146" s="1708" t="inlineStr">
        <is>
          <t>Condition Fréq. 
&gt;= que</t>
        </is>
      </c>
      <c r="I146" s="44" t="inlineStr">
        <is>
          <t>Condition Fré
&lt;= que</t>
        </is>
      </c>
      <c r="J146" s="44" t="inlineStr">
        <is>
          <t>Condition respectée</t>
        </is>
      </c>
      <c r="K146" s="44" t="n"/>
      <c r="L146" s="44" t="n"/>
      <c r="M146" s="44" t="n"/>
      <c r="N146" s="1709" t="n"/>
      <c r="O146" s="1708" t="inlineStr">
        <is>
          <t>Condition Fréq. 
&gt;= que</t>
        </is>
      </c>
      <c r="P146" s="44" t="inlineStr">
        <is>
          <t>Condition Fré
&lt;= que</t>
        </is>
      </c>
      <c r="Q146" s="1709" t="inlineStr">
        <is>
          <t>Condition respectée</t>
        </is>
      </c>
      <c r="R146" s="1708" t="inlineStr">
        <is>
          <t>Condition Fréq. 
&gt;= que</t>
        </is>
      </c>
      <c r="S146" s="44" t="inlineStr">
        <is>
          <t>Condition Fré
&lt;= que</t>
        </is>
      </c>
      <c r="T146" s="1709" t="inlineStr">
        <is>
          <t>Condition respectée</t>
        </is>
      </c>
      <c r="U146" s="851" t="n"/>
      <c r="V146" s="1008" t="inlineStr">
        <is>
          <t>Condition</t>
        </is>
      </c>
      <c r="W146" s="1472" t="inlineStr">
        <is>
          <t>AP</t>
        </is>
      </c>
      <c r="X146" s="1008" t="inlineStr">
        <is>
          <t>Condition</t>
        </is>
      </c>
      <c r="Y146" s="1476" t="inlineStr">
        <is>
          <t>CL</t>
        </is>
      </c>
      <c r="Z146" s="1008" t="inlineStr">
        <is>
          <t>Condition</t>
        </is>
      </c>
      <c r="AA146" s="1480" t="inlineStr">
        <is>
          <t>CSS</t>
        </is>
      </c>
      <c r="AC146" s="1023" t="n"/>
      <c r="AD146" s="1024" t="n"/>
      <c r="AE146" s="1023" t="n"/>
      <c r="AF146" s="1024" t="n"/>
      <c r="AG146" s="1023" t="n"/>
      <c r="AH146" s="1024" t="n"/>
      <c r="AI146" s="10" t="n"/>
      <c r="AJ146" s="10" t="n"/>
      <c r="AK146" s="10" t="n"/>
    </row>
    <row r="147" ht="26" customHeight="1">
      <c r="A147" s="1604" t="n"/>
      <c r="B147" s="421" t="n"/>
      <c r="C147" s="2066" t="n"/>
      <c r="D147" s="102" t="n"/>
      <c r="E147" s="823" t="n"/>
      <c r="F147" s="822" t="n"/>
      <c r="G147" s="823" t="n"/>
      <c r="H147" s="1735" t="n">
        <v>11</v>
      </c>
      <c r="I147" s="1736" t="n">
        <v>11</v>
      </c>
      <c r="J147" s="46">
        <f>IF(AND(E147&gt;=H147,E147&lt;=I147),TRUE,FALSE)</f>
        <v/>
      </c>
      <c r="K147" s="46" t="n"/>
      <c r="L147" s="46" t="n"/>
      <c r="M147" s="46" t="n"/>
      <c r="N147" s="1711" t="n"/>
      <c r="O147" s="1735" t="n">
        <v>11</v>
      </c>
      <c r="P147" s="1736" t="n">
        <v>11</v>
      </c>
      <c r="Q147" s="1711">
        <f>IF(AND(E147&gt;=O147,E147&lt;=P147),TRUE,FALSE)</f>
        <v/>
      </c>
      <c r="R147" s="1735" t="n">
        <v>11</v>
      </c>
      <c r="S147" s="1736" t="n">
        <v>11</v>
      </c>
      <c r="T147" s="1711">
        <f>IF(AND(E147&gt;=R147,E147&lt;=S147),TRUE,FALSE)</f>
        <v/>
      </c>
      <c r="U147" s="978" t="n"/>
      <c r="V147" s="1484" t="n"/>
      <c r="W147" s="1503" t="n">
        <v>11</v>
      </c>
      <c r="X147" s="2029" t="n"/>
      <c r="Y147" s="1505" t="n">
        <v>11</v>
      </c>
      <c r="Z147" s="2029" t="n"/>
      <c r="AA147" s="1529" t="n">
        <v>11</v>
      </c>
      <c r="AC147" s="1011" t="n"/>
      <c r="AD147" s="1012" t="n"/>
      <c r="AE147" s="1011" t="n"/>
      <c r="AF147" s="1012" t="n"/>
      <c r="AG147" s="1011" t="n"/>
      <c r="AH147" s="1012" t="n"/>
      <c r="AI147" s="10" t="n"/>
      <c r="AJ147" s="10" t="n"/>
      <c r="AK147" s="10" t="n"/>
    </row>
    <row r="148" ht="26" customHeight="1">
      <c r="A148" s="1604" t="n"/>
      <c r="B148" s="421" t="n"/>
      <c r="C148" s="2066" t="n"/>
      <c r="D148" s="102" t="n"/>
      <c r="E148" s="823" t="n"/>
      <c r="F148" s="822" t="n"/>
      <c r="G148" s="823" t="n"/>
      <c r="H148" s="1735" t="n">
        <v>11</v>
      </c>
      <c r="I148" s="1736" t="n">
        <v>11</v>
      </c>
      <c r="J148" s="46">
        <f>IF(AND(E148&gt;=H148,E148&lt;=I148),TRUE,FALSE)</f>
        <v/>
      </c>
      <c r="K148" s="46" t="n"/>
      <c r="L148" s="46" t="n"/>
      <c r="M148" s="46" t="n"/>
      <c r="N148" s="1711" t="n"/>
      <c r="O148" s="1735" t="n">
        <v>11</v>
      </c>
      <c r="P148" s="1736" t="n">
        <v>11</v>
      </c>
      <c r="Q148" s="1711">
        <f>IF(AND(E148&gt;=O148,E148&lt;=P148),TRUE,FALSE)</f>
        <v/>
      </c>
      <c r="R148" s="1735" t="n">
        <v>11</v>
      </c>
      <c r="S148" s="1736" t="n">
        <v>11</v>
      </c>
      <c r="T148" s="1711">
        <f>IF(AND(E148&gt;=R148,E148&lt;=S148),TRUE,FALSE)</f>
        <v/>
      </c>
      <c r="U148" s="978" t="n"/>
      <c r="V148" s="1487" t="inlineStr">
        <is>
          <t>ou</t>
        </is>
      </c>
      <c r="W148" s="1506" t="n">
        <v>11</v>
      </c>
      <c r="X148" s="1507" t="n"/>
      <c r="Y148" s="1508" t="n">
        <v>11</v>
      </c>
      <c r="Z148" s="1507" t="n"/>
      <c r="AA148" s="1502" t="n">
        <v>11</v>
      </c>
      <c r="AC148" s="1013" t="n"/>
      <c r="AD148" s="1014" t="n"/>
      <c r="AE148" s="1013" t="n"/>
      <c r="AF148" s="1014" t="n"/>
      <c r="AG148" s="1013" t="n"/>
      <c r="AH148" s="1014" t="n"/>
      <c r="AI148" s="10" t="n"/>
      <c r="AJ148" s="10" t="n"/>
      <c r="AK148" s="10" t="n"/>
    </row>
    <row r="149" ht="26" customHeight="1">
      <c r="A149" s="1604" t="n"/>
      <c r="B149" s="825" t="n"/>
      <c r="C149" s="826" t="n"/>
      <c r="D149" s="827" t="n"/>
      <c r="E149" s="828" t="n"/>
      <c r="F149" s="828" t="n"/>
      <c r="G149" s="828" t="n"/>
      <c r="H149" s="1712" t="n"/>
      <c r="I149" s="829" t="n"/>
      <c r="J149" s="830">
        <f>IF(AND(J147=FALSE,J148=FALSE),FALSE,TRUE)</f>
        <v/>
      </c>
      <c r="K149" s="46" t="n"/>
      <c r="L149" s="46" t="n"/>
      <c r="M149" s="46" t="n"/>
      <c r="N149" s="1711" t="n"/>
      <c r="O149" s="1712" t="n"/>
      <c r="P149" s="829" t="n"/>
      <c r="Q149" s="1725">
        <f>IF(AND(Q147=FALSE,Q148=FALSE),FALSE,TRUE)</f>
        <v/>
      </c>
      <c r="R149" s="1712" t="n"/>
      <c r="S149" s="829" t="n"/>
      <c r="T149" s="1725">
        <f>IF(AND(T147=FALSE,T148=FALSE),FALSE,TRUE)</f>
        <v/>
      </c>
      <c r="U149" s="978" t="n"/>
      <c r="V149" s="978" t="inlineStr">
        <is>
          <t>ou</t>
        </is>
      </c>
      <c r="W149" s="1473" t="n"/>
      <c r="X149" s="2002" t="n"/>
      <c r="Y149" s="1478" t="n"/>
      <c r="Z149" s="2002" t="n"/>
      <c r="AA149" s="1481" t="n"/>
      <c r="AC149" s="1013" t="n"/>
      <c r="AD149" s="1014" t="n"/>
      <c r="AE149" s="1013" t="n"/>
      <c r="AF149" s="1014" t="n"/>
      <c r="AG149" s="1013" t="n"/>
      <c r="AH149" s="1014" t="n"/>
      <c r="AI149" s="10" t="n"/>
      <c r="AJ149" s="10" t="n"/>
      <c r="AK149" s="10" t="n"/>
    </row>
    <row r="150" ht="51" customHeight="1">
      <c r="A150" s="1608" t="n"/>
      <c r="B150" s="53">
        <f>'CPTS indépendants'!K21</f>
        <v/>
      </c>
      <c r="C150" s="2066">
        <f>Test_Bible!B389</f>
        <v/>
      </c>
      <c r="D150" s="102" t="n"/>
      <c r="E150" s="823">
        <f>Test_Bible!P389</f>
        <v/>
      </c>
      <c r="F150" s="822">
        <f>Test_Bible!D389</f>
        <v/>
      </c>
      <c r="G150" s="823">
        <f>E150*F150</f>
        <v/>
      </c>
      <c r="H150" s="1710" t="n">
        <v>4</v>
      </c>
      <c r="I150" s="1703" t="n">
        <v>10</v>
      </c>
      <c r="J150" s="46">
        <f>IF(AND(E150&gt;=H150,E150&lt;=I150),TRUE,FALSE)</f>
        <v/>
      </c>
      <c r="K150" s="46" t="n"/>
      <c r="L150" s="46" t="n"/>
      <c r="M150" s="46" t="n"/>
      <c r="N150" s="1711" t="n"/>
      <c r="O150" s="1710" t="n">
        <v>4</v>
      </c>
      <c r="P150" s="1703" t="n">
        <v>7</v>
      </c>
      <c r="Q150" s="1711">
        <f>IF(AND(E150&gt;=O150,E150&lt;=P150),TRUE,FALSE)</f>
        <v/>
      </c>
      <c r="R150" s="1735" t="n">
        <v>11</v>
      </c>
      <c r="S150" s="1736" t="n">
        <v>11</v>
      </c>
      <c r="T150" s="1711">
        <f>IF(AND(E150&gt;=R150,E150&lt;=S150),TRUE,FALSE)</f>
        <v/>
      </c>
      <c r="U150" s="978" t="n"/>
      <c r="V150" s="1484" t="n"/>
      <c r="W150" s="1485" t="n">
        <v>4</v>
      </c>
      <c r="X150" s="2029" t="n"/>
      <c r="Y150" s="1489" t="n">
        <v>4</v>
      </c>
      <c r="Z150" s="2029" t="n"/>
      <c r="AA150" s="1497" t="n">
        <v>11</v>
      </c>
      <c r="AC150" s="1013" t="n"/>
      <c r="AD150" s="1014" t="n"/>
      <c r="AE150" s="1013" t="n"/>
      <c r="AF150" s="1014" t="n"/>
      <c r="AG150" s="1013" t="n"/>
      <c r="AH150" s="1014" t="n"/>
      <c r="AI150" s="10" t="n"/>
      <c r="AJ150" s="10" t="n"/>
      <c r="AK150" s="10" t="n"/>
    </row>
    <row r="151" ht="34" customHeight="1">
      <c r="A151" s="1609" t="n"/>
      <c r="B151" s="53">
        <f>'CPTS indépendants'!K22</f>
        <v/>
      </c>
      <c r="C151" s="2066">
        <f>Test_Bible!B390</f>
        <v/>
      </c>
      <c r="D151" s="63" t="n"/>
      <c r="E151" s="823">
        <f>Test_Bible!P390</f>
        <v/>
      </c>
      <c r="F151" s="822">
        <f>Test_Bible!D390</f>
        <v/>
      </c>
      <c r="G151" s="823">
        <f>E151*F151</f>
        <v/>
      </c>
      <c r="H151" s="1710" t="n">
        <v>4</v>
      </c>
      <c r="I151" s="1703" t="n">
        <v>10</v>
      </c>
      <c r="J151" s="46">
        <f>IF(AND(E151&gt;=H151,E151&lt;=I151),TRUE,FALSE)</f>
        <v/>
      </c>
      <c r="K151" s="46" t="n"/>
      <c r="L151" s="46" t="n"/>
      <c r="M151" s="46" t="n"/>
      <c r="N151" s="1711" t="n"/>
      <c r="O151" s="1710" t="n">
        <v>4</v>
      </c>
      <c r="P151" s="1703" t="n">
        <v>7</v>
      </c>
      <c r="Q151" s="1711">
        <f>IF(AND(E151&gt;=O151,E151&lt;=P151),TRUE,FALSE)</f>
        <v/>
      </c>
      <c r="R151" s="1735" t="n">
        <v>11</v>
      </c>
      <c r="S151" s="1736" t="n">
        <v>11</v>
      </c>
      <c r="T151" s="1711">
        <f>IF(AND(E151&gt;=R151,E151&lt;=S151),TRUE,FALSE)</f>
        <v/>
      </c>
      <c r="U151" s="978" t="n"/>
      <c r="V151" s="1487" t="inlineStr">
        <is>
          <t>ou</t>
        </is>
      </c>
      <c r="W151" s="1492" t="n">
        <v>4</v>
      </c>
      <c r="X151" s="1493" t="n"/>
      <c r="Y151" s="1494" t="n">
        <v>4</v>
      </c>
      <c r="Z151" s="1507" t="n"/>
      <c r="AA151" s="1502" t="n">
        <v>11</v>
      </c>
      <c r="AC151" s="1013" t="n"/>
      <c r="AD151" s="1014" t="n"/>
      <c r="AE151" s="1013" t="n"/>
      <c r="AF151" s="1014" t="n"/>
      <c r="AG151" s="1013" t="n"/>
      <c r="AH151" s="1014" t="n"/>
      <c r="AI151" s="10" t="n"/>
      <c r="AJ151" s="10" t="n"/>
      <c r="AK151" s="10" t="n"/>
    </row>
    <row r="152" ht="27" customHeight="1" thickBot="1">
      <c r="A152" s="1604" t="n"/>
      <c r="B152" s="831" t="n"/>
      <c r="C152" s="832" t="n"/>
      <c r="D152" s="833" t="n"/>
      <c r="E152" s="834" t="n"/>
      <c r="F152" s="834" t="n"/>
      <c r="G152" s="834" t="n"/>
      <c r="H152" s="1713" t="n"/>
      <c r="I152" s="835" t="n"/>
      <c r="J152" s="836">
        <f>IF(AND(J150=FALSE,J151=FALSE),FALSE,TRUE)</f>
        <v/>
      </c>
      <c r="K152" s="46" t="n"/>
      <c r="L152" s="46" t="n"/>
      <c r="M152" s="46" t="n"/>
      <c r="N152" s="1711" t="n"/>
      <c r="O152" s="1713" t="n"/>
      <c r="P152" s="835" t="n"/>
      <c r="Q152" s="1726">
        <f>IF(AND(Q150=FALSE,Q151=FALSE),FALSE,TRUE)</f>
        <v/>
      </c>
      <c r="R152" s="1713" t="n"/>
      <c r="S152" s="835" t="n"/>
      <c r="T152" s="1726">
        <f>IF(AND(T150=FALSE,T151=FALSE),FALSE,TRUE)</f>
        <v/>
      </c>
      <c r="U152" s="978" t="n"/>
      <c r="V152" s="978" t="n"/>
      <c r="W152" s="1473" t="n"/>
      <c r="X152" s="2002" t="n"/>
      <c r="Y152" s="1478" t="n"/>
      <c r="Z152" s="2002" t="n"/>
      <c r="AA152" s="1481" t="n"/>
      <c r="AC152" s="1013" t="n"/>
      <c r="AD152" s="1014" t="n"/>
      <c r="AE152" s="1013" t="n"/>
      <c r="AF152" s="1014" t="n"/>
      <c r="AG152" s="1013" t="n"/>
      <c r="AH152" s="1014" t="n"/>
      <c r="AI152" s="10" t="n"/>
      <c r="AJ152" s="10" t="n"/>
      <c r="AK152" s="10" t="n"/>
    </row>
    <row r="153" ht="27" customHeight="1" thickBot="1">
      <c r="A153" s="1602" t="n"/>
      <c r="B153" s="837" t="n"/>
      <c r="C153" s="838" t="n"/>
      <c r="D153" s="838" t="n"/>
      <c r="E153" s="839" t="n"/>
      <c r="F153" s="839" t="n"/>
      <c r="G153" s="839" t="n"/>
      <c r="H153" s="1714" t="n"/>
      <c r="I153" s="840" t="n"/>
      <c r="J153" s="841">
        <f>IF(AND(J149=FALSE,J152=FALSE),FALSE,TRUE)</f>
        <v/>
      </c>
      <c r="K153" s="1698" t="n"/>
      <c r="L153" s="1698" t="n"/>
      <c r="M153" s="1698" t="n"/>
      <c r="N153" s="1715" t="n"/>
      <c r="O153" s="1714" t="n"/>
      <c r="P153" s="840" t="n"/>
      <c r="Q153" s="841">
        <f>IF(AND(Q149=FALSE,Q152=FALSE),FALSE,TRUE)</f>
        <v/>
      </c>
      <c r="R153" s="1714" t="n"/>
      <c r="S153" s="840" t="n"/>
      <c r="T153" s="841">
        <f>IF(AND(T149=FALSE,T152=FALSE),FALSE,TRUE)</f>
        <v/>
      </c>
      <c r="U153" s="978" t="n"/>
      <c r="V153" s="978" t="inlineStr">
        <is>
          <t>et</t>
        </is>
      </c>
      <c r="W153" s="1473" t="n"/>
      <c r="X153" s="2002" t="n"/>
      <c r="Y153" s="1478" t="n"/>
      <c r="Z153" s="2002" t="n"/>
      <c r="AA153" s="1481" t="n"/>
      <c r="AC153" s="1013" t="n"/>
      <c r="AD153" s="1014" t="n"/>
      <c r="AE153" s="1013" t="n"/>
      <c r="AF153" s="1014" t="n"/>
      <c r="AG153" s="1013" t="n"/>
      <c r="AH153" s="1014" t="n"/>
      <c r="AI153" s="10">
        <f>IF(OR(AC153="V",AE153="V"),IF(G152&gt;G149,"Le NC contribue plus que le coparent","Le coparent joue un plus grand rôle que le NC"),"pas de contexte significatif de la part du coparent et NC")</f>
        <v/>
      </c>
      <c r="AJ153" s="10" t="n"/>
      <c r="AK153" s="10" t="n"/>
    </row>
    <row r="154" ht="26" customHeight="1">
      <c r="A154" s="1602" t="n"/>
      <c r="B154" s="316" t="n"/>
      <c r="C154" s="2066" t="n"/>
      <c r="D154" s="102" t="n"/>
      <c r="E154" s="823" t="n"/>
      <c r="F154" s="822" t="n"/>
      <c r="G154" s="823" t="n"/>
      <c r="H154" s="1735" t="n">
        <v>11</v>
      </c>
      <c r="I154" s="1736" t="n">
        <v>11</v>
      </c>
      <c r="J154" s="46">
        <f>IF(AND(E154&gt;=H154,E154&lt;=I154),TRUE,FALSE)</f>
        <v/>
      </c>
      <c r="K154" s="46" t="n"/>
      <c r="L154" s="46" t="n"/>
      <c r="M154" s="46" t="n"/>
      <c r="N154" s="1711" t="n"/>
      <c r="O154" s="1735" t="n">
        <v>11</v>
      </c>
      <c r="P154" s="1736" t="n">
        <v>11</v>
      </c>
      <c r="Q154" s="1711">
        <f>IF(AND(E154&gt;=O154,E154&lt;=P154),TRUE,FALSE)</f>
        <v/>
      </c>
      <c r="R154" s="1710" t="n"/>
      <c r="S154" s="1703" t="n"/>
      <c r="T154" s="1711" t="n"/>
      <c r="U154" s="978" t="n"/>
      <c r="V154" s="1484" t="n"/>
      <c r="W154" s="1503" t="n">
        <v>11</v>
      </c>
      <c r="X154" s="2029" t="n"/>
      <c r="Y154" s="1505" t="n">
        <v>11</v>
      </c>
      <c r="Z154" s="2029" t="n"/>
      <c r="AA154" s="1529" t="n">
        <v>11</v>
      </c>
      <c r="AC154" s="1013" t="n"/>
      <c r="AD154" s="1014" t="n"/>
      <c r="AE154" s="1013" t="n"/>
      <c r="AF154" s="1014" t="n"/>
      <c r="AG154" s="1013" t="n"/>
      <c r="AH154" s="1014" t="n"/>
      <c r="AI154" s="10" t="n"/>
      <c r="AJ154" s="10" t="n"/>
      <c r="AK154" s="10" t="n"/>
    </row>
    <row r="155" ht="27" customHeight="1" thickBot="1">
      <c r="A155" s="1602" t="n"/>
      <c r="B155" s="316" t="n"/>
      <c r="C155" s="2066" t="n"/>
      <c r="D155" s="63" t="n"/>
      <c r="E155" s="823" t="n"/>
      <c r="F155" s="822" t="n"/>
      <c r="G155" s="823" t="n"/>
      <c r="H155" s="1735" t="n">
        <v>11</v>
      </c>
      <c r="I155" s="1736" t="n">
        <v>11</v>
      </c>
      <c r="J155" s="46">
        <f>IF(AND(E155&gt;=H155,E155&lt;=I155),TRUE,FALSE)</f>
        <v/>
      </c>
      <c r="K155" s="46" t="n"/>
      <c r="L155" s="46" t="n"/>
      <c r="M155" s="46" t="n"/>
      <c r="N155" s="1711" t="n"/>
      <c r="O155" s="1735" t="n">
        <v>11</v>
      </c>
      <c r="P155" s="1736" t="n">
        <v>11</v>
      </c>
      <c r="Q155" s="1711">
        <f>IF(AND(E155&gt;=O155,E155&lt;=P155),TRUE,FALSE)</f>
        <v/>
      </c>
      <c r="R155" s="1735" t="n"/>
      <c r="S155" s="1736" t="n"/>
      <c r="T155" s="1711" t="n"/>
      <c r="U155" s="978" t="n"/>
      <c r="V155" s="1487" t="inlineStr">
        <is>
          <t>ou</t>
        </is>
      </c>
      <c r="W155" s="1506" t="n">
        <v>11</v>
      </c>
      <c r="X155" s="1507" t="n"/>
      <c r="Y155" s="1508" t="n">
        <v>11</v>
      </c>
      <c r="Z155" s="1507" t="n"/>
      <c r="AA155" s="1502" t="n">
        <v>11</v>
      </c>
      <c r="AC155" s="1013" t="n"/>
      <c r="AD155" s="1014" t="n"/>
      <c r="AE155" s="1013" t="n"/>
      <c r="AF155" s="1014" t="n"/>
      <c r="AG155" s="1013" t="n"/>
      <c r="AH155" s="1014" t="n"/>
      <c r="AI155" s="10" t="n"/>
      <c r="AJ155" s="10" t="n"/>
      <c r="AK155" s="10" t="n"/>
    </row>
    <row r="156" ht="27" customHeight="1" thickBot="1">
      <c r="A156" s="1602" t="n"/>
      <c r="B156" s="842" t="n"/>
      <c r="C156" s="843" t="n"/>
      <c r="D156" s="843" t="n"/>
      <c r="E156" s="844" t="n"/>
      <c r="F156" s="844" t="n"/>
      <c r="G156" s="844" t="n"/>
      <c r="H156" s="1716" t="n"/>
      <c r="I156" s="845" t="n"/>
      <c r="J156" s="846">
        <f>IF(AND(J154=FALSE,J155=FALSE),FALSE,TRUE)</f>
        <v/>
      </c>
      <c r="K156" s="1699" t="n"/>
      <c r="L156" s="1699" t="n"/>
      <c r="M156" s="1699" t="n"/>
      <c r="N156" s="1717" t="n"/>
      <c r="O156" s="1716" t="n"/>
      <c r="P156" s="845" t="n"/>
      <c r="Q156" s="846">
        <f>IF(AND(Q154=FALSE,Q155=FALSE),FALSE,TRUE)</f>
        <v/>
      </c>
      <c r="R156" s="1716" t="n"/>
      <c r="S156" s="845" t="n"/>
      <c r="T156" s="846" t="n"/>
      <c r="U156" s="978" t="n"/>
      <c r="V156" s="978" t="n"/>
      <c r="W156" s="1475" t="n"/>
      <c r="Y156" s="1479" t="n"/>
      <c r="AA156" s="1483" t="n"/>
      <c r="AC156" s="1013" t="n"/>
      <c r="AD156" s="1014" t="n"/>
      <c r="AE156" s="1013" t="n"/>
      <c r="AF156" s="1014" t="n"/>
      <c r="AG156" s="1013" t="n"/>
      <c r="AH156" s="1014" t="n"/>
      <c r="AI156" s="10" t="n"/>
      <c r="AJ156" s="10" t="n"/>
      <c r="AK156" s="10" t="n"/>
    </row>
    <row r="157" ht="26" customHeight="1">
      <c r="A157" s="1602" t="n"/>
      <c r="C157" s="428" t="n"/>
      <c r="D157" s="2058" t="n"/>
      <c r="E157" s="484" t="n"/>
      <c r="F157" s="48" t="n"/>
      <c r="G157" s="48" t="n"/>
      <c r="H157" s="1718" t="n"/>
      <c r="I157" s="485" t="n"/>
      <c r="J157" s="1701" t="n"/>
      <c r="K157" s="1702" t="n"/>
      <c r="L157" s="1702" t="n"/>
      <c r="M157" s="1702" t="n"/>
      <c r="N157" s="1719" t="n"/>
      <c r="O157" s="1718" t="n"/>
      <c r="P157" s="485" t="n"/>
      <c r="Q157" s="1727" t="n"/>
      <c r="R157" s="1718" t="n"/>
      <c r="S157" s="485" t="n"/>
      <c r="T157" s="1727" t="n"/>
      <c r="U157" s="1754" t="n"/>
      <c r="V157" s="980" t="n"/>
      <c r="W157" s="1475" t="n"/>
      <c r="Y157" s="1479" t="n"/>
      <c r="AA157" s="1483" t="n"/>
      <c r="AC157" s="1015" t="n"/>
      <c r="AD157" s="1016" t="n"/>
      <c r="AE157" s="1015" t="n"/>
      <c r="AF157" s="1016" t="n"/>
      <c r="AG157" s="1015" t="n"/>
      <c r="AH157" s="1016" t="n"/>
      <c r="AI157" s="10" t="n"/>
      <c r="AJ157" s="10" t="n"/>
      <c r="AK157" s="10" t="n"/>
    </row>
    <row r="158" ht="26" customHeight="1">
      <c r="A158" s="1602" t="n"/>
      <c r="B158" t="inlineStr">
        <is>
          <t>PCR</t>
        </is>
      </c>
      <c r="H158" s="147" t="n"/>
      <c r="K158" s="1992" t="n"/>
      <c r="L158" s="1992" t="n"/>
      <c r="M158" s="1992" t="n"/>
      <c r="N158" s="1740" t="n"/>
      <c r="O158" s="147" t="n"/>
      <c r="Q158" s="330" t="n"/>
      <c r="R158" s="147" t="n"/>
      <c r="T158" s="330" t="n"/>
      <c r="W158" s="1475" t="n"/>
      <c r="Y158" s="1479" t="n"/>
      <c r="AA158" s="1483" t="n"/>
      <c r="AC158" s="1013" t="n"/>
      <c r="AD158" s="1014" t="n"/>
      <c r="AE158" s="1013" t="n"/>
      <c r="AF158" s="1014" t="n"/>
      <c r="AG158" s="1013" t="n"/>
      <c r="AH158" s="1014" t="n"/>
      <c r="AI158" s="10" t="n"/>
      <c r="AJ158" s="10" t="n"/>
      <c r="AK158" s="10" t="n"/>
    </row>
    <row r="159" ht="26" customHeight="1">
      <c r="A159" s="1602" t="n"/>
      <c r="B159" s="1017" t="n"/>
      <c r="C159" s="1018" t="n"/>
      <c r="D159" s="1018" t="n"/>
      <c r="E159" s="1026" t="n"/>
      <c r="F159" s="1026" t="n"/>
      <c r="G159" s="1026" t="n"/>
      <c r="H159" s="1735" t="n">
        <v>11</v>
      </c>
      <c r="I159" s="1736" t="n">
        <v>11</v>
      </c>
      <c r="J159" s="46">
        <f>IF(AND(E159&gt;=H159,E159&lt;=I159),TRUE,FALSE)</f>
        <v/>
      </c>
      <c r="K159" s="33" t="n"/>
      <c r="L159" s="33" t="n"/>
      <c r="M159" s="33" t="n"/>
      <c r="N159" s="1720" t="n"/>
      <c r="O159" s="1735" t="n">
        <v>11</v>
      </c>
      <c r="P159" s="1736" t="n">
        <v>11</v>
      </c>
      <c r="Q159" s="1711">
        <f>IF(AND(E159&gt;=O159,E159&lt;=P159),TRUE,FALSE)</f>
        <v/>
      </c>
      <c r="R159" s="1735" t="n">
        <v>11</v>
      </c>
      <c r="S159" s="1736" t="n">
        <v>11</v>
      </c>
      <c r="T159" s="1711">
        <f>IF(AND(E159&gt;=R159,E159&lt;=S159),TRUE,FALSE)</f>
        <v/>
      </c>
      <c r="U159" s="978" t="n"/>
      <c r="V159" s="1509" t="n"/>
      <c r="W159" s="1503" t="n">
        <v>11</v>
      </c>
      <c r="X159" s="2029" t="n"/>
      <c r="Y159" s="1505" t="n">
        <v>11</v>
      </c>
      <c r="Z159" s="2029" t="n"/>
      <c r="AA159" s="1529" t="n">
        <v>11</v>
      </c>
      <c r="AC159" s="1013" t="n"/>
      <c r="AD159" s="1014" t="n"/>
      <c r="AE159" s="1013" t="n"/>
      <c r="AF159" s="1014" t="n"/>
      <c r="AG159" s="1013" t="n"/>
      <c r="AH159" s="1014" t="n"/>
      <c r="AI159" s="10" t="n"/>
      <c r="AJ159" s="10" t="n"/>
      <c r="AK159" s="10" t="n"/>
    </row>
    <row r="160" ht="27" customHeight="1" thickBot="1">
      <c r="A160" s="1602" t="n"/>
      <c r="B160" s="1017" t="n"/>
      <c r="C160" s="1025" t="n"/>
      <c r="D160" s="1018" t="n"/>
      <c r="E160" s="1026" t="n"/>
      <c r="F160" s="1026" t="n"/>
      <c r="G160" s="1026" t="n"/>
      <c r="H160" s="1735" t="n">
        <v>11</v>
      </c>
      <c r="I160" s="1736" t="n">
        <v>11</v>
      </c>
      <c r="J160" s="46">
        <f>IF(AND(E160&gt;=H160,E160&lt;=I160),TRUE,FALSE)</f>
        <v/>
      </c>
      <c r="K160" s="33" t="n"/>
      <c r="L160" s="33" t="n"/>
      <c r="M160" s="33" t="n"/>
      <c r="N160" s="1720" t="n"/>
      <c r="O160" s="1735" t="n">
        <v>11</v>
      </c>
      <c r="P160" s="1736" t="n">
        <v>11</v>
      </c>
      <c r="Q160" s="1711">
        <f>IF(AND(E160&gt;=O160,E160&lt;=P160),TRUE,FALSE)</f>
        <v/>
      </c>
      <c r="R160" s="1735" t="n">
        <v>11</v>
      </c>
      <c r="S160" s="1736" t="n">
        <v>11</v>
      </c>
      <c r="T160" s="1711">
        <f>IF(AND(E160&gt;=R160,E160&lt;=S160),TRUE,FALSE)</f>
        <v/>
      </c>
      <c r="U160" s="978" t="n"/>
      <c r="V160" s="1510" t="n"/>
      <c r="W160" s="1506" t="n">
        <v>11</v>
      </c>
      <c r="X160" s="1507" t="n"/>
      <c r="Y160" s="1508" t="n">
        <v>11</v>
      </c>
      <c r="Z160" s="1507" t="n"/>
      <c r="AA160" s="1502" t="n">
        <v>11</v>
      </c>
      <c r="AC160" s="1013" t="n"/>
      <c r="AD160" s="1014" t="n"/>
      <c r="AE160" s="1013" t="n"/>
      <c r="AF160" s="1014" t="n"/>
      <c r="AG160" s="1013" t="n"/>
      <c r="AH160" s="1014" t="n"/>
      <c r="AI160" s="10" t="n"/>
      <c r="AJ160" s="10" t="n"/>
      <c r="AK160" s="10" t="n"/>
    </row>
    <row r="161" ht="27" customHeight="1" thickBot="1">
      <c r="A161" s="686" t="n"/>
      <c r="C161" s="2073" t="n"/>
      <c r="D161" s="2073" t="n"/>
      <c r="E161" s="90" t="n"/>
      <c r="F161" s="483" t="n"/>
      <c r="G161" s="483" t="n"/>
      <c r="H161" s="1732" t="n"/>
      <c r="I161" s="1733" t="n"/>
      <c r="J161" s="1739">
        <f>IF(AND(J159=FALSE,J160=FALSE),FALSE,TRUE)</f>
        <v/>
      </c>
      <c r="K161" s="1721" t="n"/>
      <c r="L161" s="1722" t="n"/>
      <c r="M161" s="1722" t="n"/>
      <c r="N161" s="1723" t="n"/>
      <c r="O161" s="1732" t="n"/>
      <c r="P161" s="1733" t="n"/>
      <c r="Q161" s="1739">
        <f>IF(AND(Q159=FALSE,Q160=FALSE),FALSE,TRUE)</f>
        <v/>
      </c>
      <c r="R161" s="1744" t="n"/>
      <c r="S161" s="1745" t="n"/>
      <c r="T161" s="1746">
        <f>IF(AND(T159=FALSE,T160=FALSE),FALSE,TRUE)</f>
        <v/>
      </c>
      <c r="U161" s="979" t="n"/>
      <c r="AC161" s="1650" t="n"/>
      <c r="AD161" s="1651" t="n"/>
      <c r="AE161" s="1650" t="n"/>
      <c r="AF161" s="1651" t="n"/>
      <c r="AG161" s="1650" t="n"/>
      <c r="AH161" s="1651" t="n"/>
      <c r="AI161" s="10" t="n"/>
      <c r="AJ161" s="10" t="n"/>
      <c r="AK161" s="10" t="n"/>
    </row>
    <row r="162" ht="26" customHeight="1">
      <c r="A162" s="686" t="n"/>
      <c r="C162" s="2073" t="n"/>
      <c r="D162" s="2073" t="n"/>
      <c r="E162" s="90" t="n"/>
      <c r="F162" s="483" t="n"/>
      <c r="G162" s="483" t="n"/>
      <c r="H162" s="2002" t="n"/>
      <c r="I162" s="2002" t="n"/>
      <c r="J162" s="979" t="n"/>
      <c r="K162" s="979" t="n"/>
      <c r="L162" s="979" t="n"/>
      <c r="M162" s="979" t="n"/>
      <c r="N162" s="979" t="n"/>
      <c r="O162" s="979" t="n"/>
      <c r="P162" s="979" t="n"/>
      <c r="Q162" s="979" t="n"/>
      <c r="R162" s="979" t="n"/>
      <c r="S162" s="979" t="n"/>
      <c r="T162" s="979" t="n"/>
      <c r="U162" s="979" t="n"/>
      <c r="AC162" s="1737" t="n"/>
      <c r="AD162" s="1738" t="n"/>
      <c r="AE162" s="1737" t="n"/>
      <c r="AF162" s="1738" t="n"/>
      <c r="AG162" s="1737" t="n"/>
      <c r="AH162" s="1738" t="n"/>
      <c r="AI162" s="10" t="n"/>
      <c r="AJ162" s="10" t="n"/>
      <c r="AK162" s="10" t="n"/>
    </row>
    <row r="163" ht="26" customHeight="1">
      <c r="A163" s="686" t="n"/>
      <c r="C163" s="2073" t="n"/>
      <c r="D163" s="2073" t="n"/>
      <c r="E163" s="90" t="n"/>
      <c r="F163" s="483" t="n"/>
      <c r="G163" s="483" t="n"/>
      <c r="H163" s="2002" t="n"/>
      <c r="I163" s="2002" t="n"/>
      <c r="J163" s="979" t="n"/>
      <c r="K163" s="979" t="n"/>
      <c r="L163" s="979" t="n"/>
      <c r="M163" s="979" t="n"/>
      <c r="N163" s="979" t="n"/>
      <c r="O163" s="979" t="n"/>
      <c r="P163" s="979" t="n"/>
      <c r="Q163" s="979" t="n"/>
      <c r="R163" s="979" t="n"/>
      <c r="S163" s="979" t="n"/>
      <c r="T163" s="979" t="n"/>
      <c r="U163" s="979" t="n"/>
      <c r="AC163" s="1756" t="n"/>
      <c r="AD163" s="1757" t="n"/>
      <c r="AE163" s="1490" t="n"/>
      <c r="AF163" s="1490" t="n"/>
      <c r="AG163" s="1490" t="n"/>
      <c r="AH163" s="1490" t="n"/>
      <c r="AI163" s="10" t="n"/>
      <c r="AJ163" s="10" t="n"/>
      <c r="AK163" s="10" t="n"/>
    </row>
    <row r="164" ht="26" customHeight="1">
      <c r="A164" s="853" t="n">
        <v>9</v>
      </c>
      <c r="C164" s="486">
        <f>'CPTS indépendants'!F27</f>
        <v/>
      </c>
      <c r="D164" s="108" t="n"/>
      <c r="E164" s="66" t="n"/>
      <c r="F164" s="18" t="n"/>
      <c r="G164" s="18" t="n"/>
      <c r="H164" s="2052" t="inlineStr">
        <is>
          <t>AP</t>
        </is>
      </c>
      <c r="K164" s="2055" t="inlineStr">
        <is>
          <t>Dynamique d'AP</t>
        </is>
      </c>
      <c r="N164" s="330" t="n"/>
      <c r="O164" s="2122" t="inlineStr">
        <is>
          <t>CL</t>
        </is>
      </c>
      <c r="Q164" s="330" t="n"/>
      <c r="R164" s="2123" t="inlineStr">
        <is>
          <t>CSS</t>
        </is>
      </c>
      <c r="T164" s="330" t="n"/>
      <c r="U164" s="15" t="n"/>
      <c r="V164" s="15" t="n"/>
      <c r="AC164" s="1009" t="n"/>
      <c r="AD164" s="1009" t="n"/>
      <c r="AE164" s="1009" t="n"/>
      <c r="AF164" s="1009" t="n"/>
      <c r="AG164" s="1009" t="n"/>
      <c r="AH164" s="1010" t="n"/>
      <c r="AI164" s="10" t="n"/>
      <c r="AJ164" s="10" t="n"/>
      <c r="AK164" s="10" t="n"/>
    </row>
    <row r="165" ht="69" customHeight="1" thickBot="1">
      <c r="A165" s="686" t="n"/>
      <c r="C165" s="103" t="inlineStr">
        <is>
          <t>Questions et sous-questions</t>
        </is>
      </c>
      <c r="D165" s="1043" t="n"/>
      <c r="E165" s="33" t="inlineStr">
        <is>
          <t>Valeur de base
Fréquence (F)</t>
        </is>
      </c>
      <c r="F165" s="33" t="inlineStr">
        <is>
          <t>Valeur de base
intensité (I)</t>
        </is>
      </c>
      <c r="G165" s="33" t="inlineStr">
        <is>
          <t>F * I</t>
        </is>
      </c>
      <c r="H165" s="1708" t="inlineStr">
        <is>
          <t>Condition Fréq. 
&gt;= que</t>
        </is>
      </c>
      <c r="I165" s="44" t="inlineStr">
        <is>
          <t>Condition Fré
&lt;= que</t>
        </is>
      </c>
      <c r="J165" s="44" t="inlineStr">
        <is>
          <t>Condition respectée</t>
        </is>
      </c>
      <c r="K165" s="44" t="n"/>
      <c r="L165" s="44" t="n"/>
      <c r="M165" s="44" t="n"/>
      <c r="N165" s="1709" t="n"/>
      <c r="O165" s="1708" t="inlineStr">
        <is>
          <t>Condition Fréq. 
&gt;= que</t>
        </is>
      </c>
      <c r="P165" s="44" t="inlineStr">
        <is>
          <t>Condition Fré
&lt;= que</t>
        </is>
      </c>
      <c r="Q165" s="1709" t="inlineStr">
        <is>
          <t>Condition respectée</t>
        </is>
      </c>
      <c r="R165" s="1708" t="inlineStr">
        <is>
          <t>Condition Fréq. 
&gt;= que</t>
        </is>
      </c>
      <c r="S165" s="44" t="inlineStr">
        <is>
          <t>Condition Fré
&lt;= que</t>
        </is>
      </c>
      <c r="T165" s="1709" t="inlineStr">
        <is>
          <t>Condition respectée</t>
        </is>
      </c>
      <c r="U165" s="851" t="n"/>
      <c r="V165" s="1008" t="inlineStr">
        <is>
          <t>Condition</t>
        </is>
      </c>
      <c r="W165" s="1472" t="inlineStr">
        <is>
          <t>AP</t>
        </is>
      </c>
      <c r="X165" s="1008" t="inlineStr">
        <is>
          <t>Condition</t>
        </is>
      </c>
      <c r="Y165" s="1476" t="inlineStr">
        <is>
          <t>CL</t>
        </is>
      </c>
      <c r="Z165" s="1008" t="n"/>
      <c r="AA165" s="1480" t="inlineStr">
        <is>
          <t>CSS</t>
        </is>
      </c>
      <c r="AC165" s="1023" t="inlineStr">
        <is>
          <t>AP</t>
        </is>
      </c>
      <c r="AD165" s="1024" t="inlineStr">
        <is>
          <t>AP_F</t>
        </is>
      </c>
      <c r="AE165" s="1023" t="inlineStr">
        <is>
          <t>CL</t>
        </is>
      </c>
      <c r="AF165" s="1024" t="inlineStr">
        <is>
          <t>CL_F</t>
        </is>
      </c>
      <c r="AG165" s="1023" t="inlineStr">
        <is>
          <t>CSS</t>
        </is>
      </c>
      <c r="AH165" s="1024" t="inlineStr">
        <is>
          <t>CSS_F</t>
        </is>
      </c>
      <c r="AI165" s="10" t="n"/>
      <c r="AJ165" s="10" t="n"/>
      <c r="AK165" s="10" t="n"/>
    </row>
    <row r="166" hidden="1" ht="26" customHeight="1">
      <c r="A166" s="858" t="n"/>
      <c r="B166" s="421" t="n"/>
      <c r="C166" s="2066" t="n"/>
      <c r="D166" s="102" t="n"/>
      <c r="E166" s="823" t="n"/>
      <c r="F166" s="822" t="n"/>
      <c r="G166" s="823" t="n"/>
      <c r="H166" s="1735" t="n">
        <v>11</v>
      </c>
      <c r="I166" s="1736" t="n">
        <v>11</v>
      </c>
      <c r="J166" s="46">
        <f>IF(AND(E166&gt;=H166,E166&lt;=I166),TRUE,FALSE)</f>
        <v/>
      </c>
      <c r="K166" s="46" t="n"/>
      <c r="L166" s="46" t="n"/>
      <c r="M166" s="46" t="n"/>
      <c r="N166" s="1711" t="n"/>
      <c r="O166" s="1735" t="n">
        <v>11</v>
      </c>
      <c r="P166" s="1736" t="n">
        <v>11</v>
      </c>
      <c r="Q166" s="1711">
        <f>IF(AND(E166&gt;=O166,E166&lt;=P166),TRUE,FALSE)</f>
        <v/>
      </c>
      <c r="R166" s="1735" t="n">
        <v>11</v>
      </c>
      <c r="S166" s="1736" t="n">
        <v>11</v>
      </c>
      <c r="T166" s="1711">
        <f>IF(AND(E166&gt;=R166,E166&lt;=S166),TRUE,FALSE)</f>
        <v/>
      </c>
      <c r="U166" s="978" t="n"/>
      <c r="V166" s="1484" t="n"/>
      <c r="W166" s="1517" t="n">
        <v>11</v>
      </c>
      <c r="X166" s="1528" t="n"/>
      <c r="Y166" s="1527" t="n">
        <v>11</v>
      </c>
      <c r="Z166" s="2029" t="n"/>
      <c r="AA166" s="1529" t="n">
        <v>11</v>
      </c>
      <c r="AC166" s="1011" t="n"/>
      <c r="AD166" s="1012" t="n"/>
      <c r="AE166" s="1011" t="n"/>
      <c r="AF166" s="1012" t="n"/>
      <c r="AG166" s="1011" t="n"/>
      <c r="AH166" s="1012" t="n"/>
      <c r="AI166" s="10" t="n"/>
      <c r="AJ166" s="10" t="n"/>
      <c r="AK166" s="10" t="n"/>
    </row>
    <row r="167" hidden="1" ht="26" customHeight="1">
      <c r="A167" s="686" t="n"/>
      <c r="B167" s="421" t="n"/>
      <c r="C167" s="2066" t="n"/>
      <c r="D167" s="102" t="n"/>
      <c r="E167" s="823" t="n"/>
      <c r="F167" s="822" t="n"/>
      <c r="G167" s="823" t="n"/>
      <c r="H167" s="1735" t="n">
        <v>11</v>
      </c>
      <c r="I167" s="1736" t="n">
        <v>11</v>
      </c>
      <c r="J167" s="46">
        <f>IF(AND(E167&gt;=H167,E167&lt;=I167),TRUE,FALSE)</f>
        <v/>
      </c>
      <c r="K167" s="46" t="n"/>
      <c r="L167" s="46" t="n"/>
      <c r="M167" s="46" t="n"/>
      <c r="N167" s="1711" t="n"/>
      <c r="O167" s="1735" t="n">
        <v>11</v>
      </c>
      <c r="P167" s="1736" t="n">
        <v>11</v>
      </c>
      <c r="Q167" s="1711">
        <f>IF(AND(E167&gt;=O167,E167&lt;=P167),TRUE,FALSE)</f>
        <v/>
      </c>
      <c r="R167" s="1735" t="n">
        <v>11</v>
      </c>
      <c r="S167" s="1736" t="n">
        <v>11</v>
      </c>
      <c r="T167" s="1711">
        <f>IF(AND(E167&gt;=R167,E167&lt;=S167),TRUE,FALSE)</f>
        <v/>
      </c>
      <c r="U167" s="978" t="n"/>
      <c r="V167" s="1487" t="inlineStr">
        <is>
          <t>ou</t>
        </is>
      </c>
      <c r="W167" s="1518" t="n">
        <v>11</v>
      </c>
      <c r="X167" s="1522" t="n"/>
      <c r="Y167" s="1521" t="n">
        <v>11</v>
      </c>
      <c r="Z167" s="1507" t="n"/>
      <c r="AA167" s="1523" t="n">
        <v>11</v>
      </c>
      <c r="AC167" s="1013" t="n"/>
      <c r="AD167" s="1014" t="n"/>
      <c r="AE167" s="1013" t="n"/>
      <c r="AF167" s="1014" t="n"/>
      <c r="AG167" s="1013" t="n"/>
      <c r="AH167" s="1014" t="n"/>
      <c r="AI167" s="10" t="n"/>
      <c r="AJ167" s="10" t="n"/>
      <c r="AK167" s="10" t="n"/>
    </row>
    <row r="168" hidden="1" ht="26" customHeight="1">
      <c r="A168" s="686" t="n"/>
      <c r="B168" s="825" t="n"/>
      <c r="C168" s="826" t="n"/>
      <c r="D168" s="827" t="n"/>
      <c r="E168" s="828" t="n"/>
      <c r="F168" s="828" t="n"/>
      <c r="G168" s="828" t="n"/>
      <c r="H168" s="1712" t="n"/>
      <c r="I168" s="829" t="n"/>
      <c r="J168" s="830">
        <f>IF(AND(J166=FALSE,J167=FALSE),FALSE,TRUE)</f>
        <v/>
      </c>
      <c r="K168" s="46" t="n"/>
      <c r="L168" s="46" t="n"/>
      <c r="M168" s="46" t="n"/>
      <c r="N168" s="1711" t="n"/>
      <c r="O168" s="1712" t="n"/>
      <c r="P168" s="829" t="n"/>
      <c r="Q168" s="1725">
        <f>IF(AND(Q166=FALSE,Q167=FALSE),FALSE,TRUE)</f>
        <v/>
      </c>
      <c r="R168" s="1712" t="n"/>
      <c r="S168" s="829" t="n"/>
      <c r="T168" s="1725">
        <f>IF(AND(T166=FALSE,T167=FALSE),FALSE,TRUE)</f>
        <v/>
      </c>
      <c r="U168" s="978" t="n"/>
      <c r="V168" s="978" t="inlineStr">
        <is>
          <t>ou</t>
        </is>
      </c>
      <c r="W168" s="1519" t="n"/>
      <c r="X168" s="1525" t="n"/>
      <c r="Y168" s="1524" t="n"/>
      <c r="Z168" s="2002" t="n"/>
      <c r="AA168" s="1526" t="n"/>
      <c r="AC168" s="1013" t="n"/>
      <c r="AD168" s="1014" t="n"/>
      <c r="AE168" s="1013" t="n"/>
      <c r="AF168" s="1014" t="n"/>
      <c r="AG168" s="1013" t="n"/>
      <c r="AH168" s="1014" t="n"/>
      <c r="AI168" s="10" t="n"/>
      <c r="AJ168" s="10" t="n"/>
      <c r="AK168" s="10" t="n"/>
    </row>
    <row r="169" hidden="1" ht="26" customHeight="1">
      <c r="A169" s="686" t="n"/>
      <c r="B169" s="53" t="n"/>
      <c r="C169" s="2066" t="n"/>
      <c r="D169" s="102" t="n"/>
      <c r="E169" s="823" t="n"/>
      <c r="F169" s="822" t="n"/>
      <c r="G169" s="823" t="n"/>
      <c r="H169" s="1735" t="n">
        <v>11</v>
      </c>
      <c r="I169" s="1736" t="n">
        <v>11</v>
      </c>
      <c r="J169" s="46">
        <f>IF(AND(E169&gt;=H169,E169&lt;=I169),TRUE,FALSE)</f>
        <v/>
      </c>
      <c r="K169" s="46" t="n"/>
      <c r="L169" s="46" t="n"/>
      <c r="M169" s="46" t="n"/>
      <c r="N169" s="1711" t="n"/>
      <c r="O169" s="1735" t="n">
        <v>11</v>
      </c>
      <c r="P169" s="1736" t="n">
        <v>11</v>
      </c>
      <c r="Q169" s="1711">
        <f>IF(AND(E169&gt;=O169,E169&lt;=P169),TRUE,FALSE)</f>
        <v/>
      </c>
      <c r="R169" s="1735" t="n">
        <v>11</v>
      </c>
      <c r="S169" s="1736" t="n">
        <v>11</v>
      </c>
      <c r="T169" s="1711">
        <f>IF(AND(E169&gt;=R169,E169&lt;=S169),TRUE,FALSE)</f>
        <v/>
      </c>
      <c r="U169" s="978" t="n"/>
      <c r="V169" s="1484" t="n"/>
      <c r="W169" s="1517" t="n">
        <v>11</v>
      </c>
      <c r="X169" s="1528" t="n"/>
      <c r="Y169" s="1527" t="n">
        <v>11</v>
      </c>
      <c r="Z169" s="2029" t="n"/>
      <c r="AA169" s="1529" t="n">
        <v>11</v>
      </c>
      <c r="AC169" s="1013" t="n"/>
      <c r="AD169" s="1014" t="n"/>
      <c r="AE169" s="1013" t="n"/>
      <c r="AF169" s="1014" t="n"/>
      <c r="AG169" s="1013" t="n"/>
      <c r="AH169" s="1014" t="n"/>
      <c r="AI169" s="10" t="n"/>
      <c r="AJ169" s="10" t="n"/>
      <c r="AK169" s="10" t="n"/>
    </row>
    <row r="170" hidden="1" ht="26" customHeight="1">
      <c r="A170" s="686" t="n"/>
      <c r="B170" s="53" t="n"/>
      <c r="C170" s="2066" t="n"/>
      <c r="D170" s="102" t="n"/>
      <c r="E170" s="823" t="n"/>
      <c r="F170" s="822" t="n"/>
      <c r="G170" s="823" t="n"/>
      <c r="H170" s="1735" t="n">
        <v>11</v>
      </c>
      <c r="I170" s="1736" t="n">
        <v>11</v>
      </c>
      <c r="J170" s="46">
        <f>IF(AND(E170&gt;=H170,E170&lt;=I170),TRUE,FALSE)</f>
        <v/>
      </c>
      <c r="K170" s="46" t="n"/>
      <c r="L170" s="46" t="n"/>
      <c r="M170" s="46" t="n"/>
      <c r="N170" s="1711" t="n"/>
      <c r="O170" s="1735" t="n">
        <v>11</v>
      </c>
      <c r="P170" s="1736" t="n">
        <v>11</v>
      </c>
      <c r="Q170" s="1711">
        <f>IF(AND(E170&gt;=O170,E170&lt;=P170),TRUE,FALSE)</f>
        <v/>
      </c>
      <c r="R170" s="1735" t="n">
        <v>11</v>
      </c>
      <c r="S170" s="1736" t="n">
        <v>11</v>
      </c>
      <c r="T170" s="1711">
        <f>IF(AND(E170&gt;=R170,E170&lt;=S170),TRUE,FALSE)</f>
        <v/>
      </c>
      <c r="U170" s="978" t="n"/>
      <c r="V170" s="1487" t="inlineStr">
        <is>
          <t>ou</t>
        </is>
      </c>
      <c r="W170" s="1518" t="n">
        <v>11</v>
      </c>
      <c r="X170" s="1522" t="n"/>
      <c r="Y170" s="1521" t="n">
        <v>11</v>
      </c>
      <c r="Z170" s="1493" t="n"/>
      <c r="AA170" s="1523" t="n">
        <v>11</v>
      </c>
      <c r="AC170" s="1013" t="n"/>
      <c r="AD170" s="1014" t="n"/>
      <c r="AE170" s="1013" t="n"/>
      <c r="AF170" s="1014" t="n"/>
      <c r="AG170" s="1013" t="n"/>
      <c r="AH170" s="1014" t="n"/>
      <c r="AI170" s="10" t="n"/>
      <c r="AJ170" s="10" t="n"/>
      <c r="AK170" s="10" t="n"/>
    </row>
    <row r="171" hidden="1" ht="27" customHeight="1" thickBot="1">
      <c r="A171" s="686" t="n"/>
      <c r="B171" s="831" t="n"/>
      <c r="C171" s="832" t="n"/>
      <c r="D171" s="833" t="n"/>
      <c r="E171" s="834" t="n"/>
      <c r="F171" s="834" t="n"/>
      <c r="G171" s="834" t="n"/>
      <c r="H171" s="1713" t="n"/>
      <c r="I171" s="835" t="n"/>
      <c r="J171" s="836">
        <f>IF(AND(J169=FALSE,J170=FALSE),FALSE,TRUE)</f>
        <v/>
      </c>
      <c r="K171" s="46" t="n"/>
      <c r="L171" s="46" t="n"/>
      <c r="M171" s="46" t="n"/>
      <c r="N171" s="1711" t="n"/>
      <c r="O171" s="1713" t="n"/>
      <c r="P171" s="835" t="n"/>
      <c r="Q171" s="1726">
        <f>IF(AND(Q169=FALSE,Q170=FALSE),FALSE,TRUE)</f>
        <v/>
      </c>
      <c r="R171" s="1713" t="n"/>
      <c r="S171" s="835" t="n"/>
      <c r="T171" s="1726">
        <f>IF(AND(T169=FALSE,T170=FALSE),FALSE,TRUE)</f>
        <v/>
      </c>
      <c r="U171" s="978" t="n"/>
      <c r="V171" s="978" t="n"/>
      <c r="W171" s="1473" t="n"/>
      <c r="X171" s="2002" t="n"/>
      <c r="Y171" s="1478" t="n"/>
      <c r="Z171" s="2002" t="n"/>
      <c r="AA171" s="1481" t="n"/>
      <c r="AC171" s="1013" t="n"/>
      <c r="AD171" s="1014" t="n"/>
      <c r="AE171" s="1013" t="n"/>
      <c r="AF171" s="1014" t="n"/>
      <c r="AG171" s="1013" t="n"/>
      <c r="AH171" s="1014" t="n"/>
      <c r="AI171" s="10" t="n"/>
      <c r="AJ171" s="10" t="n"/>
      <c r="AK171" s="10" t="n"/>
    </row>
    <row r="172" ht="27" customHeight="1" thickBot="1">
      <c r="A172" s="686" t="n"/>
      <c r="B172" s="837" t="n"/>
      <c r="C172" s="838" t="n"/>
      <c r="D172" s="838" t="n"/>
      <c r="E172" s="839" t="n"/>
      <c r="F172" s="839" t="n"/>
      <c r="G172" s="839" t="n"/>
      <c r="H172" s="1714" t="n"/>
      <c r="I172" s="840" t="n"/>
      <c r="J172" s="841">
        <f>IF(AND(J168=FALSE,J171=FALSE),FALSE,TRUE)</f>
        <v/>
      </c>
      <c r="K172" s="1698" t="n"/>
      <c r="L172" s="1698" t="n"/>
      <c r="M172" s="1698" t="n"/>
      <c r="N172" s="1715" t="n"/>
      <c r="O172" s="1714" t="n"/>
      <c r="P172" s="840" t="n"/>
      <c r="Q172" s="841">
        <f>IF(AND(Q168=FALSE,Q171=FALSE),FALSE,TRUE)</f>
        <v/>
      </c>
      <c r="R172" s="1714" t="n"/>
      <c r="S172" s="840" t="n"/>
      <c r="T172" s="841">
        <f>IF(AND(T168=FALSE,T171=FALSE),FALSE,TRUE)</f>
        <v/>
      </c>
      <c r="U172" s="978" t="n"/>
      <c r="V172" s="978" t="inlineStr">
        <is>
          <t>et</t>
        </is>
      </c>
      <c r="W172" s="1473" t="n"/>
      <c r="X172" s="2002" t="n"/>
      <c r="Y172" s="1478" t="n"/>
      <c r="Z172" s="2002" t="n"/>
      <c r="AA172" s="1481" t="n"/>
      <c r="AC172" s="1013">
        <f>IF(J172=TRUE,"V","F")</f>
        <v/>
      </c>
      <c r="AD172" s="1014" t="n"/>
      <c r="AE172" s="1013">
        <f>IF(Q172=TRUE,"V","F")</f>
        <v/>
      </c>
      <c r="AF172" s="1014" t="n"/>
      <c r="AG172" s="1013">
        <f>IF(T172=TRUE,"V","F")</f>
        <v/>
      </c>
      <c r="AH172" s="1014" t="n"/>
      <c r="AI172" s="10" t="n"/>
      <c r="AJ172" s="10" t="n"/>
      <c r="AK172" s="10" t="n"/>
    </row>
    <row r="173" ht="51" customHeight="1">
      <c r="A173" s="858" t="n"/>
      <c r="B173" s="316">
        <f>'CPTS indépendants'!O27</f>
        <v/>
      </c>
      <c r="C173" s="2066">
        <f>Test_Bible!B324</f>
        <v/>
      </c>
      <c r="D173" s="102" t="n"/>
      <c r="E173" s="823">
        <f>Test_Bible!P324</f>
        <v/>
      </c>
      <c r="F173" s="822">
        <f>Test_Bible!D324</f>
        <v/>
      </c>
      <c r="G173" s="823">
        <f>E173*F173</f>
        <v/>
      </c>
      <c r="H173" s="1710" t="n">
        <v>4</v>
      </c>
      <c r="I173" s="1703" t="n">
        <v>10</v>
      </c>
      <c r="J173" s="46">
        <f>IF(AND(E173&gt;=H173,E173&lt;=I173),TRUE,FALSE)</f>
        <v/>
      </c>
      <c r="K173" s="46" t="n"/>
      <c r="L173" s="46" t="n"/>
      <c r="M173" s="46" t="n"/>
      <c r="N173" s="1711" t="n"/>
      <c r="O173" s="1710" t="n">
        <v>2</v>
      </c>
      <c r="P173" s="1703" t="n">
        <v>7</v>
      </c>
      <c r="Q173" s="1711">
        <f>IF(AND(E173&gt;=O173,E173&lt;=P173),TRUE,FALSE)</f>
        <v/>
      </c>
      <c r="R173" s="1710" t="n"/>
      <c r="S173" s="1703" t="n"/>
      <c r="T173" s="1711" t="n"/>
      <c r="U173" s="978" t="n"/>
      <c r="V173" s="1484" t="n"/>
      <c r="W173" s="1485" t="n">
        <v>4</v>
      </c>
      <c r="X173" s="2029" t="n"/>
      <c r="Y173" s="1489" t="n">
        <v>2</v>
      </c>
      <c r="Z173" s="2029" t="n"/>
      <c r="AA173" s="1497" t="n">
        <v>11</v>
      </c>
      <c r="AC173" s="1013" t="inlineStr">
        <is>
          <t> </t>
        </is>
      </c>
      <c r="AD173" s="1014" t="n"/>
      <c r="AE173" s="1013" t="n"/>
      <c r="AF173" s="1014" t="n"/>
      <c r="AG173" s="1013" t="n"/>
      <c r="AH173" s="1014" t="n"/>
      <c r="AI173" s="10" t="n"/>
      <c r="AJ173" s="10" t="n"/>
      <c r="AK173" s="10" t="n"/>
    </row>
    <row r="174" ht="27" customHeight="1" thickBot="1">
      <c r="A174" s="686" t="n"/>
      <c r="B174" s="316" t="n"/>
      <c r="C174" s="2066" t="n"/>
      <c r="D174" s="102" t="n"/>
      <c r="E174" s="823" t="n"/>
      <c r="F174" s="822" t="n"/>
      <c r="G174" s="823" t="n"/>
      <c r="H174" s="1735" t="n">
        <v>11</v>
      </c>
      <c r="I174" s="1736" t="n">
        <v>11</v>
      </c>
      <c r="J174" s="46">
        <f>IF(AND(E174&gt;=H174,E174&lt;=I174),TRUE,FALSE)</f>
        <v/>
      </c>
      <c r="K174" s="46" t="n"/>
      <c r="L174" s="46" t="n"/>
      <c r="M174" s="46" t="n"/>
      <c r="N174" s="1711" t="n"/>
      <c r="O174" s="1735" t="n">
        <v>11</v>
      </c>
      <c r="P174" s="1736" t="n">
        <v>11</v>
      </c>
      <c r="Q174" s="1711">
        <f>IF(AND(E174&gt;=O174,E174&lt;=P174),TRUE,FALSE)</f>
        <v/>
      </c>
      <c r="R174" s="1735" t="n"/>
      <c r="S174" s="1736" t="n"/>
      <c r="T174" s="1711" t="n"/>
      <c r="U174" s="978" t="n"/>
      <c r="V174" s="1487" t="inlineStr">
        <is>
          <t>ou</t>
        </is>
      </c>
      <c r="W174" s="1506" t="n">
        <v>11</v>
      </c>
      <c r="X174" s="1507" t="n"/>
      <c r="Y174" s="1508" t="n">
        <v>11</v>
      </c>
      <c r="Z174" s="1507" t="n"/>
      <c r="AA174" s="1502" t="n">
        <v>11</v>
      </c>
      <c r="AC174" s="1013" t="n"/>
      <c r="AD174" s="1014" t="n"/>
      <c r="AE174" s="1013" t="n"/>
      <c r="AF174" s="1014" t="n"/>
      <c r="AG174" s="1013" t="n"/>
      <c r="AH174" s="1014" t="n"/>
      <c r="AI174" s="10" t="n"/>
      <c r="AJ174" s="10" t="n"/>
      <c r="AK174" s="10" t="n"/>
    </row>
    <row r="175" ht="27" customHeight="1" thickBot="1">
      <c r="A175" s="686" t="n"/>
      <c r="B175" s="842" t="n"/>
      <c r="C175" s="843" t="n"/>
      <c r="D175" s="843" t="n"/>
      <c r="E175" s="844" t="n"/>
      <c r="F175" s="844" t="n"/>
      <c r="G175" s="844" t="n"/>
      <c r="H175" s="1716" t="n"/>
      <c r="I175" s="845" t="n"/>
      <c r="J175" s="846">
        <f>IF(AND(J173=FALSE,J174=FALSE),FALSE,TRUE)</f>
        <v/>
      </c>
      <c r="K175" s="1699" t="n"/>
      <c r="L175" s="1699" t="n"/>
      <c r="M175" s="1699" t="n"/>
      <c r="N175" s="1717" t="n"/>
      <c r="O175" s="1716" t="n"/>
      <c r="P175" s="845" t="n"/>
      <c r="Q175" s="846">
        <f>IF(AND(Q173=FALSE,Q174=FALSE),FALSE,TRUE)</f>
        <v/>
      </c>
      <c r="R175" s="1716" t="n"/>
      <c r="S175" s="845" t="n"/>
      <c r="T175" s="846" t="n"/>
      <c r="U175" s="978" t="n"/>
      <c r="V175" s="978" t="n"/>
      <c r="W175" s="1475" t="n"/>
      <c r="Y175" s="1479" t="n"/>
      <c r="AA175" s="1483" t="n"/>
      <c r="AC175" s="1013">
        <f>IF(J175=TRUE,"V","F")</f>
        <v/>
      </c>
      <c r="AD175" s="1014" t="n"/>
      <c r="AE175" s="1013">
        <f>IF(Q175=TRUE,"V","F")</f>
        <v/>
      </c>
      <c r="AF175" s="1014" t="n"/>
      <c r="AG175" s="1013" t="n"/>
      <c r="AH175" s="1014" t="n"/>
      <c r="AI175" s="10" t="n"/>
      <c r="AJ175" s="10" t="n"/>
      <c r="AK175" s="10" t="n"/>
    </row>
    <row r="176" ht="26" customHeight="1">
      <c r="A176" s="686" t="n"/>
      <c r="C176" s="428" t="n"/>
      <c r="D176" s="2058" t="n"/>
      <c r="E176" s="484" t="n"/>
      <c r="F176" s="48" t="n"/>
      <c r="G176" s="48" t="n"/>
      <c r="H176" s="1718" t="n"/>
      <c r="I176" s="485" t="n"/>
      <c r="J176" s="1701" t="n"/>
      <c r="K176" s="1702" t="n"/>
      <c r="L176" s="1702" t="n"/>
      <c r="M176" s="1702" t="n"/>
      <c r="N176" s="1719" t="n"/>
      <c r="O176" s="1718" t="n"/>
      <c r="P176" s="485" t="n"/>
      <c r="Q176" s="1727" t="n"/>
      <c r="R176" s="1718" t="n"/>
      <c r="S176" s="485" t="n"/>
      <c r="T176" s="1727" t="n"/>
      <c r="U176" s="1754" t="n"/>
      <c r="V176" s="980" t="n"/>
      <c r="W176" s="1475" t="n"/>
      <c r="Y176" s="1479" t="n"/>
      <c r="AA176" s="1483" t="n"/>
      <c r="AC176" s="1015" t="n"/>
      <c r="AD176" s="1016">
        <f>IF(AND(AC172="V",AC175="V"),2,IF(OR(AC172="V",AC175="V"),1,0))</f>
        <v/>
      </c>
      <c r="AE176" s="1015" t="n"/>
      <c r="AF176" s="1016">
        <f>IF(OR(AE172="V",AE175="V"),1,0)</f>
        <v/>
      </c>
      <c r="AG176" s="1015" t="n"/>
      <c r="AH176" s="1016" t="n"/>
      <c r="AI176" s="10" t="n"/>
      <c r="AJ176" s="10" t="n"/>
      <c r="AK176" s="10" t="n"/>
    </row>
    <row r="177" ht="27" customHeight="1" thickBot="1">
      <c r="A177" s="686" t="n"/>
      <c r="B177" t="inlineStr">
        <is>
          <t>PCR</t>
        </is>
      </c>
      <c r="H177" s="147" t="n"/>
      <c r="K177" s="1992" t="n"/>
      <c r="L177" s="1992" t="n"/>
      <c r="M177" s="1992" t="n"/>
      <c r="N177" s="1740" t="n"/>
      <c r="O177" s="147" t="n"/>
      <c r="Q177" s="330" t="n"/>
      <c r="R177" s="147" t="n"/>
      <c r="T177" s="330" t="n"/>
      <c r="W177" s="1475" t="n"/>
      <c r="Y177" s="1479" t="n"/>
      <c r="AA177" s="1483" t="n"/>
      <c r="AC177" s="1013" t="n"/>
      <c r="AD177" s="1014" t="n"/>
      <c r="AE177" s="1013" t="n"/>
      <c r="AF177" s="1014" t="n"/>
      <c r="AG177" s="1013" t="n"/>
      <c r="AH177" s="1014" t="n"/>
      <c r="AI177" s="10" t="n"/>
      <c r="AJ177" s="10" t="n"/>
      <c r="AK177" s="10" t="n"/>
    </row>
    <row r="178" hidden="1" ht="26" customHeight="1">
      <c r="A178" s="686" t="n"/>
      <c r="B178" s="1017" t="n"/>
      <c r="C178" s="1018" t="n"/>
      <c r="D178" s="1018" t="n"/>
      <c r="E178" s="1026" t="n"/>
      <c r="F178" s="1026" t="n"/>
      <c r="G178" s="1026" t="n"/>
      <c r="H178" s="1735" t="n">
        <v>11</v>
      </c>
      <c r="I178" s="1736" t="n">
        <v>11</v>
      </c>
      <c r="J178" s="46">
        <f>IF(AND(E178&gt;=H178,E178&lt;=I178),TRUE,FALSE)</f>
        <v/>
      </c>
      <c r="K178" s="33" t="n"/>
      <c r="L178" s="33" t="n"/>
      <c r="M178" s="33" t="n"/>
      <c r="N178" s="1720" t="n"/>
      <c r="O178" s="1735" t="n">
        <v>11</v>
      </c>
      <c r="P178" s="1736" t="n">
        <v>11</v>
      </c>
      <c r="Q178" s="1711">
        <f>IF(AND(E178&gt;=O178,E178&lt;=P178),TRUE,FALSE)</f>
        <v/>
      </c>
      <c r="R178" s="1735" t="n">
        <v>11</v>
      </c>
      <c r="S178" s="1736" t="n">
        <v>11</v>
      </c>
      <c r="T178" s="1711">
        <f>IF(AND(E178&gt;=R178,E178&lt;=S178),TRUE,FALSE)</f>
        <v/>
      </c>
      <c r="U178" s="978" t="n"/>
      <c r="V178" s="1509" t="n"/>
      <c r="W178" s="1503" t="n">
        <v>11</v>
      </c>
      <c r="X178" s="2029" t="n"/>
      <c r="Y178" s="1505" t="n">
        <v>11</v>
      </c>
      <c r="Z178" s="2029" t="n"/>
      <c r="AA178" s="1529" t="n">
        <v>11</v>
      </c>
      <c r="AC178" s="1013" t="n"/>
      <c r="AD178" s="1014" t="n"/>
      <c r="AE178" s="1013" t="n"/>
      <c r="AF178" s="1014" t="n"/>
      <c r="AG178" s="1013" t="n"/>
      <c r="AH178" s="1014" t="n"/>
      <c r="AI178" s="10" t="n"/>
      <c r="AJ178" s="10" t="n"/>
      <c r="AK178" s="10" t="n"/>
    </row>
    <row r="179" hidden="1" ht="27" customHeight="1" thickBot="1">
      <c r="A179" s="686" t="n"/>
      <c r="B179" s="1017" t="n"/>
      <c r="C179" s="1025" t="n"/>
      <c r="D179" s="1018" t="n"/>
      <c r="E179" s="1026" t="n"/>
      <c r="F179" s="1026" t="n"/>
      <c r="G179" s="1026" t="n"/>
      <c r="H179" s="1735" t="n">
        <v>11</v>
      </c>
      <c r="I179" s="1736" t="n">
        <v>11</v>
      </c>
      <c r="J179" s="46">
        <f>IF(AND(E179&gt;=H179,E179&lt;=I179),TRUE,FALSE)</f>
        <v/>
      </c>
      <c r="K179" s="33" t="n"/>
      <c r="L179" s="33" t="n"/>
      <c r="M179" s="33" t="n"/>
      <c r="N179" s="1720" t="n"/>
      <c r="O179" s="1735" t="n">
        <v>11</v>
      </c>
      <c r="P179" s="1736" t="n">
        <v>11</v>
      </c>
      <c r="Q179" s="1711">
        <f>IF(AND(E179&gt;=O179,E179&lt;=P179),TRUE,FALSE)</f>
        <v/>
      </c>
      <c r="R179" s="1735" t="n">
        <v>11</v>
      </c>
      <c r="S179" s="1736" t="n">
        <v>11</v>
      </c>
      <c r="T179" s="1711">
        <f>IF(AND(E179&gt;=R179,E179&lt;=S179),TRUE,FALSE)</f>
        <v/>
      </c>
      <c r="U179" s="978" t="n"/>
      <c r="V179" s="1510" t="n"/>
      <c r="W179" s="1506" t="n">
        <v>11</v>
      </c>
      <c r="X179" s="1507" t="n"/>
      <c r="Y179" s="1508" t="n">
        <v>11</v>
      </c>
      <c r="Z179" s="1507" t="n"/>
      <c r="AA179" s="1502" t="n">
        <v>11</v>
      </c>
      <c r="AC179" s="1013" t="n"/>
      <c r="AD179" s="1014" t="n"/>
      <c r="AE179" s="1013" t="n"/>
      <c r="AF179" s="1014" t="n"/>
      <c r="AG179" s="1013" t="n"/>
      <c r="AH179" s="1014" t="n"/>
      <c r="AI179" s="10" t="n"/>
      <c r="AJ179" s="10" t="n"/>
      <c r="AK179" s="10" t="n"/>
    </row>
    <row r="180" ht="27" customHeight="1" thickBot="1">
      <c r="A180" s="686" t="n"/>
      <c r="C180" s="2073" t="n"/>
      <c r="D180" s="2073" t="n"/>
      <c r="E180" s="90" t="n"/>
      <c r="F180" s="483" t="n"/>
      <c r="G180" s="483" t="n"/>
      <c r="H180" s="1732" t="n"/>
      <c r="I180" s="1733" t="n"/>
      <c r="J180" s="1739">
        <f>IF(AND(J178=FALSE,J179=FALSE),FALSE,TRUE)</f>
        <v/>
      </c>
      <c r="K180" s="1721" t="n"/>
      <c r="L180" s="1722" t="n"/>
      <c r="M180" s="1722" t="n"/>
      <c r="N180" s="1723" t="n"/>
      <c r="O180" s="1732" t="n"/>
      <c r="P180" s="1733" t="n"/>
      <c r="Q180" s="1739">
        <f>IF(AND(Q178=FALSE,Q179=FALSE),FALSE,TRUE)</f>
        <v/>
      </c>
      <c r="R180" s="1744" t="n"/>
      <c r="S180" s="1745" t="n"/>
      <c r="T180" s="1746">
        <f>IF(AND(T178=FALSE,T179=FALSE),FALSE,TRUE)</f>
        <v/>
      </c>
      <c r="U180" s="979" t="n"/>
      <c r="AC180" s="1650">
        <f>IF(J180=TRUE,"V","F")</f>
        <v/>
      </c>
      <c r="AD180" s="1651" t="n"/>
      <c r="AE180" s="1650">
        <f>IF(Q180=TRUE,"V","F")</f>
        <v/>
      </c>
      <c r="AF180" s="1651" t="n"/>
      <c r="AG180" s="1650">
        <f>IF(T180=TRUE,"V","F")</f>
        <v/>
      </c>
      <c r="AH180" s="1651" t="n"/>
      <c r="AI180" s="10" t="n"/>
      <c r="AJ180" s="10" t="n"/>
      <c r="AK180" s="10" t="n"/>
    </row>
    <row r="181" ht="21" customHeight="1">
      <c r="AC181" s="1737" t="n"/>
      <c r="AD181" s="1738">
        <f>IF(AND(AC180="V",AC172="V"),AD176-1,AD176)</f>
        <v/>
      </c>
      <c r="AE181" s="1737" t="n"/>
      <c r="AF181" s="1738">
        <f>IF(OR(AE172="V",AE175="V",AE180="V"),1,0)</f>
        <v/>
      </c>
      <c r="AG181" s="1737" t="n"/>
      <c r="AH181" s="1738">
        <f>IF(AG172="V",1,IF(AG180="V",1,0))</f>
        <v/>
      </c>
      <c r="AI181" s="10" t="n">
        <v>1</v>
      </c>
      <c r="AJ181" s="10" t="n">
        <v>1</v>
      </c>
      <c r="AK181" s="10" t="n"/>
    </row>
    <row r="182" ht="26" customHeight="1">
      <c r="A182" s="853" t="n">
        <v>10</v>
      </c>
      <c r="C182" s="486">
        <f>'CPTS indépendants'!F32</f>
        <v/>
      </c>
      <c r="D182" s="108" t="n"/>
      <c r="E182" s="66" t="n"/>
      <c r="F182" s="18" t="n"/>
      <c r="G182" s="18" t="n"/>
      <c r="H182" s="2052" t="inlineStr">
        <is>
          <t>AP</t>
        </is>
      </c>
      <c r="K182" s="2055" t="inlineStr">
        <is>
          <t>Dynamique d'AP</t>
        </is>
      </c>
      <c r="N182" s="330" t="n"/>
      <c r="O182" s="2122" t="inlineStr">
        <is>
          <t>CL</t>
        </is>
      </c>
      <c r="Q182" s="330" t="n"/>
      <c r="R182" s="2123" t="inlineStr">
        <is>
          <t>CSS</t>
        </is>
      </c>
      <c r="T182" s="330" t="n"/>
      <c r="U182" s="15" t="n"/>
      <c r="V182" s="15" t="n"/>
      <c r="AC182" s="1756" t="inlineStr">
        <is>
          <t>Indice boosté</t>
        </is>
      </c>
      <c r="AD182" s="1757">
        <f>IF(AF181=1,AD181*(1+$AH$28),AD181)</f>
        <v/>
      </c>
      <c r="AE182" s="1009" t="n"/>
      <c r="AF182" s="1009" t="n"/>
      <c r="AG182" s="1009" t="n"/>
      <c r="AH182" s="1010" t="n"/>
      <c r="AI182" s="10" t="n"/>
      <c r="AJ182" s="10" t="n"/>
      <c r="AK182" s="10" t="n"/>
    </row>
    <row r="183" ht="69" customHeight="1" thickBot="1">
      <c r="C183" s="103" t="inlineStr">
        <is>
          <t>Questions et sous-questions</t>
        </is>
      </c>
      <c r="D183" s="1043" t="n"/>
      <c r="E183" s="33" t="inlineStr">
        <is>
          <t>Valeur de base
Fréquence (F)</t>
        </is>
      </c>
      <c r="F183" s="33" t="inlineStr">
        <is>
          <t>Valeur de base
intensité (I)</t>
        </is>
      </c>
      <c r="G183" s="33" t="inlineStr">
        <is>
          <t>F * I</t>
        </is>
      </c>
      <c r="H183" s="1708" t="inlineStr">
        <is>
          <t>Condition Fréq. 
&gt;= que</t>
        </is>
      </c>
      <c r="I183" s="44" t="inlineStr">
        <is>
          <t>Condition Fré
&lt;= que</t>
        </is>
      </c>
      <c r="J183" s="44" t="inlineStr">
        <is>
          <t>Condition respectée</t>
        </is>
      </c>
      <c r="K183" s="44" t="n"/>
      <c r="L183" s="44" t="n"/>
      <c r="M183" s="44" t="n"/>
      <c r="N183" s="1709" t="n"/>
      <c r="O183" s="1708" t="inlineStr">
        <is>
          <t>Condition Fréq. 
&gt;= que</t>
        </is>
      </c>
      <c r="P183" s="44" t="inlineStr">
        <is>
          <t>Condition Fré
&lt;= que</t>
        </is>
      </c>
      <c r="Q183" s="1709" t="inlineStr">
        <is>
          <t>Condition respectée</t>
        </is>
      </c>
      <c r="R183" s="1708" t="inlineStr">
        <is>
          <t>Condition Fréq. 
&gt;= que</t>
        </is>
      </c>
      <c r="S183" s="44" t="inlineStr">
        <is>
          <t>Condition Fré
&lt;= que</t>
        </is>
      </c>
      <c r="T183" s="1709" t="inlineStr">
        <is>
          <t>Condition respectée</t>
        </is>
      </c>
      <c r="U183" s="851" t="n"/>
      <c r="V183" s="1008" t="inlineStr">
        <is>
          <t>Condition</t>
        </is>
      </c>
      <c r="W183" s="1472" t="inlineStr">
        <is>
          <t>AP</t>
        </is>
      </c>
      <c r="X183" s="1008" t="inlineStr">
        <is>
          <t>Condition</t>
        </is>
      </c>
      <c r="Y183" s="1476" t="inlineStr">
        <is>
          <t>CL</t>
        </is>
      </c>
      <c r="Z183" s="1008" t="n"/>
      <c r="AA183" s="1480" t="inlineStr">
        <is>
          <t>CSS</t>
        </is>
      </c>
      <c r="AC183" s="1023" t="inlineStr">
        <is>
          <t>AP</t>
        </is>
      </c>
      <c r="AD183" s="1024" t="inlineStr">
        <is>
          <t>AP_F</t>
        </is>
      </c>
      <c r="AE183" s="1023" t="inlineStr">
        <is>
          <t>CL</t>
        </is>
      </c>
      <c r="AF183" s="1024" t="inlineStr">
        <is>
          <t>CL_F</t>
        </is>
      </c>
      <c r="AG183" s="1023" t="inlineStr">
        <is>
          <t>CSS</t>
        </is>
      </c>
      <c r="AH183" s="1024" t="inlineStr">
        <is>
          <t>CSS_F</t>
        </is>
      </c>
      <c r="AI183" s="10" t="n"/>
      <c r="AJ183" s="10" t="n"/>
      <c r="AK183" s="10" t="n"/>
    </row>
    <row r="184" hidden="1">
      <c r="B184" s="421" t="n"/>
      <c r="C184" s="2066" t="n"/>
      <c r="D184" s="102" t="n"/>
      <c r="E184" s="823" t="n"/>
      <c r="F184" s="822" t="n"/>
      <c r="G184" s="823" t="n"/>
      <c r="H184" s="1735" t="n">
        <v>11</v>
      </c>
      <c r="I184" s="1736" t="n">
        <v>11</v>
      </c>
      <c r="J184" s="46">
        <f>IF(AND(E184&gt;=H184,E184&lt;=I184),TRUE,FALSE)</f>
        <v/>
      </c>
      <c r="K184" s="46" t="n"/>
      <c r="L184" s="46" t="n"/>
      <c r="M184" s="46" t="n"/>
      <c r="N184" s="1711" t="n"/>
      <c r="O184" s="1735" t="n">
        <v>11</v>
      </c>
      <c r="P184" s="1736" t="n">
        <v>11</v>
      </c>
      <c r="Q184" s="1711">
        <f>IF(AND(E184&gt;=O184,E184&lt;=P184),TRUE,FALSE)</f>
        <v/>
      </c>
      <c r="R184" s="1735" t="n">
        <v>11</v>
      </c>
      <c r="S184" s="1736" t="n">
        <v>11</v>
      </c>
      <c r="T184" s="1711">
        <f>IF(AND(E184&gt;=R184,E184&lt;=S184),TRUE,FALSE)</f>
        <v/>
      </c>
      <c r="U184" s="978" t="n"/>
      <c r="V184" s="1484" t="n"/>
      <c r="W184" s="1517" t="n">
        <v>11</v>
      </c>
      <c r="X184" s="1528" t="n"/>
      <c r="Y184" s="1527" t="n">
        <v>11</v>
      </c>
      <c r="Z184" s="2029" t="n"/>
      <c r="AA184" s="1529" t="n">
        <v>11</v>
      </c>
      <c r="AC184" s="1011" t="n"/>
      <c r="AD184" s="1012" t="n"/>
      <c r="AE184" s="1011" t="n"/>
      <c r="AF184" s="1012" t="n"/>
      <c r="AG184" s="1011" t="n"/>
      <c r="AH184" s="1012" t="n"/>
      <c r="AI184" s="10" t="n"/>
      <c r="AJ184" s="10" t="n"/>
      <c r="AK184" s="10" t="n"/>
    </row>
    <row r="185" hidden="1">
      <c r="B185" s="421" t="n"/>
      <c r="C185" s="2066" t="n"/>
      <c r="D185" s="102" t="n"/>
      <c r="E185" s="823" t="n"/>
      <c r="F185" s="822" t="n"/>
      <c r="G185" s="823" t="n"/>
      <c r="H185" s="1735" t="n">
        <v>11</v>
      </c>
      <c r="I185" s="1736" t="n">
        <v>11</v>
      </c>
      <c r="J185" s="46">
        <f>IF(AND(E185&gt;=H185,E185&lt;=I185),TRUE,FALSE)</f>
        <v/>
      </c>
      <c r="K185" s="46" t="n"/>
      <c r="L185" s="46" t="n"/>
      <c r="M185" s="46" t="n"/>
      <c r="N185" s="1711" t="n"/>
      <c r="O185" s="1735" t="n">
        <v>11</v>
      </c>
      <c r="P185" s="1736" t="n">
        <v>11</v>
      </c>
      <c r="Q185" s="1711">
        <f>IF(AND(E185&gt;=O185,E185&lt;=P185),TRUE,FALSE)</f>
        <v/>
      </c>
      <c r="R185" s="1735" t="n">
        <v>11</v>
      </c>
      <c r="S185" s="1736" t="n">
        <v>11</v>
      </c>
      <c r="T185" s="1711">
        <f>IF(AND(E185&gt;=R185,E185&lt;=S185),TRUE,FALSE)</f>
        <v/>
      </c>
      <c r="U185" s="978" t="n"/>
      <c r="V185" s="1487" t="inlineStr">
        <is>
          <t>ou</t>
        </is>
      </c>
      <c r="W185" s="1518" t="n">
        <v>11</v>
      </c>
      <c r="X185" s="1522" t="n"/>
      <c r="Y185" s="1521" t="n">
        <v>11</v>
      </c>
      <c r="Z185" s="1507" t="n"/>
      <c r="AA185" s="1523" t="n">
        <v>11</v>
      </c>
      <c r="AC185" s="1013" t="n"/>
      <c r="AD185" s="1014" t="n"/>
      <c r="AE185" s="1013" t="n"/>
      <c r="AF185" s="1014" t="n"/>
      <c r="AG185" s="1013" t="n"/>
      <c r="AH185" s="1014" t="n"/>
      <c r="AI185" s="10" t="n"/>
      <c r="AJ185" s="10" t="n"/>
      <c r="AK185" s="10" t="n"/>
    </row>
    <row r="186" hidden="1">
      <c r="B186" s="825" t="n"/>
      <c r="C186" s="826" t="n"/>
      <c r="D186" s="827" t="n"/>
      <c r="E186" s="828" t="n"/>
      <c r="F186" s="828" t="n"/>
      <c r="G186" s="828" t="n"/>
      <c r="H186" s="1712" t="n"/>
      <c r="I186" s="829" t="n"/>
      <c r="J186" s="830">
        <f>IF(AND(J184=FALSE,J185=FALSE),FALSE,TRUE)</f>
        <v/>
      </c>
      <c r="K186" s="46" t="n"/>
      <c r="L186" s="46" t="n"/>
      <c r="M186" s="46" t="n"/>
      <c r="N186" s="1711" t="n"/>
      <c r="O186" s="1712" t="n"/>
      <c r="P186" s="829" t="n"/>
      <c r="Q186" s="1725">
        <f>IF(AND(Q184=FALSE,Q185=FALSE),FALSE,TRUE)</f>
        <v/>
      </c>
      <c r="R186" s="1712" t="n"/>
      <c r="S186" s="829" t="n"/>
      <c r="T186" s="1725">
        <f>IF(AND(T184=FALSE,T185=FALSE),FALSE,TRUE)</f>
        <v/>
      </c>
      <c r="U186" s="978" t="n"/>
      <c r="V186" s="978" t="inlineStr">
        <is>
          <t>ou</t>
        </is>
      </c>
      <c r="W186" s="1519" t="n"/>
      <c r="X186" s="1525" t="n"/>
      <c r="Y186" s="1524" t="n"/>
      <c r="Z186" s="2002" t="n"/>
      <c r="AA186" s="1526" t="n"/>
      <c r="AC186" s="1013" t="n"/>
      <c r="AD186" s="1014" t="n"/>
      <c r="AE186" s="1013" t="n"/>
      <c r="AF186" s="1014" t="n"/>
      <c r="AG186" s="1013" t="n"/>
      <c r="AH186" s="1014" t="n"/>
      <c r="AI186" s="10" t="n"/>
      <c r="AJ186" s="10" t="n"/>
      <c r="AK186" s="10" t="n"/>
    </row>
    <row r="187" hidden="1">
      <c r="B187" s="53" t="n"/>
      <c r="C187" s="2066" t="n"/>
      <c r="D187" s="102" t="n"/>
      <c r="E187" s="823" t="n"/>
      <c r="F187" s="822" t="n"/>
      <c r="G187" s="823" t="n"/>
      <c r="H187" s="1735" t="n">
        <v>11</v>
      </c>
      <c r="I187" s="1736" t="n">
        <v>11</v>
      </c>
      <c r="J187" s="46">
        <f>IF(AND(E187&gt;=H187,E187&lt;=I187),TRUE,FALSE)</f>
        <v/>
      </c>
      <c r="K187" s="46" t="n"/>
      <c r="L187" s="46" t="n"/>
      <c r="M187" s="46" t="n"/>
      <c r="N187" s="1711" t="n"/>
      <c r="O187" s="1735" t="n">
        <v>11</v>
      </c>
      <c r="P187" s="1736" t="n">
        <v>11</v>
      </c>
      <c r="Q187" s="1711">
        <f>IF(AND(E187&gt;=O187,E187&lt;=P187),TRUE,FALSE)</f>
        <v/>
      </c>
      <c r="R187" s="1735" t="n">
        <v>11</v>
      </c>
      <c r="S187" s="1736" t="n">
        <v>11</v>
      </c>
      <c r="T187" s="1711">
        <f>IF(AND(E187&gt;=R187,E187&lt;=S187),TRUE,FALSE)</f>
        <v/>
      </c>
      <c r="U187" s="978" t="n"/>
      <c r="V187" s="1484" t="n"/>
      <c r="W187" s="1517" t="n">
        <v>11</v>
      </c>
      <c r="X187" s="1528" t="n"/>
      <c r="Y187" s="1527" t="n">
        <v>11</v>
      </c>
      <c r="Z187" s="2029" t="n"/>
      <c r="AA187" s="1529" t="n">
        <v>11</v>
      </c>
      <c r="AC187" s="1013" t="n"/>
      <c r="AD187" s="1014" t="n"/>
      <c r="AE187" s="1013" t="n"/>
      <c r="AF187" s="1014" t="n"/>
      <c r="AG187" s="1013" t="n"/>
      <c r="AH187" s="1014" t="n"/>
      <c r="AI187" s="10" t="n"/>
      <c r="AJ187" s="10" t="n"/>
      <c r="AK187" s="10" t="n"/>
    </row>
    <row r="188" hidden="1">
      <c r="B188" s="53" t="n"/>
      <c r="C188" s="2066" t="n"/>
      <c r="D188" s="102" t="n"/>
      <c r="E188" s="823" t="n"/>
      <c r="F188" s="822" t="n"/>
      <c r="G188" s="823" t="n"/>
      <c r="H188" s="1735" t="n">
        <v>11</v>
      </c>
      <c r="I188" s="1736" t="n">
        <v>11</v>
      </c>
      <c r="J188" s="46">
        <f>IF(AND(E188&gt;=H188,E188&lt;=I188),TRUE,FALSE)</f>
        <v/>
      </c>
      <c r="K188" s="46" t="n"/>
      <c r="L188" s="46" t="n"/>
      <c r="M188" s="46" t="n"/>
      <c r="N188" s="1711" t="n"/>
      <c r="O188" s="1735" t="n">
        <v>11</v>
      </c>
      <c r="P188" s="1736" t="n">
        <v>11</v>
      </c>
      <c r="Q188" s="1711">
        <f>IF(AND(E188&gt;=O188,E188&lt;=P188),TRUE,FALSE)</f>
        <v/>
      </c>
      <c r="R188" s="1735" t="n">
        <v>11</v>
      </c>
      <c r="S188" s="1736" t="n">
        <v>11</v>
      </c>
      <c r="T188" s="1711">
        <f>IF(AND(E188&gt;=R188,E188&lt;=S188),TRUE,FALSE)</f>
        <v/>
      </c>
      <c r="U188" s="978" t="n"/>
      <c r="V188" s="1487" t="inlineStr">
        <is>
          <t>ou</t>
        </is>
      </c>
      <c r="W188" s="1518" t="n">
        <v>11</v>
      </c>
      <c r="X188" s="1522" t="n"/>
      <c r="Y188" s="1521" t="n">
        <v>11</v>
      </c>
      <c r="Z188" s="1493" t="n"/>
      <c r="AA188" s="1523" t="n">
        <v>11</v>
      </c>
      <c r="AC188" s="1013" t="n"/>
      <c r="AD188" s="1014" t="n"/>
      <c r="AE188" s="1013" t="n"/>
      <c r="AF188" s="1014" t="n"/>
      <c r="AG188" s="1013" t="n"/>
      <c r="AH188" s="1014" t="n"/>
      <c r="AI188" s="10" t="n"/>
      <c r="AJ188" s="10" t="n"/>
      <c r="AK188" s="10" t="n"/>
    </row>
    <row r="189" hidden="1" ht="17" customHeight="1" thickBot="1">
      <c r="B189" s="831" t="n"/>
      <c r="C189" s="832" t="n"/>
      <c r="D189" s="833" t="n"/>
      <c r="E189" s="834" t="n"/>
      <c r="F189" s="834" t="n"/>
      <c r="G189" s="834" t="n"/>
      <c r="H189" s="1713" t="n"/>
      <c r="I189" s="835" t="n"/>
      <c r="J189" s="836">
        <f>IF(AND(J187=FALSE,J188=FALSE),FALSE,TRUE)</f>
        <v/>
      </c>
      <c r="K189" s="46" t="n"/>
      <c r="L189" s="46" t="n"/>
      <c r="M189" s="46" t="n"/>
      <c r="N189" s="1711" t="n"/>
      <c r="O189" s="1713" t="n"/>
      <c r="P189" s="835" t="n"/>
      <c r="Q189" s="1726">
        <f>IF(AND(Q187=FALSE,Q188=FALSE),FALSE,TRUE)</f>
        <v/>
      </c>
      <c r="R189" s="1713" t="n"/>
      <c r="S189" s="835" t="n"/>
      <c r="T189" s="1726">
        <f>IF(AND(T187=FALSE,T188=FALSE),FALSE,TRUE)</f>
        <v/>
      </c>
      <c r="U189" s="978" t="n"/>
      <c r="V189" s="978" t="n"/>
      <c r="W189" s="1473" t="n"/>
      <c r="X189" s="2002" t="n"/>
      <c r="Y189" s="1478" t="n"/>
      <c r="Z189" s="2002" t="n"/>
      <c r="AA189" s="1481" t="n"/>
      <c r="AC189" s="1013" t="n"/>
      <c r="AD189" s="1014" t="n"/>
      <c r="AE189" s="1013" t="n"/>
      <c r="AF189" s="1014" t="n"/>
      <c r="AG189" s="1013" t="n"/>
      <c r="AH189" s="1014" t="n"/>
      <c r="AI189" s="10" t="n"/>
      <c r="AJ189" s="10" t="n"/>
      <c r="AK189" s="10" t="n"/>
    </row>
    <row r="190" ht="17" customHeight="1" thickBot="1">
      <c r="B190" s="837" t="n"/>
      <c r="C190" s="838" t="n"/>
      <c r="D190" s="838" t="n"/>
      <c r="E190" s="839" t="n"/>
      <c r="F190" s="839" t="n"/>
      <c r="G190" s="839" t="n"/>
      <c r="H190" s="1714" t="n"/>
      <c r="I190" s="840" t="n"/>
      <c r="J190" s="841">
        <f>IF(AND(J186=FALSE,J189=FALSE),FALSE,TRUE)</f>
        <v/>
      </c>
      <c r="K190" s="1698" t="n"/>
      <c r="L190" s="1698" t="n"/>
      <c r="M190" s="1698" t="n"/>
      <c r="N190" s="1715" t="n"/>
      <c r="O190" s="1714" t="n"/>
      <c r="P190" s="840" t="n"/>
      <c r="Q190" s="841">
        <f>IF(AND(Q186=FALSE,Q189=FALSE),FALSE,TRUE)</f>
        <v/>
      </c>
      <c r="R190" s="1714" t="n"/>
      <c r="S190" s="840" t="n"/>
      <c r="T190" s="841">
        <f>IF(AND(T186=FALSE,T189=FALSE),FALSE,TRUE)</f>
        <v/>
      </c>
      <c r="U190" s="978" t="n"/>
      <c r="V190" s="978" t="inlineStr">
        <is>
          <t>et</t>
        </is>
      </c>
      <c r="W190" s="1473" t="n"/>
      <c r="X190" s="2002" t="n"/>
      <c r="Y190" s="1478" t="n"/>
      <c r="Z190" s="2002" t="n"/>
      <c r="AA190" s="1481" t="n"/>
      <c r="AC190" s="1013">
        <f>IF(J190=TRUE,"V","F")</f>
        <v/>
      </c>
      <c r="AD190" s="1014" t="n"/>
      <c r="AE190" s="1013">
        <f>IF(Q190=TRUE,"V","F")</f>
        <v/>
      </c>
      <c r="AF190" s="1014" t="n"/>
      <c r="AG190" s="1013">
        <f>IF(T190=TRUE,"V","F")</f>
        <v/>
      </c>
      <c r="AH190" s="1014" t="n"/>
      <c r="AI190" s="10" t="n"/>
      <c r="AJ190" s="10" t="n"/>
      <c r="AK190" s="10" t="n"/>
    </row>
    <row r="191" ht="50" customHeight="1">
      <c r="B191" s="316">
        <f>'CPTS indépendants'!O32</f>
        <v/>
      </c>
      <c r="C191" s="2066">
        <f>Test_Bible!B278</f>
        <v/>
      </c>
      <c r="D191" s="102" t="n"/>
      <c r="E191" s="823">
        <f>Test_Bible!P278</f>
        <v/>
      </c>
      <c r="F191" s="822">
        <f>Test_Bible!D278</f>
        <v/>
      </c>
      <c r="G191" s="823">
        <f>E191*F191</f>
        <v/>
      </c>
      <c r="H191" s="1710" t="n">
        <v>7</v>
      </c>
      <c r="I191" s="1703" t="n">
        <v>10</v>
      </c>
      <c r="J191" s="46">
        <f>IF(AND(E191&gt;=H191,E191&lt;=I191),TRUE,FALSE)</f>
        <v/>
      </c>
      <c r="K191" s="46" t="n"/>
      <c r="L191" s="46" t="n"/>
      <c r="M191" s="46" t="n"/>
      <c r="N191" s="1711" t="n"/>
      <c r="O191" s="1710" t="n">
        <v>2</v>
      </c>
      <c r="P191" s="1703" t="n">
        <v>10</v>
      </c>
      <c r="Q191" s="1711">
        <f>IF(AND(E191&gt;=O191,E191&lt;=P191),TRUE,FALSE)</f>
        <v/>
      </c>
      <c r="R191" s="1710" t="n"/>
      <c r="S191" s="1703" t="n"/>
      <c r="T191" s="1711" t="n"/>
      <c r="U191" s="978" t="n"/>
      <c r="V191" s="1484" t="n"/>
      <c r="W191" s="1485" t="n">
        <v>7</v>
      </c>
      <c r="X191" s="2029" t="n"/>
      <c r="Y191" s="1489" t="n">
        <v>4</v>
      </c>
      <c r="Z191" s="2029" t="n"/>
      <c r="AA191" s="1497" t="n">
        <v>11</v>
      </c>
      <c r="AC191" s="1013" t="n"/>
      <c r="AD191" s="1014" t="n"/>
      <c r="AE191" s="1013" t="n"/>
      <c r="AF191" s="1014" t="n"/>
      <c r="AG191" s="1013" t="n"/>
      <c r="AH191" s="1014" t="n"/>
      <c r="AI191" s="10" t="n"/>
      <c r="AJ191" s="10" t="n"/>
      <c r="AK191" s="10" t="n"/>
    </row>
    <row r="192" ht="54" customHeight="1">
      <c r="B192" s="316">
        <f>'CPTS indépendants'!O33</f>
        <v/>
      </c>
      <c r="C192" s="2066">
        <f>Test_Bible!B265</f>
        <v/>
      </c>
      <c r="D192" s="102" t="n"/>
      <c r="E192" s="823">
        <f>Test_Bible!P265</f>
        <v/>
      </c>
      <c r="F192" s="823">
        <f>Test_Bible!D265</f>
        <v/>
      </c>
      <c r="G192" s="823">
        <f>E192*F192</f>
        <v/>
      </c>
      <c r="H192" s="1710" t="n">
        <v>4</v>
      </c>
      <c r="I192" s="1703" t="n">
        <v>10</v>
      </c>
      <c r="J192" s="46">
        <f>IF(AND(E192&gt;=H192,E192&lt;=I192),TRUE,FALSE)</f>
        <v/>
      </c>
      <c r="K192" s="46" t="n"/>
      <c r="L192" s="46" t="n"/>
      <c r="M192" s="46" t="n"/>
      <c r="N192" s="1711" t="n"/>
      <c r="O192" s="1710" t="n">
        <v>2</v>
      </c>
      <c r="P192" s="1703" t="n">
        <v>10</v>
      </c>
      <c r="Q192" s="1711">
        <f>IF(AND(E192&gt;=O192,E192&lt;=P192),TRUE,FALSE)</f>
        <v/>
      </c>
      <c r="R192" s="1735" t="n"/>
      <c r="S192" s="1736" t="n"/>
      <c r="T192" s="1711" t="n"/>
      <c r="U192" s="978" t="n"/>
      <c r="V192" s="1491" t="n"/>
      <c r="W192" s="1473" t="n">
        <v>4</v>
      </c>
      <c r="X192" s="2002" t="n"/>
      <c r="Y192" s="1478" t="n">
        <v>2</v>
      </c>
      <c r="Z192" s="2002" t="n"/>
      <c r="AA192" s="1513" t="n">
        <v>11</v>
      </c>
      <c r="AC192" s="1013" t="n"/>
      <c r="AD192" s="1014" t="n"/>
      <c r="AE192" s="1013" t="n"/>
      <c r="AF192" s="1014" t="n"/>
      <c r="AG192" s="1013" t="n"/>
      <c r="AH192" s="1014" t="n"/>
      <c r="AI192" s="10" t="n"/>
      <c r="AJ192" s="10" t="n"/>
      <c r="AK192" s="10" t="n"/>
    </row>
    <row r="193" ht="50" customHeight="1" thickBot="1">
      <c r="B193" s="22">
        <f>'CPTS indépendants'!O34</f>
        <v/>
      </c>
      <c r="C193" s="799">
        <f>Test_Bible!B266</f>
        <v/>
      </c>
      <c r="D193" s="799">
        <f>Test_Bible!C266</f>
        <v/>
      </c>
      <c r="E193" s="928">
        <f>Test_Bible!P266</f>
        <v/>
      </c>
      <c r="F193" s="928">
        <f>Test_Bible!D266</f>
        <v/>
      </c>
      <c r="G193" s="928">
        <f>E193*F193</f>
        <v/>
      </c>
      <c r="H193" s="1710" t="n">
        <v>4</v>
      </c>
      <c r="I193" s="1703" t="n">
        <v>10</v>
      </c>
      <c r="J193" s="46">
        <f>IF(AND(E193&gt;=H193,E193&lt;=I193),TRUE,FALSE)</f>
        <v/>
      </c>
      <c r="K193" s="46" t="n"/>
      <c r="L193" s="46" t="n"/>
      <c r="M193" s="46" t="n"/>
      <c r="N193" s="1711" t="n"/>
      <c r="O193" s="1710" t="n">
        <v>2</v>
      </c>
      <c r="P193" s="1703" t="n">
        <v>10</v>
      </c>
      <c r="Q193" s="1711">
        <f>IF(AND(E193&gt;=O193,E193&lt;=P193),TRUE,FALSE)</f>
        <v/>
      </c>
      <c r="R193" s="1735" t="n"/>
      <c r="S193" s="1736" t="n"/>
      <c r="T193" s="1711" t="n"/>
      <c r="V193" s="1491" t="n"/>
      <c r="W193" s="1473" t="n">
        <v>4</v>
      </c>
      <c r="X193" s="2002" t="n"/>
      <c r="Y193" s="1478" t="n">
        <v>2</v>
      </c>
      <c r="Z193" s="2002" t="n"/>
      <c r="AA193" s="1513" t="n">
        <v>11</v>
      </c>
      <c r="AC193" s="1013" t="n"/>
      <c r="AD193" s="1014" t="n"/>
      <c r="AE193" s="1013" t="n"/>
      <c r="AF193" s="1014" t="n"/>
      <c r="AG193" s="1013" t="n"/>
      <c r="AH193" s="1014" t="n"/>
      <c r="AI193" s="10" t="n"/>
      <c r="AJ193" s="10" t="n"/>
      <c r="AK193" s="10" t="n"/>
    </row>
    <row r="194" ht="24" customHeight="1" thickBot="1">
      <c r="B194" s="842" t="n"/>
      <c r="C194" s="843" t="n"/>
      <c r="D194" s="843" t="n"/>
      <c r="E194" s="844" t="n"/>
      <c r="F194" s="844" t="n"/>
      <c r="G194" s="844" t="n"/>
      <c r="H194" s="1716" t="n"/>
      <c r="I194" s="845" t="n"/>
      <c r="J194" s="846">
        <f>IF(AND(J191=FALSE,J192=FALSE,J193=FALSE),FALSE,TRUE)</f>
        <v/>
      </c>
      <c r="K194" s="1699" t="n"/>
      <c r="L194" s="1699" t="n"/>
      <c r="M194" s="1699" t="n"/>
      <c r="N194" s="1717" t="n"/>
      <c r="O194" s="1716" t="n"/>
      <c r="P194" s="845" t="n"/>
      <c r="Q194" s="846">
        <f>IF(AND(Q191=FALSE,Q192=FALSE,Q193=FALSE),FALSE,TRUE)</f>
        <v/>
      </c>
      <c r="R194" s="1716" t="n"/>
      <c r="S194" s="845" t="n"/>
      <c r="T194" s="846" t="n"/>
      <c r="U194" s="978" t="n"/>
      <c r="V194" s="1487" t="inlineStr">
        <is>
          <t>ou</t>
        </is>
      </c>
      <c r="W194" s="1506" t="n">
        <v>11</v>
      </c>
      <c r="X194" s="1507" t="n"/>
      <c r="Y194" s="1508" t="n">
        <v>11</v>
      </c>
      <c r="Z194" s="1507" t="n"/>
      <c r="AA194" s="1502" t="n">
        <v>11</v>
      </c>
      <c r="AC194" s="1013">
        <f>IF(J194=TRUE,"V","F")</f>
        <v/>
      </c>
      <c r="AD194" s="1014" t="n"/>
      <c r="AE194" s="1013">
        <f>IF(Q194=TRUE,"V","F")</f>
        <v/>
      </c>
      <c r="AF194" s="1014" t="n"/>
      <c r="AG194" s="1013" t="n"/>
      <c r="AH194" s="1014" t="n"/>
      <c r="AI194" s="10" t="n"/>
      <c r="AJ194" s="10" t="n"/>
      <c r="AK194" s="10" t="n"/>
    </row>
    <row r="195">
      <c r="C195" s="428" t="n"/>
      <c r="D195" s="2058" t="n"/>
      <c r="E195" s="484" t="n"/>
      <c r="F195" s="48" t="n"/>
      <c r="G195" s="48" t="n"/>
      <c r="H195" s="1718" t="n"/>
      <c r="I195" s="485" t="n"/>
      <c r="J195" s="1701" t="n"/>
      <c r="K195" s="1702" t="n"/>
      <c r="L195" s="1702" t="n"/>
      <c r="M195" s="1702" t="n"/>
      <c r="N195" s="1719" t="n"/>
      <c r="O195" s="1718" t="n"/>
      <c r="P195" s="485" t="n"/>
      <c r="Q195" s="1727" t="n"/>
      <c r="R195" s="1718" t="n"/>
      <c r="S195" s="485" t="n"/>
      <c r="T195" s="1727" t="n"/>
      <c r="U195" s="978" t="n"/>
      <c r="V195" s="978" t="n"/>
      <c r="W195" s="1475" t="n"/>
      <c r="Y195" s="1479" t="n"/>
      <c r="AA195" s="1483" t="n"/>
      <c r="AC195" s="1015" t="n"/>
      <c r="AD195" s="1016">
        <f>IF(AND(AC191="V",AC194="V"),2,IF(OR(AC191="V",AC194="V"),1,0))</f>
        <v/>
      </c>
      <c r="AE195" s="1015" t="n"/>
      <c r="AF195" s="1016">
        <f>IF(OR(AE191="V",AE194="V"),1,0)</f>
        <v/>
      </c>
      <c r="AG195" s="1015" t="n"/>
      <c r="AH195" s="1016" t="n"/>
      <c r="AI195" s="10" t="n"/>
      <c r="AJ195" s="10" t="n"/>
      <c r="AK195" s="10" t="n"/>
    </row>
    <row r="196">
      <c r="H196" s="147" t="n"/>
      <c r="K196" s="1992" t="n"/>
      <c r="L196" s="1992" t="n"/>
      <c r="M196" s="1992" t="n"/>
      <c r="N196" s="1740" t="n"/>
      <c r="O196" s="147" t="n"/>
      <c r="Q196" s="330" t="n"/>
      <c r="R196" s="147" t="n"/>
      <c r="T196" s="330" t="n"/>
      <c r="U196" s="1754" t="n"/>
      <c r="V196" s="980" t="n"/>
      <c r="W196" s="1475" t="n"/>
      <c r="Y196" s="1479" t="n"/>
      <c r="AA196" s="1483" t="n"/>
      <c r="AC196" s="1013" t="n"/>
      <c r="AD196" s="1014" t="n"/>
      <c r="AE196" s="1013" t="n"/>
      <c r="AF196" s="1014" t="n"/>
      <c r="AG196" s="1013" t="n"/>
      <c r="AH196" s="1014" t="n"/>
      <c r="AI196" s="10" t="n"/>
      <c r="AJ196" s="10" t="n"/>
      <c r="AK196" s="10" t="n"/>
    </row>
    <row r="197">
      <c r="B197" s="1017" t="n"/>
      <c r="C197" s="1018" t="n"/>
      <c r="D197" s="1018" t="n"/>
      <c r="E197" s="1026" t="n"/>
      <c r="F197" s="1026" t="n"/>
      <c r="G197" s="1026" t="n"/>
      <c r="H197" s="1735" t="n">
        <v>11</v>
      </c>
      <c r="I197" s="1736" t="n">
        <v>11</v>
      </c>
      <c r="J197" s="46">
        <f>IF(AND(E196&gt;=H197,E196&lt;=I197),TRUE,FALSE)</f>
        <v/>
      </c>
      <c r="K197" s="33" t="n"/>
      <c r="L197" s="33" t="n"/>
      <c r="M197" s="33" t="n"/>
      <c r="N197" s="1720" t="n"/>
      <c r="O197" s="1735" t="n">
        <v>11</v>
      </c>
      <c r="P197" s="1736" t="n">
        <v>11</v>
      </c>
      <c r="Q197" s="1711">
        <f>IF(AND(E196&gt;=O197,E196&lt;=P197),TRUE,FALSE)</f>
        <v/>
      </c>
      <c r="R197" s="1735" t="n">
        <v>11</v>
      </c>
      <c r="S197" s="1736" t="n">
        <v>11</v>
      </c>
      <c r="T197" s="1711">
        <f>IF(AND(E196&gt;=R197,E196&lt;=S197),TRUE,FALSE)</f>
        <v/>
      </c>
      <c r="W197" s="1475" t="n"/>
      <c r="Y197" s="1479" t="n"/>
      <c r="AA197" s="1483" t="n"/>
      <c r="AC197" s="1013" t="n"/>
      <c r="AD197" s="1014" t="n"/>
      <c r="AE197" s="1013" t="n"/>
      <c r="AF197" s="1014" t="n"/>
      <c r="AG197" s="1013" t="n"/>
      <c r="AH197" s="1014" t="n"/>
      <c r="AI197" s="10" t="n"/>
      <c r="AJ197" s="10" t="n"/>
      <c r="AK197" s="10" t="n"/>
    </row>
    <row r="198" ht="20" customHeight="1" thickBot="1">
      <c r="B198" s="1017" t="n"/>
      <c r="C198" s="1025" t="n"/>
      <c r="D198" s="1018" t="n"/>
      <c r="E198" s="1026" t="n"/>
      <c r="F198" s="1026" t="n"/>
      <c r="G198" s="1026" t="n"/>
      <c r="H198" s="1735" t="n">
        <v>11</v>
      </c>
      <c r="I198" s="1736" t="n">
        <v>11</v>
      </c>
      <c r="J198" s="46">
        <f>IF(AND(E197&gt;=H198,E197&lt;=I198),TRUE,FALSE)</f>
        <v/>
      </c>
      <c r="K198" s="33" t="n"/>
      <c r="L198" s="33" t="n"/>
      <c r="M198" s="33" t="n"/>
      <c r="N198" s="1720" t="n"/>
      <c r="O198" s="1735" t="n">
        <v>11</v>
      </c>
      <c r="P198" s="1736" t="n">
        <v>11</v>
      </c>
      <c r="Q198" s="1711">
        <f>IF(AND(E197&gt;=O198,E197&lt;=P198),TRUE,FALSE)</f>
        <v/>
      </c>
      <c r="R198" s="1735" t="n">
        <v>11</v>
      </c>
      <c r="S198" s="1736" t="n">
        <v>11</v>
      </c>
      <c r="T198" s="1711">
        <f>IF(AND(E197&gt;=R198,E197&lt;=S198),TRUE,FALSE)</f>
        <v/>
      </c>
      <c r="U198" s="978" t="n"/>
      <c r="V198" s="1509" t="n"/>
      <c r="W198" s="1503" t="n">
        <v>11</v>
      </c>
      <c r="X198" s="2029" t="n"/>
      <c r="Y198" s="1505" t="n">
        <v>11</v>
      </c>
      <c r="Z198" s="2029" t="n"/>
      <c r="AA198" s="1529" t="n">
        <v>11</v>
      </c>
      <c r="AC198" s="1013" t="n"/>
      <c r="AD198" s="1014" t="n"/>
      <c r="AE198" s="1013" t="n"/>
      <c r="AF198" s="1014" t="n"/>
      <c r="AG198" s="1013" t="n"/>
      <c r="AH198" s="1014" t="n"/>
      <c r="AI198" s="10" t="n"/>
      <c r="AJ198" s="10" t="n"/>
      <c r="AK198" s="10" t="n"/>
    </row>
    <row r="199" ht="27" customHeight="1" thickBot="1">
      <c r="A199" s="686" t="n"/>
      <c r="C199" s="2073" t="n"/>
      <c r="D199" s="2073" t="n"/>
      <c r="E199" s="90" t="n"/>
      <c r="F199" s="483" t="n"/>
      <c r="G199" s="483" t="n"/>
      <c r="H199" s="1732" t="n"/>
      <c r="I199" s="1733" t="n"/>
      <c r="J199" s="1739">
        <f>IF(AND(J197=FALSE,J198=FALSE),FALSE,TRUE)</f>
        <v/>
      </c>
      <c r="K199" s="1721" t="n"/>
      <c r="L199" s="1722" t="n"/>
      <c r="M199" s="1722" t="n"/>
      <c r="N199" s="1723" t="n"/>
      <c r="O199" s="1732" t="n"/>
      <c r="P199" s="1733" t="n"/>
      <c r="Q199" s="1739">
        <f>IF(AND(Q197=FALSE,Q198=FALSE),FALSE,TRUE)</f>
        <v/>
      </c>
      <c r="R199" s="1744" t="n"/>
      <c r="S199" s="1745" t="n"/>
      <c r="T199" s="1746">
        <f>IF(AND(T197=FALSE,T198=FALSE),FALSE,TRUE)</f>
        <v/>
      </c>
      <c r="U199" s="978" t="n"/>
      <c r="V199" s="1510" t="n"/>
      <c r="W199" s="1506" t="n">
        <v>11</v>
      </c>
      <c r="X199" s="1507" t="n"/>
      <c r="Y199" s="1508" t="n">
        <v>11</v>
      </c>
      <c r="Z199" s="1507" t="n"/>
      <c r="AA199" s="1502" t="n">
        <v>11</v>
      </c>
      <c r="AC199" s="1650">
        <f>IF(J199=TRUE,"V","F")</f>
        <v/>
      </c>
      <c r="AD199" s="1651" t="n"/>
      <c r="AE199" s="1650">
        <f>IF(Q199=TRUE,"V","F")</f>
        <v/>
      </c>
      <c r="AF199" s="1651" t="n"/>
      <c r="AG199" s="1650">
        <f>IF(T199=TRUE,"V","F")</f>
        <v/>
      </c>
      <c r="AH199" s="1651" t="n"/>
      <c r="AI199" s="10" t="n"/>
      <c r="AJ199" s="10" t="n"/>
      <c r="AK199" s="10" t="n"/>
    </row>
    <row r="200" ht="21" customHeight="1">
      <c r="H200" s="2002" t="n"/>
      <c r="I200" s="2002" t="n"/>
      <c r="J200" s="979" t="n"/>
      <c r="K200" s="979" t="n"/>
      <c r="L200" s="979" t="n"/>
      <c r="M200" s="979" t="n"/>
      <c r="N200" s="979" t="n"/>
      <c r="O200" s="979" t="n"/>
      <c r="P200" s="979" t="n"/>
      <c r="Q200" s="979" t="n"/>
      <c r="R200" s="979" t="n"/>
      <c r="S200" s="979" t="n"/>
      <c r="T200" s="979" t="n"/>
      <c r="U200" s="979" t="n"/>
      <c r="AC200" s="1737" t="n"/>
      <c r="AD200" s="1738">
        <f>IF(AND(AC199="V",AC191="V"),AD195-1,AD195)</f>
        <v/>
      </c>
      <c r="AE200" s="1737" t="n"/>
      <c r="AF200" s="1738">
        <f>IF(OR(AE191="V",AE194="V",AE199="V"),1,0)</f>
        <v/>
      </c>
      <c r="AG200" s="1737" t="n"/>
      <c r="AH200" s="1738">
        <f>IF(AG191="V",1,IF(AG199="V",1,0))</f>
        <v/>
      </c>
      <c r="AI200" s="10" t="n">
        <v>1</v>
      </c>
      <c r="AJ200" s="10" t="n">
        <v>1</v>
      </c>
      <c r="AK200" s="10" t="n"/>
    </row>
    <row r="201">
      <c r="AC201" s="1756" t="inlineStr">
        <is>
          <t>Indice boosté</t>
        </is>
      </c>
      <c r="AD201" s="1757">
        <f>IF(AF200=1,AD200*(1+$AH$28),AD200)</f>
        <v/>
      </c>
      <c r="AI201" s="10" t="n"/>
      <c r="AJ201" s="10" t="n"/>
      <c r="AK201" s="10" t="n"/>
    </row>
    <row r="202">
      <c r="AI202" s="10" t="n"/>
      <c r="AJ202" s="10" t="n"/>
      <c r="AK202" s="10" t="n"/>
    </row>
    <row r="203" ht="26" customHeight="1">
      <c r="A203" s="853" t="n">
        <v>11</v>
      </c>
      <c r="C203" s="486">
        <f>'CPTS indépendants'!F36</f>
        <v/>
      </c>
      <c r="D203" s="108" t="n"/>
      <c r="E203" s="66" t="n"/>
      <c r="F203" s="18" t="n"/>
      <c r="G203" s="18" t="n"/>
      <c r="H203" s="2052" t="inlineStr">
        <is>
          <t>AP</t>
        </is>
      </c>
      <c r="K203" s="2055" t="inlineStr">
        <is>
          <t>Dynamique d'AP</t>
        </is>
      </c>
      <c r="N203" s="330" t="n"/>
      <c r="O203" s="2122" t="inlineStr">
        <is>
          <t>CL</t>
        </is>
      </c>
      <c r="Q203" s="330" t="n"/>
      <c r="R203" s="2123" t="inlineStr">
        <is>
          <t>CSS</t>
        </is>
      </c>
      <c r="T203" s="330" t="n"/>
      <c r="U203" s="15" t="n"/>
      <c r="V203" s="15" t="n"/>
      <c r="AC203" s="1009" t="n"/>
      <c r="AD203" s="1009" t="n"/>
      <c r="AE203" s="1009" t="n"/>
      <c r="AF203" s="1009" t="n"/>
      <c r="AG203" s="1009" t="n"/>
      <c r="AH203" s="1010" t="n"/>
      <c r="AI203" s="10" t="n"/>
      <c r="AJ203" s="10" t="n"/>
      <c r="AK203" s="10" t="n"/>
    </row>
    <row r="204" ht="68" customHeight="1">
      <c r="C204" s="103" t="inlineStr">
        <is>
          <t>Questions et sous-questions</t>
        </is>
      </c>
      <c r="D204" s="1043" t="n"/>
      <c r="E204" s="33" t="inlineStr">
        <is>
          <t>Valeur de base
Fréquence (F)</t>
        </is>
      </c>
      <c r="F204" s="33" t="inlineStr">
        <is>
          <t>Valeur de base
intensité (I)</t>
        </is>
      </c>
      <c r="G204" s="33" t="inlineStr">
        <is>
          <t>F * I</t>
        </is>
      </c>
      <c r="H204" s="1708" t="inlineStr">
        <is>
          <t>Condition Fréq. 
&gt;= que</t>
        </is>
      </c>
      <c r="I204" s="44" t="inlineStr">
        <is>
          <t>Condition Fré
&lt;= que</t>
        </is>
      </c>
      <c r="J204" s="44" t="inlineStr">
        <is>
          <t>Condition respectée</t>
        </is>
      </c>
      <c r="K204" s="44" t="n"/>
      <c r="L204" s="44" t="n"/>
      <c r="M204" s="44" t="n"/>
      <c r="N204" s="1709" t="n"/>
      <c r="O204" s="1708" t="inlineStr">
        <is>
          <t>Condition Fréq. 
&gt;= que</t>
        </is>
      </c>
      <c r="P204" s="44" t="inlineStr">
        <is>
          <t>Condition Fré
&lt;= que</t>
        </is>
      </c>
      <c r="Q204" s="1709" t="inlineStr">
        <is>
          <t>Condition respectée</t>
        </is>
      </c>
      <c r="R204" s="1708" t="inlineStr">
        <is>
          <t>Condition Fréq. 
&gt;= que</t>
        </is>
      </c>
      <c r="S204" s="44" t="inlineStr">
        <is>
          <t>Condition Fré
&lt;= que</t>
        </is>
      </c>
      <c r="T204" s="1709" t="inlineStr">
        <is>
          <t>Condition respectée</t>
        </is>
      </c>
      <c r="U204" s="851" t="n"/>
      <c r="V204" s="1008" t="inlineStr">
        <is>
          <t>Condition</t>
        </is>
      </c>
      <c r="W204" s="1472" t="inlineStr">
        <is>
          <t>AP</t>
        </is>
      </c>
      <c r="X204" s="1008" t="inlineStr">
        <is>
          <t>Condition</t>
        </is>
      </c>
      <c r="Y204" s="1476" t="inlineStr">
        <is>
          <t>CL</t>
        </is>
      </c>
      <c r="Z204" s="1008" t="n"/>
      <c r="AA204" s="1480" t="inlineStr">
        <is>
          <t>CSS</t>
        </is>
      </c>
      <c r="AC204" s="1023" t="inlineStr">
        <is>
          <t>AP</t>
        </is>
      </c>
      <c r="AD204" s="1024" t="inlineStr">
        <is>
          <t>AP_F</t>
        </is>
      </c>
      <c r="AE204" s="1023" t="inlineStr">
        <is>
          <t>CL</t>
        </is>
      </c>
      <c r="AF204" s="1024" t="inlineStr">
        <is>
          <t>CL_F</t>
        </is>
      </c>
      <c r="AG204" s="1023" t="inlineStr">
        <is>
          <t>CSS</t>
        </is>
      </c>
      <c r="AH204" s="1024" t="inlineStr">
        <is>
          <t>CSS_F</t>
        </is>
      </c>
      <c r="AI204" s="10" t="n"/>
      <c r="AJ204" s="10" t="n"/>
      <c r="AK204" s="10" t="n"/>
    </row>
    <row r="205">
      <c r="B205" s="421" t="n"/>
      <c r="C205" s="2066" t="n"/>
      <c r="D205" s="102" t="n"/>
      <c r="E205" s="823" t="n"/>
      <c r="F205" s="822" t="n"/>
      <c r="G205" s="823" t="n"/>
      <c r="H205" s="1735" t="n">
        <v>11</v>
      </c>
      <c r="I205" s="1736" t="n">
        <v>11</v>
      </c>
      <c r="J205" s="46">
        <f>IF(AND(E205&gt;=H205,E205&lt;=I205),TRUE,FALSE)</f>
        <v/>
      </c>
      <c r="K205" s="46" t="n"/>
      <c r="L205" s="46" t="n"/>
      <c r="M205" s="46" t="n"/>
      <c r="N205" s="1711" t="n"/>
      <c r="O205" s="1735" t="n">
        <v>11</v>
      </c>
      <c r="P205" s="1736" t="n">
        <v>11</v>
      </c>
      <c r="Q205" s="1711">
        <f>IF(AND(E205&gt;=O205,E205&lt;=P205),TRUE,FALSE)</f>
        <v/>
      </c>
      <c r="R205" s="1735" t="n">
        <v>11</v>
      </c>
      <c r="S205" s="1736" t="n">
        <v>11</v>
      </c>
      <c r="T205" s="1711">
        <f>IF(AND(E205&gt;=R205,E205&lt;=S205),TRUE,FALSE)</f>
        <v/>
      </c>
      <c r="U205" s="978" t="n"/>
      <c r="V205" s="1484" t="n"/>
      <c r="W205" s="1517" t="n">
        <v>11</v>
      </c>
      <c r="X205" s="1528" t="n"/>
      <c r="Y205" s="1527" t="n">
        <v>11</v>
      </c>
      <c r="Z205" s="2029" t="n"/>
      <c r="AA205" s="1529" t="n">
        <v>11</v>
      </c>
      <c r="AC205" s="1011" t="n"/>
      <c r="AD205" s="1012" t="n"/>
      <c r="AE205" s="1011" t="n"/>
      <c r="AF205" s="1012" t="n"/>
      <c r="AG205" s="1011" t="n"/>
      <c r="AH205" s="1012" t="n"/>
      <c r="AI205" s="10" t="n"/>
      <c r="AJ205" s="10" t="n"/>
      <c r="AK205" s="10" t="n"/>
    </row>
    <row r="206">
      <c r="B206" s="421" t="n"/>
      <c r="C206" s="2066" t="n"/>
      <c r="D206" s="102" t="n"/>
      <c r="E206" s="823" t="n"/>
      <c r="F206" s="822" t="n"/>
      <c r="G206" s="823" t="n"/>
      <c r="H206" s="1735" t="n">
        <v>11</v>
      </c>
      <c r="I206" s="1736" t="n">
        <v>11</v>
      </c>
      <c r="J206" s="46">
        <f>IF(AND(E206&gt;=H206,E206&lt;=I206),TRUE,FALSE)</f>
        <v/>
      </c>
      <c r="K206" s="46" t="n"/>
      <c r="L206" s="46" t="n"/>
      <c r="M206" s="46" t="n"/>
      <c r="N206" s="1711" t="n"/>
      <c r="O206" s="1735" t="n">
        <v>11</v>
      </c>
      <c r="P206" s="1736" t="n">
        <v>11</v>
      </c>
      <c r="Q206" s="1711">
        <f>IF(AND(E206&gt;=O206,E206&lt;=P206),TRUE,FALSE)</f>
        <v/>
      </c>
      <c r="R206" s="1735" t="n">
        <v>11</v>
      </c>
      <c r="S206" s="1736" t="n">
        <v>11</v>
      </c>
      <c r="T206" s="1711">
        <f>IF(AND(E206&gt;=R206,E206&lt;=S206),TRUE,FALSE)</f>
        <v/>
      </c>
      <c r="U206" s="978" t="n"/>
      <c r="V206" s="1487" t="inlineStr">
        <is>
          <t>ou</t>
        </is>
      </c>
      <c r="W206" s="1518" t="n">
        <v>11</v>
      </c>
      <c r="X206" s="1522" t="n"/>
      <c r="Y206" s="1521" t="n">
        <v>11</v>
      </c>
      <c r="Z206" s="1507" t="n"/>
      <c r="AA206" s="1523" t="n">
        <v>11</v>
      </c>
      <c r="AC206" s="1013" t="n"/>
      <c r="AD206" s="1014" t="n"/>
      <c r="AE206" s="1013" t="n"/>
      <c r="AF206" s="1014" t="n"/>
      <c r="AG206" s="1013" t="n"/>
      <c r="AH206" s="1014" t="n"/>
      <c r="AI206" s="10" t="n"/>
      <c r="AJ206" s="10" t="n"/>
      <c r="AK206" s="10" t="n"/>
    </row>
    <row r="207">
      <c r="B207" s="825" t="n"/>
      <c r="C207" s="826" t="n"/>
      <c r="D207" s="827" t="n"/>
      <c r="E207" s="828" t="n"/>
      <c r="F207" s="828" t="n"/>
      <c r="G207" s="828" t="n"/>
      <c r="H207" s="1712" t="n"/>
      <c r="I207" s="829" t="n"/>
      <c r="J207" s="830">
        <f>IF(AND(J205=FALSE,J206=FALSE),FALSE,TRUE)</f>
        <v/>
      </c>
      <c r="K207" s="46" t="n"/>
      <c r="L207" s="46" t="n"/>
      <c r="M207" s="46" t="n"/>
      <c r="N207" s="1711" t="n"/>
      <c r="O207" s="1712" t="n"/>
      <c r="P207" s="829" t="n"/>
      <c r="Q207" s="1725">
        <f>IF(AND(Q205=FALSE,Q206=FALSE),FALSE,TRUE)</f>
        <v/>
      </c>
      <c r="R207" s="1712" t="n"/>
      <c r="S207" s="829" t="n"/>
      <c r="T207" s="1725">
        <f>IF(AND(T205=FALSE,T206=FALSE),FALSE,TRUE)</f>
        <v/>
      </c>
      <c r="U207" s="978" t="n"/>
      <c r="V207" s="978" t="inlineStr">
        <is>
          <t>ou</t>
        </is>
      </c>
      <c r="W207" s="1519" t="n"/>
      <c r="X207" s="1525" t="n"/>
      <c r="Y207" s="1524" t="n"/>
      <c r="Z207" s="2002" t="n"/>
      <c r="AA207" s="1526" t="n"/>
      <c r="AC207" s="1013" t="n"/>
      <c r="AD207" s="1014" t="n"/>
      <c r="AE207" s="1013" t="n"/>
      <c r="AF207" s="1014" t="n"/>
      <c r="AG207" s="1013" t="n"/>
      <c r="AH207" s="1014" t="n"/>
      <c r="AI207" s="10" t="n"/>
      <c r="AJ207" s="10" t="n"/>
      <c r="AK207" s="10" t="n"/>
    </row>
    <row r="208">
      <c r="B208" s="53" t="n"/>
      <c r="C208" s="2066" t="n"/>
      <c r="D208" s="102" t="n"/>
      <c r="E208" s="823" t="n"/>
      <c r="F208" s="822" t="n"/>
      <c r="G208" s="823" t="n"/>
      <c r="H208" s="1735" t="n">
        <v>11</v>
      </c>
      <c r="I208" s="1736" t="n">
        <v>11</v>
      </c>
      <c r="J208" s="46">
        <f>IF(AND(E208&gt;=H208,E208&lt;=I208),TRUE,FALSE)</f>
        <v/>
      </c>
      <c r="K208" s="46" t="n"/>
      <c r="L208" s="46" t="n"/>
      <c r="M208" s="46" t="n"/>
      <c r="N208" s="1711" t="n"/>
      <c r="O208" s="1735" t="n">
        <v>11</v>
      </c>
      <c r="P208" s="1736" t="n">
        <v>11</v>
      </c>
      <c r="Q208" s="1711">
        <f>IF(AND(E208&gt;=O208,E208&lt;=P208),TRUE,FALSE)</f>
        <v/>
      </c>
      <c r="R208" s="1735" t="n">
        <v>11</v>
      </c>
      <c r="S208" s="1736" t="n">
        <v>11</v>
      </c>
      <c r="T208" s="1711">
        <f>IF(AND(E208&gt;=R208,E208&lt;=S208),TRUE,FALSE)</f>
        <v/>
      </c>
      <c r="U208" s="978" t="n"/>
      <c r="V208" s="1484" t="n"/>
      <c r="W208" s="1517" t="n">
        <v>11</v>
      </c>
      <c r="X208" s="1528" t="n"/>
      <c r="Y208" s="1527" t="n">
        <v>11</v>
      </c>
      <c r="Z208" s="2029" t="n"/>
      <c r="AA208" s="1529" t="n">
        <v>11</v>
      </c>
      <c r="AC208" s="1013" t="n"/>
      <c r="AD208" s="1014" t="n"/>
      <c r="AE208" s="1013" t="n"/>
      <c r="AF208" s="1014" t="n"/>
      <c r="AG208" s="1013" t="n"/>
      <c r="AH208" s="1014" t="n"/>
      <c r="AI208" s="10" t="n"/>
      <c r="AJ208" s="10" t="n"/>
      <c r="AK208" s="10" t="n"/>
    </row>
    <row r="209">
      <c r="B209" s="53" t="n"/>
      <c r="C209" s="2066" t="n"/>
      <c r="D209" s="102" t="n"/>
      <c r="E209" s="823" t="n"/>
      <c r="F209" s="822" t="n"/>
      <c r="G209" s="823" t="n"/>
      <c r="H209" s="1735" t="n">
        <v>11</v>
      </c>
      <c r="I209" s="1736" t="n">
        <v>11</v>
      </c>
      <c r="J209" s="46">
        <f>IF(AND(E209&gt;=H209,E209&lt;=I209),TRUE,FALSE)</f>
        <v/>
      </c>
      <c r="K209" s="46" t="n"/>
      <c r="L209" s="46" t="n"/>
      <c r="M209" s="46" t="n"/>
      <c r="N209" s="1711" t="n"/>
      <c r="O209" s="1735" t="n">
        <v>11</v>
      </c>
      <c r="P209" s="1736" t="n">
        <v>11</v>
      </c>
      <c r="Q209" s="1711">
        <f>IF(AND(E209&gt;=O209,E209&lt;=P209),TRUE,FALSE)</f>
        <v/>
      </c>
      <c r="R209" s="1735" t="n">
        <v>11</v>
      </c>
      <c r="S209" s="1736" t="n">
        <v>11</v>
      </c>
      <c r="T209" s="1711">
        <f>IF(AND(E209&gt;=R209,E209&lt;=S209),TRUE,FALSE)</f>
        <v/>
      </c>
      <c r="U209" s="978" t="n"/>
      <c r="V209" s="1487" t="inlineStr">
        <is>
          <t>ou</t>
        </is>
      </c>
      <c r="W209" s="1518" t="n">
        <v>11</v>
      </c>
      <c r="X209" s="1522" t="n"/>
      <c r="Y209" s="1521" t="n">
        <v>11</v>
      </c>
      <c r="Z209" s="1493" t="n"/>
      <c r="AA209" s="1523" t="n">
        <v>11</v>
      </c>
      <c r="AC209" s="1013" t="n"/>
      <c r="AD209" s="1014" t="n"/>
      <c r="AE209" s="1013" t="n"/>
      <c r="AF209" s="1014" t="n"/>
      <c r="AG209" s="1013" t="n"/>
      <c r="AH209" s="1014" t="n"/>
      <c r="AI209" s="10" t="n"/>
      <c r="AJ209" s="10" t="n"/>
      <c r="AK209" s="10" t="n"/>
    </row>
    <row r="210" ht="17" customHeight="1" thickBot="1">
      <c r="B210" s="831" t="n"/>
      <c r="C210" s="832" t="n"/>
      <c r="D210" s="833" t="n"/>
      <c r="E210" s="834" t="n"/>
      <c r="F210" s="834" t="n"/>
      <c r="G210" s="834" t="n"/>
      <c r="H210" s="1713" t="n"/>
      <c r="I210" s="835" t="n"/>
      <c r="J210" s="836">
        <f>IF(AND(J208=FALSE,J209=FALSE),FALSE,TRUE)</f>
        <v/>
      </c>
      <c r="K210" s="46" t="n"/>
      <c r="L210" s="46" t="n"/>
      <c r="M210" s="46" t="n"/>
      <c r="N210" s="1711" t="n"/>
      <c r="O210" s="1713" t="n"/>
      <c r="P210" s="835" t="n"/>
      <c r="Q210" s="1726">
        <f>IF(AND(Q208=FALSE,Q209=FALSE),FALSE,TRUE)</f>
        <v/>
      </c>
      <c r="R210" s="1713" t="n"/>
      <c r="S210" s="835" t="n"/>
      <c r="T210" s="1726">
        <f>IF(AND(T208=FALSE,T209=FALSE),FALSE,TRUE)</f>
        <v/>
      </c>
      <c r="U210" s="978" t="n"/>
      <c r="V210" s="978" t="n"/>
      <c r="W210" s="1473" t="n"/>
      <c r="X210" s="2002" t="n"/>
      <c r="Y210" s="1478" t="n"/>
      <c r="Z210" s="2002" t="n"/>
      <c r="AA210" s="1481" t="n"/>
      <c r="AC210" s="1013" t="n"/>
      <c r="AD210" s="1014" t="n"/>
      <c r="AE210" s="1013" t="n"/>
      <c r="AF210" s="1014" t="n"/>
      <c r="AG210" s="1013" t="n"/>
      <c r="AH210" s="1014" t="n"/>
      <c r="AI210" s="10" t="n"/>
      <c r="AJ210" s="10" t="n"/>
      <c r="AK210" s="10" t="n"/>
    </row>
    <row r="211" ht="17" customHeight="1" thickBot="1">
      <c r="B211" s="837" t="n"/>
      <c r="C211" s="838" t="n"/>
      <c r="D211" s="838" t="n"/>
      <c r="E211" s="839" t="n"/>
      <c r="F211" s="839" t="n"/>
      <c r="G211" s="839" t="n"/>
      <c r="H211" s="1714" t="n"/>
      <c r="I211" s="840" t="n"/>
      <c r="J211" s="841">
        <f>IF(AND(J207=FALSE,J210=FALSE),FALSE,TRUE)</f>
        <v/>
      </c>
      <c r="K211" s="1698" t="n"/>
      <c r="L211" s="1698" t="n"/>
      <c r="M211" s="1698" t="n"/>
      <c r="N211" s="1715" t="n"/>
      <c r="O211" s="1714" t="n"/>
      <c r="P211" s="840" t="n"/>
      <c r="Q211" s="841">
        <f>IF(AND(Q207=FALSE,Q210=FALSE),FALSE,TRUE)</f>
        <v/>
      </c>
      <c r="R211" s="1714" t="n"/>
      <c r="S211" s="840" t="n"/>
      <c r="T211" s="841">
        <f>IF(AND(T207=FALSE,T210=FALSE),FALSE,TRUE)</f>
        <v/>
      </c>
      <c r="U211" s="978" t="n"/>
      <c r="V211" s="978" t="inlineStr">
        <is>
          <t>et</t>
        </is>
      </c>
      <c r="W211" s="1473" t="n"/>
      <c r="X211" s="2002" t="n"/>
      <c r="Y211" s="1478" t="n"/>
      <c r="Z211" s="2002" t="n"/>
      <c r="AA211" s="1481" t="n"/>
      <c r="AC211" s="1013">
        <f>IF(J211=TRUE,"V","F")</f>
        <v/>
      </c>
      <c r="AD211" s="1014" t="n"/>
      <c r="AE211" s="1013">
        <f>IF(Q211=TRUE,"V","F")</f>
        <v/>
      </c>
      <c r="AF211" s="1014" t="n"/>
      <c r="AG211" s="1013">
        <f>IF(T211=TRUE,"V","F")</f>
        <v/>
      </c>
      <c r="AH211" s="1014" t="n"/>
      <c r="AI211" s="10" t="n"/>
      <c r="AJ211" s="10" t="n"/>
      <c r="AK211" s="10" t="n"/>
    </row>
    <row r="212" ht="34" customHeight="1">
      <c r="B212" s="316">
        <f>'CPTS indépendants'!O44</f>
        <v/>
      </c>
      <c r="C212" s="2066">
        <f>Test_Bible!B267</f>
        <v/>
      </c>
      <c r="D212" s="102" t="n"/>
      <c r="E212" s="823">
        <f>Test_Bible!P267</f>
        <v/>
      </c>
      <c r="F212" s="822">
        <f>Test_Bible!D267</f>
        <v/>
      </c>
      <c r="G212" s="823">
        <f>E212*F212</f>
        <v/>
      </c>
      <c r="H212" s="1710" t="n">
        <v>7</v>
      </c>
      <c r="I212" s="1703" t="n">
        <v>10</v>
      </c>
      <c r="J212" s="46">
        <f>IF(AND(E212&gt;=H212,E212&lt;=I212),TRUE,FALSE)</f>
        <v/>
      </c>
      <c r="K212" s="46" t="n"/>
      <c r="L212" s="46" t="n"/>
      <c r="M212" s="46" t="n"/>
      <c r="N212" s="1711" t="n"/>
      <c r="O212" s="1735" t="n">
        <v>11</v>
      </c>
      <c r="P212" s="1736" t="n">
        <v>11</v>
      </c>
      <c r="Q212" s="1711">
        <f>IF(AND(E212&gt;=O212,E212&lt;=P212),TRUE,FALSE)</f>
        <v/>
      </c>
      <c r="R212" s="1710" t="n"/>
      <c r="S212" s="1703" t="n"/>
      <c r="T212" s="1711" t="n"/>
      <c r="U212" s="978" t="n"/>
      <c r="V212" s="1484" t="n"/>
      <c r="W212" s="1485" t="n">
        <v>7</v>
      </c>
      <c r="X212" s="2029" t="n"/>
      <c r="Y212" s="1527" t="n">
        <v>11</v>
      </c>
      <c r="Z212" s="2029" t="n"/>
      <c r="AA212" s="1497" t="n">
        <v>11</v>
      </c>
      <c r="AC212" s="1013" t="inlineStr">
        <is>
          <t> </t>
        </is>
      </c>
      <c r="AD212" s="1014" t="n"/>
      <c r="AE212" s="1013" t="n"/>
      <c r="AF212" s="1014" t="n"/>
      <c r="AG212" s="1013" t="n"/>
      <c r="AH212" s="1014" t="n"/>
      <c r="AI212" s="10" t="n"/>
      <c r="AJ212" s="10" t="n"/>
      <c r="AK212" s="10" t="n"/>
    </row>
    <row r="213" ht="17" customHeight="1" thickBot="1">
      <c r="B213" s="316" t="n"/>
      <c r="C213" s="2066" t="n"/>
      <c r="D213" s="102" t="n"/>
      <c r="E213" s="823" t="n"/>
      <c r="F213" s="822" t="n"/>
      <c r="G213" s="823" t="n"/>
      <c r="H213" s="1735" t="n">
        <v>11</v>
      </c>
      <c r="I213" s="1736" t="n">
        <v>11</v>
      </c>
      <c r="J213" s="46">
        <f>IF(AND(E213&gt;=H213,E213&lt;=I213),TRUE,FALSE)</f>
        <v/>
      </c>
      <c r="K213" s="46" t="n"/>
      <c r="L213" s="46" t="n"/>
      <c r="M213" s="46" t="n"/>
      <c r="N213" s="1711" t="n"/>
      <c r="O213" s="1735" t="n">
        <v>11</v>
      </c>
      <c r="P213" s="1736" t="n">
        <v>11</v>
      </c>
      <c r="Q213" s="1711">
        <f>IF(AND(E213&gt;=O213,E213&lt;=P213),TRUE,FALSE)</f>
        <v/>
      </c>
      <c r="R213" s="1735" t="n"/>
      <c r="S213" s="1736" t="n"/>
      <c r="T213" s="1711" t="n"/>
      <c r="U213" s="978" t="n"/>
      <c r="V213" s="1487" t="inlineStr">
        <is>
          <t>ou</t>
        </is>
      </c>
      <c r="W213" s="1506" t="n">
        <v>11</v>
      </c>
      <c r="X213" s="1507" t="n"/>
      <c r="Y213" s="1508" t="n">
        <v>11</v>
      </c>
      <c r="Z213" s="1507" t="n"/>
      <c r="AA213" s="1502" t="n">
        <v>11</v>
      </c>
      <c r="AC213" s="1013" t="n"/>
      <c r="AD213" s="1014" t="n"/>
      <c r="AE213" s="1013" t="n"/>
      <c r="AF213" s="1014" t="n"/>
      <c r="AG213" s="1013" t="n"/>
      <c r="AH213" s="1014" t="n"/>
      <c r="AI213" s="10" t="n"/>
      <c r="AJ213" s="10" t="n"/>
      <c r="AK213" s="10" t="n"/>
    </row>
    <row r="214" ht="17" customHeight="1" thickBot="1">
      <c r="B214" s="842" t="n"/>
      <c r="C214" s="843" t="n"/>
      <c r="D214" s="843" t="n"/>
      <c r="E214" s="844" t="n"/>
      <c r="F214" s="844" t="n"/>
      <c r="G214" s="844" t="n"/>
      <c r="H214" s="1716" t="n"/>
      <c r="I214" s="845" t="n"/>
      <c r="J214" s="846">
        <f>IF(AND(J212=FALSE,J213=FALSE),FALSE,TRUE)</f>
        <v/>
      </c>
      <c r="K214" s="1699" t="n"/>
      <c r="L214" s="1699" t="n"/>
      <c r="M214" s="1699" t="n"/>
      <c r="N214" s="1717" t="n"/>
      <c r="O214" s="1716" t="n"/>
      <c r="P214" s="845" t="n"/>
      <c r="Q214" s="846">
        <f>IF(AND(Q212=FALSE,Q213=FALSE),FALSE,TRUE)</f>
        <v/>
      </c>
      <c r="R214" s="1716" t="n"/>
      <c r="S214" s="845" t="n"/>
      <c r="T214" s="846" t="n"/>
      <c r="U214" s="978" t="n"/>
      <c r="V214" s="978" t="n"/>
      <c r="W214" s="1475" t="n"/>
      <c r="Y214" s="1479" t="n"/>
      <c r="AA214" s="1483" t="n"/>
      <c r="AC214" s="1013">
        <f>IF(J214=TRUE,"V","F")</f>
        <v/>
      </c>
      <c r="AD214" s="1014" t="n"/>
      <c r="AE214" s="1013">
        <f>IF(Q214=TRUE,"V","F")</f>
        <v/>
      </c>
      <c r="AF214" s="1014" t="n"/>
      <c r="AG214" s="1013" t="n"/>
      <c r="AH214" s="1014" t="n"/>
      <c r="AI214" s="10" t="n"/>
      <c r="AJ214" s="10" t="n"/>
      <c r="AK214" s="10" t="n"/>
    </row>
    <row r="215">
      <c r="C215" s="428" t="n"/>
      <c r="D215" s="2058" t="n"/>
      <c r="E215" s="484" t="n"/>
      <c r="F215" s="48" t="n"/>
      <c r="G215" s="48" t="n"/>
      <c r="H215" s="1718" t="n"/>
      <c r="I215" s="485" t="n"/>
      <c r="J215" s="1701" t="n"/>
      <c r="K215" s="1702" t="n"/>
      <c r="L215" s="1702" t="n"/>
      <c r="M215" s="1702" t="n"/>
      <c r="N215" s="1719" t="n"/>
      <c r="O215" s="1718" t="n"/>
      <c r="P215" s="485" t="n"/>
      <c r="Q215" s="1727" t="n"/>
      <c r="R215" s="1718" t="n"/>
      <c r="S215" s="485" t="n"/>
      <c r="T215" s="1727" t="n"/>
      <c r="U215" s="1754" t="n"/>
      <c r="V215" s="980" t="n"/>
      <c r="W215" s="1475" t="n"/>
      <c r="Y215" s="1479" t="n"/>
      <c r="AA215" s="1483" t="n"/>
      <c r="AC215" s="1015" t="n"/>
      <c r="AD215" s="1016">
        <f>IF(AND(AC211="V",AC214="V"),2,IF(OR(AC211="V",AC214="V"),1,0))</f>
        <v/>
      </c>
      <c r="AE215" s="1015" t="n"/>
      <c r="AF215" s="1016">
        <f>IF(OR(AE211="V",AE214="V"),1,0)</f>
        <v/>
      </c>
      <c r="AG215" s="1015" t="n"/>
      <c r="AH215" s="1016" t="n"/>
      <c r="AI215" s="10" t="n"/>
      <c r="AJ215" s="10" t="n"/>
      <c r="AK215" s="10" t="n"/>
    </row>
    <row r="216">
      <c r="B216" t="inlineStr">
        <is>
          <t>PCR</t>
        </is>
      </c>
      <c r="H216" s="147" t="n"/>
      <c r="K216" s="1992" t="n"/>
      <c r="L216" s="1992" t="n"/>
      <c r="M216" s="1992" t="n"/>
      <c r="N216" s="1740" t="n"/>
      <c r="O216" s="147" t="n"/>
      <c r="Q216" s="330" t="n"/>
      <c r="R216" s="147" t="n"/>
      <c r="T216" s="330" t="n"/>
      <c r="W216" s="1475" t="n"/>
      <c r="Y216" s="1479" t="n"/>
      <c r="AA216" s="1483" t="n"/>
      <c r="AC216" s="1013" t="n"/>
      <c r="AD216" s="1014" t="n"/>
      <c r="AE216" s="1013" t="n"/>
      <c r="AF216" s="1014" t="n"/>
      <c r="AG216" s="1013" t="n"/>
      <c r="AH216" s="1014" t="n"/>
      <c r="AI216" s="10" t="n"/>
      <c r="AJ216" s="10" t="n"/>
      <c r="AK216" s="10" t="n"/>
    </row>
    <row r="217">
      <c r="B217" s="1017" t="n"/>
      <c r="C217" s="1018" t="n"/>
      <c r="D217" s="1018" t="n"/>
      <c r="E217" s="1026" t="n"/>
      <c r="F217" s="1026" t="n"/>
      <c r="G217" s="1026" t="n"/>
      <c r="H217" s="1735" t="n">
        <v>11</v>
      </c>
      <c r="I217" s="1736" t="n">
        <v>11</v>
      </c>
      <c r="J217" s="46">
        <f>IF(AND(E217&gt;=H217,E217&lt;=I217),TRUE,FALSE)</f>
        <v/>
      </c>
      <c r="K217" s="33" t="n"/>
      <c r="L217" s="33" t="n"/>
      <c r="M217" s="33" t="n"/>
      <c r="N217" s="1720" t="n"/>
      <c r="O217" s="1735" t="n">
        <v>11</v>
      </c>
      <c r="P217" s="1736" t="n">
        <v>11</v>
      </c>
      <c r="Q217" s="1711">
        <f>IF(AND(E217&gt;=O217,E217&lt;=P217),TRUE,FALSE)</f>
        <v/>
      </c>
      <c r="R217" s="1735" t="n">
        <v>11</v>
      </c>
      <c r="S217" s="1736" t="n">
        <v>11</v>
      </c>
      <c r="T217" s="1711">
        <f>IF(AND(E217&gt;=R217,E217&lt;=S217),TRUE,FALSE)</f>
        <v/>
      </c>
      <c r="U217" s="978" t="n"/>
      <c r="V217" s="1509" t="n"/>
      <c r="W217" s="1503" t="n">
        <v>11</v>
      </c>
      <c r="X217" s="2029" t="n"/>
      <c r="Y217" s="1505" t="n">
        <v>11</v>
      </c>
      <c r="Z217" s="2029" t="n"/>
      <c r="AA217" s="1529" t="n">
        <v>11</v>
      </c>
      <c r="AC217" s="1013" t="n"/>
      <c r="AD217" s="1014" t="n"/>
      <c r="AE217" s="1013" t="n"/>
      <c r="AF217" s="1014" t="n"/>
      <c r="AG217" s="1013" t="n"/>
      <c r="AH217" s="1014" t="n"/>
      <c r="AI217" s="10" t="n"/>
      <c r="AJ217" s="10" t="n"/>
      <c r="AK217" s="10" t="n"/>
    </row>
    <row r="218" ht="20" customHeight="1" thickBot="1">
      <c r="B218" s="1017" t="n"/>
      <c r="C218" s="1025" t="n"/>
      <c r="D218" s="1018" t="n"/>
      <c r="E218" s="1026" t="n"/>
      <c r="F218" s="1026" t="n"/>
      <c r="G218" s="1026" t="n"/>
      <c r="H218" s="1735" t="n">
        <v>11</v>
      </c>
      <c r="I218" s="1736" t="n">
        <v>11</v>
      </c>
      <c r="J218" s="46">
        <f>IF(AND(E218&gt;=H218,E218&lt;=I218),TRUE,FALSE)</f>
        <v/>
      </c>
      <c r="K218" s="33" t="n"/>
      <c r="L218" s="33" t="n"/>
      <c r="M218" s="33" t="n"/>
      <c r="N218" s="1720" t="n"/>
      <c r="O218" s="1735" t="n">
        <v>11</v>
      </c>
      <c r="P218" s="1736" t="n">
        <v>11</v>
      </c>
      <c r="Q218" s="1711">
        <f>IF(AND(E218&gt;=O218,E218&lt;=P218),TRUE,FALSE)</f>
        <v/>
      </c>
      <c r="R218" s="1735" t="n">
        <v>11</v>
      </c>
      <c r="S218" s="1736" t="n">
        <v>11</v>
      </c>
      <c r="T218" s="1711">
        <f>IF(AND(E218&gt;=R218,E218&lt;=S218),TRUE,FALSE)</f>
        <v/>
      </c>
      <c r="U218" s="978" t="n"/>
      <c r="V218" s="1510" t="n"/>
      <c r="W218" s="1506" t="n">
        <v>11</v>
      </c>
      <c r="X218" s="1507" t="n"/>
      <c r="Y218" s="1508" t="n">
        <v>11</v>
      </c>
      <c r="Z218" s="1507" t="n"/>
      <c r="AA218" s="1502" t="n">
        <v>11</v>
      </c>
      <c r="AC218" s="1013" t="n"/>
      <c r="AD218" s="1014" t="n"/>
      <c r="AE218" s="1013" t="n"/>
      <c r="AF218" s="1014" t="n"/>
      <c r="AG218" s="1013" t="n"/>
      <c r="AH218" s="1014" t="n"/>
      <c r="AI218" s="10" t="n"/>
      <c r="AJ218" s="10" t="n"/>
      <c r="AK218" s="10" t="n"/>
    </row>
    <row r="219" ht="27" customHeight="1" thickBot="1">
      <c r="A219" s="686" t="n"/>
      <c r="C219" s="2073" t="n"/>
      <c r="D219" s="2073" t="n"/>
      <c r="E219" s="90" t="n"/>
      <c r="F219" s="483" t="n"/>
      <c r="G219" s="483" t="n"/>
      <c r="H219" s="1732" t="n"/>
      <c r="I219" s="1733" t="n"/>
      <c r="J219" s="1739">
        <f>IF(AND(J217=FALSE,J218=FALSE),FALSE,TRUE)</f>
        <v/>
      </c>
      <c r="K219" s="1721" t="n"/>
      <c r="L219" s="1722" t="n"/>
      <c r="M219" s="1722" t="n"/>
      <c r="N219" s="1723" t="n"/>
      <c r="O219" s="1732" t="n"/>
      <c r="P219" s="1733" t="n"/>
      <c r="Q219" s="1739">
        <f>IF(AND(Q217=FALSE,Q218=FALSE),FALSE,TRUE)</f>
        <v/>
      </c>
      <c r="R219" s="1744" t="n"/>
      <c r="S219" s="1745" t="n"/>
      <c r="T219" s="1746">
        <f>IF(AND(T217=FALSE,T218=FALSE),FALSE,TRUE)</f>
        <v/>
      </c>
      <c r="U219" s="979" t="n"/>
      <c r="AC219" s="1650">
        <f>IF(J219=TRUE,"V","F")</f>
        <v/>
      </c>
      <c r="AD219" s="1651" t="n"/>
      <c r="AE219" s="1650">
        <f>IF(Q219=TRUE,"V","F")</f>
        <v/>
      </c>
      <c r="AF219" s="1651" t="n"/>
      <c r="AG219" s="1650">
        <f>IF(T219=TRUE,"V","F")</f>
        <v/>
      </c>
      <c r="AH219" s="1651" t="n"/>
      <c r="AI219" s="10" t="n"/>
      <c r="AJ219" s="10" t="n"/>
      <c r="AK219" s="10" t="n"/>
    </row>
    <row r="220" ht="21" customHeight="1">
      <c r="AC220" s="1737" t="n"/>
      <c r="AD220" s="1738">
        <f>IF(AND(AC219="V",AC211="V"),AD215-1,AD215)</f>
        <v/>
      </c>
      <c r="AE220" s="1737" t="n"/>
      <c r="AF220" s="1738">
        <f>IF(OR(AE211="V",AE214="V",AE219="V"),1,0)</f>
        <v/>
      </c>
      <c r="AG220" s="1737" t="n"/>
      <c r="AH220" s="1738">
        <f>IF(AG211="V",1,IF(AG219="V",1,0))</f>
        <v/>
      </c>
      <c r="AI220" s="10" t="n">
        <v>1</v>
      </c>
      <c r="AJ220" s="10" t="n"/>
      <c r="AK220" s="10" t="n"/>
    </row>
    <row r="221">
      <c r="AC221" s="1756" t="inlineStr">
        <is>
          <t>Indice boosté</t>
        </is>
      </c>
      <c r="AD221" s="1757">
        <f>IF(AF220=1,AD220*(1+$AH$28),AD220)</f>
        <v/>
      </c>
      <c r="AI221" s="10" t="n"/>
      <c r="AJ221" s="10" t="n"/>
      <c r="AK221" s="10" t="n"/>
    </row>
    <row r="222">
      <c r="AI222" s="10" t="n"/>
      <c r="AJ222" s="10" t="n"/>
      <c r="AK222" s="10" t="n"/>
    </row>
    <row r="223" ht="26" customHeight="1">
      <c r="A223" s="853" t="n">
        <v>12</v>
      </c>
      <c r="C223" s="486">
        <f>'CPTS indépendants'!F38</f>
        <v/>
      </c>
      <c r="D223" s="108" t="n"/>
      <c r="E223" s="66" t="n"/>
      <c r="F223" s="18" t="n"/>
      <c r="G223" s="18" t="n"/>
      <c r="H223" s="2052" t="inlineStr">
        <is>
          <t>AP</t>
        </is>
      </c>
      <c r="K223" s="2055" t="inlineStr">
        <is>
          <t>Dynamique d'AP</t>
        </is>
      </c>
      <c r="N223" s="330" t="n"/>
      <c r="O223" s="2122" t="inlineStr">
        <is>
          <t>CL</t>
        </is>
      </c>
      <c r="Q223" s="330" t="n"/>
      <c r="R223" s="2123" t="inlineStr">
        <is>
          <t>CSS</t>
        </is>
      </c>
      <c r="T223" s="330" t="n"/>
      <c r="U223" s="15" t="n"/>
      <c r="V223" s="15" t="n"/>
      <c r="AC223" s="1009" t="n"/>
      <c r="AD223" s="1009" t="n"/>
      <c r="AE223" s="1009" t="n"/>
      <c r="AF223" s="1009" t="n"/>
      <c r="AG223" s="1009" t="n"/>
      <c r="AH223" s="1010" t="n"/>
      <c r="AI223" s="10" t="n"/>
      <c r="AJ223" s="10" t="n"/>
      <c r="AK223" s="10" t="n"/>
    </row>
    <row r="224" ht="68" customHeight="1">
      <c r="C224" s="103" t="inlineStr">
        <is>
          <t>Questions et sous-questions</t>
        </is>
      </c>
      <c r="D224" s="1043" t="n"/>
      <c r="E224" s="33" t="inlineStr">
        <is>
          <t>Valeur de base
Fréquence (F)</t>
        </is>
      </c>
      <c r="F224" s="33" t="inlineStr">
        <is>
          <t>Valeur de base
intensité (I)</t>
        </is>
      </c>
      <c r="G224" s="33" t="inlineStr">
        <is>
          <t>F * I</t>
        </is>
      </c>
      <c r="H224" s="1708" t="inlineStr">
        <is>
          <t>Condition Fréq. 
&gt;= que</t>
        </is>
      </c>
      <c r="I224" s="44" t="inlineStr">
        <is>
          <t>Condition Fré
&lt;= que</t>
        </is>
      </c>
      <c r="J224" s="44" t="inlineStr">
        <is>
          <t>Condition respectée</t>
        </is>
      </c>
      <c r="K224" s="44" t="n"/>
      <c r="L224" s="44" t="n"/>
      <c r="M224" s="44" t="n"/>
      <c r="N224" s="1709" t="n"/>
      <c r="O224" s="1708" t="inlineStr">
        <is>
          <t>Condition Fréq. 
&gt;= que</t>
        </is>
      </c>
      <c r="P224" s="44" t="inlineStr">
        <is>
          <t>Condition Fré
&lt;= que</t>
        </is>
      </c>
      <c r="Q224" s="1709" t="inlineStr">
        <is>
          <t>Condition respectée</t>
        </is>
      </c>
      <c r="R224" s="1708" t="inlineStr">
        <is>
          <t>Condition Fréq. 
&gt;= que</t>
        </is>
      </c>
      <c r="S224" s="44" t="inlineStr">
        <is>
          <t>Condition Fré
&lt;= que</t>
        </is>
      </c>
      <c r="T224" s="1709" t="inlineStr">
        <is>
          <t>Condition respectée</t>
        </is>
      </c>
      <c r="U224" s="851" t="n"/>
      <c r="V224" s="1008" t="inlineStr">
        <is>
          <t>Condition</t>
        </is>
      </c>
      <c r="W224" s="1472" t="inlineStr">
        <is>
          <t>AP</t>
        </is>
      </c>
      <c r="X224" s="1008" t="inlineStr">
        <is>
          <t>Condition</t>
        </is>
      </c>
      <c r="Y224" s="1476" t="inlineStr">
        <is>
          <t>CL</t>
        </is>
      </c>
      <c r="Z224" s="1008" t="n"/>
      <c r="AA224" s="1480" t="inlineStr">
        <is>
          <t>CSS</t>
        </is>
      </c>
      <c r="AC224" s="1023" t="inlineStr">
        <is>
          <t>AP</t>
        </is>
      </c>
      <c r="AD224" s="1024" t="inlineStr">
        <is>
          <t>AP_F</t>
        </is>
      </c>
      <c r="AE224" s="1023" t="inlineStr">
        <is>
          <t>CL</t>
        </is>
      </c>
      <c r="AF224" s="1024" t="inlineStr">
        <is>
          <t>CL_F</t>
        </is>
      </c>
      <c r="AG224" s="1023" t="inlineStr">
        <is>
          <t>CSS</t>
        </is>
      </c>
      <c r="AH224" s="1024" t="inlineStr">
        <is>
          <t>CSS_F</t>
        </is>
      </c>
      <c r="AI224" s="10" t="n"/>
      <c r="AJ224" s="10" t="n"/>
      <c r="AK224" s="10" t="n"/>
    </row>
    <row r="225">
      <c r="B225" s="421" t="n"/>
      <c r="C225" s="2066" t="n"/>
      <c r="D225" s="102" t="n"/>
      <c r="E225" s="823" t="n"/>
      <c r="F225" s="822" t="n"/>
      <c r="G225" s="823" t="n"/>
      <c r="H225" s="1735" t="n">
        <v>11</v>
      </c>
      <c r="I225" s="1736" t="n">
        <v>11</v>
      </c>
      <c r="J225" s="46">
        <f>IF(AND(E225&gt;=H225,E225&lt;=I225),TRUE,FALSE)</f>
        <v/>
      </c>
      <c r="K225" s="46" t="n"/>
      <c r="L225" s="46" t="n"/>
      <c r="M225" s="46" t="n"/>
      <c r="N225" s="1711" t="n"/>
      <c r="O225" s="1735" t="n">
        <v>11</v>
      </c>
      <c r="P225" s="1736" t="n">
        <v>11</v>
      </c>
      <c r="Q225" s="1711">
        <f>IF(AND(E225&gt;=O225,E225&lt;=P225),TRUE,FALSE)</f>
        <v/>
      </c>
      <c r="R225" s="1735" t="n">
        <v>11</v>
      </c>
      <c r="S225" s="1736" t="n">
        <v>11</v>
      </c>
      <c r="T225" s="1711">
        <f>IF(AND(E225&gt;=R225,E225&lt;=S225),TRUE,FALSE)</f>
        <v/>
      </c>
      <c r="U225" s="978" t="n"/>
      <c r="V225" s="1484" t="n"/>
      <c r="W225" s="1517" t="n">
        <v>11</v>
      </c>
      <c r="X225" s="1528" t="n"/>
      <c r="Y225" s="1527" t="n">
        <v>11</v>
      </c>
      <c r="Z225" s="2029" t="n"/>
      <c r="AA225" s="1529" t="n">
        <v>11</v>
      </c>
      <c r="AC225" s="1011" t="n"/>
      <c r="AD225" s="1012" t="n"/>
      <c r="AE225" s="1011" t="n"/>
      <c r="AF225" s="1012" t="n"/>
      <c r="AG225" s="1011" t="n"/>
      <c r="AH225" s="1012" t="n"/>
      <c r="AI225" s="10" t="n"/>
      <c r="AJ225" s="10" t="n"/>
      <c r="AK225" s="10" t="n"/>
    </row>
    <row r="226">
      <c r="B226" s="421" t="n"/>
      <c r="C226" s="2066" t="n"/>
      <c r="D226" s="102" t="n"/>
      <c r="E226" s="823" t="n"/>
      <c r="F226" s="822" t="n"/>
      <c r="G226" s="823" t="n"/>
      <c r="H226" s="1735" t="n">
        <v>11</v>
      </c>
      <c r="I226" s="1736" t="n">
        <v>11</v>
      </c>
      <c r="J226" s="46">
        <f>IF(AND(E226&gt;=H226,E226&lt;=I226),TRUE,FALSE)</f>
        <v/>
      </c>
      <c r="K226" s="46" t="n"/>
      <c r="L226" s="46" t="n"/>
      <c r="M226" s="46" t="n"/>
      <c r="N226" s="1711" t="n"/>
      <c r="O226" s="1735" t="n">
        <v>11</v>
      </c>
      <c r="P226" s="1736" t="n">
        <v>11</v>
      </c>
      <c r="Q226" s="1711">
        <f>IF(AND(E226&gt;=O226,E226&lt;=P226),TRUE,FALSE)</f>
        <v/>
      </c>
      <c r="R226" s="1735" t="n">
        <v>11</v>
      </c>
      <c r="S226" s="1736" t="n">
        <v>11</v>
      </c>
      <c r="T226" s="1711">
        <f>IF(AND(E226&gt;=R226,E226&lt;=S226),TRUE,FALSE)</f>
        <v/>
      </c>
      <c r="U226" s="978" t="n"/>
      <c r="V226" s="1487" t="inlineStr">
        <is>
          <t>ou</t>
        </is>
      </c>
      <c r="W226" s="1518" t="n">
        <v>11</v>
      </c>
      <c r="X226" s="1522" t="n"/>
      <c r="Y226" s="1521" t="n">
        <v>11</v>
      </c>
      <c r="Z226" s="1507" t="n"/>
      <c r="AA226" s="1523" t="n">
        <v>11</v>
      </c>
      <c r="AC226" s="1013" t="n"/>
      <c r="AD226" s="1014" t="n"/>
      <c r="AE226" s="1013" t="n"/>
      <c r="AF226" s="1014" t="n"/>
      <c r="AG226" s="1013" t="n"/>
      <c r="AH226" s="1014" t="n"/>
      <c r="AI226" s="10" t="n"/>
      <c r="AJ226" s="10" t="n"/>
      <c r="AK226" s="10" t="n"/>
    </row>
    <row r="227">
      <c r="B227" s="825" t="n"/>
      <c r="C227" s="826" t="n"/>
      <c r="D227" s="827" t="n"/>
      <c r="E227" s="828" t="n"/>
      <c r="F227" s="828" t="n"/>
      <c r="G227" s="828" t="n"/>
      <c r="H227" s="1712" t="n"/>
      <c r="I227" s="829" t="n"/>
      <c r="J227" s="830">
        <f>IF(AND(J225=FALSE,J226=FALSE),FALSE,TRUE)</f>
        <v/>
      </c>
      <c r="K227" s="46" t="n"/>
      <c r="L227" s="46" t="n"/>
      <c r="M227" s="46" t="n"/>
      <c r="N227" s="1711" t="n"/>
      <c r="O227" s="1712" t="n"/>
      <c r="P227" s="829" t="n"/>
      <c r="Q227" s="1725">
        <f>IF(AND(Q225=FALSE,Q226=FALSE),FALSE,TRUE)</f>
        <v/>
      </c>
      <c r="R227" s="1712" t="n"/>
      <c r="S227" s="829" t="n"/>
      <c r="T227" s="1725">
        <f>IF(AND(T225=FALSE,T226=FALSE),FALSE,TRUE)</f>
        <v/>
      </c>
      <c r="U227" s="978" t="n"/>
      <c r="V227" s="978" t="inlineStr">
        <is>
          <t>ou</t>
        </is>
      </c>
      <c r="W227" s="1519" t="n"/>
      <c r="X227" s="1525" t="n"/>
      <c r="Y227" s="1524" t="n"/>
      <c r="Z227" s="2002" t="n"/>
      <c r="AA227" s="1526" t="n"/>
      <c r="AC227" s="1013" t="n"/>
      <c r="AD227" s="1014" t="n"/>
      <c r="AE227" s="1013" t="n"/>
      <c r="AF227" s="1014" t="n"/>
      <c r="AG227" s="1013" t="n"/>
      <c r="AH227" s="1014" t="n"/>
      <c r="AI227" s="10" t="n"/>
      <c r="AJ227" s="10" t="n"/>
      <c r="AK227" s="10" t="n"/>
    </row>
    <row r="228">
      <c r="B228" s="53" t="n"/>
      <c r="C228" s="2066" t="n"/>
      <c r="D228" s="102" t="n"/>
      <c r="E228" s="823" t="n"/>
      <c r="F228" s="822" t="n"/>
      <c r="G228" s="823" t="n"/>
      <c r="H228" s="1735" t="n">
        <v>11</v>
      </c>
      <c r="I228" s="1736" t="n">
        <v>11</v>
      </c>
      <c r="J228" s="46">
        <f>IF(AND(E228&gt;=H228,E228&lt;=I228),TRUE,FALSE)</f>
        <v/>
      </c>
      <c r="K228" s="46" t="n"/>
      <c r="L228" s="46" t="n"/>
      <c r="M228" s="46" t="n"/>
      <c r="N228" s="1711" t="n"/>
      <c r="O228" s="1735" t="n">
        <v>11</v>
      </c>
      <c r="P228" s="1736" t="n">
        <v>11</v>
      </c>
      <c r="Q228" s="1711">
        <f>IF(AND(E228&gt;=O228,E228&lt;=P228),TRUE,FALSE)</f>
        <v/>
      </c>
      <c r="R228" s="1735" t="n">
        <v>11</v>
      </c>
      <c r="S228" s="1736" t="n">
        <v>11</v>
      </c>
      <c r="T228" s="1711">
        <f>IF(AND(E228&gt;=R228,E228&lt;=S228),TRUE,FALSE)</f>
        <v/>
      </c>
      <c r="U228" s="978" t="n"/>
      <c r="V228" s="1484" t="n"/>
      <c r="W228" s="1517" t="n">
        <v>11</v>
      </c>
      <c r="X228" s="1528" t="n"/>
      <c r="Y228" s="1527" t="n">
        <v>11</v>
      </c>
      <c r="Z228" s="2029" t="n"/>
      <c r="AA228" s="1529" t="n">
        <v>11</v>
      </c>
      <c r="AC228" s="1013" t="n"/>
      <c r="AD228" s="1014" t="n"/>
      <c r="AE228" s="1013" t="n"/>
      <c r="AF228" s="1014" t="n"/>
      <c r="AG228" s="1013" t="n"/>
      <c r="AH228" s="1014" t="n"/>
      <c r="AI228" s="10" t="n"/>
      <c r="AJ228" s="10" t="n"/>
      <c r="AK228" s="10" t="n"/>
    </row>
    <row r="229">
      <c r="B229" s="53" t="n"/>
      <c r="C229" s="2066" t="n"/>
      <c r="D229" s="102" t="n"/>
      <c r="E229" s="823" t="n"/>
      <c r="F229" s="822" t="n"/>
      <c r="G229" s="823" t="n"/>
      <c r="H229" s="1735" t="n">
        <v>11</v>
      </c>
      <c r="I229" s="1736" t="n">
        <v>11</v>
      </c>
      <c r="J229" s="46">
        <f>IF(AND(E229&gt;=H229,E229&lt;=I229),TRUE,FALSE)</f>
        <v/>
      </c>
      <c r="K229" s="46" t="n"/>
      <c r="L229" s="46" t="n"/>
      <c r="M229" s="46" t="n"/>
      <c r="N229" s="1711" t="n"/>
      <c r="O229" s="1735" t="n">
        <v>11</v>
      </c>
      <c r="P229" s="1736" t="n">
        <v>11</v>
      </c>
      <c r="Q229" s="1711">
        <f>IF(AND(E229&gt;=O229,E229&lt;=P229),TRUE,FALSE)</f>
        <v/>
      </c>
      <c r="R229" s="1735" t="n">
        <v>11</v>
      </c>
      <c r="S229" s="1736" t="n">
        <v>11</v>
      </c>
      <c r="T229" s="1711">
        <f>IF(AND(E229&gt;=R229,E229&lt;=S229),TRUE,FALSE)</f>
        <v/>
      </c>
      <c r="U229" s="978" t="n"/>
      <c r="V229" s="1487" t="inlineStr">
        <is>
          <t>ou</t>
        </is>
      </c>
      <c r="W229" s="1518" t="n">
        <v>11</v>
      </c>
      <c r="X229" s="1522" t="n"/>
      <c r="Y229" s="1521" t="n">
        <v>11</v>
      </c>
      <c r="Z229" s="1493" t="n"/>
      <c r="AA229" s="1523" t="n">
        <v>11</v>
      </c>
      <c r="AC229" s="1013" t="n"/>
      <c r="AD229" s="1014" t="n"/>
      <c r="AE229" s="1013" t="n"/>
      <c r="AF229" s="1014" t="n"/>
      <c r="AG229" s="1013" t="n"/>
      <c r="AH229" s="1014" t="n"/>
      <c r="AI229" s="10" t="n"/>
      <c r="AJ229" s="10" t="n"/>
      <c r="AK229" s="10" t="n"/>
    </row>
    <row r="230" ht="17" customHeight="1" thickBot="1">
      <c r="B230" s="831" t="n"/>
      <c r="C230" s="832" t="n"/>
      <c r="D230" s="833" t="n"/>
      <c r="E230" s="834" t="n"/>
      <c r="F230" s="834" t="n"/>
      <c r="G230" s="834" t="n"/>
      <c r="H230" s="1713" t="n"/>
      <c r="I230" s="835" t="n"/>
      <c r="J230" s="836">
        <f>IF(AND(J228=FALSE,J229=FALSE),FALSE,TRUE)</f>
        <v/>
      </c>
      <c r="K230" s="46" t="n"/>
      <c r="L230" s="46" t="n"/>
      <c r="M230" s="46" t="n"/>
      <c r="N230" s="1711" t="n"/>
      <c r="O230" s="1713" t="n"/>
      <c r="P230" s="835" t="n"/>
      <c r="Q230" s="1726">
        <f>IF(AND(Q228=FALSE,Q229=FALSE),FALSE,TRUE)</f>
        <v/>
      </c>
      <c r="R230" s="1713" t="n"/>
      <c r="S230" s="835" t="n"/>
      <c r="T230" s="1726">
        <f>IF(AND(T228=FALSE,T229=FALSE),FALSE,TRUE)</f>
        <v/>
      </c>
      <c r="U230" s="978" t="n"/>
      <c r="V230" s="978" t="n"/>
      <c r="W230" s="1473" t="n"/>
      <c r="X230" s="2002" t="n"/>
      <c r="Y230" s="1478" t="n"/>
      <c r="Z230" s="2002" t="n"/>
      <c r="AA230" s="1481" t="n"/>
      <c r="AC230" s="1013" t="n"/>
      <c r="AD230" s="1014" t="n"/>
      <c r="AE230" s="1013" t="n"/>
      <c r="AF230" s="1014" t="n"/>
      <c r="AG230" s="1013" t="n"/>
      <c r="AH230" s="1014" t="n"/>
      <c r="AI230" s="10" t="n"/>
      <c r="AJ230" s="10" t="n"/>
      <c r="AK230" s="10" t="n"/>
    </row>
    <row r="231" ht="17" customHeight="1" thickBot="1">
      <c r="B231" s="837" t="n"/>
      <c r="C231" s="838" t="n"/>
      <c r="D231" s="838" t="n"/>
      <c r="E231" s="839" t="n"/>
      <c r="F231" s="839" t="n"/>
      <c r="G231" s="839" t="n"/>
      <c r="H231" s="1714" t="n"/>
      <c r="I231" s="840" t="n"/>
      <c r="J231" s="841">
        <f>IF(AND(J227=FALSE,J230=FALSE),FALSE,TRUE)</f>
        <v/>
      </c>
      <c r="K231" s="1698" t="n"/>
      <c r="L231" s="1698" t="n"/>
      <c r="M231" s="1698" t="n"/>
      <c r="N231" s="1715" t="n"/>
      <c r="O231" s="1714" t="n"/>
      <c r="P231" s="840" t="n"/>
      <c r="Q231" s="841">
        <f>IF(AND(Q227=FALSE,Q230=FALSE),FALSE,TRUE)</f>
        <v/>
      </c>
      <c r="R231" s="1714" t="n"/>
      <c r="S231" s="840" t="n"/>
      <c r="T231" s="841">
        <f>IF(AND(T227=FALSE,T230=FALSE),FALSE,TRUE)</f>
        <v/>
      </c>
      <c r="U231" s="978" t="n"/>
      <c r="V231" s="978" t="inlineStr">
        <is>
          <t>et</t>
        </is>
      </c>
      <c r="W231" s="1473" t="n"/>
      <c r="X231" s="2002" t="n"/>
      <c r="Y231" s="1478" t="n"/>
      <c r="Z231" s="2002" t="n"/>
      <c r="AA231" s="1481" t="n"/>
      <c r="AC231" s="1013">
        <f>IF(J231=TRUE,"V","F")</f>
        <v/>
      </c>
      <c r="AD231" s="1014" t="n"/>
      <c r="AE231" s="1013">
        <f>IF(Q231=TRUE,"V","F")</f>
        <v/>
      </c>
      <c r="AF231" s="1014" t="n"/>
      <c r="AG231" s="1013">
        <f>IF(T231=TRUE,"V","F")</f>
        <v/>
      </c>
      <c r="AH231" s="1014" t="n"/>
      <c r="AI231" s="10" t="n"/>
      <c r="AJ231" s="10" t="n"/>
      <c r="AK231" s="10" t="n"/>
    </row>
    <row r="232" ht="34" customHeight="1">
      <c r="B232" s="316">
        <f>'CPTS indépendants'!O46</f>
        <v/>
      </c>
      <c r="C232" s="2066">
        <f>Test_Bible!B319</f>
        <v/>
      </c>
      <c r="D232" s="102" t="n"/>
      <c r="E232" s="823">
        <f>Test_Bible!P319</f>
        <v/>
      </c>
      <c r="F232" s="822">
        <f>Test_Bible!D319</f>
        <v/>
      </c>
      <c r="G232" s="823">
        <f>E232*F232</f>
        <v/>
      </c>
      <c r="H232" s="1710" t="n">
        <v>7</v>
      </c>
      <c r="I232" s="1703" t="n">
        <v>10</v>
      </c>
      <c r="J232" s="46">
        <f>IF(AND(E232&gt;=H232,E232&lt;=I232),TRUE,FALSE)</f>
        <v/>
      </c>
      <c r="K232" s="46" t="n"/>
      <c r="L232" s="46" t="n"/>
      <c r="M232" s="46" t="n"/>
      <c r="N232" s="1711" t="n"/>
      <c r="O232" s="1710" t="n">
        <v>4</v>
      </c>
      <c r="P232" s="1703" t="n">
        <v>10</v>
      </c>
      <c r="Q232" s="1711">
        <f>IF(AND(E232&gt;=O232,E232&lt;=P232),TRUE,FALSE)</f>
        <v/>
      </c>
      <c r="R232" s="1710" t="n"/>
      <c r="S232" s="1703" t="n"/>
      <c r="T232" s="1711" t="n"/>
      <c r="U232" s="978" t="n"/>
      <c r="V232" s="1484" t="n"/>
      <c r="W232" s="1485" t="n">
        <v>7</v>
      </c>
      <c r="X232" s="2029" t="n"/>
      <c r="Y232" s="1489" t="n">
        <v>4</v>
      </c>
      <c r="Z232" s="2029" t="n"/>
      <c r="AA232" s="1497" t="n">
        <v>11</v>
      </c>
      <c r="AC232" s="1013" t="inlineStr">
        <is>
          <t> </t>
        </is>
      </c>
      <c r="AD232" s="1014" t="n"/>
      <c r="AE232" s="1013" t="n"/>
      <c r="AF232" s="1014" t="n"/>
      <c r="AG232" s="1013" t="n"/>
      <c r="AH232" s="1014" t="n"/>
      <c r="AI232" s="10" t="n"/>
      <c r="AJ232" s="10" t="n"/>
      <c r="AK232" s="10" t="n"/>
    </row>
    <row r="233" ht="17" customHeight="1" thickBot="1">
      <c r="B233" s="316" t="n"/>
      <c r="C233" s="2066" t="n"/>
      <c r="D233" s="102" t="n"/>
      <c r="E233" s="823" t="n"/>
      <c r="F233" s="822" t="n"/>
      <c r="G233" s="823" t="n"/>
      <c r="H233" s="1735" t="n">
        <v>11</v>
      </c>
      <c r="I233" s="1736" t="n">
        <v>11</v>
      </c>
      <c r="J233" s="46">
        <f>IF(AND(E233&gt;=H233,E233&lt;=I233),TRUE,FALSE)</f>
        <v/>
      </c>
      <c r="K233" s="46" t="n"/>
      <c r="L233" s="46" t="n"/>
      <c r="M233" s="46" t="n"/>
      <c r="N233" s="1711" t="n"/>
      <c r="O233" s="1735" t="n">
        <v>11</v>
      </c>
      <c r="P233" s="1736" t="n">
        <v>11</v>
      </c>
      <c r="Q233" s="1711">
        <f>IF(AND(E233&gt;=O233,E233&lt;=P233),TRUE,FALSE)</f>
        <v/>
      </c>
      <c r="R233" s="1735" t="n"/>
      <c r="S233" s="1736" t="n"/>
      <c r="T233" s="1711" t="n"/>
      <c r="U233" s="978" t="n"/>
      <c r="V233" s="1487" t="inlineStr">
        <is>
          <t>ou</t>
        </is>
      </c>
      <c r="W233" s="1506" t="n">
        <v>11</v>
      </c>
      <c r="X233" s="1507" t="n"/>
      <c r="Y233" s="1508" t="n">
        <v>11</v>
      </c>
      <c r="Z233" s="1507" t="n"/>
      <c r="AA233" s="1502" t="n">
        <v>11</v>
      </c>
      <c r="AC233" s="1013" t="n"/>
      <c r="AD233" s="1014" t="n"/>
      <c r="AE233" s="1013" t="n"/>
      <c r="AF233" s="1014" t="n"/>
      <c r="AG233" s="1013" t="n"/>
      <c r="AH233" s="1014" t="n"/>
      <c r="AI233" s="10" t="n"/>
      <c r="AJ233" s="10" t="n"/>
      <c r="AK233" s="10" t="n"/>
    </row>
    <row r="234" ht="17" customHeight="1" thickBot="1">
      <c r="B234" s="842" t="n"/>
      <c r="C234" s="843" t="n"/>
      <c r="D234" s="843" t="n"/>
      <c r="E234" s="844" t="n"/>
      <c r="F234" s="844" t="n"/>
      <c r="G234" s="844" t="n"/>
      <c r="H234" s="1716" t="n"/>
      <c r="I234" s="845" t="n"/>
      <c r="J234" s="846">
        <f>IF(AND(J232=FALSE,J233=FALSE),FALSE,TRUE)</f>
        <v/>
      </c>
      <c r="K234" s="1699" t="n"/>
      <c r="L234" s="1699" t="n"/>
      <c r="M234" s="1699" t="n"/>
      <c r="N234" s="1717" t="n"/>
      <c r="O234" s="1716" t="n"/>
      <c r="P234" s="845" t="n"/>
      <c r="Q234" s="846">
        <f>IF(AND(Q232=FALSE,Q233=FALSE),FALSE,TRUE)</f>
        <v/>
      </c>
      <c r="R234" s="1716" t="n"/>
      <c r="S234" s="845" t="n"/>
      <c r="T234" s="846" t="n"/>
      <c r="U234" s="978" t="n"/>
      <c r="V234" s="978" t="n"/>
      <c r="W234" s="1475" t="n"/>
      <c r="Y234" s="1479" t="n"/>
      <c r="AA234" s="1483" t="n"/>
      <c r="AC234" s="1013">
        <f>IF(J234=TRUE,"V","F")</f>
        <v/>
      </c>
      <c r="AD234" s="1014" t="n"/>
      <c r="AE234" s="1013">
        <f>IF(Q234=TRUE,"V","F")</f>
        <v/>
      </c>
      <c r="AF234" s="1014" t="n"/>
      <c r="AG234" s="1013" t="n"/>
      <c r="AH234" s="1014" t="n"/>
      <c r="AI234" s="10" t="n"/>
      <c r="AJ234" s="10" t="n"/>
      <c r="AK234" s="10" t="n"/>
    </row>
    <row r="235">
      <c r="C235" s="428" t="n"/>
      <c r="D235" s="2058" t="n"/>
      <c r="E235" s="484" t="n"/>
      <c r="F235" s="48" t="n"/>
      <c r="G235" s="48" t="n"/>
      <c r="H235" s="1718" t="n"/>
      <c r="I235" s="485" t="n"/>
      <c r="J235" s="1701" t="n"/>
      <c r="K235" s="1702" t="n"/>
      <c r="L235" s="1702" t="n"/>
      <c r="M235" s="1702" t="n"/>
      <c r="N235" s="1719" t="n"/>
      <c r="O235" s="1718" t="n"/>
      <c r="P235" s="485" t="n"/>
      <c r="Q235" s="1727" t="n"/>
      <c r="R235" s="1718" t="n"/>
      <c r="S235" s="485" t="n"/>
      <c r="T235" s="1727" t="n"/>
      <c r="U235" s="1754" t="n"/>
      <c r="V235" s="980" t="n"/>
      <c r="W235" s="1475" t="n"/>
      <c r="Y235" s="1479" t="n"/>
      <c r="AA235" s="1483" t="n"/>
      <c r="AC235" s="1015" t="n"/>
      <c r="AD235" s="1016">
        <f>IF(AND(AC231="V",AC234="V"),2,IF(OR(AC231="V",AC234="V"),1,0))</f>
        <v/>
      </c>
      <c r="AE235" s="1015" t="n"/>
      <c r="AF235" s="1016">
        <f>IF(OR(AE231="V",AE234="V"),1,0)</f>
        <v/>
      </c>
      <c r="AG235" s="1015" t="n"/>
      <c r="AH235" s="1016" t="n"/>
      <c r="AI235" s="10" t="n"/>
      <c r="AJ235" s="10" t="n"/>
      <c r="AK235" s="10" t="n"/>
    </row>
    <row r="236">
      <c r="B236" t="inlineStr">
        <is>
          <t>PCR</t>
        </is>
      </c>
      <c r="H236" s="147" t="n"/>
      <c r="K236" s="1992" t="n"/>
      <c r="L236" s="1992" t="n"/>
      <c r="M236" s="1992" t="n"/>
      <c r="N236" s="1740" t="n"/>
      <c r="O236" s="147" t="n"/>
      <c r="Q236" s="330" t="n"/>
      <c r="R236" s="147" t="n"/>
      <c r="T236" s="330" t="n"/>
      <c r="W236" s="1475" t="n"/>
      <c r="Y236" s="1479" t="n"/>
      <c r="AA236" s="1483" t="n"/>
      <c r="AC236" s="1013" t="n"/>
      <c r="AD236" s="1014" t="n"/>
      <c r="AE236" s="1013" t="n"/>
      <c r="AF236" s="1014" t="n"/>
      <c r="AG236" s="1013" t="n"/>
      <c r="AH236" s="1014" t="n"/>
      <c r="AI236" s="10" t="n"/>
      <c r="AJ236" s="10" t="n"/>
      <c r="AK236" s="10" t="n"/>
    </row>
    <row r="237">
      <c r="B237" s="1017" t="n"/>
      <c r="C237" s="1018" t="n"/>
      <c r="D237" s="1018" t="n"/>
      <c r="E237" s="1026" t="n"/>
      <c r="F237" s="1026" t="n"/>
      <c r="G237" s="1026" t="n"/>
      <c r="H237" s="1735" t="n">
        <v>11</v>
      </c>
      <c r="I237" s="1736" t="n">
        <v>11</v>
      </c>
      <c r="J237" s="46">
        <f>IF(AND(E237&gt;=H237,E237&lt;=I237),TRUE,FALSE)</f>
        <v/>
      </c>
      <c r="K237" s="33" t="n"/>
      <c r="L237" s="33" t="n"/>
      <c r="M237" s="33" t="n"/>
      <c r="N237" s="1720" t="n"/>
      <c r="O237" s="1735" t="n">
        <v>11</v>
      </c>
      <c r="P237" s="1736" t="n">
        <v>11</v>
      </c>
      <c r="Q237" s="1711">
        <f>IF(AND(E237&gt;=O237,E237&lt;=P237),TRUE,FALSE)</f>
        <v/>
      </c>
      <c r="R237" s="1735" t="n">
        <v>11</v>
      </c>
      <c r="S237" s="1736" t="n">
        <v>11</v>
      </c>
      <c r="T237" s="1711">
        <f>IF(AND(E237&gt;=R237,E237&lt;=S237),TRUE,FALSE)</f>
        <v/>
      </c>
      <c r="U237" s="978" t="n"/>
      <c r="V237" s="1509" t="n"/>
      <c r="W237" s="1503" t="n">
        <v>11</v>
      </c>
      <c r="X237" s="2029" t="n"/>
      <c r="Y237" s="1505" t="n">
        <v>11</v>
      </c>
      <c r="Z237" s="2029" t="n"/>
      <c r="AA237" s="1529" t="n">
        <v>11</v>
      </c>
      <c r="AC237" s="1013" t="n"/>
      <c r="AD237" s="1014" t="n"/>
      <c r="AE237" s="1013" t="n"/>
      <c r="AF237" s="1014" t="n"/>
      <c r="AG237" s="1013" t="n"/>
      <c r="AH237" s="1014" t="n"/>
      <c r="AI237" s="10" t="n"/>
      <c r="AJ237" s="10" t="n"/>
      <c r="AK237" s="10" t="n"/>
    </row>
    <row r="238" ht="20" customHeight="1" thickBot="1">
      <c r="B238" s="1017" t="n"/>
      <c r="C238" s="1025" t="n"/>
      <c r="D238" s="1018" t="n"/>
      <c r="E238" s="1026" t="n"/>
      <c r="F238" s="1026" t="n"/>
      <c r="G238" s="1026" t="n"/>
      <c r="H238" s="1735" t="n">
        <v>11</v>
      </c>
      <c r="I238" s="1736" t="n">
        <v>11</v>
      </c>
      <c r="J238" s="46">
        <f>IF(AND(E238&gt;=H238,E238&lt;=I238),TRUE,FALSE)</f>
        <v/>
      </c>
      <c r="K238" s="33" t="n"/>
      <c r="L238" s="33" t="n"/>
      <c r="M238" s="33" t="n"/>
      <c r="N238" s="1720" t="n"/>
      <c r="O238" s="1735" t="n">
        <v>11</v>
      </c>
      <c r="P238" s="1736" t="n">
        <v>11</v>
      </c>
      <c r="Q238" s="1711">
        <f>IF(AND(E238&gt;=O238,E238&lt;=P238),TRUE,FALSE)</f>
        <v/>
      </c>
      <c r="R238" s="1735" t="n">
        <v>11</v>
      </c>
      <c r="S238" s="1736" t="n">
        <v>11</v>
      </c>
      <c r="T238" s="1711">
        <f>IF(AND(E238&gt;=R238,E238&lt;=S238),TRUE,FALSE)</f>
        <v/>
      </c>
      <c r="U238" s="978" t="n"/>
      <c r="V238" s="1510" t="n"/>
      <c r="W238" s="1506" t="n">
        <v>11</v>
      </c>
      <c r="X238" s="1507" t="n"/>
      <c r="Y238" s="1508" t="n">
        <v>11</v>
      </c>
      <c r="Z238" s="1507" t="n"/>
      <c r="AA238" s="1502" t="n">
        <v>11</v>
      </c>
      <c r="AC238" s="1013" t="n"/>
      <c r="AD238" s="1014" t="n"/>
      <c r="AE238" s="1013" t="n"/>
      <c r="AF238" s="1014" t="n"/>
      <c r="AG238" s="1013" t="n"/>
      <c r="AH238" s="1014" t="n"/>
      <c r="AI238" s="10" t="n"/>
      <c r="AJ238" s="10" t="n"/>
      <c r="AK238" s="10" t="n"/>
    </row>
    <row r="239" ht="27" customHeight="1" thickBot="1">
      <c r="A239" s="686" t="n"/>
      <c r="C239" s="2073" t="n"/>
      <c r="D239" s="2073" t="n"/>
      <c r="E239" s="90" t="n"/>
      <c r="F239" s="483" t="n"/>
      <c r="G239" s="483" t="n"/>
      <c r="H239" s="1732" t="n"/>
      <c r="I239" s="1733" t="n"/>
      <c r="J239" s="1739">
        <f>IF(AND(J237=FALSE,J238=FALSE),FALSE,TRUE)</f>
        <v/>
      </c>
      <c r="K239" s="1721" t="n"/>
      <c r="L239" s="1722" t="n"/>
      <c r="M239" s="1722" t="n"/>
      <c r="N239" s="1723" t="n"/>
      <c r="O239" s="1732" t="n"/>
      <c r="P239" s="1733" t="n"/>
      <c r="Q239" s="1739">
        <f>IF(AND(Q237=FALSE,Q238=FALSE),FALSE,TRUE)</f>
        <v/>
      </c>
      <c r="R239" s="1744" t="n"/>
      <c r="S239" s="1745" t="n"/>
      <c r="T239" s="1746">
        <f>IF(AND(T237=FALSE,T238=FALSE),FALSE,TRUE)</f>
        <v/>
      </c>
      <c r="U239" s="979" t="n"/>
      <c r="AC239" s="1650">
        <f>IF(J239=TRUE,"V","F")</f>
        <v/>
      </c>
      <c r="AD239" s="1651" t="n"/>
      <c r="AE239" s="1650">
        <f>IF(Q239=TRUE,"V","F")</f>
        <v/>
      </c>
      <c r="AF239" s="1651" t="n"/>
      <c r="AG239" s="1650">
        <f>IF(T239=TRUE,"V","F")</f>
        <v/>
      </c>
      <c r="AH239" s="1651" t="n"/>
      <c r="AI239" s="10" t="n"/>
      <c r="AJ239" s="10" t="n"/>
      <c r="AK239" s="10" t="n"/>
    </row>
    <row r="240" ht="21" customHeight="1">
      <c r="AC240" s="1737" t="n"/>
      <c r="AD240" s="1738">
        <f>IF(AND(AC239="V",AC231="V"),AD235-1,AD235)</f>
        <v/>
      </c>
      <c r="AE240" s="1737" t="n"/>
      <c r="AF240" s="1738">
        <f>IF(OR(AE231="V",AE234="V",AE239="V"),1,0)</f>
        <v/>
      </c>
      <c r="AG240" s="1737" t="n"/>
      <c r="AH240" s="1738">
        <f>IF(AG231="V",1,IF(AG239="V",1,0))</f>
        <v/>
      </c>
      <c r="AI240" s="10" t="n">
        <v>1</v>
      </c>
      <c r="AJ240" s="10" t="n">
        <v>1</v>
      </c>
      <c r="AK240" s="10" t="n"/>
    </row>
    <row r="241">
      <c r="AC241" s="1756" t="inlineStr">
        <is>
          <t>Indice boosté</t>
        </is>
      </c>
      <c r="AD241" s="1757">
        <f>IF(AF240=1,AD240*(1+$AH$28),AD240)</f>
        <v/>
      </c>
      <c r="AI241" s="10" t="n"/>
      <c r="AJ241" s="10" t="n"/>
      <c r="AK241" s="10" t="n"/>
    </row>
    <row r="242">
      <c r="AI242" s="10" t="n"/>
      <c r="AJ242" s="10" t="n"/>
      <c r="AK242" s="10" t="n"/>
    </row>
    <row r="243" ht="26" customHeight="1">
      <c r="A243" s="853" t="n">
        <v>13</v>
      </c>
      <c r="C243" s="486">
        <f>'CPTS indépendants'!F42</f>
        <v/>
      </c>
      <c r="D243" s="108" t="n"/>
      <c r="E243" s="66" t="n"/>
      <c r="F243" s="18" t="n"/>
      <c r="G243" s="18" t="n"/>
      <c r="H243" s="2052" t="inlineStr">
        <is>
          <t>AP</t>
        </is>
      </c>
      <c r="K243" s="2055" t="inlineStr">
        <is>
          <t>Dynamique d'AP</t>
        </is>
      </c>
      <c r="N243" s="330" t="n"/>
      <c r="O243" s="2122" t="inlineStr">
        <is>
          <t>CL</t>
        </is>
      </c>
      <c r="Q243" s="330" t="n"/>
      <c r="R243" s="2123" t="inlineStr">
        <is>
          <t>CSS</t>
        </is>
      </c>
      <c r="T243" s="330" t="n"/>
      <c r="U243" s="15" t="n"/>
      <c r="V243" s="15" t="n"/>
      <c r="AC243" s="1009" t="n"/>
      <c r="AD243" s="1009" t="n"/>
      <c r="AE243" s="1009" t="n"/>
      <c r="AF243" s="1009" t="n"/>
      <c r="AG243" s="1009" t="n"/>
      <c r="AH243" s="1010" t="n"/>
      <c r="AI243" s="10" t="n"/>
      <c r="AJ243" s="10" t="n"/>
      <c r="AK243" s="10" t="n"/>
    </row>
    <row r="244" ht="68" customHeight="1">
      <c r="C244" s="103" t="inlineStr">
        <is>
          <t>Questions et sous-questions</t>
        </is>
      </c>
      <c r="D244" s="1043" t="n"/>
      <c r="E244" s="33" t="inlineStr">
        <is>
          <t>Valeur de base
Fréquence (F)</t>
        </is>
      </c>
      <c r="F244" s="33" t="inlineStr">
        <is>
          <t>Valeur de base
intensité (I)</t>
        </is>
      </c>
      <c r="G244" s="33" t="inlineStr">
        <is>
          <t>F * I</t>
        </is>
      </c>
      <c r="H244" s="1708" t="inlineStr">
        <is>
          <t>Condition Fréq. 
&gt;= que</t>
        </is>
      </c>
      <c r="I244" s="44" t="inlineStr">
        <is>
          <t>Condition Fré
&lt;= que</t>
        </is>
      </c>
      <c r="J244" s="44" t="inlineStr">
        <is>
          <t>Condition respectée</t>
        </is>
      </c>
      <c r="K244" s="44" t="n"/>
      <c r="L244" s="44" t="n"/>
      <c r="M244" s="44" t="n"/>
      <c r="N244" s="1709" t="n"/>
      <c r="O244" s="1708" t="inlineStr">
        <is>
          <t>Condition Fréq. 
&gt;= que</t>
        </is>
      </c>
      <c r="P244" s="44" t="inlineStr">
        <is>
          <t>Condition Fré
&lt;= que</t>
        </is>
      </c>
      <c r="Q244" s="1709" t="inlineStr">
        <is>
          <t>Condition respectée</t>
        </is>
      </c>
      <c r="R244" s="1708" t="inlineStr">
        <is>
          <t>Condition Fréq. 
&gt;= que</t>
        </is>
      </c>
      <c r="S244" s="44" t="inlineStr">
        <is>
          <t>Condition Fré
&lt;= que</t>
        </is>
      </c>
      <c r="T244" s="1709" t="inlineStr">
        <is>
          <t>Condition respectée</t>
        </is>
      </c>
      <c r="U244" s="851" t="n"/>
      <c r="V244" s="1008" t="inlineStr">
        <is>
          <t>Condition</t>
        </is>
      </c>
      <c r="W244" s="1472" t="inlineStr">
        <is>
          <t>AP</t>
        </is>
      </c>
      <c r="X244" s="1008" t="inlineStr">
        <is>
          <t>Condition</t>
        </is>
      </c>
      <c r="Y244" s="1476" t="inlineStr">
        <is>
          <t>CL</t>
        </is>
      </c>
      <c r="Z244" s="1008" t="n"/>
      <c r="AA244" s="1480" t="inlineStr">
        <is>
          <t>CSS</t>
        </is>
      </c>
      <c r="AC244" s="1023" t="inlineStr">
        <is>
          <t>AP</t>
        </is>
      </c>
      <c r="AD244" s="1024" t="inlineStr">
        <is>
          <t>AP_F</t>
        </is>
      </c>
      <c r="AE244" s="1023" t="inlineStr">
        <is>
          <t>CL</t>
        </is>
      </c>
      <c r="AF244" s="1024" t="inlineStr">
        <is>
          <t>CL_F</t>
        </is>
      </c>
      <c r="AG244" s="1023" t="inlineStr">
        <is>
          <t>CSS</t>
        </is>
      </c>
      <c r="AH244" s="1024" t="inlineStr">
        <is>
          <t>CSS_F</t>
        </is>
      </c>
      <c r="AI244" s="10" t="n"/>
      <c r="AJ244" s="10" t="n"/>
      <c r="AK244" s="10" t="n"/>
    </row>
    <row r="245">
      <c r="B245" s="421" t="n"/>
      <c r="C245" s="2066" t="n"/>
      <c r="D245" s="102" t="n"/>
      <c r="E245" s="823" t="n"/>
      <c r="F245" s="822" t="n"/>
      <c r="G245" s="823" t="n"/>
      <c r="H245" s="1735" t="n">
        <v>11</v>
      </c>
      <c r="I245" s="1736" t="n">
        <v>11</v>
      </c>
      <c r="J245" s="46">
        <f>IF(AND(E245&gt;=H245,E245&lt;=I245),TRUE,FALSE)</f>
        <v/>
      </c>
      <c r="K245" s="46" t="n"/>
      <c r="L245" s="46" t="n"/>
      <c r="M245" s="46" t="n"/>
      <c r="N245" s="1711" t="n"/>
      <c r="O245" s="1735" t="n">
        <v>11</v>
      </c>
      <c r="P245" s="1736" t="n">
        <v>11</v>
      </c>
      <c r="Q245" s="1711">
        <f>IF(AND(E245&gt;=O245,E245&lt;=P245),TRUE,FALSE)</f>
        <v/>
      </c>
      <c r="R245" s="1735" t="n">
        <v>11</v>
      </c>
      <c r="S245" s="1736" t="n">
        <v>11</v>
      </c>
      <c r="T245" s="1711">
        <f>IF(AND(E245&gt;=R245,E245&lt;=S245),TRUE,FALSE)</f>
        <v/>
      </c>
      <c r="U245" s="978" t="n"/>
      <c r="V245" s="1484" t="n"/>
      <c r="W245" s="1517" t="n">
        <v>11</v>
      </c>
      <c r="X245" s="1528" t="n"/>
      <c r="Y245" s="1527" t="n">
        <v>11</v>
      </c>
      <c r="Z245" s="2029" t="n"/>
      <c r="AA245" s="1529" t="n">
        <v>11</v>
      </c>
      <c r="AC245" s="1011" t="n"/>
      <c r="AD245" s="1012" t="n"/>
      <c r="AE245" s="1011" t="n"/>
      <c r="AF245" s="1012" t="n"/>
      <c r="AG245" s="1011" t="n"/>
      <c r="AH245" s="1012" t="n"/>
      <c r="AI245" s="10" t="n"/>
      <c r="AJ245" s="10" t="n"/>
      <c r="AK245" s="10" t="n"/>
    </row>
    <row r="246">
      <c r="B246" s="421" t="n"/>
      <c r="C246" s="2066" t="n"/>
      <c r="D246" s="102" t="n"/>
      <c r="E246" s="823" t="n"/>
      <c r="F246" s="822" t="n"/>
      <c r="G246" s="823" t="n"/>
      <c r="H246" s="1735" t="n">
        <v>11</v>
      </c>
      <c r="I246" s="1736" t="n">
        <v>11</v>
      </c>
      <c r="J246" s="46">
        <f>IF(AND(E246&gt;=H246,E246&lt;=I246),TRUE,FALSE)</f>
        <v/>
      </c>
      <c r="K246" s="46" t="n"/>
      <c r="L246" s="46" t="n"/>
      <c r="M246" s="46" t="n"/>
      <c r="N246" s="1711" t="n"/>
      <c r="O246" s="1735" t="n">
        <v>11</v>
      </c>
      <c r="P246" s="1736" t="n">
        <v>11</v>
      </c>
      <c r="Q246" s="1711">
        <f>IF(AND(E246&gt;=O246,E246&lt;=P246),TRUE,FALSE)</f>
        <v/>
      </c>
      <c r="R246" s="1735" t="n">
        <v>11</v>
      </c>
      <c r="S246" s="1736" t="n">
        <v>11</v>
      </c>
      <c r="T246" s="1711">
        <f>IF(AND(E246&gt;=R246,E246&lt;=S246),TRUE,FALSE)</f>
        <v/>
      </c>
      <c r="U246" s="978" t="n"/>
      <c r="V246" s="1487" t="inlineStr">
        <is>
          <t>ou</t>
        </is>
      </c>
      <c r="W246" s="1518" t="n">
        <v>11</v>
      </c>
      <c r="X246" s="1522" t="n"/>
      <c r="Y246" s="1521" t="n">
        <v>11</v>
      </c>
      <c r="Z246" s="1507" t="n"/>
      <c r="AA246" s="1523" t="n">
        <v>11</v>
      </c>
      <c r="AC246" s="1013" t="n"/>
      <c r="AD246" s="1014" t="n"/>
      <c r="AE246" s="1013" t="n"/>
      <c r="AF246" s="1014" t="n"/>
      <c r="AG246" s="1013" t="n"/>
      <c r="AH246" s="1014" t="n"/>
      <c r="AI246" s="10" t="n"/>
      <c r="AJ246" s="10" t="n"/>
      <c r="AK246" s="10" t="n"/>
    </row>
    <row r="247">
      <c r="B247" s="825" t="n"/>
      <c r="C247" s="826" t="n"/>
      <c r="D247" s="827" t="n"/>
      <c r="E247" s="828" t="n"/>
      <c r="F247" s="828" t="n"/>
      <c r="G247" s="828" t="n"/>
      <c r="H247" s="1712" t="n"/>
      <c r="I247" s="829" t="n"/>
      <c r="J247" s="830">
        <f>IF(AND(J245=FALSE,J246=FALSE),FALSE,TRUE)</f>
        <v/>
      </c>
      <c r="K247" s="46" t="n"/>
      <c r="L247" s="46" t="n"/>
      <c r="M247" s="46" t="n"/>
      <c r="N247" s="1711" t="n"/>
      <c r="O247" s="1712" t="n"/>
      <c r="P247" s="829" t="n"/>
      <c r="Q247" s="1725">
        <f>IF(AND(Q245=FALSE,Q246=FALSE),FALSE,TRUE)</f>
        <v/>
      </c>
      <c r="R247" s="1712" t="n"/>
      <c r="S247" s="829" t="n"/>
      <c r="T247" s="1725">
        <f>IF(AND(T245=FALSE,T246=FALSE),FALSE,TRUE)</f>
        <v/>
      </c>
      <c r="U247" s="978" t="n"/>
      <c r="V247" s="978" t="inlineStr">
        <is>
          <t>ou</t>
        </is>
      </c>
      <c r="W247" s="1519" t="n"/>
      <c r="X247" s="1525" t="n"/>
      <c r="Y247" s="1524" t="n"/>
      <c r="Z247" s="2002" t="n"/>
      <c r="AA247" s="1526" t="n"/>
      <c r="AC247" s="1013" t="n"/>
      <c r="AD247" s="1014" t="n"/>
      <c r="AE247" s="1013" t="n"/>
      <c r="AF247" s="1014" t="n"/>
      <c r="AG247" s="1013" t="n"/>
      <c r="AH247" s="1014" t="n"/>
      <c r="AI247" s="10" t="n"/>
      <c r="AJ247" s="10" t="n"/>
      <c r="AK247" s="10" t="n"/>
    </row>
    <row r="248">
      <c r="B248" s="53" t="n"/>
      <c r="C248" s="2066" t="n"/>
      <c r="D248" s="102" t="n"/>
      <c r="E248" s="823" t="n"/>
      <c r="F248" s="822" t="n"/>
      <c r="G248" s="823" t="n"/>
      <c r="H248" s="1735" t="n">
        <v>11</v>
      </c>
      <c r="I248" s="1736" t="n">
        <v>11</v>
      </c>
      <c r="J248" s="46">
        <f>IF(AND(E248&gt;=H248,E248&lt;=I248),TRUE,FALSE)</f>
        <v/>
      </c>
      <c r="K248" s="46" t="n"/>
      <c r="L248" s="46" t="n"/>
      <c r="M248" s="46" t="n"/>
      <c r="N248" s="1711" t="n"/>
      <c r="O248" s="1735" t="n">
        <v>11</v>
      </c>
      <c r="P248" s="1736" t="n">
        <v>11</v>
      </c>
      <c r="Q248" s="1711">
        <f>IF(AND(E248&gt;=O248,E248&lt;=P248),TRUE,FALSE)</f>
        <v/>
      </c>
      <c r="R248" s="1735" t="n">
        <v>11</v>
      </c>
      <c r="S248" s="1736" t="n">
        <v>11</v>
      </c>
      <c r="T248" s="1711">
        <f>IF(AND(E248&gt;=R248,E248&lt;=S248),TRUE,FALSE)</f>
        <v/>
      </c>
      <c r="U248" s="978" t="n"/>
      <c r="V248" s="1484" t="n"/>
      <c r="W248" s="1517" t="n">
        <v>11</v>
      </c>
      <c r="X248" s="1528" t="n"/>
      <c r="Y248" s="1527" t="n">
        <v>11</v>
      </c>
      <c r="Z248" s="2029" t="n"/>
      <c r="AA248" s="1529" t="n">
        <v>11</v>
      </c>
      <c r="AC248" s="1013" t="n"/>
      <c r="AD248" s="1014" t="n"/>
      <c r="AE248" s="1013" t="n"/>
      <c r="AF248" s="1014" t="n"/>
      <c r="AG248" s="1013" t="n"/>
      <c r="AH248" s="1014" t="n"/>
      <c r="AI248" s="10" t="n"/>
      <c r="AJ248" s="10" t="n"/>
      <c r="AK248" s="10" t="n"/>
    </row>
    <row r="249">
      <c r="B249" s="53" t="n"/>
      <c r="C249" s="2066" t="n"/>
      <c r="D249" s="102" t="n"/>
      <c r="E249" s="823" t="n"/>
      <c r="F249" s="822" t="n"/>
      <c r="G249" s="823" t="n"/>
      <c r="H249" s="1735" t="n">
        <v>11</v>
      </c>
      <c r="I249" s="1736" t="n">
        <v>11</v>
      </c>
      <c r="J249" s="46">
        <f>IF(AND(E249&gt;=H249,E249&lt;=I249),TRUE,FALSE)</f>
        <v/>
      </c>
      <c r="K249" s="46" t="n"/>
      <c r="L249" s="46" t="n"/>
      <c r="M249" s="46" t="n"/>
      <c r="N249" s="1711" t="n"/>
      <c r="O249" s="1735" t="n">
        <v>11</v>
      </c>
      <c r="P249" s="1736" t="n">
        <v>11</v>
      </c>
      <c r="Q249" s="1711">
        <f>IF(AND(E249&gt;=O249,E249&lt;=P249),TRUE,FALSE)</f>
        <v/>
      </c>
      <c r="R249" s="1735" t="n">
        <v>11</v>
      </c>
      <c r="S249" s="1736" t="n">
        <v>11</v>
      </c>
      <c r="T249" s="1711">
        <f>IF(AND(E249&gt;=R249,E249&lt;=S249),TRUE,FALSE)</f>
        <v/>
      </c>
      <c r="U249" s="978" t="n"/>
      <c r="V249" s="1487" t="inlineStr">
        <is>
          <t>ou</t>
        </is>
      </c>
      <c r="W249" s="1518" t="n">
        <v>11</v>
      </c>
      <c r="X249" s="1522" t="n"/>
      <c r="Y249" s="1521" t="n">
        <v>11</v>
      </c>
      <c r="Z249" s="1493" t="n"/>
      <c r="AA249" s="1523" t="n">
        <v>11</v>
      </c>
      <c r="AC249" s="1013" t="n"/>
      <c r="AD249" s="1014" t="n"/>
      <c r="AE249" s="1013" t="n"/>
      <c r="AF249" s="1014" t="n"/>
      <c r="AG249" s="1013" t="n"/>
      <c r="AH249" s="1014" t="n"/>
      <c r="AI249" s="10" t="n"/>
      <c r="AJ249" s="10" t="n"/>
      <c r="AK249" s="10" t="n"/>
    </row>
    <row r="250" ht="17" customHeight="1" thickBot="1">
      <c r="B250" s="831" t="n"/>
      <c r="C250" s="832" t="n"/>
      <c r="D250" s="833" t="n"/>
      <c r="E250" s="834" t="n"/>
      <c r="F250" s="834" t="n"/>
      <c r="G250" s="834" t="n"/>
      <c r="H250" s="1713" t="n"/>
      <c r="I250" s="835" t="n"/>
      <c r="J250" s="836">
        <f>IF(AND(J248=FALSE,J249=FALSE),FALSE,TRUE)</f>
        <v/>
      </c>
      <c r="K250" s="46" t="n"/>
      <c r="L250" s="46" t="n"/>
      <c r="M250" s="46" t="n"/>
      <c r="N250" s="1711" t="n"/>
      <c r="O250" s="1713" t="n"/>
      <c r="P250" s="835" t="n"/>
      <c r="Q250" s="1726">
        <f>IF(AND(Q248=FALSE,Q249=FALSE),FALSE,TRUE)</f>
        <v/>
      </c>
      <c r="R250" s="1713" t="n"/>
      <c r="S250" s="835" t="n"/>
      <c r="T250" s="1726">
        <f>IF(AND(T248=FALSE,T249=FALSE),FALSE,TRUE)</f>
        <v/>
      </c>
      <c r="U250" s="978" t="n"/>
      <c r="V250" s="978" t="n"/>
      <c r="W250" s="1473" t="n"/>
      <c r="X250" s="2002" t="n"/>
      <c r="Y250" s="1478" t="n"/>
      <c r="Z250" s="2002" t="n"/>
      <c r="AA250" s="1481" t="n"/>
      <c r="AC250" s="1013" t="n"/>
      <c r="AD250" s="1014" t="n"/>
      <c r="AE250" s="1013" t="n"/>
      <c r="AF250" s="1014" t="n"/>
      <c r="AG250" s="1013" t="n"/>
      <c r="AH250" s="1014" t="n"/>
      <c r="AI250" s="10" t="n"/>
      <c r="AJ250" s="10" t="n"/>
      <c r="AK250" s="10" t="n"/>
    </row>
    <row r="251" ht="17" customHeight="1" thickBot="1">
      <c r="B251" s="837" t="n"/>
      <c r="C251" s="838" t="n"/>
      <c r="D251" s="838" t="n"/>
      <c r="E251" s="839" t="n"/>
      <c r="F251" s="839" t="n"/>
      <c r="G251" s="839" t="n"/>
      <c r="H251" s="1714" t="n"/>
      <c r="I251" s="840" t="n"/>
      <c r="J251" s="841">
        <f>IF(AND(J247=FALSE,J250=FALSE),FALSE,TRUE)</f>
        <v/>
      </c>
      <c r="K251" s="1698" t="n"/>
      <c r="L251" s="1698" t="n"/>
      <c r="M251" s="1698" t="n"/>
      <c r="N251" s="1715" t="n"/>
      <c r="O251" s="1714" t="n"/>
      <c r="P251" s="840" t="n"/>
      <c r="Q251" s="841">
        <f>IF(AND(Q247=FALSE,Q250=FALSE),FALSE,TRUE)</f>
        <v/>
      </c>
      <c r="R251" s="1714" t="n"/>
      <c r="S251" s="840" t="n"/>
      <c r="T251" s="841">
        <f>IF(AND(T247=FALSE,T250=FALSE),FALSE,TRUE)</f>
        <v/>
      </c>
      <c r="U251" s="978" t="n"/>
      <c r="V251" s="978" t="inlineStr">
        <is>
          <t>et</t>
        </is>
      </c>
      <c r="W251" s="1473" t="n"/>
      <c r="X251" s="2002" t="n"/>
      <c r="Y251" s="1478" t="n"/>
      <c r="Z251" s="2002" t="n"/>
      <c r="AA251" s="1481" t="n"/>
      <c r="AC251" s="1013">
        <f>IF(J251=TRUE,"V","F")</f>
        <v/>
      </c>
      <c r="AD251" s="1014" t="n"/>
      <c r="AE251" s="1013">
        <f>IF(Q251=TRUE,"V","F")</f>
        <v/>
      </c>
      <c r="AF251" s="1014" t="n"/>
      <c r="AG251" s="1013">
        <f>IF(T251=TRUE,"V","F")</f>
        <v/>
      </c>
      <c r="AH251" s="1014" t="n"/>
      <c r="AI251" s="10" t="n"/>
      <c r="AJ251" s="10" t="n"/>
      <c r="AK251" s="10" t="n"/>
    </row>
    <row r="252" ht="34" customHeight="1">
      <c r="B252" s="316">
        <f>'CPTS indépendants'!O48</f>
        <v/>
      </c>
      <c r="C252" s="2066">
        <f>Test_Bible!B284</f>
        <v/>
      </c>
      <c r="D252" s="102" t="n"/>
      <c r="E252" s="823">
        <f>Test_Bible!P284</f>
        <v/>
      </c>
      <c r="F252" s="822">
        <f>Test_Bible!D284</f>
        <v/>
      </c>
      <c r="G252" s="823">
        <f>E252*F252</f>
        <v/>
      </c>
      <c r="H252" s="1710" t="n">
        <v>4</v>
      </c>
      <c r="I252" s="1703" t="n">
        <v>10</v>
      </c>
      <c r="J252" s="46">
        <f>IF(AND(E252&gt;=H252,E252&lt;=I252),TRUE,FALSE)</f>
        <v/>
      </c>
      <c r="K252" s="46" t="n"/>
      <c r="L252" s="46" t="n"/>
      <c r="M252" s="46" t="n"/>
      <c r="N252" s="1711" t="n"/>
      <c r="O252" s="1710" t="n">
        <v>2</v>
      </c>
      <c r="P252" s="1703" t="n">
        <v>10</v>
      </c>
      <c r="Q252" s="1711">
        <f>IF(AND(E252&gt;=O252,E252&lt;=P252),TRUE,FALSE)</f>
        <v/>
      </c>
      <c r="R252" s="1710" t="n"/>
      <c r="S252" s="1703" t="n"/>
      <c r="T252" s="1711" t="n"/>
      <c r="U252" s="978" t="n"/>
      <c r="V252" s="1484" t="n"/>
      <c r="W252" s="1485" t="n">
        <v>4</v>
      </c>
      <c r="X252" s="2029" t="n"/>
      <c r="Y252" s="1489" t="n">
        <v>2</v>
      </c>
      <c r="Z252" s="2029" t="n"/>
      <c r="AA252" s="1497" t="n">
        <v>11</v>
      </c>
      <c r="AC252" s="1013" t="inlineStr">
        <is>
          <t> </t>
        </is>
      </c>
      <c r="AD252" s="1014" t="n"/>
      <c r="AE252" s="1013" t="n"/>
      <c r="AF252" s="1014" t="n"/>
      <c r="AG252" s="1013" t="n"/>
      <c r="AH252" s="1014" t="n"/>
      <c r="AI252" s="10" t="n"/>
      <c r="AJ252" s="10" t="n"/>
      <c r="AK252" s="10" t="n"/>
    </row>
    <row r="253" ht="17" customHeight="1" thickBot="1">
      <c r="B253" s="316" t="n"/>
      <c r="C253" s="2066" t="n"/>
      <c r="D253" s="102" t="n"/>
      <c r="E253" s="823" t="n"/>
      <c r="F253" s="822" t="n"/>
      <c r="G253" s="823" t="n"/>
      <c r="H253" s="1735" t="n">
        <v>11</v>
      </c>
      <c r="I253" s="1736" t="n">
        <v>11</v>
      </c>
      <c r="J253" s="46">
        <f>IF(AND(E253&gt;=H253,E253&lt;=I253),TRUE,FALSE)</f>
        <v/>
      </c>
      <c r="K253" s="46" t="n"/>
      <c r="L253" s="46" t="n"/>
      <c r="M253" s="46" t="n"/>
      <c r="N253" s="1711" t="n"/>
      <c r="O253" s="1735" t="n">
        <v>11</v>
      </c>
      <c r="P253" s="1736" t="n">
        <v>11</v>
      </c>
      <c r="Q253" s="1711">
        <f>IF(AND(E253&gt;=O253,E253&lt;=P253),TRUE,FALSE)</f>
        <v/>
      </c>
      <c r="R253" s="1735" t="n"/>
      <c r="S253" s="1736" t="n"/>
      <c r="T253" s="1711" t="n"/>
      <c r="U253" s="978" t="n"/>
      <c r="V253" s="1487" t="inlineStr">
        <is>
          <t>ou</t>
        </is>
      </c>
      <c r="W253" s="1506" t="n">
        <v>11</v>
      </c>
      <c r="X253" s="1507" t="n"/>
      <c r="Y253" s="1508" t="n">
        <v>11</v>
      </c>
      <c r="Z253" s="1507" t="n"/>
      <c r="AA253" s="1502" t="n">
        <v>11</v>
      </c>
      <c r="AC253" s="1013" t="n"/>
      <c r="AD253" s="1014" t="n"/>
      <c r="AE253" s="1013" t="n"/>
      <c r="AF253" s="1014" t="n"/>
      <c r="AG253" s="1013" t="n"/>
      <c r="AH253" s="1014" t="n"/>
      <c r="AI253" s="10" t="n"/>
      <c r="AJ253" s="10" t="n"/>
      <c r="AK253" s="10" t="n"/>
    </row>
    <row r="254" ht="17" customHeight="1" thickBot="1">
      <c r="B254" s="842" t="n"/>
      <c r="C254" s="843" t="n"/>
      <c r="D254" s="843" t="n"/>
      <c r="E254" s="844" t="n"/>
      <c r="F254" s="844" t="n"/>
      <c r="G254" s="844" t="n"/>
      <c r="H254" s="1716" t="n"/>
      <c r="I254" s="845" t="n"/>
      <c r="J254" s="846">
        <f>IF(AND(J252=FALSE,J253=FALSE),FALSE,TRUE)</f>
        <v/>
      </c>
      <c r="K254" s="1699" t="n"/>
      <c r="L254" s="1699" t="n"/>
      <c r="M254" s="1699" t="n"/>
      <c r="N254" s="1717" t="n"/>
      <c r="O254" s="1716" t="n"/>
      <c r="P254" s="845" t="n"/>
      <c r="Q254" s="846">
        <f>IF(AND(Q252=FALSE,Q253=FALSE),FALSE,TRUE)</f>
        <v/>
      </c>
      <c r="R254" s="1716" t="n"/>
      <c r="S254" s="845" t="n"/>
      <c r="T254" s="846" t="n"/>
      <c r="U254" s="978" t="n"/>
      <c r="V254" s="978" t="n"/>
      <c r="W254" s="1475" t="n"/>
      <c r="Y254" s="1479" t="n"/>
      <c r="AA254" s="1483" t="n"/>
      <c r="AC254" s="1013">
        <f>IF(J254=TRUE,"V","F")</f>
        <v/>
      </c>
      <c r="AD254" s="1014" t="n"/>
      <c r="AE254" s="1013">
        <f>IF(Q254=TRUE,"V","F")</f>
        <v/>
      </c>
      <c r="AF254" s="1014" t="n"/>
      <c r="AG254" s="1013" t="n"/>
      <c r="AH254" s="1014" t="n"/>
      <c r="AI254" s="10" t="n"/>
      <c r="AJ254" s="10" t="n"/>
      <c r="AK254" s="10" t="n"/>
    </row>
    <row r="255">
      <c r="C255" s="428" t="n"/>
      <c r="D255" s="2058" t="n"/>
      <c r="E255" s="484" t="n"/>
      <c r="F255" s="48" t="n"/>
      <c r="G255" s="48" t="n"/>
      <c r="H255" s="1718" t="n"/>
      <c r="I255" s="485" t="n"/>
      <c r="J255" s="1701" t="n"/>
      <c r="K255" s="1702" t="n"/>
      <c r="L255" s="1702" t="n"/>
      <c r="M255" s="1702" t="n"/>
      <c r="N255" s="1719" t="n"/>
      <c r="O255" s="1718" t="n"/>
      <c r="P255" s="485" t="n"/>
      <c r="Q255" s="1727" t="n"/>
      <c r="R255" s="1718" t="n"/>
      <c r="S255" s="485" t="n"/>
      <c r="T255" s="1727" t="n"/>
      <c r="U255" s="1754" t="n"/>
      <c r="V255" s="980" t="n"/>
      <c r="W255" s="1475" t="n"/>
      <c r="Y255" s="1479" t="n"/>
      <c r="AA255" s="1483" t="n"/>
      <c r="AC255" s="1015" t="n"/>
      <c r="AD255" s="1016">
        <f>IF(AND(AC251="V",AC254="V"),2,IF(OR(AC251="V",AC254="V"),1,0))</f>
        <v/>
      </c>
      <c r="AE255" s="1015" t="n"/>
      <c r="AF255" s="1016">
        <f>IF(OR(AE251="V",AE254="V"),1,0)</f>
        <v/>
      </c>
      <c r="AG255" s="1015" t="n"/>
      <c r="AH255" s="1016" t="n"/>
      <c r="AI255" s="10" t="n"/>
      <c r="AJ255" s="10" t="n"/>
      <c r="AK255" s="10" t="n"/>
    </row>
    <row r="256">
      <c r="B256" t="inlineStr">
        <is>
          <t>PCR</t>
        </is>
      </c>
      <c r="H256" s="147" t="n"/>
      <c r="K256" s="1992" t="n"/>
      <c r="L256" s="1992" t="n"/>
      <c r="M256" s="1992" t="n"/>
      <c r="N256" s="1740" t="n"/>
      <c r="O256" s="147" t="n"/>
      <c r="Q256" s="330" t="n"/>
      <c r="R256" s="147" t="n"/>
      <c r="T256" s="330" t="n"/>
      <c r="W256" s="1475" t="n"/>
      <c r="Y256" s="1479" t="n"/>
      <c r="AA256" s="1483" t="n"/>
      <c r="AC256" s="1013" t="n"/>
      <c r="AD256" s="1014" t="n"/>
      <c r="AE256" s="1013" t="n"/>
      <c r="AF256" s="1014" t="n"/>
      <c r="AG256" s="1013" t="n"/>
      <c r="AH256" s="1014" t="n"/>
      <c r="AI256" s="10" t="n"/>
      <c r="AJ256" s="10" t="n"/>
      <c r="AK256" s="10" t="n"/>
    </row>
    <row r="257">
      <c r="B257" s="1017" t="n"/>
      <c r="C257" s="1018" t="n"/>
      <c r="D257" s="1018" t="n"/>
      <c r="E257" s="1026" t="n"/>
      <c r="F257" s="1026" t="n"/>
      <c r="G257" s="1026" t="n"/>
      <c r="H257" s="1735" t="n">
        <v>11</v>
      </c>
      <c r="I257" s="1736" t="n">
        <v>11</v>
      </c>
      <c r="J257" s="46">
        <f>IF(AND(E257&gt;=H257,E257&lt;=I257),TRUE,FALSE)</f>
        <v/>
      </c>
      <c r="K257" s="33" t="n"/>
      <c r="L257" s="33" t="n"/>
      <c r="M257" s="33" t="n"/>
      <c r="N257" s="1720" t="n"/>
      <c r="O257" s="1735" t="n">
        <v>11</v>
      </c>
      <c r="P257" s="1736" t="n">
        <v>11</v>
      </c>
      <c r="Q257" s="1711">
        <f>IF(AND(E257&gt;=O257,E257&lt;=P257),TRUE,FALSE)</f>
        <v/>
      </c>
      <c r="R257" s="1735" t="n">
        <v>11</v>
      </c>
      <c r="S257" s="1736" t="n">
        <v>11</v>
      </c>
      <c r="T257" s="1711">
        <f>IF(AND(E257&gt;=R257,E257&lt;=S257),TRUE,FALSE)</f>
        <v/>
      </c>
      <c r="U257" s="978" t="n"/>
      <c r="V257" s="1509" t="n"/>
      <c r="W257" s="1503" t="n">
        <v>11</v>
      </c>
      <c r="X257" s="2029" t="n"/>
      <c r="Y257" s="1505" t="n">
        <v>11</v>
      </c>
      <c r="Z257" s="2029" t="n"/>
      <c r="AA257" s="1529" t="n">
        <v>11</v>
      </c>
      <c r="AC257" s="1013" t="n"/>
      <c r="AD257" s="1014" t="n"/>
      <c r="AE257" s="1013" t="n"/>
      <c r="AF257" s="1014" t="n"/>
      <c r="AG257" s="1013" t="n"/>
      <c r="AH257" s="1014" t="n"/>
      <c r="AI257" s="10" t="n"/>
      <c r="AJ257" s="10" t="n"/>
      <c r="AK257" s="10" t="n"/>
    </row>
    <row r="258" ht="20" customHeight="1" thickBot="1">
      <c r="B258" s="1017" t="n"/>
      <c r="C258" s="1025" t="n"/>
      <c r="D258" s="1018" t="n"/>
      <c r="E258" s="1026" t="n"/>
      <c r="F258" s="1026" t="n"/>
      <c r="G258" s="1026" t="n"/>
      <c r="H258" s="1735" t="n">
        <v>11</v>
      </c>
      <c r="I258" s="1736" t="n">
        <v>11</v>
      </c>
      <c r="J258" s="46">
        <f>IF(AND(E258&gt;=H258,E258&lt;=I258),TRUE,FALSE)</f>
        <v/>
      </c>
      <c r="K258" s="33" t="n"/>
      <c r="L258" s="33" t="n"/>
      <c r="M258" s="33" t="n"/>
      <c r="N258" s="1720" t="n"/>
      <c r="O258" s="1735" t="n">
        <v>11</v>
      </c>
      <c r="P258" s="1736" t="n">
        <v>11</v>
      </c>
      <c r="Q258" s="1711">
        <f>IF(AND(E258&gt;=O258,E258&lt;=P258),TRUE,FALSE)</f>
        <v/>
      </c>
      <c r="R258" s="1735" t="n">
        <v>11</v>
      </c>
      <c r="S258" s="1736" t="n">
        <v>11</v>
      </c>
      <c r="T258" s="1711">
        <f>IF(AND(E258&gt;=R258,E258&lt;=S258),TRUE,FALSE)</f>
        <v/>
      </c>
      <c r="U258" s="978" t="n"/>
      <c r="V258" s="1510" t="n"/>
      <c r="W258" s="1506" t="n">
        <v>11</v>
      </c>
      <c r="X258" s="1507" t="n"/>
      <c r="Y258" s="1508" t="n">
        <v>11</v>
      </c>
      <c r="Z258" s="1507" t="n"/>
      <c r="AA258" s="1502" t="n">
        <v>11</v>
      </c>
      <c r="AC258" s="1013" t="n"/>
      <c r="AD258" s="1014" t="n"/>
      <c r="AE258" s="1013" t="n"/>
      <c r="AF258" s="1014" t="n"/>
      <c r="AG258" s="1013" t="n"/>
      <c r="AH258" s="1014" t="n"/>
      <c r="AI258" s="10" t="n"/>
      <c r="AJ258" s="10" t="n"/>
      <c r="AK258" s="10" t="n"/>
    </row>
    <row r="259" ht="27" customHeight="1" thickBot="1">
      <c r="A259" s="686" t="n"/>
      <c r="C259" s="2073" t="n"/>
      <c r="D259" s="2073" t="n"/>
      <c r="E259" s="90" t="n"/>
      <c r="F259" s="483" t="n"/>
      <c r="G259" s="483" t="n"/>
      <c r="H259" s="1732" t="n"/>
      <c r="I259" s="1733" t="n"/>
      <c r="J259" s="1739">
        <f>IF(AND(J257=FALSE,J258=FALSE),FALSE,TRUE)</f>
        <v/>
      </c>
      <c r="K259" s="1721" t="n"/>
      <c r="L259" s="1722" t="n"/>
      <c r="M259" s="1722" t="n"/>
      <c r="N259" s="1723" t="n"/>
      <c r="O259" s="1732" t="n"/>
      <c r="P259" s="1733" t="n"/>
      <c r="Q259" s="1739">
        <f>IF(AND(Q257=FALSE,Q258=FALSE),FALSE,TRUE)</f>
        <v/>
      </c>
      <c r="R259" s="1744" t="n"/>
      <c r="S259" s="1745" t="n"/>
      <c r="T259" s="1746">
        <f>IF(AND(T257=FALSE,T258=FALSE),FALSE,TRUE)</f>
        <v/>
      </c>
      <c r="U259" s="979" t="n"/>
      <c r="AC259" s="1650">
        <f>IF(J259=TRUE,"V","F")</f>
        <v/>
      </c>
      <c r="AD259" s="1651" t="n"/>
      <c r="AE259" s="1650">
        <f>IF(Q259=TRUE,"V","F")</f>
        <v/>
      </c>
      <c r="AF259" s="1651" t="n"/>
      <c r="AG259" s="1650">
        <f>IF(T259=TRUE,"V","F")</f>
        <v/>
      </c>
      <c r="AH259" s="1651" t="n"/>
      <c r="AI259" s="10" t="n"/>
      <c r="AJ259" s="10" t="n"/>
      <c r="AK259" s="10" t="n"/>
    </row>
    <row r="260" ht="21" customHeight="1">
      <c r="AC260" s="1737" t="n"/>
      <c r="AD260" s="1738">
        <f>IF(AND(AC259="V",AC251="V"),AD255-1,AD255)</f>
        <v/>
      </c>
      <c r="AE260" s="1737" t="n"/>
      <c r="AF260" s="1738">
        <f>IF(OR(AE251="V",AE254="V",AE259="V"),1,0)</f>
        <v/>
      </c>
      <c r="AG260" s="1737" t="n"/>
      <c r="AH260" s="1738">
        <f>IF(AG251="V",1,IF(AG259="V",1,0))</f>
        <v/>
      </c>
      <c r="AI260" s="10" t="n">
        <v>1</v>
      </c>
      <c r="AJ260" s="10" t="n">
        <v>1</v>
      </c>
      <c r="AK260" s="10" t="n"/>
    </row>
    <row r="261">
      <c r="AC261" s="1756" t="inlineStr">
        <is>
          <t>Indice boosté</t>
        </is>
      </c>
      <c r="AD261" s="1757">
        <f>IF(AF260=1,AD260*(1+$AH$28),AD260)</f>
        <v/>
      </c>
      <c r="AI261" s="10" t="n"/>
      <c r="AJ261" s="10" t="n"/>
      <c r="AK261" s="10" t="n"/>
    </row>
    <row r="262">
      <c r="AI262" s="10" t="n"/>
      <c r="AJ262" s="10" t="n"/>
      <c r="AK262" s="10" t="n"/>
    </row>
    <row r="263" ht="26" customHeight="1">
      <c r="A263" s="853" t="n">
        <v>14</v>
      </c>
      <c r="C263" s="486">
        <f>'CPTS indépendants'!F44</f>
        <v/>
      </c>
      <c r="D263" s="108" t="n"/>
      <c r="E263" s="66" t="n"/>
      <c r="F263" s="18" t="n"/>
      <c r="G263" s="18" t="n"/>
      <c r="H263" s="2052" t="inlineStr">
        <is>
          <t>AP</t>
        </is>
      </c>
      <c r="K263" s="2055" t="inlineStr">
        <is>
          <t>Dynamique d'AP</t>
        </is>
      </c>
      <c r="N263" s="330" t="n"/>
      <c r="O263" s="2122" t="inlineStr">
        <is>
          <t>CL</t>
        </is>
      </c>
      <c r="Q263" s="330" t="n"/>
      <c r="R263" s="2123" t="inlineStr">
        <is>
          <t>CSS</t>
        </is>
      </c>
      <c r="T263" s="330" t="n"/>
      <c r="U263" s="15" t="n"/>
      <c r="V263" s="15" t="n"/>
      <c r="AC263" s="1009" t="n"/>
      <c r="AD263" s="1009" t="n"/>
      <c r="AE263" s="1009" t="n"/>
      <c r="AF263" s="1009" t="n"/>
      <c r="AG263" s="1009" t="n"/>
      <c r="AH263" s="1010" t="n"/>
      <c r="AI263" s="10" t="n"/>
      <c r="AJ263" s="10" t="n"/>
      <c r="AK263" s="10" t="n"/>
    </row>
    <row r="264" ht="68" customHeight="1">
      <c r="C264" s="103" t="inlineStr">
        <is>
          <t>Questions et sous-questions</t>
        </is>
      </c>
      <c r="D264" s="1043" t="n"/>
      <c r="E264" s="33" t="inlineStr">
        <is>
          <t>Valeur de base
Fréquence (F)</t>
        </is>
      </c>
      <c r="F264" s="33" t="inlineStr">
        <is>
          <t>Valeur de base
intensité (I)</t>
        </is>
      </c>
      <c r="G264" s="33" t="inlineStr">
        <is>
          <t>F * I</t>
        </is>
      </c>
      <c r="H264" s="1708" t="inlineStr">
        <is>
          <t>Condition Fréq. 
&gt;= que</t>
        </is>
      </c>
      <c r="I264" s="44" t="inlineStr">
        <is>
          <t>Condition Fré
&lt;= que</t>
        </is>
      </c>
      <c r="J264" s="44" t="inlineStr">
        <is>
          <t>Condition respectée</t>
        </is>
      </c>
      <c r="K264" s="44" t="n"/>
      <c r="L264" s="44" t="n"/>
      <c r="M264" s="44" t="n"/>
      <c r="N264" s="1709" t="n"/>
      <c r="O264" s="1708" t="inlineStr">
        <is>
          <t>Condition Fréq. 
&gt;= que</t>
        </is>
      </c>
      <c r="P264" s="44" t="inlineStr">
        <is>
          <t>Condition Fré
&lt;= que</t>
        </is>
      </c>
      <c r="Q264" s="1709" t="inlineStr">
        <is>
          <t>Condition respectée</t>
        </is>
      </c>
      <c r="R264" s="1708" t="inlineStr">
        <is>
          <t>Condition Fréq. 
&gt;= que</t>
        </is>
      </c>
      <c r="S264" s="44" t="inlineStr">
        <is>
          <t>Condition Fré
&lt;= que</t>
        </is>
      </c>
      <c r="T264" s="1709" t="inlineStr">
        <is>
          <t>Condition respectée</t>
        </is>
      </c>
      <c r="U264" s="851" t="n"/>
      <c r="V264" s="1008" t="inlineStr">
        <is>
          <t>Condition</t>
        </is>
      </c>
      <c r="W264" s="1472" t="inlineStr">
        <is>
          <t>AP</t>
        </is>
      </c>
      <c r="X264" s="1008" t="inlineStr">
        <is>
          <t>Condition</t>
        </is>
      </c>
      <c r="Y264" s="1476" t="inlineStr">
        <is>
          <t>CL</t>
        </is>
      </c>
      <c r="Z264" s="1008" t="n"/>
      <c r="AA264" s="1480" t="inlineStr">
        <is>
          <t>CSS</t>
        </is>
      </c>
      <c r="AC264" s="1023" t="inlineStr">
        <is>
          <t>AP</t>
        </is>
      </c>
      <c r="AD264" s="1024" t="inlineStr">
        <is>
          <t>AP_F</t>
        </is>
      </c>
      <c r="AE264" s="1023" t="inlineStr">
        <is>
          <t>CL</t>
        </is>
      </c>
      <c r="AF264" s="1024" t="inlineStr">
        <is>
          <t>CL_F</t>
        </is>
      </c>
      <c r="AG264" s="1023" t="inlineStr">
        <is>
          <t>CSS</t>
        </is>
      </c>
      <c r="AH264" s="1024" t="inlineStr">
        <is>
          <t>CSS_F</t>
        </is>
      </c>
      <c r="AI264" s="10" t="n"/>
      <c r="AJ264" s="10" t="n"/>
      <c r="AK264" s="10" t="n"/>
    </row>
    <row r="265">
      <c r="B265" s="421" t="n"/>
      <c r="C265" s="2066" t="n"/>
      <c r="D265" s="102" t="n"/>
      <c r="E265" s="823" t="n"/>
      <c r="F265" s="822" t="n"/>
      <c r="G265" s="823" t="n"/>
      <c r="H265" s="1735" t="n">
        <v>11</v>
      </c>
      <c r="I265" s="1736" t="n">
        <v>11</v>
      </c>
      <c r="J265" s="46">
        <f>IF(AND(E265&gt;=H265,E265&lt;=I265),TRUE,FALSE)</f>
        <v/>
      </c>
      <c r="K265" s="46" t="n"/>
      <c r="L265" s="46" t="n"/>
      <c r="M265" s="46" t="n"/>
      <c r="N265" s="1711" t="n"/>
      <c r="O265" s="1735" t="n">
        <v>11</v>
      </c>
      <c r="P265" s="1736" t="n">
        <v>11</v>
      </c>
      <c r="Q265" s="1711">
        <f>IF(AND(E265&gt;=O265,E265&lt;=P265),TRUE,FALSE)</f>
        <v/>
      </c>
      <c r="R265" s="1735" t="n">
        <v>11</v>
      </c>
      <c r="S265" s="1736" t="n">
        <v>11</v>
      </c>
      <c r="T265" s="1711">
        <f>IF(AND(E265&gt;=R265,E265&lt;=S265),TRUE,FALSE)</f>
        <v/>
      </c>
      <c r="U265" s="978" t="n"/>
      <c r="V265" s="1484" t="n"/>
      <c r="W265" s="1517" t="n">
        <v>11</v>
      </c>
      <c r="X265" s="1528" t="n"/>
      <c r="Y265" s="1527" t="n">
        <v>11</v>
      </c>
      <c r="Z265" s="2029" t="n"/>
      <c r="AA265" s="1529" t="n">
        <v>11</v>
      </c>
      <c r="AC265" s="1011" t="n"/>
      <c r="AD265" s="1012" t="n"/>
      <c r="AE265" s="1011" t="n"/>
      <c r="AF265" s="1012" t="n"/>
      <c r="AG265" s="1011" t="n"/>
      <c r="AH265" s="1012" t="n"/>
      <c r="AI265" s="10" t="n"/>
      <c r="AJ265" s="10" t="n"/>
      <c r="AK265" s="10" t="n"/>
    </row>
    <row r="266">
      <c r="B266" s="421" t="n"/>
      <c r="C266" s="2066" t="n"/>
      <c r="D266" s="102" t="n"/>
      <c r="E266" s="823" t="n"/>
      <c r="F266" s="822" t="n"/>
      <c r="G266" s="823" t="n"/>
      <c r="H266" s="1735" t="n">
        <v>11</v>
      </c>
      <c r="I266" s="1736" t="n">
        <v>11</v>
      </c>
      <c r="J266" s="46">
        <f>IF(AND(E266&gt;=H266,E266&lt;=I266),TRUE,FALSE)</f>
        <v/>
      </c>
      <c r="K266" s="46" t="n"/>
      <c r="L266" s="46" t="n"/>
      <c r="M266" s="46" t="n"/>
      <c r="N266" s="1711" t="n"/>
      <c r="O266" s="1735" t="n">
        <v>11</v>
      </c>
      <c r="P266" s="1736" t="n">
        <v>11</v>
      </c>
      <c r="Q266" s="1711">
        <f>IF(AND(E266&gt;=O266,E266&lt;=P266),TRUE,FALSE)</f>
        <v/>
      </c>
      <c r="R266" s="1735" t="n">
        <v>11</v>
      </c>
      <c r="S266" s="1736" t="n">
        <v>11</v>
      </c>
      <c r="T266" s="1711">
        <f>IF(AND(E266&gt;=R266,E266&lt;=S266),TRUE,FALSE)</f>
        <v/>
      </c>
      <c r="U266" s="978" t="n"/>
      <c r="V266" s="1487" t="inlineStr">
        <is>
          <t>ou</t>
        </is>
      </c>
      <c r="W266" s="1518" t="n">
        <v>11</v>
      </c>
      <c r="X266" s="1522" t="n"/>
      <c r="Y266" s="1521" t="n">
        <v>11</v>
      </c>
      <c r="Z266" s="1507" t="n"/>
      <c r="AA266" s="1523" t="n">
        <v>11</v>
      </c>
      <c r="AC266" s="1013" t="n"/>
      <c r="AD266" s="1014" t="n"/>
      <c r="AE266" s="1013" t="n"/>
      <c r="AF266" s="1014" t="n"/>
      <c r="AG266" s="1013" t="n"/>
      <c r="AH266" s="1014" t="n"/>
      <c r="AI266" s="10" t="n"/>
      <c r="AJ266" s="10" t="n"/>
      <c r="AK266" s="10" t="n"/>
    </row>
    <row r="267">
      <c r="B267" s="825" t="n"/>
      <c r="C267" s="826" t="n"/>
      <c r="D267" s="827" t="n"/>
      <c r="E267" s="828" t="n"/>
      <c r="F267" s="828" t="n"/>
      <c r="G267" s="828" t="n"/>
      <c r="H267" s="1712" t="n"/>
      <c r="I267" s="829" t="n"/>
      <c r="J267" s="830">
        <f>IF(AND(J265=FALSE,J266=FALSE),FALSE,TRUE)</f>
        <v/>
      </c>
      <c r="K267" s="46" t="n"/>
      <c r="L267" s="46" t="n"/>
      <c r="M267" s="46" t="n"/>
      <c r="N267" s="1711" t="n"/>
      <c r="O267" s="1712" t="n"/>
      <c r="P267" s="829" t="n"/>
      <c r="Q267" s="1725">
        <f>IF(AND(Q265=FALSE,Q266=FALSE),FALSE,TRUE)</f>
        <v/>
      </c>
      <c r="R267" s="1712" t="n"/>
      <c r="S267" s="829" t="n"/>
      <c r="T267" s="1725">
        <f>IF(AND(T265=FALSE,T266=FALSE),FALSE,TRUE)</f>
        <v/>
      </c>
      <c r="U267" s="978" t="n"/>
      <c r="V267" s="978" t="inlineStr">
        <is>
          <t>ou</t>
        </is>
      </c>
      <c r="W267" s="1519" t="n"/>
      <c r="X267" s="1525" t="n"/>
      <c r="Y267" s="1524" t="n"/>
      <c r="Z267" s="2002" t="n"/>
      <c r="AA267" s="1526" t="n"/>
      <c r="AC267" s="1013" t="n"/>
      <c r="AD267" s="1014" t="n"/>
      <c r="AE267" s="1013" t="n"/>
      <c r="AF267" s="1014" t="n"/>
      <c r="AG267" s="1013" t="n"/>
      <c r="AH267" s="1014" t="n"/>
      <c r="AI267" s="10" t="n"/>
      <c r="AJ267" s="10" t="n"/>
      <c r="AK267" s="10" t="n"/>
    </row>
    <row r="268">
      <c r="B268" s="53" t="n"/>
      <c r="C268" s="2066" t="n"/>
      <c r="D268" s="102" t="n"/>
      <c r="E268" s="823" t="n"/>
      <c r="F268" s="822" t="n"/>
      <c r="G268" s="823" t="n"/>
      <c r="H268" s="1735" t="n">
        <v>11</v>
      </c>
      <c r="I268" s="1736" t="n">
        <v>11</v>
      </c>
      <c r="J268" s="46">
        <f>IF(AND(E268&gt;=H268,E268&lt;=I268),TRUE,FALSE)</f>
        <v/>
      </c>
      <c r="K268" s="46" t="n"/>
      <c r="L268" s="46" t="n"/>
      <c r="M268" s="46" t="n"/>
      <c r="N268" s="1711" t="n"/>
      <c r="O268" s="1735" t="n">
        <v>11</v>
      </c>
      <c r="P268" s="1736" t="n">
        <v>11</v>
      </c>
      <c r="Q268" s="1711">
        <f>IF(AND(E268&gt;=O268,E268&lt;=P268),TRUE,FALSE)</f>
        <v/>
      </c>
      <c r="R268" s="1735" t="n">
        <v>11</v>
      </c>
      <c r="S268" s="1736" t="n">
        <v>11</v>
      </c>
      <c r="T268" s="1711">
        <f>IF(AND(E268&gt;=R268,E268&lt;=S268),TRUE,FALSE)</f>
        <v/>
      </c>
      <c r="U268" s="978" t="n"/>
      <c r="V268" s="1484" t="n"/>
      <c r="W268" s="1517" t="n">
        <v>11</v>
      </c>
      <c r="X268" s="1528" t="n"/>
      <c r="Y268" s="1527" t="n">
        <v>11</v>
      </c>
      <c r="Z268" s="2029" t="n"/>
      <c r="AA268" s="1529" t="n">
        <v>11</v>
      </c>
      <c r="AC268" s="1013" t="n"/>
      <c r="AD268" s="1014" t="n"/>
      <c r="AE268" s="1013" t="n"/>
      <c r="AF268" s="1014" t="n"/>
      <c r="AG268" s="1013" t="n"/>
      <c r="AH268" s="1014" t="n"/>
      <c r="AI268" s="10" t="n"/>
      <c r="AJ268" s="10" t="n"/>
      <c r="AK268" s="10" t="n"/>
    </row>
    <row r="269">
      <c r="B269" s="53" t="n"/>
      <c r="C269" s="2066" t="n"/>
      <c r="D269" s="102" t="n"/>
      <c r="E269" s="823" t="n"/>
      <c r="F269" s="822" t="n"/>
      <c r="G269" s="823" t="n"/>
      <c r="H269" s="1735" t="n">
        <v>11</v>
      </c>
      <c r="I269" s="1736" t="n">
        <v>11</v>
      </c>
      <c r="J269" s="46">
        <f>IF(AND(E269&gt;=H269,E269&lt;=I269),TRUE,FALSE)</f>
        <v/>
      </c>
      <c r="K269" s="46" t="n"/>
      <c r="L269" s="46" t="n"/>
      <c r="M269" s="46" t="n"/>
      <c r="N269" s="1711" t="n"/>
      <c r="O269" s="1735" t="n">
        <v>11</v>
      </c>
      <c r="P269" s="1736" t="n">
        <v>11</v>
      </c>
      <c r="Q269" s="1711">
        <f>IF(AND(E269&gt;=O269,E269&lt;=P269),TRUE,FALSE)</f>
        <v/>
      </c>
      <c r="R269" s="1735" t="n">
        <v>11</v>
      </c>
      <c r="S269" s="1736" t="n">
        <v>11</v>
      </c>
      <c r="T269" s="1711">
        <f>IF(AND(E269&gt;=R269,E269&lt;=S269),TRUE,FALSE)</f>
        <v/>
      </c>
      <c r="U269" s="978" t="n"/>
      <c r="V269" s="1487" t="inlineStr">
        <is>
          <t>ou</t>
        </is>
      </c>
      <c r="W269" s="1518" t="n">
        <v>11</v>
      </c>
      <c r="X269" s="1522" t="n"/>
      <c r="Y269" s="1521" t="n">
        <v>11</v>
      </c>
      <c r="Z269" s="1493" t="n"/>
      <c r="AA269" s="1523" t="n">
        <v>11</v>
      </c>
      <c r="AC269" s="1013" t="n"/>
      <c r="AD269" s="1014" t="n"/>
      <c r="AE269" s="1013" t="n"/>
      <c r="AF269" s="1014" t="n"/>
      <c r="AG269" s="1013" t="n"/>
      <c r="AH269" s="1014" t="n"/>
      <c r="AI269" s="10" t="n"/>
      <c r="AJ269" s="10" t="n"/>
      <c r="AK269" s="10" t="n"/>
    </row>
    <row r="270" ht="17" customHeight="1" thickBot="1">
      <c r="B270" s="831" t="n"/>
      <c r="C270" s="832" t="n"/>
      <c r="D270" s="833" t="n"/>
      <c r="E270" s="834" t="n"/>
      <c r="F270" s="834" t="n"/>
      <c r="G270" s="834" t="n"/>
      <c r="H270" s="1713" t="n"/>
      <c r="I270" s="835" t="n"/>
      <c r="J270" s="836">
        <f>IF(AND(J268=FALSE,J269=FALSE),FALSE,TRUE)</f>
        <v/>
      </c>
      <c r="K270" s="46" t="n"/>
      <c r="L270" s="46" t="n"/>
      <c r="M270" s="46" t="n"/>
      <c r="N270" s="1711" t="n"/>
      <c r="O270" s="1713" t="n"/>
      <c r="P270" s="835" t="n"/>
      <c r="Q270" s="1726">
        <f>IF(AND(Q268=FALSE,Q269=FALSE),FALSE,TRUE)</f>
        <v/>
      </c>
      <c r="R270" s="1713" t="n"/>
      <c r="S270" s="835" t="n"/>
      <c r="T270" s="1726">
        <f>IF(AND(T268=FALSE,T269=FALSE),FALSE,TRUE)</f>
        <v/>
      </c>
      <c r="U270" s="978" t="n"/>
      <c r="V270" s="978" t="n"/>
      <c r="W270" s="1473" t="n"/>
      <c r="X270" s="2002" t="n"/>
      <c r="Y270" s="1478" t="n"/>
      <c r="Z270" s="2002" t="n"/>
      <c r="AA270" s="1481" t="n"/>
      <c r="AC270" s="1013" t="n"/>
      <c r="AD270" s="1014" t="n"/>
      <c r="AE270" s="1013" t="n"/>
      <c r="AF270" s="1014" t="n"/>
      <c r="AG270" s="1013" t="n"/>
      <c r="AH270" s="1014" t="n"/>
      <c r="AI270" s="10" t="n"/>
      <c r="AJ270" s="10" t="n"/>
      <c r="AK270" s="10" t="n"/>
    </row>
    <row r="271" ht="17" customHeight="1" thickBot="1">
      <c r="B271" s="837" t="n"/>
      <c r="C271" s="838" t="n"/>
      <c r="D271" s="838" t="n"/>
      <c r="E271" s="839" t="n"/>
      <c r="F271" s="839" t="n"/>
      <c r="G271" s="839" t="n"/>
      <c r="H271" s="1714" t="n"/>
      <c r="I271" s="840" t="n"/>
      <c r="J271" s="841">
        <f>IF(AND(J267=FALSE,J270=FALSE),FALSE,TRUE)</f>
        <v/>
      </c>
      <c r="K271" s="1698" t="n"/>
      <c r="L271" s="1698" t="n"/>
      <c r="M271" s="1698" t="n"/>
      <c r="N271" s="1715" t="n"/>
      <c r="O271" s="1714" t="n"/>
      <c r="P271" s="840" t="n"/>
      <c r="Q271" s="841">
        <f>IF(AND(Q267=FALSE,Q270=FALSE),FALSE,TRUE)</f>
        <v/>
      </c>
      <c r="R271" s="1714" t="n"/>
      <c r="S271" s="840" t="n"/>
      <c r="T271" s="841">
        <f>IF(AND(T267=FALSE,T270=FALSE),FALSE,TRUE)</f>
        <v/>
      </c>
      <c r="U271" s="978" t="n"/>
      <c r="V271" s="978" t="inlineStr">
        <is>
          <t>et</t>
        </is>
      </c>
      <c r="W271" s="1473" t="n"/>
      <c r="X271" s="2002" t="n"/>
      <c r="Y271" s="1478" t="n"/>
      <c r="Z271" s="2002" t="n"/>
      <c r="AA271" s="1481" t="n"/>
      <c r="AC271" s="1013">
        <f>IF(J271=TRUE,"V","F")</f>
        <v/>
      </c>
      <c r="AD271" s="1014" t="n"/>
      <c r="AE271" s="1013">
        <f>IF(Q271=TRUE,"V","F")</f>
        <v/>
      </c>
      <c r="AF271" s="1014" t="n"/>
      <c r="AG271" s="1013">
        <f>IF(T271=TRUE,"V","F")</f>
        <v/>
      </c>
      <c r="AH271" s="1014" t="n"/>
      <c r="AI271" s="10" t="n"/>
      <c r="AJ271" s="10" t="n"/>
      <c r="AK271" s="10" t="n"/>
    </row>
    <row r="272" ht="42" customHeight="1">
      <c r="B272" s="316">
        <f>'CPTS indépendants'!O50</f>
        <v/>
      </c>
      <c r="C272" s="2066">
        <f>Test_Bible!B285</f>
        <v/>
      </c>
      <c r="D272" s="102" t="n"/>
      <c r="E272" s="823">
        <f>Test_Bible!P285</f>
        <v/>
      </c>
      <c r="F272" s="822">
        <f>Test_Bible!D285</f>
        <v/>
      </c>
      <c r="G272" s="823">
        <f>E272*F272</f>
        <v/>
      </c>
      <c r="H272" s="1710" t="n">
        <v>4</v>
      </c>
      <c r="I272" s="1703" t="n">
        <v>10</v>
      </c>
      <c r="J272" s="46">
        <f>IF(AND(E272&gt;=H272,E272&lt;=I272),TRUE,FALSE)</f>
        <v/>
      </c>
      <c r="K272" s="46" t="n"/>
      <c r="L272" s="46" t="n"/>
      <c r="M272" s="46" t="n"/>
      <c r="N272" s="1711" t="n"/>
      <c r="O272" s="1710" t="n">
        <v>2</v>
      </c>
      <c r="P272" s="1703" t="n">
        <v>10</v>
      </c>
      <c r="Q272" s="1711">
        <f>IF(AND(E272&gt;=O272,E272&lt;=P272),TRUE,FALSE)</f>
        <v/>
      </c>
      <c r="R272" s="1710" t="n"/>
      <c r="S272" s="1703" t="n"/>
      <c r="T272" s="1711" t="n"/>
      <c r="U272" s="978" t="n"/>
      <c r="V272" s="1484" t="n"/>
      <c r="W272" s="1485" t="n">
        <v>4</v>
      </c>
      <c r="X272" s="2029" t="n"/>
      <c r="Y272" s="1489" t="n">
        <v>2</v>
      </c>
      <c r="Z272" s="2029" t="n"/>
      <c r="AA272" s="1497" t="n">
        <v>11</v>
      </c>
      <c r="AC272" s="1013" t="inlineStr">
        <is>
          <t> </t>
        </is>
      </c>
      <c r="AD272" s="1014" t="n"/>
      <c r="AE272" s="1013" t="n"/>
      <c r="AF272" s="1014" t="n"/>
      <c r="AG272" s="1013" t="n"/>
      <c r="AH272" s="1014" t="n"/>
      <c r="AI272" s="10" t="n"/>
      <c r="AJ272" s="10" t="n"/>
      <c r="AK272" s="10" t="n"/>
    </row>
    <row r="273" ht="42" customHeight="1" thickBot="1">
      <c r="B273" s="316">
        <f>'Action-Réaction finale'!O61</f>
        <v/>
      </c>
      <c r="C273" s="2066">
        <f>Test_Bible!B320</f>
        <v/>
      </c>
      <c r="D273" s="102" t="n"/>
      <c r="E273" s="823">
        <f>Test_Bible!P320</f>
        <v/>
      </c>
      <c r="F273" s="822">
        <f>Test_Bible!D320</f>
        <v/>
      </c>
      <c r="G273" s="823">
        <f>E273*F273</f>
        <v/>
      </c>
      <c r="H273" s="1710" t="n">
        <v>4</v>
      </c>
      <c r="I273" s="1703" t="n">
        <v>10</v>
      </c>
      <c r="J273" s="46">
        <f>IF(AND(E273&gt;=H273,E273&lt;=I273),TRUE,FALSE)</f>
        <v/>
      </c>
      <c r="K273" s="46" t="n"/>
      <c r="L273" s="46" t="n"/>
      <c r="M273" s="46" t="n"/>
      <c r="N273" s="1711" t="n"/>
      <c r="O273" s="1710" t="n">
        <v>2</v>
      </c>
      <c r="P273" s="1703" t="n">
        <v>10</v>
      </c>
      <c r="Q273" s="1711">
        <f>IF(AND(E273&gt;=O273,E273&lt;=P273),TRUE,FALSE)</f>
        <v/>
      </c>
      <c r="R273" s="1735" t="n"/>
      <c r="S273" s="1736" t="n"/>
      <c r="T273" s="1711" t="n"/>
      <c r="U273" s="978" t="n"/>
      <c r="V273" s="1487" t="inlineStr">
        <is>
          <t>ou</t>
        </is>
      </c>
      <c r="W273" s="1492" t="n">
        <v>4</v>
      </c>
      <c r="X273" s="1493" t="n"/>
      <c r="Y273" s="1494" t="n">
        <v>2</v>
      </c>
      <c r="Z273" s="1507" t="n"/>
      <c r="AA273" s="1502" t="n">
        <v>11</v>
      </c>
      <c r="AC273" s="1013" t="n"/>
      <c r="AD273" s="1014" t="n"/>
      <c r="AE273" s="1013" t="n"/>
      <c r="AF273" s="1014" t="n"/>
      <c r="AG273" s="1013" t="n"/>
      <c r="AH273" s="1014" t="n"/>
      <c r="AI273" s="10" t="n"/>
      <c r="AJ273" s="10" t="n"/>
      <c r="AK273" s="10" t="n"/>
    </row>
    <row r="274" ht="17" customHeight="1" thickBot="1">
      <c r="B274" s="842" t="n"/>
      <c r="C274" s="843" t="n"/>
      <c r="D274" s="843" t="n"/>
      <c r="E274" s="844" t="n"/>
      <c r="F274" s="844" t="n"/>
      <c r="G274" s="844" t="n"/>
      <c r="H274" s="1716" t="n"/>
      <c r="I274" s="845" t="n"/>
      <c r="J274" s="846">
        <f>IF(AND(J272=FALSE,J273=FALSE),FALSE,TRUE)</f>
        <v/>
      </c>
      <c r="K274" s="1699" t="n"/>
      <c r="L274" s="1699" t="n"/>
      <c r="M274" s="1699" t="n"/>
      <c r="N274" s="1717" t="n"/>
      <c r="O274" s="1716" t="n"/>
      <c r="P274" s="845" t="n"/>
      <c r="Q274" s="846">
        <f>IF(AND(Q272=FALSE,Q273=FALSE),FALSE,TRUE)</f>
        <v/>
      </c>
      <c r="R274" s="1716" t="n"/>
      <c r="S274" s="845" t="n"/>
      <c r="T274" s="846" t="n"/>
      <c r="U274" s="978" t="n"/>
      <c r="V274" s="978" t="n"/>
      <c r="W274" s="1475" t="n"/>
      <c r="Y274" s="1479" t="n"/>
      <c r="AA274" s="1483" t="n"/>
      <c r="AC274" s="1013">
        <f>IF(J274=TRUE,"V","F")</f>
        <v/>
      </c>
      <c r="AD274" s="1014" t="n"/>
      <c r="AE274" s="1013">
        <f>IF(Q274=TRUE,"V","F")</f>
        <v/>
      </c>
      <c r="AF274" s="1014" t="n"/>
      <c r="AG274" s="1013" t="n"/>
      <c r="AH274" s="1014" t="n"/>
      <c r="AI274" s="10" t="n"/>
      <c r="AJ274" s="10" t="n"/>
      <c r="AK274" s="10" t="n"/>
    </row>
    <row r="275">
      <c r="C275" s="428" t="n"/>
      <c r="D275" s="2058" t="n"/>
      <c r="E275" s="484" t="n"/>
      <c r="F275" s="48" t="n"/>
      <c r="G275" s="48" t="n"/>
      <c r="H275" s="1718" t="n"/>
      <c r="I275" s="485" t="n"/>
      <c r="J275" s="1701" t="n"/>
      <c r="K275" s="1702" t="n"/>
      <c r="L275" s="1702" t="n"/>
      <c r="M275" s="1702" t="n"/>
      <c r="N275" s="1719" t="n"/>
      <c r="O275" s="1718" t="n"/>
      <c r="P275" s="485" t="n"/>
      <c r="Q275" s="1727" t="n"/>
      <c r="R275" s="1718" t="n"/>
      <c r="S275" s="485" t="n"/>
      <c r="T275" s="1727" t="n"/>
      <c r="U275" s="1754" t="n"/>
      <c r="V275" s="980" t="n"/>
      <c r="W275" s="1475" t="n"/>
      <c r="Y275" s="1479" t="n"/>
      <c r="AA275" s="1483" t="n"/>
      <c r="AC275" s="1015" t="n"/>
      <c r="AD275" s="1016">
        <f>IF(AND(AC271="V",AC274="V"),2,IF(OR(AC271="V",AC274="V"),1,0))</f>
        <v/>
      </c>
      <c r="AE275" s="1015" t="n"/>
      <c r="AF275" s="1016">
        <f>IF(OR(AE271="V",AE274="V"),1,0)</f>
        <v/>
      </c>
      <c r="AG275" s="1015" t="n"/>
      <c r="AH275" s="1016" t="n"/>
      <c r="AI275" s="10" t="n"/>
      <c r="AJ275" s="10" t="n"/>
      <c r="AK275" s="10" t="n"/>
    </row>
    <row r="276">
      <c r="B276" t="inlineStr">
        <is>
          <t>PCR</t>
        </is>
      </c>
      <c r="H276" s="147" t="n"/>
      <c r="K276" s="1992" t="n"/>
      <c r="L276" s="1992" t="n"/>
      <c r="M276" s="1992" t="n"/>
      <c r="N276" s="1740" t="n"/>
      <c r="O276" s="147" t="n"/>
      <c r="Q276" s="330" t="n"/>
      <c r="R276" s="147" t="n"/>
      <c r="T276" s="330" t="n"/>
      <c r="W276" s="1475" t="n"/>
      <c r="Y276" s="1479" t="n"/>
      <c r="AA276" s="1483" t="n"/>
      <c r="AC276" s="1013" t="n"/>
      <c r="AD276" s="1014" t="n"/>
      <c r="AE276" s="1013" t="n"/>
      <c r="AF276" s="1014" t="n"/>
      <c r="AG276" s="1013" t="n"/>
      <c r="AH276" s="1014" t="n"/>
      <c r="AI276" s="10" t="n"/>
      <c r="AJ276" s="10" t="n"/>
      <c r="AK276" s="10" t="n"/>
    </row>
    <row r="277">
      <c r="B277" s="1017" t="n"/>
      <c r="C277" s="1018" t="n"/>
      <c r="D277" s="1018" t="n"/>
      <c r="E277" s="1026" t="n"/>
      <c r="F277" s="1026" t="n"/>
      <c r="G277" s="1026" t="n"/>
      <c r="H277" s="1735" t="n">
        <v>11</v>
      </c>
      <c r="I277" s="1736" t="n">
        <v>11</v>
      </c>
      <c r="J277" s="46">
        <f>IF(AND(E277&gt;=H277,E277&lt;=I277),TRUE,FALSE)</f>
        <v/>
      </c>
      <c r="K277" s="33" t="n"/>
      <c r="L277" s="33" t="n"/>
      <c r="M277" s="33" t="n"/>
      <c r="N277" s="1720" t="n"/>
      <c r="O277" s="1735" t="n">
        <v>11</v>
      </c>
      <c r="P277" s="1736" t="n">
        <v>11</v>
      </c>
      <c r="Q277" s="1711">
        <f>IF(AND(E277&gt;=O277,E277&lt;=P277),TRUE,FALSE)</f>
        <v/>
      </c>
      <c r="R277" s="1735" t="n">
        <v>11</v>
      </c>
      <c r="S277" s="1736" t="n">
        <v>11</v>
      </c>
      <c r="T277" s="1711">
        <f>IF(AND(E277&gt;=R277,E277&lt;=S277),TRUE,FALSE)</f>
        <v/>
      </c>
      <c r="U277" s="978" t="n"/>
      <c r="V277" s="1509" t="n"/>
      <c r="W277" s="1503" t="n">
        <v>11</v>
      </c>
      <c r="X277" s="2029" t="n"/>
      <c r="Y277" s="1505" t="n">
        <v>11</v>
      </c>
      <c r="Z277" s="2029" t="n"/>
      <c r="AA277" s="1529" t="n">
        <v>11</v>
      </c>
      <c r="AC277" s="1013" t="n"/>
      <c r="AD277" s="1014" t="n"/>
      <c r="AE277" s="1013" t="n"/>
      <c r="AF277" s="1014" t="n"/>
      <c r="AG277" s="1013" t="n"/>
      <c r="AH277" s="1014" t="n"/>
      <c r="AI277" s="10" t="n"/>
      <c r="AJ277" s="10" t="n"/>
      <c r="AK277" s="10" t="n"/>
    </row>
    <row r="278" ht="20" customHeight="1" thickBot="1">
      <c r="B278" s="1017" t="n"/>
      <c r="C278" s="1025" t="n"/>
      <c r="D278" s="1018" t="n"/>
      <c r="E278" s="1026" t="n"/>
      <c r="F278" s="1026" t="n"/>
      <c r="G278" s="1026" t="n"/>
      <c r="H278" s="1735" t="n">
        <v>11</v>
      </c>
      <c r="I278" s="1736" t="n">
        <v>11</v>
      </c>
      <c r="J278" s="46">
        <f>IF(AND(E278&gt;=H278,E278&lt;=I278),TRUE,FALSE)</f>
        <v/>
      </c>
      <c r="K278" s="33" t="n"/>
      <c r="L278" s="33" t="n"/>
      <c r="M278" s="33" t="n"/>
      <c r="N278" s="1720" t="n"/>
      <c r="O278" s="1735" t="n">
        <v>11</v>
      </c>
      <c r="P278" s="1736" t="n">
        <v>11</v>
      </c>
      <c r="Q278" s="1711">
        <f>IF(AND(E278&gt;=O278,E278&lt;=P278),TRUE,FALSE)</f>
        <v/>
      </c>
      <c r="R278" s="1735" t="n">
        <v>11</v>
      </c>
      <c r="S278" s="1736" t="n">
        <v>11</v>
      </c>
      <c r="T278" s="1711">
        <f>IF(AND(E278&gt;=R278,E278&lt;=S278),TRUE,FALSE)</f>
        <v/>
      </c>
      <c r="U278" s="978" t="n"/>
      <c r="V278" s="1510" t="n"/>
      <c r="W278" s="1506" t="n">
        <v>11</v>
      </c>
      <c r="X278" s="1507" t="n"/>
      <c r="Y278" s="1508" t="n">
        <v>11</v>
      </c>
      <c r="Z278" s="1507" t="n"/>
      <c r="AA278" s="1502" t="n">
        <v>11</v>
      </c>
      <c r="AC278" s="1013" t="n"/>
      <c r="AD278" s="1014" t="n"/>
      <c r="AE278" s="1013" t="n"/>
      <c r="AF278" s="1014" t="n"/>
      <c r="AG278" s="1013" t="n"/>
      <c r="AH278" s="1014" t="n"/>
      <c r="AI278" s="10" t="n"/>
      <c r="AJ278" s="10" t="n"/>
      <c r="AK278" s="10" t="n"/>
    </row>
    <row r="279" ht="27" customHeight="1" thickBot="1">
      <c r="A279" s="686" t="n"/>
      <c r="C279" s="2073" t="n"/>
      <c r="D279" s="2073" t="n"/>
      <c r="E279" s="90" t="n"/>
      <c r="F279" s="483" t="n"/>
      <c r="G279" s="483" t="n"/>
      <c r="H279" s="1732" t="n"/>
      <c r="I279" s="1733" t="n"/>
      <c r="J279" s="1739">
        <f>IF(AND(J277=FALSE,J278=FALSE),FALSE,TRUE)</f>
        <v/>
      </c>
      <c r="K279" s="1721" t="n"/>
      <c r="L279" s="1722" t="n"/>
      <c r="M279" s="1722" t="n"/>
      <c r="N279" s="1723" t="n"/>
      <c r="O279" s="1732" t="n"/>
      <c r="P279" s="1733" t="n"/>
      <c r="Q279" s="1739">
        <f>IF(AND(Q277=FALSE,Q278=FALSE),FALSE,TRUE)</f>
        <v/>
      </c>
      <c r="R279" s="1744" t="n"/>
      <c r="S279" s="1745" t="n"/>
      <c r="T279" s="1746">
        <f>IF(AND(T277=FALSE,T278=FALSE),FALSE,TRUE)</f>
        <v/>
      </c>
      <c r="U279" s="979" t="n"/>
      <c r="AC279" s="1650">
        <f>IF(J279=TRUE,"V","F")</f>
        <v/>
      </c>
      <c r="AD279" s="1651" t="n"/>
      <c r="AE279" s="1650">
        <f>IF(Q279=TRUE,"V","F")</f>
        <v/>
      </c>
      <c r="AF279" s="1651" t="n"/>
      <c r="AG279" s="1650">
        <f>IF(T279=TRUE,"V","F")</f>
        <v/>
      </c>
      <c r="AH279" s="1651" t="n"/>
      <c r="AI279" s="10" t="n"/>
      <c r="AJ279" s="10" t="n"/>
      <c r="AK279" s="10" t="n"/>
    </row>
    <row r="280" ht="21" customHeight="1">
      <c r="AC280" s="1737" t="n"/>
      <c r="AD280" s="1738">
        <f>IF(AND(AC279="V",AC271="V"),AD275-1,AD275)</f>
        <v/>
      </c>
      <c r="AE280" s="1737" t="n"/>
      <c r="AF280" s="1738">
        <f>IF(OR(AE271="V",AE274="V",AE279="V"),1,0)</f>
        <v/>
      </c>
      <c r="AG280" s="1737" t="n"/>
      <c r="AH280" s="1738">
        <f>IF(AG271="V",1,IF(AG279="V",1,0))</f>
        <v/>
      </c>
      <c r="AI280" s="10" t="n">
        <v>1</v>
      </c>
      <c r="AJ280" s="10" t="n">
        <v>1</v>
      </c>
      <c r="AK280" s="10" t="n"/>
    </row>
    <row r="281">
      <c r="AC281" s="1756" t="inlineStr">
        <is>
          <t>Indice boosté</t>
        </is>
      </c>
      <c r="AD281" s="1757">
        <f>IF(AF280=1,AD280*(1+$AH$28),AD280)</f>
        <v/>
      </c>
      <c r="AI281" s="10" t="n"/>
      <c r="AJ281" s="10" t="n"/>
      <c r="AK281" s="10" t="n"/>
    </row>
    <row r="282">
      <c r="AI282" s="10" t="n"/>
      <c r="AJ282" s="10" t="n"/>
      <c r="AK282" s="10" t="n"/>
    </row>
    <row r="283" ht="26" customHeight="1">
      <c r="A283" s="853" t="n">
        <v>15</v>
      </c>
      <c r="C283" s="486">
        <f>'CPTS indépendants'!F47</f>
        <v/>
      </c>
      <c r="D283" s="108" t="n"/>
      <c r="E283" s="66" t="n"/>
      <c r="F283" s="18" t="n"/>
      <c r="G283" s="18" t="n"/>
      <c r="H283" s="2052" t="inlineStr">
        <is>
          <t>AP</t>
        </is>
      </c>
      <c r="K283" s="2055" t="inlineStr">
        <is>
          <t>Dynamique d'AP</t>
        </is>
      </c>
      <c r="N283" s="330" t="n"/>
      <c r="O283" s="2122" t="inlineStr">
        <is>
          <t>CL</t>
        </is>
      </c>
      <c r="Q283" s="330" t="n"/>
      <c r="R283" s="2123" t="inlineStr">
        <is>
          <t>CSS</t>
        </is>
      </c>
      <c r="T283" s="330" t="n"/>
      <c r="U283" s="15" t="n"/>
      <c r="V283" s="15" t="n"/>
      <c r="AC283" s="1009" t="n"/>
      <c r="AD283" s="1009" t="n"/>
      <c r="AE283" s="1009" t="n"/>
      <c r="AF283" s="1009" t="n"/>
      <c r="AG283" s="1009" t="n"/>
      <c r="AH283" s="1010" t="n"/>
      <c r="AI283" s="10" t="n"/>
      <c r="AJ283" s="10" t="n"/>
      <c r="AK283" s="10" t="n"/>
    </row>
    <row r="284" ht="68" customHeight="1">
      <c r="C284" s="103" t="inlineStr">
        <is>
          <t>Questions et sous-questions</t>
        </is>
      </c>
      <c r="D284" s="1043" t="n"/>
      <c r="E284" s="33" t="inlineStr">
        <is>
          <t>Valeur de base
Fréquence (F)</t>
        </is>
      </c>
      <c r="F284" s="33" t="inlineStr">
        <is>
          <t>Valeur de base
intensité (I)</t>
        </is>
      </c>
      <c r="G284" s="33" t="inlineStr">
        <is>
          <t>F * I</t>
        </is>
      </c>
      <c r="H284" s="1708" t="inlineStr">
        <is>
          <t>Condition Fréq. 
&gt;= que</t>
        </is>
      </c>
      <c r="I284" s="44" t="inlineStr">
        <is>
          <t>Condition Fré
&lt;= que</t>
        </is>
      </c>
      <c r="J284" s="44" t="inlineStr">
        <is>
          <t>Condition respectée</t>
        </is>
      </c>
      <c r="K284" s="44" t="n"/>
      <c r="L284" s="44" t="n"/>
      <c r="M284" s="44" t="n"/>
      <c r="N284" s="1709" t="n"/>
      <c r="O284" s="1708" t="inlineStr">
        <is>
          <t>Condition Fréq. 
&gt;= que</t>
        </is>
      </c>
      <c r="P284" s="44" t="inlineStr">
        <is>
          <t>Condition Fré
&lt;= que</t>
        </is>
      </c>
      <c r="Q284" s="1709" t="inlineStr">
        <is>
          <t>Condition respectée</t>
        </is>
      </c>
      <c r="R284" s="1708" t="inlineStr">
        <is>
          <t>Condition Fréq. 
&gt;= que</t>
        </is>
      </c>
      <c r="S284" s="44" t="inlineStr">
        <is>
          <t>Condition Fré
&lt;= que</t>
        </is>
      </c>
      <c r="T284" s="1709" t="inlineStr">
        <is>
          <t>Condition respectée</t>
        </is>
      </c>
      <c r="U284" s="851" t="n"/>
      <c r="V284" s="1008" t="inlineStr">
        <is>
          <t>Condition</t>
        </is>
      </c>
      <c r="W284" s="1472" t="inlineStr">
        <is>
          <t>AP</t>
        </is>
      </c>
      <c r="X284" s="1008" t="inlineStr">
        <is>
          <t>Condition</t>
        </is>
      </c>
      <c r="Y284" s="1476" t="inlineStr">
        <is>
          <t>CL</t>
        </is>
      </c>
      <c r="Z284" s="1008" t="n"/>
      <c r="AA284" s="1480" t="inlineStr">
        <is>
          <t>CSS</t>
        </is>
      </c>
      <c r="AC284" s="1023" t="inlineStr">
        <is>
          <t>AP</t>
        </is>
      </c>
      <c r="AD284" s="1024" t="inlineStr">
        <is>
          <t>AP_F</t>
        </is>
      </c>
      <c r="AE284" s="1023" t="inlineStr">
        <is>
          <t>CL</t>
        </is>
      </c>
      <c r="AF284" s="1024" t="inlineStr">
        <is>
          <t>CL_F</t>
        </is>
      </c>
      <c r="AG284" s="1023" t="inlineStr">
        <is>
          <t>CSS</t>
        </is>
      </c>
      <c r="AH284" s="1024" t="inlineStr">
        <is>
          <t>CSS_F</t>
        </is>
      </c>
      <c r="AI284" s="10" t="n"/>
      <c r="AJ284" s="10" t="n"/>
      <c r="AK284" s="10" t="n"/>
    </row>
    <row r="285">
      <c r="B285" s="421" t="n"/>
      <c r="C285" s="2066" t="n"/>
      <c r="D285" s="102" t="n"/>
      <c r="E285" s="823" t="n"/>
      <c r="F285" s="822" t="n"/>
      <c r="G285" s="823" t="n"/>
      <c r="H285" s="1735" t="n">
        <v>11</v>
      </c>
      <c r="I285" s="1736" t="n">
        <v>11</v>
      </c>
      <c r="J285" s="46">
        <f>IF(AND(E285&gt;=H285,E285&lt;=I285),TRUE,FALSE)</f>
        <v/>
      </c>
      <c r="K285" s="46" t="n"/>
      <c r="L285" s="46" t="n"/>
      <c r="M285" s="46" t="n"/>
      <c r="N285" s="1711" t="n"/>
      <c r="O285" s="1735" t="n">
        <v>11</v>
      </c>
      <c r="P285" s="1736" t="n">
        <v>11</v>
      </c>
      <c r="Q285" s="1711">
        <f>IF(AND(E285&gt;=O285,E285&lt;=P285),TRUE,FALSE)</f>
        <v/>
      </c>
      <c r="R285" s="1735" t="n">
        <v>11</v>
      </c>
      <c r="S285" s="1736" t="n">
        <v>11</v>
      </c>
      <c r="T285" s="1711">
        <f>IF(AND(E285&gt;=R285,E285&lt;=S285),TRUE,FALSE)</f>
        <v/>
      </c>
      <c r="U285" s="978" t="n"/>
      <c r="V285" s="1484" t="n"/>
      <c r="W285" s="1517" t="n">
        <v>11</v>
      </c>
      <c r="X285" s="1528" t="n"/>
      <c r="Y285" s="1527" t="n">
        <v>11</v>
      </c>
      <c r="Z285" s="2029" t="n"/>
      <c r="AA285" s="1529" t="n">
        <v>11</v>
      </c>
      <c r="AC285" s="1011" t="n"/>
      <c r="AD285" s="1012" t="n"/>
      <c r="AE285" s="1011" t="n"/>
      <c r="AF285" s="1012" t="n"/>
      <c r="AG285" s="1011" t="n"/>
      <c r="AH285" s="1012" t="n"/>
      <c r="AI285" s="10" t="n"/>
      <c r="AJ285" s="10" t="n"/>
      <c r="AK285" s="10" t="n"/>
    </row>
    <row r="286">
      <c r="B286" s="421" t="n"/>
      <c r="C286" s="2066" t="n"/>
      <c r="D286" s="102" t="n"/>
      <c r="E286" s="823" t="n"/>
      <c r="F286" s="822" t="n"/>
      <c r="G286" s="823" t="n"/>
      <c r="H286" s="1735" t="n">
        <v>11</v>
      </c>
      <c r="I286" s="1736" t="n">
        <v>11</v>
      </c>
      <c r="J286" s="46">
        <f>IF(AND(E286&gt;=H286,E286&lt;=I286),TRUE,FALSE)</f>
        <v/>
      </c>
      <c r="K286" s="46" t="n"/>
      <c r="L286" s="46" t="n"/>
      <c r="M286" s="46" t="n"/>
      <c r="N286" s="1711" t="n"/>
      <c r="O286" s="1735" t="n">
        <v>11</v>
      </c>
      <c r="P286" s="1736" t="n">
        <v>11</v>
      </c>
      <c r="Q286" s="1711">
        <f>IF(AND(E286&gt;=O286,E286&lt;=P286),TRUE,FALSE)</f>
        <v/>
      </c>
      <c r="R286" s="1735" t="n">
        <v>11</v>
      </c>
      <c r="S286" s="1736" t="n">
        <v>11</v>
      </c>
      <c r="T286" s="1711">
        <f>IF(AND(E286&gt;=R286,E286&lt;=S286),TRUE,FALSE)</f>
        <v/>
      </c>
      <c r="U286" s="978" t="n"/>
      <c r="V286" s="1487" t="inlineStr">
        <is>
          <t>ou</t>
        </is>
      </c>
      <c r="W286" s="1518" t="n">
        <v>11</v>
      </c>
      <c r="X286" s="1522" t="n"/>
      <c r="Y286" s="1521" t="n">
        <v>11</v>
      </c>
      <c r="Z286" s="1507" t="n"/>
      <c r="AA286" s="1523" t="n">
        <v>11</v>
      </c>
      <c r="AC286" s="1013" t="n"/>
      <c r="AD286" s="1014" t="n"/>
      <c r="AE286" s="1013" t="n"/>
      <c r="AF286" s="1014" t="n"/>
      <c r="AG286" s="1013" t="n"/>
      <c r="AH286" s="1014" t="n"/>
      <c r="AI286" s="10" t="n"/>
      <c r="AJ286" s="10" t="n"/>
      <c r="AK286" s="10" t="n"/>
    </row>
    <row r="287">
      <c r="B287" s="825" t="n"/>
      <c r="C287" s="826" t="n"/>
      <c r="D287" s="827" t="n"/>
      <c r="E287" s="828" t="n"/>
      <c r="F287" s="828" t="n"/>
      <c r="G287" s="828" t="n"/>
      <c r="H287" s="1712" t="n"/>
      <c r="I287" s="829" t="n"/>
      <c r="J287" s="830">
        <f>IF(AND(J285=FALSE,J286=FALSE),FALSE,TRUE)</f>
        <v/>
      </c>
      <c r="K287" s="46" t="n"/>
      <c r="L287" s="46" t="n"/>
      <c r="M287" s="46" t="n"/>
      <c r="N287" s="1711" t="n"/>
      <c r="O287" s="1712" t="n"/>
      <c r="P287" s="829" t="n"/>
      <c r="Q287" s="1725">
        <f>IF(AND(Q285=FALSE,Q286=FALSE),FALSE,TRUE)</f>
        <v/>
      </c>
      <c r="R287" s="1712" t="n"/>
      <c r="S287" s="829" t="n"/>
      <c r="T287" s="1725">
        <f>IF(AND(T285=FALSE,T286=FALSE),FALSE,TRUE)</f>
        <v/>
      </c>
      <c r="U287" s="978" t="n"/>
      <c r="V287" s="978" t="inlineStr">
        <is>
          <t>ou</t>
        </is>
      </c>
      <c r="W287" s="1519" t="n"/>
      <c r="X287" s="1525" t="n"/>
      <c r="Y287" s="1524" t="n"/>
      <c r="Z287" s="2002" t="n"/>
      <c r="AA287" s="1526" t="n"/>
      <c r="AC287" s="1013" t="n"/>
      <c r="AD287" s="1014" t="n"/>
      <c r="AE287" s="1013" t="n"/>
      <c r="AF287" s="1014" t="n"/>
      <c r="AG287" s="1013" t="n"/>
      <c r="AH287" s="1014" t="n"/>
      <c r="AI287" s="10" t="n"/>
      <c r="AJ287" s="10" t="n"/>
      <c r="AK287" s="10" t="n"/>
    </row>
    <row r="288">
      <c r="B288" s="53" t="n"/>
      <c r="C288" s="2066" t="n"/>
      <c r="D288" s="102" t="n"/>
      <c r="E288" s="823" t="n"/>
      <c r="F288" s="822" t="n"/>
      <c r="G288" s="823" t="n"/>
      <c r="H288" s="1735" t="n">
        <v>11</v>
      </c>
      <c r="I288" s="1736" t="n">
        <v>11</v>
      </c>
      <c r="J288" s="46">
        <f>IF(AND(E288&gt;=H288,E288&lt;=I288),TRUE,FALSE)</f>
        <v/>
      </c>
      <c r="K288" s="46" t="n"/>
      <c r="L288" s="46" t="n"/>
      <c r="M288" s="46" t="n"/>
      <c r="N288" s="1711" t="n"/>
      <c r="O288" s="1735" t="n">
        <v>11</v>
      </c>
      <c r="P288" s="1736" t="n">
        <v>11</v>
      </c>
      <c r="Q288" s="1711">
        <f>IF(AND(E288&gt;=O288,E288&lt;=P288),TRUE,FALSE)</f>
        <v/>
      </c>
      <c r="R288" s="1735" t="n">
        <v>11</v>
      </c>
      <c r="S288" s="1736" t="n">
        <v>11</v>
      </c>
      <c r="T288" s="1711">
        <f>IF(AND(E288&gt;=R288,E288&lt;=S288),TRUE,FALSE)</f>
        <v/>
      </c>
      <c r="U288" s="978" t="n"/>
      <c r="V288" s="1484" t="n"/>
      <c r="W288" s="1517" t="n">
        <v>11</v>
      </c>
      <c r="X288" s="1528" t="n"/>
      <c r="Y288" s="1527" t="n">
        <v>11</v>
      </c>
      <c r="Z288" s="2029" t="n"/>
      <c r="AA288" s="1529" t="n">
        <v>11</v>
      </c>
      <c r="AC288" s="1013" t="n"/>
      <c r="AD288" s="1014" t="n"/>
      <c r="AE288" s="1013" t="n"/>
      <c r="AF288" s="1014" t="n"/>
      <c r="AG288" s="1013" t="n"/>
      <c r="AH288" s="1014" t="n"/>
      <c r="AI288" s="10" t="n"/>
      <c r="AJ288" s="10" t="n"/>
      <c r="AK288" s="10" t="n"/>
    </row>
    <row r="289">
      <c r="B289" s="53" t="n"/>
      <c r="C289" s="2066" t="n"/>
      <c r="D289" s="102" t="n"/>
      <c r="E289" s="823" t="n"/>
      <c r="F289" s="822" t="n"/>
      <c r="G289" s="823" t="n"/>
      <c r="H289" s="1735" t="n">
        <v>11</v>
      </c>
      <c r="I289" s="1736" t="n">
        <v>11</v>
      </c>
      <c r="J289" s="46">
        <f>IF(AND(E289&gt;=H289,E289&lt;=I289),TRUE,FALSE)</f>
        <v/>
      </c>
      <c r="K289" s="46" t="n"/>
      <c r="L289" s="46" t="n"/>
      <c r="M289" s="46" t="n"/>
      <c r="N289" s="1711" t="n"/>
      <c r="O289" s="1735" t="n">
        <v>11</v>
      </c>
      <c r="P289" s="1736" t="n">
        <v>11</v>
      </c>
      <c r="Q289" s="1711">
        <f>IF(AND(E289&gt;=O289,E289&lt;=P289),TRUE,FALSE)</f>
        <v/>
      </c>
      <c r="R289" s="1735" t="n">
        <v>11</v>
      </c>
      <c r="S289" s="1736" t="n">
        <v>11</v>
      </c>
      <c r="T289" s="1711">
        <f>IF(AND(E289&gt;=R289,E289&lt;=S289),TRUE,FALSE)</f>
        <v/>
      </c>
      <c r="U289" s="978" t="n"/>
      <c r="V289" s="1487" t="inlineStr">
        <is>
          <t>ou</t>
        </is>
      </c>
      <c r="W289" s="1518" t="n">
        <v>11</v>
      </c>
      <c r="X289" s="1522" t="n"/>
      <c r="Y289" s="1521" t="n">
        <v>11</v>
      </c>
      <c r="Z289" s="1493" t="n"/>
      <c r="AA289" s="1523" t="n">
        <v>11</v>
      </c>
      <c r="AC289" s="1013" t="n"/>
      <c r="AD289" s="1014" t="n"/>
      <c r="AE289" s="1013" t="n"/>
      <c r="AF289" s="1014" t="n"/>
      <c r="AG289" s="1013" t="n"/>
      <c r="AH289" s="1014" t="n"/>
      <c r="AI289" s="10" t="n"/>
      <c r="AJ289" s="10" t="n"/>
      <c r="AK289" s="10" t="n"/>
    </row>
    <row r="290" ht="17" customHeight="1" thickBot="1">
      <c r="B290" s="831" t="n"/>
      <c r="C290" s="832" t="n"/>
      <c r="D290" s="833" t="n"/>
      <c r="E290" s="834" t="n"/>
      <c r="F290" s="834" t="n"/>
      <c r="G290" s="834" t="n"/>
      <c r="H290" s="1713" t="n"/>
      <c r="I290" s="835" t="n"/>
      <c r="J290" s="836">
        <f>IF(AND(J288=FALSE,J289=FALSE),FALSE,TRUE)</f>
        <v/>
      </c>
      <c r="K290" s="46" t="n"/>
      <c r="L290" s="46" t="n"/>
      <c r="M290" s="46" t="n"/>
      <c r="N290" s="1711" t="n"/>
      <c r="O290" s="1713" t="n"/>
      <c r="P290" s="835" t="n"/>
      <c r="Q290" s="1726">
        <f>IF(AND(Q288=FALSE,Q289=FALSE),FALSE,TRUE)</f>
        <v/>
      </c>
      <c r="R290" s="1713" t="n"/>
      <c r="S290" s="835" t="n"/>
      <c r="T290" s="1726">
        <f>IF(AND(T288=FALSE,T289=FALSE),FALSE,TRUE)</f>
        <v/>
      </c>
      <c r="U290" s="978" t="n"/>
      <c r="V290" s="978" t="n"/>
      <c r="W290" s="1473" t="n"/>
      <c r="X290" s="2002" t="n"/>
      <c r="Y290" s="1478" t="n"/>
      <c r="Z290" s="2002" t="n"/>
      <c r="AA290" s="1481" t="n"/>
      <c r="AC290" s="1013" t="n"/>
      <c r="AD290" s="1014" t="n"/>
      <c r="AE290" s="1013" t="n"/>
      <c r="AF290" s="1014" t="n"/>
      <c r="AG290" s="1013" t="n"/>
      <c r="AH290" s="1014" t="n"/>
      <c r="AI290" s="10" t="n"/>
      <c r="AJ290" s="10" t="n"/>
      <c r="AK290" s="10" t="n"/>
    </row>
    <row r="291" ht="17" customHeight="1" thickBot="1">
      <c r="B291" s="837" t="n"/>
      <c r="C291" s="838" t="n"/>
      <c r="D291" s="838" t="n"/>
      <c r="E291" s="839" t="n"/>
      <c r="F291" s="839" t="n"/>
      <c r="G291" s="839" t="n"/>
      <c r="H291" s="1714" t="n"/>
      <c r="I291" s="840" t="n"/>
      <c r="J291" s="841">
        <f>IF(AND(J287=FALSE,J290=FALSE),FALSE,TRUE)</f>
        <v/>
      </c>
      <c r="K291" s="1698" t="n"/>
      <c r="L291" s="1698" t="n"/>
      <c r="M291" s="1698" t="n"/>
      <c r="N291" s="1715" t="n"/>
      <c r="O291" s="1714" t="n"/>
      <c r="P291" s="840" t="n"/>
      <c r="Q291" s="841">
        <f>IF(AND(Q287=FALSE,Q290=FALSE),FALSE,TRUE)</f>
        <v/>
      </c>
      <c r="R291" s="1714" t="n"/>
      <c r="S291" s="840" t="n"/>
      <c r="T291" s="841">
        <f>IF(AND(T287=FALSE,T290=FALSE),FALSE,TRUE)</f>
        <v/>
      </c>
      <c r="U291" s="978" t="n"/>
      <c r="V291" s="978" t="inlineStr">
        <is>
          <t>et</t>
        </is>
      </c>
      <c r="W291" s="1473" t="n"/>
      <c r="X291" s="2002" t="n"/>
      <c r="Y291" s="1478" t="n"/>
      <c r="Z291" s="2002" t="n"/>
      <c r="AA291" s="1481" t="n"/>
      <c r="AC291" s="1013">
        <f>IF(J291=TRUE,"V","F")</f>
        <v/>
      </c>
      <c r="AD291" s="1014" t="n"/>
      <c r="AE291" s="1013">
        <f>IF(Q291=TRUE,"V","F")</f>
        <v/>
      </c>
      <c r="AF291" s="1014" t="n"/>
      <c r="AG291" s="1013">
        <f>IF(T291=TRUE,"V","F")</f>
        <v/>
      </c>
      <c r="AH291" s="1014" t="n"/>
      <c r="AI291" s="10" t="n"/>
      <c r="AJ291" s="10" t="n"/>
      <c r="AK291" s="10" t="n"/>
    </row>
    <row r="292" ht="58" customHeight="1">
      <c r="B292" s="316">
        <f>'Action-Réaction finale'!O82</f>
        <v/>
      </c>
      <c r="C292" s="2066">
        <f>Test_Bible!B302</f>
        <v/>
      </c>
      <c r="D292" s="102" t="n"/>
      <c r="E292" s="823">
        <f>Test_Bible!P302</f>
        <v/>
      </c>
      <c r="F292" s="822">
        <f>Test_Bible!D302</f>
        <v/>
      </c>
      <c r="G292" s="823">
        <f>E292*F292</f>
        <v/>
      </c>
      <c r="H292" s="1735" t="n">
        <v>11</v>
      </c>
      <c r="I292" s="1736" t="n">
        <v>11</v>
      </c>
      <c r="J292" s="46">
        <f>IF(AND(E292&gt;=H292,E292&lt;=I292),TRUE,FALSE)</f>
        <v/>
      </c>
      <c r="K292" s="46" t="n"/>
      <c r="L292" s="46" t="n"/>
      <c r="M292" s="46" t="n"/>
      <c r="N292" s="1711" t="n"/>
      <c r="O292" s="1710" t="n">
        <v>2</v>
      </c>
      <c r="P292" s="1703" t="n">
        <v>10</v>
      </c>
      <c r="Q292" s="1711">
        <f>IF(AND(E292&gt;=O292,E292&lt;=P292),TRUE,FALSE)</f>
        <v/>
      </c>
      <c r="R292" s="1710" t="n"/>
      <c r="S292" s="1703" t="n"/>
      <c r="T292" s="1711" t="n"/>
      <c r="U292" s="978" t="n"/>
      <c r="V292" s="1484" t="n"/>
      <c r="W292" s="1517" t="n">
        <v>11</v>
      </c>
      <c r="X292" s="2029" t="n"/>
      <c r="Y292" s="1489" t="n">
        <v>2</v>
      </c>
      <c r="Z292" s="2029" t="n"/>
      <c r="AA292" s="1497" t="n">
        <v>11</v>
      </c>
      <c r="AC292" s="1013" t="inlineStr">
        <is>
          <t> </t>
        </is>
      </c>
      <c r="AD292" s="1014" t="n"/>
      <c r="AE292" s="1013" t="n"/>
      <c r="AF292" s="1014" t="n"/>
      <c r="AG292" s="1013" t="n"/>
      <c r="AH292" s="1014" t="n"/>
      <c r="AI292" s="10" t="n"/>
      <c r="AJ292" s="10" t="n"/>
      <c r="AK292" s="10" t="n"/>
    </row>
    <row r="293" ht="42" customHeight="1" thickBot="1">
      <c r="B293" s="316">
        <f>'Action-Réaction finale'!O83</f>
        <v/>
      </c>
      <c r="C293" s="2066">
        <f>Test_Bible!B304</f>
        <v/>
      </c>
      <c r="D293" s="102" t="n"/>
      <c r="E293" s="823">
        <f>Test_Bible!P304</f>
        <v/>
      </c>
      <c r="F293" s="822">
        <f>Test_Bible!D304</f>
        <v/>
      </c>
      <c r="G293" s="823">
        <f>E293*F293</f>
        <v/>
      </c>
      <c r="H293" s="1710" t="n">
        <v>7</v>
      </c>
      <c r="I293" s="1703" t="n">
        <v>10</v>
      </c>
      <c r="J293" s="46">
        <f>IF(AND(E293&gt;=H293,E293&lt;=I293),TRUE,FALSE)</f>
        <v/>
      </c>
      <c r="K293" s="46" t="n"/>
      <c r="L293" s="46" t="n"/>
      <c r="M293" s="46" t="n"/>
      <c r="N293" s="1711" t="n"/>
      <c r="O293" s="1710" t="n">
        <v>2</v>
      </c>
      <c r="P293" s="1703" t="n">
        <v>10</v>
      </c>
      <c r="Q293" s="1711">
        <f>IF(AND(E293&gt;=O293,E293&lt;=P293),TRUE,FALSE)</f>
        <v/>
      </c>
      <c r="R293" s="1735" t="n"/>
      <c r="S293" s="1736" t="n"/>
      <c r="T293" s="1711" t="n"/>
      <c r="U293" s="978" t="n"/>
      <c r="V293" s="1487" t="inlineStr">
        <is>
          <t>ou</t>
        </is>
      </c>
      <c r="W293" s="1492" t="n">
        <v>7</v>
      </c>
      <c r="X293" s="1493" t="n"/>
      <c r="Y293" s="1494" t="n">
        <v>2</v>
      </c>
      <c r="Z293" s="1507" t="n"/>
      <c r="AA293" s="1502" t="n">
        <v>11</v>
      </c>
      <c r="AC293" s="1013" t="n"/>
      <c r="AD293" s="1014" t="n"/>
      <c r="AE293" s="1013" t="n"/>
      <c r="AF293" s="1014" t="n"/>
      <c r="AG293" s="1013" t="n"/>
      <c r="AH293" s="1014" t="n"/>
      <c r="AI293" s="10" t="n"/>
      <c r="AJ293" s="10" t="n"/>
      <c r="AK293" s="10" t="n"/>
    </row>
    <row r="294" ht="17" customHeight="1" thickBot="1">
      <c r="B294" s="842" t="n"/>
      <c r="C294" s="843" t="n"/>
      <c r="D294" s="843" t="n"/>
      <c r="E294" s="844" t="n"/>
      <c r="F294" s="844" t="n"/>
      <c r="G294" s="844" t="n"/>
      <c r="H294" s="1716" t="n"/>
      <c r="I294" s="845" t="n"/>
      <c r="J294" s="846">
        <f>IF(AND(J292=FALSE,J293=FALSE),FALSE,TRUE)</f>
        <v/>
      </c>
      <c r="K294" s="1699" t="n"/>
      <c r="L294" s="1699" t="n"/>
      <c r="M294" s="1699" t="n"/>
      <c r="N294" s="1717" t="n"/>
      <c r="O294" s="1716" t="n"/>
      <c r="P294" s="845" t="n"/>
      <c r="Q294" s="846">
        <f>IF(AND(Q292=FALSE,Q293=FALSE),FALSE,TRUE)</f>
        <v/>
      </c>
      <c r="R294" s="1716" t="n"/>
      <c r="S294" s="845" t="n"/>
      <c r="T294" s="846" t="n"/>
      <c r="U294" s="978" t="n"/>
      <c r="V294" s="978" t="n"/>
      <c r="W294" s="1475" t="n"/>
      <c r="Y294" s="1479" t="n"/>
      <c r="AA294" s="1483" t="n"/>
      <c r="AC294" s="1013">
        <f>IF(J294=TRUE,"V","F")</f>
        <v/>
      </c>
      <c r="AD294" s="1014" t="n"/>
      <c r="AE294" s="1013">
        <f>IF(Q294=TRUE,"V","F")</f>
        <v/>
      </c>
      <c r="AF294" s="1014" t="n"/>
      <c r="AG294" s="1013" t="n"/>
      <c r="AH294" s="1014" t="n"/>
      <c r="AI294" s="10" t="n"/>
      <c r="AJ294" s="10" t="n"/>
      <c r="AK294" s="10" t="n"/>
    </row>
    <row r="295">
      <c r="C295" s="428" t="n"/>
      <c r="D295" s="2058" t="n"/>
      <c r="E295" s="484" t="n"/>
      <c r="F295" s="48" t="n"/>
      <c r="G295" s="48" t="n"/>
      <c r="H295" s="1718" t="n"/>
      <c r="I295" s="485" t="n"/>
      <c r="J295" s="1701" t="n"/>
      <c r="K295" s="1702" t="n"/>
      <c r="L295" s="1702" t="n"/>
      <c r="M295" s="1702" t="n"/>
      <c r="N295" s="1719" t="n"/>
      <c r="O295" s="1718" t="n"/>
      <c r="P295" s="485" t="n"/>
      <c r="Q295" s="1727" t="n"/>
      <c r="R295" s="1718" t="n"/>
      <c r="S295" s="485" t="n"/>
      <c r="T295" s="1727" t="n"/>
      <c r="U295" s="1754" t="n"/>
      <c r="V295" s="980" t="n"/>
      <c r="W295" s="1475" t="n"/>
      <c r="Y295" s="1479" t="n"/>
      <c r="AA295" s="1483" t="n"/>
      <c r="AC295" s="1015" t="n"/>
      <c r="AD295" s="1016">
        <f>IF(AND(AC291="V",AC294="V"),2,IF(OR(AC291="V",AC294="V"),1,0))</f>
        <v/>
      </c>
      <c r="AE295" s="1015" t="n"/>
      <c r="AF295" s="1016">
        <f>IF(OR(AE291="V",AE294="V"),1,0)</f>
        <v/>
      </c>
      <c r="AG295" s="1015" t="n"/>
      <c r="AH295" s="1016" t="n"/>
      <c r="AI295" s="10" t="n"/>
      <c r="AJ295" s="10" t="n"/>
      <c r="AK295" s="10" t="n"/>
    </row>
    <row r="296">
      <c r="B296" t="inlineStr">
        <is>
          <t>PCR</t>
        </is>
      </c>
      <c r="H296" s="147" t="n"/>
      <c r="K296" s="1992" t="n"/>
      <c r="L296" s="1992" t="n"/>
      <c r="M296" s="1992" t="n"/>
      <c r="N296" s="1740" t="n"/>
      <c r="O296" s="147" t="n"/>
      <c r="Q296" s="330" t="n"/>
      <c r="R296" s="147" t="n"/>
      <c r="T296" s="330" t="n"/>
      <c r="W296" s="1475" t="n"/>
      <c r="Y296" s="1479" t="n"/>
      <c r="AA296" s="1483" t="n"/>
      <c r="AC296" s="1013" t="n"/>
      <c r="AD296" s="1014" t="n"/>
      <c r="AE296" s="1013" t="n"/>
      <c r="AF296" s="1014" t="n"/>
      <c r="AG296" s="1013" t="n"/>
      <c r="AH296" s="1014" t="n"/>
      <c r="AI296" s="10" t="n"/>
      <c r="AJ296" s="10" t="n"/>
      <c r="AK296" s="10" t="n"/>
    </row>
    <row r="297">
      <c r="B297" s="1017" t="n"/>
      <c r="C297" s="1018" t="n"/>
      <c r="D297" s="1018" t="n"/>
      <c r="E297" s="1026" t="n"/>
      <c r="F297" s="1026" t="n"/>
      <c r="G297" s="1026" t="n"/>
      <c r="H297" s="1735" t="n">
        <v>11</v>
      </c>
      <c r="I297" s="1736" t="n">
        <v>11</v>
      </c>
      <c r="J297" s="46">
        <f>IF(AND(E297&gt;=H297,E297&lt;=I297),TRUE,FALSE)</f>
        <v/>
      </c>
      <c r="K297" s="33" t="n"/>
      <c r="L297" s="33" t="n"/>
      <c r="M297" s="33" t="n"/>
      <c r="N297" s="1720" t="n"/>
      <c r="O297" s="1735" t="n">
        <v>11</v>
      </c>
      <c r="P297" s="1736" t="n">
        <v>11</v>
      </c>
      <c r="Q297" s="1711">
        <f>IF(AND(E297&gt;=O297,E297&lt;=P297),TRUE,FALSE)</f>
        <v/>
      </c>
      <c r="R297" s="1735" t="n">
        <v>11</v>
      </c>
      <c r="S297" s="1736" t="n">
        <v>11</v>
      </c>
      <c r="T297" s="1711">
        <f>IF(AND(E297&gt;=R297,E297&lt;=S297),TRUE,FALSE)</f>
        <v/>
      </c>
      <c r="U297" s="978" t="n"/>
      <c r="V297" s="1509" t="n"/>
      <c r="W297" s="1503" t="n">
        <v>11</v>
      </c>
      <c r="X297" s="2029" t="n"/>
      <c r="Y297" s="1505" t="n">
        <v>11</v>
      </c>
      <c r="Z297" s="2029" t="n"/>
      <c r="AA297" s="1529" t="n">
        <v>11</v>
      </c>
      <c r="AC297" s="1013" t="n"/>
      <c r="AD297" s="1014" t="n"/>
      <c r="AE297" s="1013" t="n"/>
      <c r="AF297" s="1014" t="n"/>
      <c r="AG297" s="1013" t="n"/>
      <c r="AH297" s="1014" t="n"/>
      <c r="AI297" s="10" t="n"/>
      <c r="AJ297" s="10" t="n"/>
      <c r="AK297" s="10" t="n"/>
    </row>
    <row r="298" ht="20" customHeight="1" thickBot="1">
      <c r="B298" s="1017" t="n"/>
      <c r="C298" s="1025" t="n"/>
      <c r="D298" s="1018" t="n"/>
      <c r="E298" s="1026" t="n"/>
      <c r="F298" s="1026" t="n"/>
      <c r="G298" s="1026" t="n"/>
      <c r="H298" s="1735" t="n">
        <v>11</v>
      </c>
      <c r="I298" s="1736" t="n">
        <v>11</v>
      </c>
      <c r="J298" s="46">
        <f>IF(AND(E298&gt;=H298,E298&lt;=I298),TRUE,FALSE)</f>
        <v/>
      </c>
      <c r="K298" s="33" t="n"/>
      <c r="L298" s="33" t="n"/>
      <c r="M298" s="33" t="n"/>
      <c r="N298" s="1720" t="n"/>
      <c r="O298" s="1735" t="n">
        <v>11</v>
      </c>
      <c r="P298" s="1736" t="n">
        <v>11</v>
      </c>
      <c r="Q298" s="1711">
        <f>IF(AND(E298&gt;=O298,E298&lt;=P298),TRUE,FALSE)</f>
        <v/>
      </c>
      <c r="R298" s="1735" t="n">
        <v>11</v>
      </c>
      <c r="S298" s="1736" t="n">
        <v>11</v>
      </c>
      <c r="T298" s="1711">
        <f>IF(AND(E298&gt;=R298,E298&lt;=S298),TRUE,FALSE)</f>
        <v/>
      </c>
      <c r="U298" s="978" t="n"/>
      <c r="V298" s="1510" t="n"/>
      <c r="W298" s="1506" t="n">
        <v>11</v>
      </c>
      <c r="X298" s="1507" t="n"/>
      <c r="Y298" s="1508" t="n">
        <v>11</v>
      </c>
      <c r="Z298" s="1507" t="n"/>
      <c r="AA298" s="1502" t="n">
        <v>11</v>
      </c>
      <c r="AC298" s="1013" t="n"/>
      <c r="AD298" s="1014" t="n"/>
      <c r="AE298" s="1013" t="n"/>
      <c r="AF298" s="1014" t="n"/>
      <c r="AG298" s="1013" t="n"/>
      <c r="AH298" s="1014" t="n"/>
      <c r="AI298" s="10" t="n"/>
      <c r="AJ298" s="10" t="n"/>
      <c r="AK298" s="10" t="n"/>
    </row>
    <row r="299" ht="27" customHeight="1" thickBot="1">
      <c r="A299" s="686" t="n"/>
      <c r="C299" s="2073" t="n"/>
      <c r="D299" s="2073" t="n"/>
      <c r="E299" s="90" t="n"/>
      <c r="F299" s="483" t="n"/>
      <c r="G299" s="483" t="n"/>
      <c r="H299" s="1732" t="n"/>
      <c r="I299" s="1733" t="n"/>
      <c r="J299" s="1739">
        <f>IF(AND(J297=FALSE,J298=FALSE),FALSE,TRUE)</f>
        <v/>
      </c>
      <c r="K299" s="1721" t="n"/>
      <c r="L299" s="1722" t="n"/>
      <c r="M299" s="1722" t="n"/>
      <c r="N299" s="1723" t="n"/>
      <c r="O299" s="1732" t="n"/>
      <c r="P299" s="1733" t="n"/>
      <c r="Q299" s="1739">
        <f>IF(AND(Q297=FALSE,Q298=FALSE),FALSE,TRUE)</f>
        <v/>
      </c>
      <c r="R299" s="1744" t="n"/>
      <c r="S299" s="1745" t="n"/>
      <c r="T299" s="1746">
        <f>IF(AND(T297=FALSE,T298=FALSE),FALSE,TRUE)</f>
        <v/>
      </c>
      <c r="U299" s="979" t="n"/>
      <c r="AC299" s="1650">
        <f>IF(J299=TRUE,"V","F")</f>
        <v/>
      </c>
      <c r="AD299" s="1651" t="n"/>
      <c r="AE299" s="1650">
        <f>IF(Q299=TRUE,"V","F")</f>
        <v/>
      </c>
      <c r="AF299" s="1651" t="n"/>
      <c r="AG299" s="1650">
        <f>IF(T299=TRUE,"V","F")</f>
        <v/>
      </c>
      <c r="AH299" s="1651" t="n"/>
      <c r="AI299" s="10" t="n"/>
      <c r="AJ299" s="10" t="n"/>
      <c r="AK299" s="10" t="n"/>
    </row>
    <row r="300" ht="21" customHeight="1">
      <c r="AC300" s="1737" t="n"/>
      <c r="AD300" s="1738">
        <f>IF(AND(AC299="V",AC291="V"),AD295-1,AD295)</f>
        <v/>
      </c>
      <c r="AE300" s="1737" t="n"/>
      <c r="AF300" s="1738">
        <f>IF(OR(AE291="V",AE294="V",AE299="V"),1,0)</f>
        <v/>
      </c>
      <c r="AG300" s="1737" t="n"/>
      <c r="AH300" s="1738">
        <f>IF(AG291="V",1,IF(AG299="V",1,0))</f>
        <v/>
      </c>
      <c r="AI300" s="10" t="n">
        <v>1</v>
      </c>
      <c r="AJ300" s="10" t="n">
        <v>1</v>
      </c>
      <c r="AK300" s="10" t="n"/>
    </row>
    <row r="301">
      <c r="AC301" s="1756" t="inlineStr">
        <is>
          <t>Indice boosté</t>
        </is>
      </c>
      <c r="AD301" s="1757">
        <f>IF(AF300=1,AD300*(1+$AH$28),AD300)</f>
        <v/>
      </c>
      <c r="AI301" s="10" t="n"/>
      <c r="AJ301" s="10" t="n"/>
      <c r="AK301" s="10" t="n"/>
    </row>
    <row r="302">
      <c r="AI302" s="10" t="n"/>
      <c r="AJ302" s="10" t="n"/>
      <c r="AK302" s="10" t="n"/>
    </row>
    <row r="303" ht="26" customHeight="1">
      <c r="A303" s="853" t="n">
        <v>16</v>
      </c>
      <c r="C303" s="486">
        <f>'CPTS indépendants'!F50</f>
        <v/>
      </c>
      <c r="D303" s="108" t="n"/>
      <c r="E303" s="66" t="n"/>
      <c r="F303" s="18" t="n"/>
      <c r="G303" s="18" t="n"/>
      <c r="H303" s="2052" t="inlineStr">
        <is>
          <t>AP</t>
        </is>
      </c>
      <c r="K303" s="2055" t="inlineStr">
        <is>
          <t>Dynamique d'AP</t>
        </is>
      </c>
      <c r="N303" s="330" t="n"/>
      <c r="O303" s="2122" t="inlineStr">
        <is>
          <t>CL</t>
        </is>
      </c>
      <c r="Q303" s="330" t="n"/>
      <c r="R303" s="2123" t="inlineStr">
        <is>
          <t>CSS</t>
        </is>
      </c>
      <c r="T303" s="330" t="n"/>
      <c r="U303" s="15" t="n"/>
      <c r="V303" s="15" t="n"/>
      <c r="AC303" s="1009" t="n"/>
      <c r="AD303" s="1009" t="n"/>
      <c r="AE303" s="1009" t="n"/>
      <c r="AF303" s="1009" t="n"/>
      <c r="AG303" s="1009" t="n"/>
      <c r="AH303" s="1010" t="n"/>
      <c r="AI303" s="10" t="n"/>
      <c r="AJ303" s="10" t="n"/>
      <c r="AK303" s="10" t="n"/>
    </row>
    <row r="304" ht="68" customHeight="1">
      <c r="C304" s="103" t="inlineStr">
        <is>
          <t>Questions et sous-questions</t>
        </is>
      </c>
      <c r="D304" s="1043" t="n"/>
      <c r="E304" s="33" t="inlineStr">
        <is>
          <t>Valeur de base
Fréquence (F)</t>
        </is>
      </c>
      <c r="F304" s="33" t="inlineStr">
        <is>
          <t>Valeur de base
intensité (I)</t>
        </is>
      </c>
      <c r="G304" s="33" t="inlineStr">
        <is>
          <t>F * I</t>
        </is>
      </c>
      <c r="H304" s="1708" t="inlineStr">
        <is>
          <t>Condition Fréq. 
&gt;= que</t>
        </is>
      </c>
      <c r="I304" s="44" t="inlineStr">
        <is>
          <t>Condition Fré
&lt;= que</t>
        </is>
      </c>
      <c r="J304" s="44" t="inlineStr">
        <is>
          <t>Condition respectée</t>
        </is>
      </c>
      <c r="K304" s="44" t="n"/>
      <c r="L304" s="44" t="n"/>
      <c r="M304" s="44" t="n"/>
      <c r="N304" s="1709" t="n"/>
      <c r="O304" s="1708" t="inlineStr">
        <is>
          <t>Condition Fréq. 
&gt;= que</t>
        </is>
      </c>
      <c r="P304" s="44" t="inlineStr">
        <is>
          <t>Condition Fré
&lt;= que</t>
        </is>
      </c>
      <c r="Q304" s="1709" t="inlineStr">
        <is>
          <t>Condition respectée</t>
        </is>
      </c>
      <c r="R304" s="1708" t="inlineStr">
        <is>
          <t>Condition Fréq. 
&gt;= que</t>
        </is>
      </c>
      <c r="S304" s="44" t="inlineStr">
        <is>
          <t>Condition Fré
&lt;= que</t>
        </is>
      </c>
      <c r="T304" s="1709" t="inlineStr">
        <is>
          <t>Condition respectée</t>
        </is>
      </c>
      <c r="U304" s="851" t="n"/>
      <c r="V304" s="1008" t="inlineStr">
        <is>
          <t>Condition</t>
        </is>
      </c>
      <c r="W304" s="1472" t="inlineStr">
        <is>
          <t>AP</t>
        </is>
      </c>
      <c r="X304" s="1008" t="inlineStr">
        <is>
          <t>Condition</t>
        </is>
      </c>
      <c r="Y304" s="1476" t="inlineStr">
        <is>
          <t>CL</t>
        </is>
      </c>
      <c r="Z304" s="1008" t="n"/>
      <c r="AA304" s="1480" t="inlineStr">
        <is>
          <t>CSS</t>
        </is>
      </c>
      <c r="AC304" s="1023" t="inlineStr">
        <is>
          <t>AP</t>
        </is>
      </c>
      <c r="AD304" s="1024" t="inlineStr">
        <is>
          <t>AP_F</t>
        </is>
      </c>
      <c r="AE304" s="1023" t="inlineStr">
        <is>
          <t>CL</t>
        </is>
      </c>
      <c r="AF304" s="1024" t="inlineStr">
        <is>
          <t>CL_F</t>
        </is>
      </c>
      <c r="AG304" s="1023" t="inlineStr">
        <is>
          <t>CSS</t>
        </is>
      </c>
      <c r="AH304" s="1024" t="inlineStr">
        <is>
          <t>CSS_F</t>
        </is>
      </c>
      <c r="AI304" s="10" t="n"/>
      <c r="AJ304" s="10" t="n"/>
      <c r="AK304" s="10" t="n"/>
    </row>
    <row r="305">
      <c r="B305" s="421" t="n"/>
      <c r="C305" s="2066" t="n"/>
      <c r="D305" s="102" t="n"/>
      <c r="E305" s="823" t="n"/>
      <c r="F305" s="822" t="n"/>
      <c r="G305" s="823" t="n"/>
      <c r="H305" s="1735" t="n">
        <v>11</v>
      </c>
      <c r="I305" s="1736" t="n">
        <v>11</v>
      </c>
      <c r="J305" s="46">
        <f>IF(AND(E305&gt;=H305,E305&lt;=I305),TRUE,FALSE)</f>
        <v/>
      </c>
      <c r="K305" s="46" t="n"/>
      <c r="L305" s="46" t="n"/>
      <c r="M305" s="46" t="n"/>
      <c r="N305" s="1711" t="n"/>
      <c r="O305" s="1735" t="n">
        <v>11</v>
      </c>
      <c r="P305" s="1736" t="n">
        <v>11</v>
      </c>
      <c r="Q305" s="1711">
        <f>IF(AND(E305&gt;=O305,E305&lt;=P305),TRUE,FALSE)</f>
        <v/>
      </c>
      <c r="R305" s="1735" t="n">
        <v>11</v>
      </c>
      <c r="S305" s="1736" t="n">
        <v>11</v>
      </c>
      <c r="T305" s="1711">
        <f>IF(AND(E305&gt;=R305,E305&lt;=S305),TRUE,FALSE)</f>
        <v/>
      </c>
      <c r="U305" s="978" t="n"/>
      <c r="V305" s="1484" t="n"/>
      <c r="W305" s="1517" t="n">
        <v>11</v>
      </c>
      <c r="X305" s="1528" t="n"/>
      <c r="Y305" s="1527" t="n">
        <v>11</v>
      </c>
      <c r="Z305" s="1528" t="n"/>
      <c r="AA305" s="1529" t="n">
        <v>11</v>
      </c>
      <c r="AC305" s="1011" t="n"/>
      <c r="AD305" s="1012" t="n"/>
      <c r="AE305" s="1011" t="n"/>
      <c r="AF305" s="1012" t="n"/>
      <c r="AG305" s="1011" t="n"/>
      <c r="AH305" s="1012" t="n"/>
      <c r="AI305" s="10" t="n"/>
      <c r="AJ305" s="10" t="n"/>
      <c r="AK305" s="10" t="n"/>
    </row>
    <row r="306">
      <c r="B306" s="421" t="n"/>
      <c r="C306" s="2066" t="n"/>
      <c r="D306" s="102" t="n"/>
      <c r="E306" s="823" t="n"/>
      <c r="F306" s="822" t="n"/>
      <c r="G306" s="823" t="n"/>
      <c r="H306" s="1735" t="n">
        <v>11</v>
      </c>
      <c r="I306" s="1736" t="n">
        <v>11</v>
      </c>
      <c r="J306" s="46">
        <f>IF(AND(E306&gt;=H306,E306&lt;=I306),TRUE,FALSE)</f>
        <v/>
      </c>
      <c r="K306" s="46" t="n"/>
      <c r="L306" s="46" t="n"/>
      <c r="M306" s="46" t="n"/>
      <c r="N306" s="1711" t="n"/>
      <c r="O306" s="1735" t="n">
        <v>11</v>
      </c>
      <c r="P306" s="1736" t="n">
        <v>11</v>
      </c>
      <c r="Q306" s="1711">
        <f>IF(AND(E306&gt;=O306,E306&lt;=P306),TRUE,FALSE)</f>
        <v/>
      </c>
      <c r="R306" s="1735" t="n">
        <v>11</v>
      </c>
      <c r="S306" s="1736" t="n">
        <v>11</v>
      </c>
      <c r="T306" s="1711">
        <f>IF(AND(E306&gt;=R306,E306&lt;=S306),TRUE,FALSE)</f>
        <v/>
      </c>
      <c r="U306" s="978" t="n"/>
      <c r="V306" s="1487" t="inlineStr">
        <is>
          <t>ou</t>
        </is>
      </c>
      <c r="W306" s="1518" t="n">
        <v>11</v>
      </c>
      <c r="X306" s="1522" t="n"/>
      <c r="Y306" s="1521" t="n">
        <v>11</v>
      </c>
      <c r="Z306" s="1522" t="n"/>
      <c r="AA306" s="1523" t="n">
        <v>11</v>
      </c>
      <c r="AC306" s="1013" t="n"/>
      <c r="AD306" s="1014" t="n"/>
      <c r="AE306" s="1013" t="n"/>
      <c r="AF306" s="1014" t="n"/>
      <c r="AG306" s="1013" t="n"/>
      <c r="AH306" s="1014" t="n"/>
      <c r="AI306" s="10" t="n"/>
      <c r="AJ306" s="10" t="n"/>
      <c r="AK306" s="10" t="n"/>
    </row>
    <row r="307">
      <c r="B307" s="825" t="n"/>
      <c r="C307" s="826" t="n"/>
      <c r="D307" s="827" t="n"/>
      <c r="E307" s="828" t="n"/>
      <c r="F307" s="828" t="n"/>
      <c r="G307" s="828" t="n"/>
      <c r="H307" s="1712" t="n"/>
      <c r="I307" s="829" t="n"/>
      <c r="J307" s="830">
        <f>IF(AND(J305=FALSE,J306=FALSE),FALSE,TRUE)</f>
        <v/>
      </c>
      <c r="K307" s="46" t="n"/>
      <c r="L307" s="46" t="n"/>
      <c r="M307" s="46" t="n"/>
      <c r="N307" s="1711" t="n"/>
      <c r="O307" s="1712" t="n"/>
      <c r="P307" s="829" t="n"/>
      <c r="Q307" s="1725">
        <f>IF(AND(Q305=FALSE,Q306=FALSE),FALSE,TRUE)</f>
        <v/>
      </c>
      <c r="R307" s="1712" t="n"/>
      <c r="S307" s="829" t="n"/>
      <c r="T307" s="1725">
        <f>IF(AND(T305=FALSE,T306=FALSE),FALSE,TRUE)</f>
        <v/>
      </c>
      <c r="U307" s="978" t="n"/>
      <c r="V307" s="978" t="inlineStr">
        <is>
          <t>ou</t>
        </is>
      </c>
      <c r="W307" s="1519" t="n"/>
      <c r="X307" s="1525" t="n"/>
      <c r="Y307" s="1524" t="n"/>
      <c r="Z307" s="1525" t="n"/>
      <c r="AA307" s="1526" t="n"/>
      <c r="AC307" s="1013" t="n"/>
      <c r="AD307" s="1014" t="n"/>
      <c r="AE307" s="1013" t="n"/>
      <c r="AF307" s="1014" t="n"/>
      <c r="AG307" s="1013" t="n"/>
      <c r="AH307" s="1014" t="n"/>
      <c r="AI307" s="10" t="n"/>
      <c r="AJ307" s="10" t="n"/>
      <c r="AK307" s="10" t="n"/>
    </row>
    <row r="308">
      <c r="B308" s="53" t="n"/>
      <c r="C308" s="2066" t="n"/>
      <c r="D308" s="102" t="n"/>
      <c r="E308" s="823" t="n"/>
      <c r="F308" s="822" t="n"/>
      <c r="G308" s="823" t="n"/>
      <c r="H308" s="1735" t="n">
        <v>11</v>
      </c>
      <c r="I308" s="1736" t="n">
        <v>11</v>
      </c>
      <c r="J308" s="46">
        <f>IF(AND(E308&gt;=H308,E308&lt;=I308),TRUE,FALSE)</f>
        <v/>
      </c>
      <c r="K308" s="46" t="n"/>
      <c r="L308" s="46" t="n"/>
      <c r="M308" s="46" t="n"/>
      <c r="N308" s="1711" t="n"/>
      <c r="O308" s="1735" t="n">
        <v>11</v>
      </c>
      <c r="P308" s="1736" t="n">
        <v>11</v>
      </c>
      <c r="Q308" s="1711">
        <f>IF(AND(E308&gt;=O308,E308&lt;=P308),TRUE,FALSE)</f>
        <v/>
      </c>
      <c r="R308" s="1735" t="n">
        <v>11</v>
      </c>
      <c r="S308" s="1736" t="n">
        <v>11</v>
      </c>
      <c r="T308" s="1711">
        <f>IF(AND(E308&gt;=R308,E308&lt;=S308),TRUE,FALSE)</f>
        <v/>
      </c>
      <c r="U308" s="978" t="n"/>
      <c r="V308" s="1484" t="n"/>
      <c r="W308" s="1517" t="n">
        <v>11</v>
      </c>
      <c r="X308" s="1528" t="n"/>
      <c r="Y308" s="1527" t="n">
        <v>11</v>
      </c>
      <c r="Z308" s="1528" t="n"/>
      <c r="AA308" s="1529" t="n">
        <v>11</v>
      </c>
      <c r="AC308" s="1013" t="n"/>
      <c r="AD308" s="1014" t="n"/>
      <c r="AE308" s="1013" t="n"/>
      <c r="AF308" s="1014" t="n"/>
      <c r="AG308" s="1013" t="n"/>
      <c r="AH308" s="1014" t="n"/>
      <c r="AI308" s="10" t="n"/>
      <c r="AJ308" s="10" t="n"/>
      <c r="AK308" s="10" t="n"/>
    </row>
    <row r="309">
      <c r="B309" s="53" t="n"/>
      <c r="C309" s="2066" t="n"/>
      <c r="D309" s="102" t="n"/>
      <c r="E309" s="823" t="n"/>
      <c r="F309" s="822" t="n"/>
      <c r="G309" s="823" t="n"/>
      <c r="H309" s="1735" t="n">
        <v>11</v>
      </c>
      <c r="I309" s="1736" t="n">
        <v>11</v>
      </c>
      <c r="J309" s="46">
        <f>IF(AND(E309&gt;=H309,E309&lt;=I309),TRUE,FALSE)</f>
        <v/>
      </c>
      <c r="K309" s="46" t="n"/>
      <c r="L309" s="46" t="n"/>
      <c r="M309" s="46" t="n"/>
      <c r="N309" s="1711" t="n"/>
      <c r="O309" s="1735" t="n">
        <v>11</v>
      </c>
      <c r="P309" s="1736" t="n">
        <v>11</v>
      </c>
      <c r="Q309" s="1711">
        <f>IF(AND(E309&gt;=O309,E309&lt;=P309),TRUE,FALSE)</f>
        <v/>
      </c>
      <c r="R309" s="1735" t="n">
        <v>11</v>
      </c>
      <c r="S309" s="1736" t="n">
        <v>11</v>
      </c>
      <c r="T309" s="1711">
        <f>IF(AND(E309&gt;=R309,E309&lt;=S309),TRUE,FALSE)</f>
        <v/>
      </c>
      <c r="U309" s="978" t="n"/>
      <c r="V309" s="1487" t="inlineStr">
        <is>
          <t>ou</t>
        </is>
      </c>
      <c r="W309" s="1518" t="n">
        <v>11</v>
      </c>
      <c r="X309" s="1522" t="n"/>
      <c r="Y309" s="1521" t="n">
        <v>11</v>
      </c>
      <c r="Z309" s="1522" t="n"/>
      <c r="AA309" s="1523" t="n">
        <v>11</v>
      </c>
      <c r="AC309" s="1013" t="n"/>
      <c r="AD309" s="1014" t="n"/>
      <c r="AE309" s="1013" t="n"/>
      <c r="AF309" s="1014" t="n"/>
      <c r="AG309" s="1013" t="n"/>
      <c r="AH309" s="1014" t="n"/>
      <c r="AI309" s="10" t="n"/>
      <c r="AJ309" s="10" t="n"/>
      <c r="AK309" s="10" t="n"/>
    </row>
    <row r="310" ht="17" customHeight="1" thickBot="1">
      <c r="B310" s="831" t="n"/>
      <c r="C310" s="832" t="n"/>
      <c r="D310" s="833" t="n"/>
      <c r="E310" s="834" t="n"/>
      <c r="F310" s="834" t="n"/>
      <c r="G310" s="834" t="n"/>
      <c r="H310" s="1713" t="n"/>
      <c r="I310" s="835" t="n"/>
      <c r="J310" s="836">
        <f>IF(AND(J308=FALSE,J309=FALSE),FALSE,TRUE)</f>
        <v/>
      </c>
      <c r="K310" s="46" t="n"/>
      <c r="L310" s="46" t="n"/>
      <c r="M310" s="46" t="n"/>
      <c r="N310" s="1711" t="n"/>
      <c r="O310" s="1713" t="n"/>
      <c r="P310" s="835" t="n"/>
      <c r="Q310" s="1726">
        <f>IF(AND(Q308=FALSE,Q309=FALSE),FALSE,TRUE)</f>
        <v/>
      </c>
      <c r="R310" s="1713" t="n"/>
      <c r="S310" s="835" t="n"/>
      <c r="T310" s="1726">
        <f>IF(AND(T308=FALSE,T309=FALSE),FALSE,TRUE)</f>
        <v/>
      </c>
      <c r="U310" s="978" t="n"/>
      <c r="V310" s="978" t="n"/>
      <c r="W310" s="1473" t="n"/>
      <c r="X310" s="2002" t="n"/>
      <c r="Y310" s="1478" t="n"/>
      <c r="Z310" s="2002" t="n"/>
      <c r="AA310" s="1481" t="n"/>
      <c r="AC310" s="1013" t="n"/>
      <c r="AD310" s="1014" t="n"/>
      <c r="AE310" s="1013" t="n"/>
      <c r="AF310" s="1014" t="n"/>
      <c r="AG310" s="1013" t="n"/>
      <c r="AH310" s="1014" t="n"/>
      <c r="AI310" s="10" t="n"/>
      <c r="AJ310" s="10" t="n"/>
      <c r="AK310" s="10" t="n"/>
    </row>
    <row r="311" ht="17" customHeight="1" thickBot="1">
      <c r="B311" s="837" t="n"/>
      <c r="C311" s="838" t="n"/>
      <c r="D311" s="838" t="n"/>
      <c r="E311" s="839" t="n"/>
      <c r="F311" s="839" t="n"/>
      <c r="G311" s="839" t="n"/>
      <c r="H311" s="1714" t="n"/>
      <c r="I311" s="840" t="n"/>
      <c r="J311" s="841">
        <f>IF(AND(J307=FALSE,J310=FALSE),FALSE,TRUE)</f>
        <v/>
      </c>
      <c r="K311" s="1698" t="n"/>
      <c r="L311" s="1698" t="n"/>
      <c r="M311" s="1698" t="n"/>
      <c r="N311" s="1715" t="n"/>
      <c r="O311" s="1714" t="n"/>
      <c r="P311" s="840" t="n"/>
      <c r="Q311" s="841">
        <f>IF(AND(Q307=FALSE,Q310=FALSE),FALSE,TRUE)</f>
        <v/>
      </c>
      <c r="R311" s="1714" t="n"/>
      <c r="S311" s="840" t="n"/>
      <c r="T311" s="841">
        <f>IF(AND(T307=FALSE,T310=FALSE),FALSE,TRUE)</f>
        <v/>
      </c>
      <c r="U311" s="978" t="n"/>
      <c r="V311" s="978" t="inlineStr">
        <is>
          <t>et</t>
        </is>
      </c>
      <c r="W311" s="1473" t="n"/>
      <c r="X311" s="2002" t="n"/>
      <c r="Y311" s="1478" t="n"/>
      <c r="Z311" s="2002" t="n"/>
      <c r="AA311" s="1481" t="n"/>
      <c r="AC311" s="1013">
        <f>IF(J311=TRUE,"V","F")</f>
        <v/>
      </c>
      <c r="AD311" s="1014" t="n"/>
      <c r="AE311" s="1013">
        <f>IF(Q311=TRUE,"V","F")</f>
        <v/>
      </c>
      <c r="AF311" s="1014" t="n"/>
      <c r="AG311" s="1013">
        <f>IF(T311=TRUE,"V","F")</f>
        <v/>
      </c>
      <c r="AH311" s="1014" t="n"/>
      <c r="AI311" s="10" t="n"/>
      <c r="AJ311" s="10" t="n"/>
      <c r="AK311" s="10" t="n"/>
    </row>
    <row r="312" ht="51" customHeight="1">
      <c r="B312" s="316">
        <f>'CPTS indépendants'!O56</f>
        <v/>
      </c>
      <c r="C312" s="2066">
        <f>Test_Bible!B316</f>
        <v/>
      </c>
      <c r="D312" s="102" t="n"/>
      <c r="E312" s="823">
        <f>MAX(Test_Bible!P316,Test_Bible!P317)</f>
        <v/>
      </c>
      <c r="F312" s="822">
        <f>Test_Bible!D316</f>
        <v/>
      </c>
      <c r="G312" s="823">
        <f>E312*F312</f>
        <v/>
      </c>
      <c r="H312" s="1710" t="n">
        <v>7</v>
      </c>
      <c r="I312" s="1703" t="n">
        <v>10</v>
      </c>
      <c r="J312" s="46">
        <f>IF(AND(E312&gt;=H312,E312&lt;=I312),TRUE,FALSE)</f>
        <v/>
      </c>
      <c r="K312" s="46" t="n"/>
      <c r="L312" s="46" t="n"/>
      <c r="M312" s="46" t="n"/>
      <c r="N312" s="1711" t="n"/>
      <c r="O312" s="1710" t="n">
        <v>4</v>
      </c>
      <c r="P312" s="1703" t="n">
        <v>10</v>
      </c>
      <c r="Q312" s="1711">
        <f>IF(AND(E312&gt;=O312,E312&lt;=P312),TRUE,FALSE)</f>
        <v/>
      </c>
      <c r="R312" s="1710" t="n"/>
      <c r="S312" s="1703" t="n"/>
      <c r="T312" s="1711" t="n"/>
      <c r="U312" s="978" t="n"/>
      <c r="V312" s="1484" t="n"/>
      <c r="W312" s="1485" t="n">
        <v>7</v>
      </c>
      <c r="X312" s="2029" t="n"/>
      <c r="Y312" s="1489" t="n">
        <v>4</v>
      </c>
      <c r="Z312" s="2029" t="n"/>
      <c r="AA312" s="1497" t="n">
        <v>11</v>
      </c>
      <c r="AC312" s="1013" t="inlineStr">
        <is>
          <t> </t>
        </is>
      </c>
      <c r="AD312" s="1014" t="n"/>
      <c r="AE312" s="1013" t="n"/>
      <c r="AF312" s="1014" t="n"/>
      <c r="AG312" s="1013" t="n"/>
      <c r="AH312" s="1014" t="n"/>
      <c r="AI312" s="10" t="n"/>
      <c r="AJ312" s="10" t="n"/>
      <c r="AK312" s="10" t="n"/>
    </row>
    <row r="313" ht="44" customHeight="1" thickBot="1">
      <c r="B313" s="22">
        <f>'CPTS indépendants'!O57</f>
        <v/>
      </c>
      <c r="C313" s="799">
        <f>Test_Bible!B317</f>
        <v/>
      </c>
      <c r="D313" s="302" t="n"/>
      <c r="E313" s="928" t="n"/>
      <c r="F313" s="555" t="n"/>
      <c r="G313" s="928" t="n"/>
      <c r="H313" s="1710" t="n">
        <v>7</v>
      </c>
      <c r="I313" s="1703" t="n">
        <v>10</v>
      </c>
      <c r="J313" s="46">
        <f>IF(AND(E313&gt;=H313,E313&lt;=I313),TRUE,FALSE)</f>
        <v/>
      </c>
      <c r="K313" s="46" t="n"/>
      <c r="L313" s="46" t="n"/>
      <c r="M313" s="46" t="n"/>
      <c r="N313" s="1711" t="n"/>
      <c r="O313" s="1710" t="n">
        <v>4</v>
      </c>
      <c r="P313" s="1703" t="n">
        <v>10</v>
      </c>
      <c r="Q313" s="1711">
        <f>IF(AND(E313&gt;=O313,E313&lt;=P313),TRUE,FALSE)</f>
        <v/>
      </c>
      <c r="R313" s="1735" t="n"/>
      <c r="S313" s="1736" t="n"/>
      <c r="T313" s="1711" t="n"/>
      <c r="U313" s="978" t="n"/>
      <c r="V313" s="1487" t="inlineStr">
        <is>
          <t>ou</t>
        </is>
      </c>
      <c r="W313" s="1518" t="n">
        <v>11</v>
      </c>
      <c r="X313" s="1493" t="n"/>
      <c r="Y313" s="1521" t="n">
        <v>11</v>
      </c>
      <c r="Z313" s="1493" t="n"/>
      <c r="AA313" s="1502" t="n">
        <v>11</v>
      </c>
      <c r="AC313" s="1013" t="n"/>
      <c r="AD313" s="1014" t="n"/>
      <c r="AE313" s="1013" t="n"/>
      <c r="AF313" s="1014" t="n"/>
      <c r="AG313" s="1013" t="n"/>
      <c r="AH313" s="1014" t="n"/>
      <c r="AI313" s="10" t="n"/>
      <c r="AJ313" s="10" t="n"/>
      <c r="AK313" s="10" t="n"/>
    </row>
    <row r="314" ht="28" customHeight="1" thickBot="1">
      <c r="B314" s="842" t="inlineStr">
        <is>
          <t>MAX</t>
        </is>
      </c>
      <c r="C314" s="843" t="n"/>
      <c r="D314" s="843" t="n"/>
      <c r="E314" s="844" t="n"/>
      <c r="F314" s="844" t="n"/>
      <c r="G314" s="844" t="n"/>
      <c r="H314" s="1716" t="n"/>
      <c r="I314" s="845" t="n"/>
      <c r="J314" s="846">
        <f>IF(AND(J312=FALSE,J313=FALSE),FALSE,TRUE)</f>
        <v/>
      </c>
      <c r="K314" s="1699" t="n"/>
      <c r="L314" s="1699" t="n"/>
      <c r="M314" s="1699" t="n"/>
      <c r="N314" s="1717" t="n"/>
      <c r="O314" s="1716" t="n"/>
      <c r="P314" s="845" t="n"/>
      <c r="Q314" s="846">
        <f>IF(AND(Q312=FALSE,Q313=FALSE),FALSE,TRUE)</f>
        <v/>
      </c>
      <c r="R314" s="1716" t="n"/>
      <c r="S314" s="845" t="n"/>
      <c r="T314" s="846" t="n"/>
      <c r="U314" s="978" t="n"/>
      <c r="V314" s="978" t="n"/>
      <c r="W314" s="1475" t="n"/>
      <c r="Y314" s="1479" t="n"/>
      <c r="AA314" s="1483" t="n"/>
      <c r="AC314" s="1013">
        <f>IF(J314=TRUE,"V","F")</f>
        <v/>
      </c>
      <c r="AD314" s="1014" t="n"/>
      <c r="AE314" s="1013">
        <f>IF(Q314=TRUE,"V","F")</f>
        <v/>
      </c>
      <c r="AF314" s="1014" t="n"/>
      <c r="AG314" s="1013" t="n"/>
      <c r="AH314" s="1014" t="n"/>
      <c r="AI314" s="10" t="n"/>
      <c r="AJ314" s="10" t="n"/>
      <c r="AK314" s="10" t="n"/>
    </row>
    <row r="315">
      <c r="C315" s="428" t="n"/>
      <c r="D315" s="2058" t="n"/>
      <c r="E315" s="484" t="n"/>
      <c r="F315" s="48" t="n"/>
      <c r="G315" s="48" t="n"/>
      <c r="H315" s="1718" t="n"/>
      <c r="I315" s="485" t="n"/>
      <c r="J315" s="1701" t="n"/>
      <c r="K315" s="1702" t="n"/>
      <c r="L315" s="1702" t="n"/>
      <c r="M315" s="1702" t="n"/>
      <c r="N315" s="1719" t="n"/>
      <c r="O315" s="1718" t="n"/>
      <c r="P315" s="485" t="n"/>
      <c r="Q315" s="1727" t="n"/>
      <c r="R315" s="1718" t="n"/>
      <c r="S315" s="485" t="n"/>
      <c r="T315" s="1727" t="n"/>
      <c r="U315" s="1754" t="n"/>
      <c r="V315" s="980" t="n"/>
      <c r="W315" s="1475" t="n"/>
      <c r="Y315" s="1479" t="n"/>
      <c r="AA315" s="1483" t="n"/>
      <c r="AC315" s="1015" t="n"/>
      <c r="AD315" s="1016">
        <f>IF(AND(AC311="V",AC314="V"),2,IF(OR(AC311="V",AC314="V"),1,0))</f>
        <v/>
      </c>
      <c r="AE315" s="1015" t="n"/>
      <c r="AF315" s="1016">
        <f>IF(OR(AE311="V",AE314="V"),1,0)</f>
        <v/>
      </c>
      <c r="AG315" s="1015" t="n"/>
      <c r="AH315" s="1016" t="n"/>
      <c r="AI315" s="10" t="n"/>
      <c r="AJ315" s="10" t="n"/>
      <c r="AK315" s="10" t="n"/>
    </row>
    <row r="316">
      <c r="B316" t="inlineStr">
        <is>
          <t>PCR</t>
        </is>
      </c>
      <c r="H316" s="147" t="n"/>
      <c r="K316" s="1992" t="n"/>
      <c r="L316" s="1992" t="n"/>
      <c r="M316" s="1992" t="n"/>
      <c r="N316" s="1740" t="n"/>
      <c r="O316" s="147" t="n"/>
      <c r="Q316" s="330" t="n"/>
      <c r="R316" s="147" t="n"/>
      <c r="T316" s="330" t="n"/>
      <c r="W316" s="1475" t="n"/>
      <c r="Y316" s="1479" t="n"/>
      <c r="AA316" s="1483" t="n"/>
      <c r="AC316" s="1013" t="n"/>
      <c r="AD316" s="1014" t="n"/>
      <c r="AE316" s="1013" t="n"/>
      <c r="AF316" s="1014" t="n"/>
      <c r="AG316" s="1013" t="n"/>
      <c r="AH316" s="1014" t="n"/>
      <c r="AI316" s="10" t="n"/>
      <c r="AJ316" s="10" t="n"/>
      <c r="AK316" s="10" t="n"/>
    </row>
    <row r="317">
      <c r="B317" s="1017" t="n"/>
      <c r="C317" s="1018" t="n"/>
      <c r="D317" s="1018" t="n"/>
      <c r="E317" s="1026" t="n"/>
      <c r="F317" s="1026" t="n"/>
      <c r="G317" s="1026" t="n"/>
      <c r="H317" s="1735" t="n">
        <v>11</v>
      </c>
      <c r="I317" s="1736" t="n">
        <v>11</v>
      </c>
      <c r="J317" s="46">
        <f>IF(AND(E317&gt;=H317,E317&lt;=I317),TRUE,FALSE)</f>
        <v/>
      </c>
      <c r="K317" s="33" t="n"/>
      <c r="L317" s="33" t="n"/>
      <c r="M317" s="33" t="n"/>
      <c r="N317" s="1720" t="n"/>
      <c r="O317" s="1735" t="n">
        <v>11</v>
      </c>
      <c r="P317" s="1736" t="n">
        <v>11</v>
      </c>
      <c r="Q317" s="1711">
        <f>IF(AND(E317&gt;=O317,E317&lt;=P317),TRUE,FALSE)</f>
        <v/>
      </c>
      <c r="R317" s="1735" t="n">
        <v>11</v>
      </c>
      <c r="S317" s="1736" t="n">
        <v>11</v>
      </c>
      <c r="T317" s="1711">
        <f>IF(AND(E317&gt;=R317,E317&lt;=S317),TRUE,FALSE)</f>
        <v/>
      </c>
      <c r="U317" s="978" t="n"/>
      <c r="V317" s="1509" t="n"/>
      <c r="W317" s="1517" t="n">
        <v>11</v>
      </c>
      <c r="X317" s="1528" t="n"/>
      <c r="Y317" s="1505" t="n">
        <v>11</v>
      </c>
      <c r="Z317" s="1528" t="n"/>
      <c r="AA317" s="1529" t="n">
        <v>11</v>
      </c>
      <c r="AC317" s="1013" t="n"/>
      <c r="AD317" s="1014" t="n"/>
      <c r="AE317" s="1013" t="n"/>
      <c r="AF317" s="1014" t="n"/>
      <c r="AG317" s="1013" t="n"/>
      <c r="AH317" s="1014" t="n"/>
      <c r="AI317" s="10" t="n"/>
      <c r="AJ317" s="10" t="n"/>
      <c r="AK317" s="10" t="n"/>
    </row>
    <row r="318" ht="20" customHeight="1" thickBot="1">
      <c r="B318" s="1017" t="n"/>
      <c r="C318" s="1025" t="n"/>
      <c r="D318" s="1018" t="n"/>
      <c r="E318" s="1026" t="n"/>
      <c r="F318" s="1026" t="n"/>
      <c r="G318" s="1026" t="n"/>
      <c r="H318" s="1735" t="n">
        <v>11</v>
      </c>
      <c r="I318" s="1736" t="n">
        <v>11</v>
      </c>
      <c r="J318" s="46">
        <f>IF(AND(E318&gt;=H318,E318&lt;=I318),TRUE,FALSE)</f>
        <v/>
      </c>
      <c r="K318" s="33" t="n"/>
      <c r="L318" s="33" t="n"/>
      <c r="M318" s="33" t="n"/>
      <c r="N318" s="1720" t="n"/>
      <c r="O318" s="1735" t="n">
        <v>11</v>
      </c>
      <c r="P318" s="1736" t="n">
        <v>11</v>
      </c>
      <c r="Q318" s="1711">
        <f>IF(AND(E318&gt;=O318,E318&lt;=P318),TRUE,FALSE)</f>
        <v/>
      </c>
      <c r="R318" s="1735" t="n">
        <v>11</v>
      </c>
      <c r="S318" s="1736" t="n">
        <v>11</v>
      </c>
      <c r="T318" s="1711">
        <f>IF(AND(E318&gt;=R318,E318&lt;=S318),TRUE,FALSE)</f>
        <v/>
      </c>
      <c r="U318" s="978" t="n"/>
      <c r="V318" s="1510" t="n"/>
      <c r="W318" s="1518" t="n">
        <v>11</v>
      </c>
      <c r="X318" s="1522" t="n"/>
      <c r="Y318" s="1508" t="n">
        <v>11</v>
      </c>
      <c r="Z318" s="1522" t="n"/>
      <c r="AA318" s="1523" t="n">
        <v>11</v>
      </c>
      <c r="AC318" s="1013" t="n"/>
      <c r="AD318" s="1014" t="n"/>
      <c r="AE318" s="1013" t="n"/>
      <c r="AF318" s="1014" t="n"/>
      <c r="AG318" s="1013" t="n"/>
      <c r="AH318" s="1014" t="n"/>
      <c r="AI318" s="10" t="n"/>
      <c r="AJ318" s="10" t="n"/>
      <c r="AK318" s="10" t="n"/>
    </row>
    <row r="319" ht="27" customHeight="1" thickBot="1">
      <c r="A319" s="686" t="n"/>
      <c r="C319" s="2073" t="n"/>
      <c r="D319" s="2073" t="n"/>
      <c r="E319" s="90" t="n"/>
      <c r="F319" s="483" t="n"/>
      <c r="G319" s="483" t="n"/>
      <c r="H319" s="1732" t="n"/>
      <c r="I319" s="1733" t="n"/>
      <c r="J319" s="1739">
        <f>IF(AND(J317=FALSE,J318=FALSE),FALSE,TRUE)</f>
        <v/>
      </c>
      <c r="K319" s="1721" t="n"/>
      <c r="L319" s="1722" t="n"/>
      <c r="M319" s="1722" t="n"/>
      <c r="N319" s="1723" t="n"/>
      <c r="O319" s="1732" t="n"/>
      <c r="P319" s="1733" t="n"/>
      <c r="Q319" s="1739">
        <f>IF(AND(Q317=FALSE,Q318=FALSE),FALSE,TRUE)</f>
        <v/>
      </c>
      <c r="R319" s="1744" t="n"/>
      <c r="S319" s="1745" t="n"/>
      <c r="T319" s="1746">
        <f>IF(AND(T317=FALSE,T318=FALSE),FALSE,TRUE)</f>
        <v/>
      </c>
      <c r="U319" s="979" t="n"/>
      <c r="AC319" s="1650">
        <f>IF(J319=TRUE,"V","F")</f>
        <v/>
      </c>
      <c r="AD319" s="1651" t="n"/>
      <c r="AE319" s="1650">
        <f>IF(Q319=TRUE,"V","F")</f>
        <v/>
      </c>
      <c r="AF319" s="1651" t="n"/>
      <c r="AG319" s="1650">
        <f>IF(T319=TRUE,"V","F")</f>
        <v/>
      </c>
      <c r="AH319" s="1651" t="n"/>
      <c r="AI319" s="10" t="n"/>
      <c r="AJ319" s="10" t="n"/>
      <c r="AK319" s="10" t="n"/>
    </row>
    <row r="320" ht="21" customHeight="1">
      <c r="AC320" s="1737" t="n"/>
      <c r="AD320" s="1738">
        <f>IF(AND(AC319="V",AC311="V"),AD315-1,AD315)</f>
        <v/>
      </c>
      <c r="AE320" s="1737" t="n"/>
      <c r="AF320" s="1738">
        <f>IF(OR(AE311="V",AE314="V",AE319="V"),1,0)</f>
        <v/>
      </c>
      <c r="AG320" s="1737" t="n"/>
      <c r="AH320" s="1738">
        <f>IF(AG311="V",1,IF(AG319="V",1,0))</f>
        <v/>
      </c>
      <c r="AI320" s="10" t="n">
        <v>1</v>
      </c>
      <c r="AJ320" s="10" t="n">
        <v>1</v>
      </c>
      <c r="AK320" s="10" t="n"/>
    </row>
    <row r="321">
      <c r="AC321" s="1756" t="inlineStr">
        <is>
          <t>Indice boosté</t>
        </is>
      </c>
      <c r="AD321" s="1757">
        <f>IF(AF320=1,AD320*(1+$AH$28),AD320)</f>
        <v/>
      </c>
    </row>
    <row r="328" ht="26" customHeight="1">
      <c r="A328" s="853" t="n"/>
      <c r="C328" s="486">
        <f>'CPTS indépendants'!K26</f>
        <v/>
      </c>
      <c r="D328" s="108" t="n"/>
      <c r="E328" s="66" t="n"/>
      <c r="F328" s="18" t="n"/>
      <c r="G328" s="18" t="n"/>
      <c r="H328" s="2052" t="inlineStr">
        <is>
          <t>AP</t>
        </is>
      </c>
      <c r="K328" s="2055" t="inlineStr">
        <is>
          <t>Dynamique d'AP</t>
        </is>
      </c>
      <c r="N328" s="330" t="n"/>
      <c r="O328" s="2122" t="inlineStr">
        <is>
          <t>CL</t>
        </is>
      </c>
      <c r="Q328" s="330" t="n"/>
      <c r="R328" s="2123" t="inlineStr">
        <is>
          <t>CSS</t>
        </is>
      </c>
      <c r="T328" s="330" t="n"/>
      <c r="U328" s="15" t="n"/>
      <c r="V328" s="15" t="n"/>
      <c r="AC328" s="1009" t="n"/>
      <c r="AD328" s="1009" t="n"/>
      <c r="AE328" s="1009" t="n"/>
      <c r="AF328" s="1009" t="n"/>
      <c r="AG328" s="1009" t="n"/>
      <c r="AH328" s="1010" t="n"/>
    </row>
    <row r="329" ht="70" customHeight="1">
      <c r="A329" s="686" t="n"/>
      <c r="C329" s="103" t="inlineStr">
        <is>
          <t>Questions et sous-questions</t>
        </is>
      </c>
      <c r="D329" s="1043" t="inlineStr">
        <is>
          <t>Texte écourté pour titrer dans les baromètres ou rapport</t>
        </is>
      </c>
      <c r="E329" s="33" t="inlineStr">
        <is>
          <t>Valeur de base
Fréquence (F)</t>
        </is>
      </c>
      <c r="F329" s="33" t="inlineStr">
        <is>
          <t>Valeur de base
intensité (I)</t>
        </is>
      </c>
      <c r="G329" s="33" t="inlineStr">
        <is>
          <t>F * I</t>
        </is>
      </c>
      <c r="H329" s="1708" t="inlineStr">
        <is>
          <t>Condition Fréq. 
&gt;= que</t>
        </is>
      </c>
      <c r="I329" s="44" t="inlineStr">
        <is>
          <t>Condition Fré
&lt;= que</t>
        </is>
      </c>
      <c r="J329" s="44" t="inlineStr">
        <is>
          <t>Condition respectée</t>
        </is>
      </c>
      <c r="K329" s="44" t="inlineStr">
        <is>
          <t>"VRAI" (PF&amp;NC) /  "VRAI" (Enf)</t>
        </is>
      </c>
      <c r="L329" s="44" t="inlineStr">
        <is>
          <t>Vrai (PF&amp;NC) /  Faux (Enf)</t>
        </is>
      </c>
      <c r="M329" s="44" t="inlineStr">
        <is>
          <t>Faux (PF&amp;NC) /  Vrai (Enf)</t>
        </is>
      </c>
      <c r="N329" s="1709" t="inlineStr">
        <is>
          <t>Faux (PF&amp;NC) /  Faux(Enf)</t>
        </is>
      </c>
      <c r="O329" s="1708" t="inlineStr">
        <is>
          <t>Condition Fréq. 
&gt;= que</t>
        </is>
      </c>
      <c r="P329" s="44" t="inlineStr">
        <is>
          <t>Condition Fré
&lt;= que</t>
        </is>
      </c>
      <c r="Q329" s="1709" t="inlineStr">
        <is>
          <t>Condition respectée</t>
        </is>
      </c>
      <c r="R329" s="1708" t="inlineStr">
        <is>
          <t>Condition Fréq. 
&gt;= que</t>
        </is>
      </c>
      <c r="S329" s="44" t="inlineStr">
        <is>
          <t>Condition Fré
&lt;= que</t>
        </is>
      </c>
      <c r="T329" s="1709" t="inlineStr">
        <is>
          <t>Condition respectée</t>
        </is>
      </c>
      <c r="U329" s="851" t="n"/>
      <c r="V329" s="1008" t="inlineStr">
        <is>
          <t>Condition</t>
        </is>
      </c>
      <c r="W329" s="1472" t="inlineStr">
        <is>
          <t>AP</t>
        </is>
      </c>
      <c r="X329" s="1008" t="inlineStr">
        <is>
          <t>Condition</t>
        </is>
      </c>
      <c r="Y329" s="1476" t="inlineStr">
        <is>
          <t>CL</t>
        </is>
      </c>
      <c r="Z329" s="1008" t="n"/>
      <c r="AA329" s="1480" t="inlineStr">
        <is>
          <t>CSS</t>
        </is>
      </c>
      <c r="AC329" s="1023" t="inlineStr">
        <is>
          <t>AP</t>
        </is>
      </c>
      <c r="AD329" s="1024" t="inlineStr">
        <is>
          <t>AP_F</t>
        </is>
      </c>
      <c r="AE329" s="1023" t="inlineStr">
        <is>
          <t>CL</t>
        </is>
      </c>
      <c r="AF329" s="1024" t="inlineStr">
        <is>
          <t>CL_F</t>
        </is>
      </c>
      <c r="AG329" s="1023" t="inlineStr">
        <is>
          <t>CSS</t>
        </is>
      </c>
      <c r="AH329" s="1024" t="inlineStr">
        <is>
          <t>CSS_F</t>
        </is>
      </c>
    </row>
    <row r="330" ht="26" customHeight="1">
      <c r="A330" s="686" t="n"/>
      <c r="B330" s="421" t="n"/>
      <c r="C330" s="2066" t="n"/>
      <c r="D330" s="102" t="n"/>
      <c r="E330" s="823" t="n"/>
      <c r="F330" s="822" t="n"/>
      <c r="G330" s="823" t="n"/>
      <c r="H330" s="1735" t="n"/>
      <c r="I330" s="1736" t="n"/>
      <c r="J330" s="46" t="n"/>
      <c r="K330" s="46" t="n"/>
      <c r="L330" s="46" t="n"/>
      <c r="M330" s="46" t="n"/>
      <c r="N330" s="1711" t="n"/>
      <c r="O330" s="1710" t="n"/>
      <c r="P330" s="1703" t="n"/>
      <c r="Q330" s="1711" t="n"/>
      <c r="R330" s="1710" t="n"/>
      <c r="S330" s="1703" t="n"/>
      <c r="T330" s="1711" t="n"/>
      <c r="U330" s="978" t="n"/>
      <c r="V330" s="1484" t="n"/>
      <c r="W330" s="1503" t="n">
        <v>11</v>
      </c>
      <c r="X330" s="2029" t="n"/>
      <c r="Y330" s="1489" t="n">
        <v>4</v>
      </c>
      <c r="Z330" s="2029" t="n"/>
      <c r="AA330" s="1496" t="n">
        <v>4</v>
      </c>
      <c r="AC330" s="1011" t="n"/>
      <c r="AD330" s="1012" t="n"/>
      <c r="AE330" s="1011" t="n"/>
      <c r="AF330" s="1012" t="n"/>
      <c r="AG330" s="1011" t="n"/>
      <c r="AH330" s="1012" t="n"/>
    </row>
    <row r="331" ht="26" customHeight="1">
      <c r="A331" s="686" t="n"/>
      <c r="B331" s="421" t="n"/>
      <c r="C331" s="2066" t="n"/>
      <c r="D331" s="102" t="n"/>
      <c r="E331" s="823" t="n"/>
      <c r="F331" s="822" t="n"/>
      <c r="G331" s="823" t="n"/>
      <c r="H331" s="1735" t="n"/>
      <c r="I331" s="1736" t="n"/>
      <c r="J331" s="46" t="n"/>
      <c r="K331" s="46" t="n"/>
      <c r="L331" s="46" t="n"/>
      <c r="M331" s="46" t="n"/>
      <c r="N331" s="1711" t="n"/>
      <c r="O331" s="1735" t="n"/>
      <c r="P331" s="1736" t="n"/>
      <c r="Q331" s="1711" t="n"/>
      <c r="R331" s="1735" t="n"/>
      <c r="S331" s="1736" t="n"/>
      <c r="T331" s="1711" t="n"/>
      <c r="U331" s="978" t="n"/>
      <c r="V331" s="1487" t="inlineStr">
        <is>
          <t>ou</t>
        </is>
      </c>
      <c r="W331" s="1506" t="n">
        <v>11</v>
      </c>
      <c r="X331" s="1507" t="n"/>
      <c r="Y331" s="1508" t="n">
        <v>11</v>
      </c>
      <c r="Z331" s="1507" t="n"/>
      <c r="AA331" s="1502" t="n">
        <v>11</v>
      </c>
      <c r="AC331" s="1013" t="n"/>
      <c r="AD331" s="1014" t="n"/>
      <c r="AE331" s="1013" t="n"/>
      <c r="AF331" s="1014" t="n"/>
      <c r="AG331" s="1013" t="n"/>
      <c r="AH331" s="1014" t="n"/>
    </row>
    <row r="332" ht="26" customHeight="1">
      <c r="A332" s="686" t="n"/>
      <c r="B332" s="825" t="n"/>
      <c r="C332" s="826" t="n"/>
      <c r="D332" s="827" t="n"/>
      <c r="E332" s="828" t="n"/>
      <c r="F332" s="828" t="n"/>
      <c r="G332" s="828" t="n"/>
      <c r="H332" s="1712" t="n"/>
      <c r="I332" s="829" t="n"/>
      <c r="J332" s="830" t="n"/>
      <c r="K332" s="46" t="n"/>
      <c r="L332" s="46" t="n"/>
      <c r="M332" s="46" t="n"/>
      <c r="N332" s="1711" t="n"/>
      <c r="O332" s="1712" t="n"/>
      <c r="P332" s="829" t="n"/>
      <c r="Q332" s="1725" t="n"/>
      <c r="R332" s="1712" t="n"/>
      <c r="S332" s="829" t="n"/>
      <c r="T332" s="1725" t="n"/>
      <c r="U332" s="978" t="n"/>
      <c r="V332" s="978" t="inlineStr">
        <is>
          <t>ou</t>
        </is>
      </c>
      <c r="W332" s="1473" t="n"/>
      <c r="X332" s="2002" t="n"/>
      <c r="Y332" s="1478" t="n"/>
      <c r="Z332" s="2002" t="n"/>
      <c r="AA332" s="1481" t="n"/>
      <c r="AC332" s="1013" t="n"/>
      <c r="AD332" s="1014" t="n"/>
      <c r="AE332" s="1013" t="n"/>
      <c r="AF332" s="1014" t="n"/>
      <c r="AG332" s="1013" t="n"/>
      <c r="AH332" s="1014" t="n"/>
    </row>
    <row r="333" ht="26" customHeight="1">
      <c r="A333" s="686" t="n"/>
      <c r="B333" s="53" t="n"/>
      <c r="C333" s="2066" t="n"/>
      <c r="D333" s="102" t="n"/>
      <c r="E333" s="823" t="n"/>
      <c r="F333" s="822" t="n"/>
      <c r="G333" s="823" t="n"/>
      <c r="H333" s="1710" t="n"/>
      <c r="I333" s="1703" t="n"/>
      <c r="J333" s="46" t="n"/>
      <c r="K333" s="46" t="n"/>
      <c r="L333" s="46" t="n"/>
      <c r="M333" s="46" t="n"/>
      <c r="N333" s="1711" t="n"/>
      <c r="O333" s="1735" t="n"/>
      <c r="P333" s="1736" t="n"/>
      <c r="Q333" s="1711" t="n"/>
      <c r="R333" s="1710" t="n"/>
      <c r="S333" s="1703" t="n"/>
      <c r="T333" s="1711" t="n"/>
      <c r="U333" s="978" t="n"/>
      <c r="V333" s="1484" t="n"/>
      <c r="W333" s="1485" t="n">
        <v>7</v>
      </c>
      <c r="X333" s="2029" t="n"/>
      <c r="Y333" s="1505" t="n">
        <v>11</v>
      </c>
      <c r="Z333" s="2029" t="n"/>
      <c r="AA333" s="1497" t="n">
        <v>11</v>
      </c>
      <c r="AC333" s="1013" t="n"/>
      <c r="AD333" s="1014" t="n"/>
      <c r="AE333" s="1013" t="n"/>
      <c r="AF333" s="1014" t="n"/>
      <c r="AG333" s="1013" t="n"/>
      <c r="AH333" s="1014" t="n"/>
    </row>
    <row r="334" ht="26" customHeight="1">
      <c r="A334" s="686" t="n"/>
      <c r="B334" s="22" t="n"/>
      <c r="C334" s="799" t="n"/>
      <c r="D334" s="102" t="n"/>
      <c r="E334" s="823" t="n"/>
      <c r="F334" s="822" t="n"/>
      <c r="G334" s="823" t="n"/>
      <c r="H334" s="1710" t="n"/>
      <c r="I334" s="1703" t="n"/>
      <c r="J334" s="46" t="n"/>
      <c r="K334" s="46" t="n"/>
      <c r="L334" s="46" t="n"/>
      <c r="M334" s="46" t="n"/>
      <c r="N334" s="1711" t="n"/>
      <c r="O334" s="1735" t="n"/>
      <c r="P334" s="1736" t="n"/>
      <c r="Q334" s="1711" t="n"/>
      <c r="R334" s="1710" t="n"/>
      <c r="S334" s="1703" t="n"/>
      <c r="T334" s="1711" t="n"/>
      <c r="U334" s="978" t="n"/>
      <c r="V334" s="1491" t="n"/>
      <c r="W334" s="1473" t="n"/>
      <c r="X334" s="2002" t="n"/>
      <c r="Y334" s="1511" t="n"/>
      <c r="Z334" s="2002" t="n"/>
      <c r="AA334" s="1513" t="n"/>
      <c r="AC334" s="1013" t="n"/>
      <c r="AD334" s="1014" t="n"/>
      <c r="AE334" s="1013" t="n"/>
      <c r="AF334" s="1014" t="n"/>
      <c r="AG334" s="1013" t="n"/>
      <c r="AH334" s="1014" t="n"/>
    </row>
    <row r="335" ht="26" customHeight="1">
      <c r="A335" s="686" t="n"/>
      <c r="B335" s="22" t="n"/>
      <c r="C335" s="799" t="n"/>
      <c r="D335" s="63" t="n"/>
      <c r="E335" s="823" t="n"/>
      <c r="F335" s="822" t="n"/>
      <c r="G335" s="823" t="n"/>
      <c r="H335" s="1710" t="n"/>
      <c r="I335" s="1703" t="n"/>
      <c r="J335" s="46" t="n"/>
      <c r="K335" s="46" t="n"/>
      <c r="L335" s="46" t="n"/>
      <c r="M335" s="46" t="n"/>
      <c r="N335" s="1711" t="n"/>
      <c r="O335" s="1735" t="n"/>
      <c r="P335" s="1736" t="n"/>
      <c r="Q335" s="1711" t="n"/>
      <c r="R335" s="1710" t="n"/>
      <c r="S335" s="1703" t="n"/>
      <c r="T335" s="1711" t="n"/>
      <c r="U335" s="978" t="n"/>
      <c r="V335" s="1487" t="inlineStr">
        <is>
          <t>ou</t>
        </is>
      </c>
      <c r="W335" s="1506" t="n">
        <v>11</v>
      </c>
      <c r="X335" s="1507" t="n"/>
      <c r="Y335" s="1508" t="n">
        <v>11</v>
      </c>
      <c r="Z335" s="1507" t="n"/>
      <c r="AA335" s="1502" t="n">
        <v>11</v>
      </c>
      <c r="AC335" s="1013" t="n"/>
      <c r="AD335" s="1014" t="n"/>
      <c r="AE335" s="1013" t="n"/>
      <c r="AF335" s="1014" t="n"/>
      <c r="AG335" s="1013" t="n"/>
      <c r="AH335" s="1014" t="n"/>
    </row>
    <row r="336" ht="27" customHeight="1" thickBot="1">
      <c r="A336" s="686" t="n"/>
      <c r="B336" s="831" t="n"/>
      <c r="C336" s="832" t="n"/>
      <c r="D336" s="833" t="n"/>
      <c r="E336" s="834" t="n"/>
      <c r="F336" s="834" t="n"/>
      <c r="G336" s="834" t="n"/>
      <c r="H336" s="1713" t="n"/>
      <c r="I336" s="835" t="n"/>
      <c r="J336" s="836" t="n"/>
      <c r="K336" s="46" t="n"/>
      <c r="L336" s="46" t="n"/>
      <c r="M336" s="46" t="n"/>
      <c r="N336" s="1711" t="n"/>
      <c r="O336" s="1713" t="n"/>
      <c r="P336" s="835" t="n"/>
      <c r="Q336" s="1726" t="n"/>
      <c r="R336" s="1713" t="n"/>
      <c r="S336" s="835" t="n"/>
      <c r="T336" s="1726" t="n"/>
      <c r="U336" s="978" t="n"/>
      <c r="V336" s="978" t="n"/>
      <c r="W336" s="1473" t="n"/>
      <c r="X336" s="2002" t="n"/>
      <c r="Y336" s="1478" t="n"/>
      <c r="Z336" s="2002" t="n"/>
      <c r="AA336" s="1481" t="n"/>
      <c r="AC336" s="1013" t="n"/>
      <c r="AD336" s="1014" t="n"/>
      <c r="AE336" s="1013" t="n"/>
      <c r="AF336" s="1014" t="n"/>
      <c r="AG336" s="1013" t="n"/>
      <c r="AH336" s="1014" t="n"/>
    </row>
    <row r="337" ht="35" customHeight="1" thickBot="1">
      <c r="A337" s="686" t="n"/>
      <c r="B337" s="837" t="inlineStr">
        <is>
          <t>Max PFA &amp; NC</t>
        </is>
      </c>
      <c r="C337" s="838" t="n"/>
      <c r="D337" s="838">
        <f>IF(G337=G332,D332,D336)</f>
        <v/>
      </c>
      <c r="E337" s="839" t="n"/>
      <c r="F337" s="839" t="n"/>
      <c r="G337" s="839">
        <f>IF(AND(J333=TRUE,J336=FALSE),G333,IF(AND(J333=FALSE,J336=TRUE),G336,IF(AND(J333=TRUE,J336=TRUE),G333+G336,MAX(G333,G336))))</f>
        <v/>
      </c>
      <c r="H337" s="1714" t="n"/>
      <c r="I337" s="840" t="n"/>
      <c r="J337" s="841">
        <f>IF(AND(J332=FALSE,J336=FALSE),FALSE,TRUE)</f>
        <v/>
      </c>
      <c r="K337" s="1698" t="n"/>
      <c r="L337" s="1698" t="n"/>
      <c r="M337" s="1698" t="n"/>
      <c r="N337" s="1715" t="n"/>
      <c r="O337" s="1714" t="n"/>
      <c r="P337" s="840" t="n"/>
      <c r="Q337" s="841">
        <f>IF(AND(Q332=FALSE,Q336=FALSE),FALSE,TRUE)</f>
        <v/>
      </c>
      <c r="R337" s="1714" t="n"/>
      <c r="S337" s="840" t="n"/>
      <c r="T337" s="841">
        <f>IF(AND(T332=FALSE,T336=FALSE),FALSE,TRUE)</f>
        <v/>
      </c>
      <c r="U337" s="978" t="n"/>
      <c r="V337" s="978" t="inlineStr">
        <is>
          <t>et</t>
        </is>
      </c>
      <c r="W337" s="1473" t="n"/>
      <c r="X337" s="2002" t="n"/>
      <c r="Y337" s="1478" t="n"/>
      <c r="Z337" s="2002" t="n"/>
      <c r="AA337" s="1481" t="n"/>
      <c r="AC337" s="1013">
        <f>IF(J337=TRUE,"V","F")</f>
        <v/>
      </c>
      <c r="AD337" s="1014" t="n"/>
      <c r="AE337" s="1013">
        <f>IF(Q337=TRUE,"V","F")</f>
        <v/>
      </c>
      <c r="AF337" s="1014" t="n"/>
      <c r="AG337" s="1013">
        <f>IF(T337=TRUE,"V","F")</f>
        <v/>
      </c>
      <c r="AH337" s="1014" t="n"/>
    </row>
    <row r="338" ht="68" customHeight="1">
      <c r="A338" s="686" t="n"/>
      <c r="B338" s="316">
        <f>'CPTS indépendants'!K27</f>
        <v/>
      </c>
      <c r="C338" s="2066">
        <f>Test_Bible!B278</f>
        <v/>
      </c>
      <c r="D338" s="102" t="inlineStr">
        <is>
          <t>a la responsabilité de communiquer les informations concernant la logistique familiale</t>
        </is>
      </c>
      <c r="E338" s="823">
        <f>Test_Bible!P278</f>
        <v/>
      </c>
      <c r="F338" s="822">
        <f>Test_Bible!D278</f>
        <v/>
      </c>
      <c r="G338" s="823">
        <f>Test_Bible!Q278</f>
        <v/>
      </c>
      <c r="H338" s="1710" t="n">
        <v>4</v>
      </c>
      <c r="I338" s="1703" t="n">
        <v>10</v>
      </c>
      <c r="J338" s="46">
        <f>IF(AND(E338&gt;=H338,E338&lt;=I338),TRUE,FALSE)</f>
        <v/>
      </c>
      <c r="K338" s="46" t="n"/>
      <c r="L338" s="46" t="n"/>
      <c r="M338" s="46" t="n"/>
      <c r="N338" s="1711" t="n"/>
      <c r="O338" s="1735" t="n">
        <v>11</v>
      </c>
      <c r="P338" s="1736" t="n">
        <v>11</v>
      </c>
      <c r="Q338" s="1711">
        <f>IF(AND(E338&gt;=O338,E338&lt;=P338),TRUE,FALSE)</f>
        <v/>
      </c>
      <c r="R338" s="1710" t="n"/>
      <c r="S338" s="1703" t="n"/>
      <c r="T338" s="1711" t="n"/>
      <c r="U338" s="978" t="n"/>
      <c r="V338" s="1484" t="n"/>
      <c r="W338" s="1485" t="n">
        <v>4</v>
      </c>
      <c r="X338" s="2029" t="n"/>
      <c r="Y338" s="1489" t="n">
        <v>4</v>
      </c>
      <c r="Z338" s="2029" t="n"/>
      <c r="AA338" s="1497" t="n">
        <v>11</v>
      </c>
      <c r="AC338" s="1013" t="inlineStr">
        <is>
          <t> </t>
        </is>
      </c>
      <c r="AD338" s="1014" t="n"/>
      <c r="AE338" s="1013" t="n"/>
      <c r="AF338" s="1014" t="n"/>
      <c r="AG338" s="1013" t="n"/>
      <c r="AH338" s="1014" t="n"/>
    </row>
    <row r="339" ht="62" customHeight="1">
      <c r="A339" s="686" t="n"/>
      <c r="B339" s="316">
        <f>'CPTS indépendants'!K28</f>
        <v/>
      </c>
      <c r="C339" s="2066">
        <f>Test_Bible!B265</f>
        <v/>
      </c>
      <c r="D339" s="102" t="n"/>
      <c r="E339" s="823">
        <f>Test_Bible!P265</f>
        <v/>
      </c>
      <c r="F339" s="822">
        <f>Test_Bible!D265</f>
        <v/>
      </c>
      <c r="G339" s="823">
        <f>Test_Bible!Q265</f>
        <v/>
      </c>
      <c r="H339" s="1710" t="n">
        <v>4</v>
      </c>
      <c r="I339" s="1703" t="n">
        <v>10</v>
      </c>
      <c r="J339" s="46">
        <f>IF(AND(E339&gt;=H339,E339&lt;=I339),TRUE,FALSE)</f>
        <v/>
      </c>
      <c r="K339" s="46" t="n"/>
      <c r="L339" s="46" t="n"/>
      <c r="M339" s="46" t="n"/>
      <c r="N339" s="1711" t="n"/>
      <c r="O339" s="1735" t="n">
        <v>11</v>
      </c>
      <c r="P339" s="1736" t="n">
        <v>11</v>
      </c>
      <c r="Q339" s="1711">
        <f>IF(AND(E339&gt;=O339,E339&lt;=P339),TRUE,FALSE)</f>
        <v/>
      </c>
      <c r="R339" s="1710" t="n"/>
      <c r="S339" s="1703" t="n"/>
      <c r="T339" s="1711" t="n"/>
      <c r="U339" s="978" t="n"/>
      <c r="V339" s="1491" t="n"/>
      <c r="W339" s="1473" t="n"/>
      <c r="X339" s="2002" t="n"/>
      <c r="Y339" s="1478" t="n"/>
      <c r="Z339" s="2002" t="n"/>
      <c r="AA339" s="1513" t="n"/>
      <c r="AC339" s="1013" t="n"/>
      <c r="AD339" s="1014" t="n"/>
      <c r="AE339" s="1013" t="n"/>
      <c r="AF339" s="1014" t="n"/>
      <c r="AG339" s="1013" t="n"/>
      <c r="AH339" s="1014" t="n"/>
    </row>
    <row r="340" ht="27" customHeight="1" thickBot="1">
      <c r="A340" s="686" t="n"/>
      <c r="B340" s="316">
        <f>'CPTS indépendants'!K29</f>
        <v/>
      </c>
      <c r="C340" s="2066">
        <f>Test_Bible!B266</f>
        <v/>
      </c>
      <c r="D340" s="102" t="n"/>
      <c r="E340" s="823">
        <f>Test_Bible!P266</f>
        <v/>
      </c>
      <c r="F340" s="822">
        <f>Test_Bible!D266</f>
        <v/>
      </c>
      <c r="G340" s="823">
        <f>Test_Bible!Q266</f>
        <v/>
      </c>
      <c r="H340" s="1710" t="n">
        <v>4</v>
      </c>
      <c r="I340" s="1703" t="n">
        <v>10</v>
      </c>
      <c r="J340" s="46">
        <f>IF(AND(E340&gt;=H340,E340&lt;=I340),TRUE,FALSE)</f>
        <v/>
      </c>
      <c r="K340" s="46" t="n"/>
      <c r="L340" s="46" t="n"/>
      <c r="M340" s="46" t="n"/>
      <c r="N340" s="1711" t="n"/>
      <c r="O340" s="1735" t="n">
        <v>11</v>
      </c>
      <c r="P340" s="1736" t="n">
        <v>11</v>
      </c>
      <c r="Q340" s="1711">
        <f>IF(AND(E340&gt;=O340,E340&lt;=P340),TRUE,FALSE)</f>
        <v/>
      </c>
      <c r="R340" s="1735" t="n"/>
      <c r="S340" s="1736" t="n"/>
      <c r="T340" s="1711" t="n"/>
      <c r="U340" s="978" t="n"/>
      <c r="V340" s="1487" t="inlineStr">
        <is>
          <t>ou</t>
        </is>
      </c>
      <c r="W340" s="1506" t="n">
        <v>11</v>
      </c>
      <c r="X340" s="1507" t="n"/>
      <c r="Y340" s="1508" t="n">
        <v>11</v>
      </c>
      <c r="Z340" s="1507" t="n"/>
      <c r="AA340" s="1502" t="n">
        <v>11</v>
      </c>
      <c r="AC340" s="1013" t="n"/>
      <c r="AD340" s="1014" t="n"/>
      <c r="AE340" s="1013" t="n"/>
      <c r="AF340" s="1014" t="n"/>
      <c r="AG340" s="1013" t="n"/>
      <c r="AH340" s="1014" t="n"/>
    </row>
    <row r="341" ht="69" customHeight="1" thickBot="1">
      <c r="A341" s="686" t="n"/>
      <c r="B341" s="842" t="inlineStr">
        <is>
          <t>Max Enf</t>
        </is>
      </c>
      <c r="C341" s="843">
        <f>_xlfn.XLOOKUP(G341,G338:G340,C338:C340)</f>
        <v/>
      </c>
      <c r="D341" s="843">
        <f>_xlfn.XLOOKUP(G341,G338:G340,D338:D340)</f>
        <v/>
      </c>
      <c r="E341" s="844" t="n"/>
      <c r="F341" s="844" t="n"/>
      <c r="G341" s="1898">
        <f>IF(AND(J338=TRUE,J339=FALSE,J340=FALSE),G338,IF(AND(J338=FALSE,J339=TRUE,J340=FALSE),G339,IF(AND(J338=FALSE,J339=FALSE,J340=TRUE),G340,MAX(G338:G340))))</f>
        <v/>
      </c>
      <c r="H341" s="1895" t="n"/>
      <c r="I341" s="1895" t="n"/>
      <c r="J341" s="1896">
        <f>IF(AND(J338=FALSE,J339=FALSE,J340=FALSE),FALSE,TRUE)</f>
        <v/>
      </c>
      <c r="K341" s="1699" t="n"/>
      <c r="L341" s="1699" t="n"/>
      <c r="M341" s="1699" t="n"/>
      <c r="N341" s="1717" t="n"/>
      <c r="O341" s="1897" t="n"/>
      <c r="P341" s="1895" t="n"/>
      <c r="Q341" s="1896">
        <f>IF(AND(Q338=FALSE,Q339=FALSE,Q340=FALSE),FALSE,TRUE)</f>
        <v/>
      </c>
      <c r="R341" s="1716" t="n"/>
      <c r="S341" s="845" t="n"/>
      <c r="T341" s="846" t="n"/>
      <c r="U341" s="978" t="n"/>
      <c r="V341" s="978" t="n"/>
      <c r="W341" s="1475" t="n"/>
      <c r="Y341" s="1479" t="n"/>
      <c r="AA341" s="1483" t="n"/>
      <c r="AC341" s="1013">
        <f>IF(J341=TRUE,"V","F")</f>
        <v/>
      </c>
      <c r="AD341" s="1014" t="n"/>
      <c r="AE341" s="1013">
        <f>IF(Q341=TRUE,"V","F")</f>
        <v/>
      </c>
      <c r="AF341" s="1014" t="n"/>
      <c r="AG341" s="1013" t="n"/>
      <c r="AH341" s="1014" t="n"/>
    </row>
    <row r="342" ht="27" customHeight="1">
      <c r="A342" s="686" t="n"/>
      <c r="C342" s="428" t="inlineStr">
        <is>
          <t>COMPARATIF Comportement PFA-Enf</t>
        </is>
      </c>
      <c r="D342" s="2058" t="n"/>
      <c r="E342" s="484" t="inlineStr">
        <is>
          <t>Valeur =&gt;</t>
        </is>
      </c>
      <c r="F342" s="48" t="n"/>
      <c r="G342" s="48">
        <f>G332+G336+G341</f>
        <v/>
      </c>
      <c r="H342" s="1718" t="n"/>
      <c r="I342" s="485" t="n"/>
      <c r="J342" s="1701" t="n"/>
      <c r="K342" s="1702">
        <f>IF(AND(J341=TRUE,J337=TRUE),D341,"")</f>
        <v/>
      </c>
      <c r="L342" s="1702">
        <f>IF(AND(J337=TRUE,J341=FALSE),"Bien que le parent "&amp;D337&amp;" l'enfant ne semble pas s'ingérer","")</f>
        <v/>
      </c>
      <c r="M342" s="1702">
        <f>IF(AND(J337=FALSE,J341=TRUE),D341&amp;" sans signe de la participation du parent favorisé et|ou nouveau conjoint.e","")</f>
        <v/>
      </c>
      <c r="N342" s="1719">
        <f>IF(AND(J337=FALSE,J341=FALSE),"aucun comportement significatif de cette nature","")</f>
        <v/>
      </c>
      <c r="O342" s="1718" t="n"/>
      <c r="P342" s="485" t="n"/>
      <c r="Q342" s="1727" t="n"/>
      <c r="R342" s="1718" t="n"/>
      <c r="S342" s="485" t="n"/>
      <c r="T342" s="1727" t="n"/>
      <c r="U342" s="980" t="n"/>
      <c r="V342" s="980" t="n"/>
      <c r="W342" s="1475" t="n"/>
      <c r="Y342" s="1479" t="n"/>
      <c r="AA342" s="1483" t="n"/>
      <c r="AC342" s="1015" t="n"/>
      <c r="AD342" s="1016">
        <f>IF(AND(AC337="V",AC341="V"),2,IF(OR(AC337="V",AC341="V"),1,0))</f>
        <v/>
      </c>
      <c r="AE342" s="1015" t="n"/>
      <c r="AF342" s="1016">
        <f>IF(OR(AE337="V",AE341="V"),1,0)</f>
        <v/>
      </c>
      <c r="AG342" s="1015" t="n"/>
      <c r="AH342" s="1016" t="n"/>
    </row>
    <row r="343" ht="26" customHeight="1">
      <c r="A343" s="686" t="n"/>
      <c r="B343" t="inlineStr">
        <is>
          <t>PCR</t>
        </is>
      </c>
      <c r="H343" s="147" t="n"/>
      <c r="K343" s="1992" t="n"/>
      <c r="L343" s="1992" t="n"/>
      <c r="M343" s="1992" t="n"/>
      <c r="N343" s="1740" t="n"/>
      <c r="O343" s="147" t="n"/>
      <c r="Q343" s="330" t="n"/>
      <c r="R343" s="147" t="n"/>
      <c r="T343" s="330" t="n"/>
      <c r="U343" s="1992" t="n"/>
      <c r="AC343" s="1013" t="n"/>
      <c r="AD343" s="1014" t="n"/>
      <c r="AE343" s="1013" t="n"/>
      <c r="AF343" s="1014" t="n"/>
      <c r="AG343" s="1013" t="n"/>
      <c r="AH343" s="1014" t="n"/>
    </row>
    <row r="344" ht="26" customHeight="1">
      <c r="A344" s="686" t="n"/>
      <c r="B344" s="1017" t="n"/>
      <c r="C344" s="1018" t="n"/>
      <c r="D344" s="1018" t="n"/>
      <c r="E344" s="1026" t="n"/>
      <c r="F344" s="1026" t="n"/>
      <c r="G344" s="1026" t="n"/>
      <c r="H344" s="1735" t="n"/>
      <c r="I344" s="1736" t="n"/>
      <c r="J344" s="46" t="n"/>
      <c r="K344" s="33" t="n"/>
      <c r="L344" s="33" t="n"/>
      <c r="M344" s="33" t="n"/>
      <c r="N344" s="1720" t="n"/>
      <c r="O344" s="1710" t="n"/>
      <c r="P344" s="1703" t="n"/>
      <c r="Q344" s="1711" t="n"/>
      <c r="R344" s="1710" t="n"/>
      <c r="S344" s="1703" t="n"/>
      <c r="T344" s="1711" t="n"/>
      <c r="U344" s="1992" t="n"/>
      <c r="V344" s="1509" t="n"/>
      <c r="W344" s="1503" t="n">
        <v>11</v>
      </c>
      <c r="X344" s="1504" t="n"/>
      <c r="Y344" s="1489" t="n">
        <v>4</v>
      </c>
      <c r="Z344" s="2029" t="n"/>
      <c r="AA344" s="1496" t="n">
        <v>4</v>
      </c>
      <c r="AC344" s="1013" t="n"/>
      <c r="AD344" s="1014" t="n"/>
      <c r="AE344" s="1013" t="n"/>
      <c r="AF344" s="1014" t="n"/>
      <c r="AG344" s="1013" t="n"/>
      <c r="AH344" s="1014" t="n"/>
    </row>
    <row r="345" ht="27" customHeight="1" thickBot="1">
      <c r="A345" s="686" t="n"/>
      <c r="B345" s="1017" t="n"/>
      <c r="C345" s="1025" t="n"/>
      <c r="D345" s="1018" t="n"/>
      <c r="E345" s="1026" t="n"/>
      <c r="F345" s="1026" t="n"/>
      <c r="G345" s="1026" t="n"/>
      <c r="H345" s="1735" t="n"/>
      <c r="I345" s="1736" t="n"/>
      <c r="J345" s="46" t="n"/>
      <c r="K345" s="33" t="n"/>
      <c r="L345" s="33" t="n"/>
      <c r="M345" s="33" t="n"/>
      <c r="N345" s="1720" t="n"/>
      <c r="O345" s="1735" t="n"/>
      <c r="P345" s="1736" t="n"/>
      <c r="Q345" s="1711" t="n"/>
      <c r="R345" s="1735" t="n"/>
      <c r="S345" s="1736" t="n"/>
      <c r="T345" s="1711" t="n"/>
      <c r="V345" s="1510" t="n"/>
      <c r="W345" s="1506" t="n">
        <v>11</v>
      </c>
      <c r="X345" s="1507" t="n"/>
      <c r="Y345" s="1508" t="n">
        <v>11</v>
      </c>
      <c r="Z345" s="1507" t="n"/>
      <c r="AA345" s="1502" t="n">
        <v>11</v>
      </c>
      <c r="AC345" s="1013" t="n"/>
      <c r="AD345" s="1014" t="n"/>
      <c r="AE345" s="1013" t="n"/>
      <c r="AF345" s="1014" t="n"/>
      <c r="AG345" s="1013" t="n"/>
      <c r="AH345" s="1014" t="n"/>
    </row>
    <row r="346" ht="27" customHeight="1" thickBot="1">
      <c r="A346" s="686" t="n"/>
      <c r="C346" s="2073" t="n"/>
      <c r="D346" s="2073" t="n"/>
      <c r="E346" s="90" t="n"/>
      <c r="F346" s="483" t="n"/>
      <c r="G346" s="483" t="n"/>
      <c r="H346" s="1732" t="n"/>
      <c r="I346" s="1733" t="n"/>
      <c r="J346" s="1739">
        <f>IF(AND(J344=FALSE,J345=FALSE),FALSE,TRUE)</f>
        <v/>
      </c>
      <c r="K346" s="1721" t="n"/>
      <c r="L346" s="1722" t="n"/>
      <c r="M346" s="1722" t="n"/>
      <c r="N346" s="1723" t="n"/>
      <c r="O346" s="1732" t="n"/>
      <c r="P346" s="1733" t="n"/>
      <c r="Q346" s="1739">
        <f>IF(AND(Q344=FALSE,Q345=FALSE),FALSE,TRUE)</f>
        <v/>
      </c>
      <c r="R346" s="1744" t="n"/>
      <c r="S346" s="1745" t="n"/>
      <c r="T346" s="1746">
        <f>IF(AND(T344=FALSE,T345=FALSE),FALSE,TRUE)</f>
        <v/>
      </c>
      <c r="U346" s="980" t="n"/>
      <c r="AC346" s="1650">
        <f>IF(J346=TRUE,"V","F")</f>
        <v/>
      </c>
      <c r="AD346" s="1651" t="n"/>
      <c r="AE346" s="1650">
        <f>IF(Q346=TRUE,"V","F")</f>
        <v/>
      </c>
      <c r="AF346" s="1651" t="n"/>
      <c r="AG346" s="1650">
        <f>IF(T346=TRUE,"V","F")</f>
        <v/>
      </c>
      <c r="AH346" s="1651" t="n"/>
    </row>
    <row r="347" ht="26" customHeight="1">
      <c r="A347" s="686" t="n"/>
      <c r="C347" s="2073" t="n"/>
      <c r="D347" s="2073" t="n"/>
      <c r="E347" s="90" t="n"/>
      <c r="F347" s="483" t="n"/>
      <c r="G347" s="483" t="n"/>
      <c r="H347" s="2002" t="n"/>
      <c r="I347" s="2002" t="n"/>
      <c r="J347" s="979" t="n"/>
      <c r="K347" s="980" t="n"/>
      <c r="L347" s="980" t="n"/>
      <c r="M347" s="980" t="n"/>
      <c r="N347" s="980" t="n"/>
      <c r="O347" s="980" t="n"/>
      <c r="P347" s="980" t="n"/>
      <c r="Q347" s="980" t="n"/>
      <c r="R347" s="980" t="n"/>
      <c r="S347" s="980" t="n"/>
      <c r="T347" s="980" t="n"/>
      <c r="U347" s="980" t="n"/>
      <c r="V347" s="980" t="n"/>
      <c r="AC347" s="1737" t="n"/>
      <c r="AD347" s="1738">
        <f>IF(AND(AC346="V",AC337="V"),AD342-1,AD342)</f>
        <v/>
      </c>
      <c r="AE347" s="1737" t="n"/>
      <c r="AF347" s="1738">
        <f>IF(OR(AE337="V",AE341="V",AE346="V"),1,0)</f>
        <v/>
      </c>
      <c r="AG347" s="1737" t="n"/>
      <c r="AH347" s="1738">
        <f>IF(AG337="V",1,IF(AG346="V",1,0))</f>
        <v/>
      </c>
    </row>
    <row r="349" ht="26" customHeight="1">
      <c r="A349" s="853" t="n"/>
      <c r="C349" s="486">
        <f>'CPTS indépendants'!K31</f>
        <v/>
      </c>
      <c r="D349" s="108" t="n"/>
      <c r="E349" s="66" t="n"/>
      <c r="F349" s="18" t="n"/>
      <c r="G349" s="18" t="n"/>
      <c r="H349" s="2052" t="inlineStr">
        <is>
          <t>AP</t>
        </is>
      </c>
      <c r="K349" s="2055" t="inlineStr">
        <is>
          <t>Dynamique d'AP</t>
        </is>
      </c>
      <c r="N349" s="330" t="n"/>
      <c r="O349" s="2122" t="inlineStr">
        <is>
          <t>CL</t>
        </is>
      </c>
      <c r="Q349" s="330" t="n"/>
      <c r="R349" s="2123" t="inlineStr">
        <is>
          <t>CSS</t>
        </is>
      </c>
      <c r="T349" s="330" t="n"/>
      <c r="U349" s="15" t="n"/>
      <c r="V349" s="15" t="n"/>
      <c r="AC349" s="1009" t="n"/>
      <c r="AD349" s="1009" t="n"/>
      <c r="AE349" s="1009" t="n"/>
      <c r="AF349" s="1009" t="n"/>
      <c r="AG349" s="1009" t="n"/>
      <c r="AH349" s="1010" t="n"/>
    </row>
    <row r="350" ht="70" customHeight="1">
      <c r="A350" s="686" t="n"/>
      <c r="C350" s="103" t="inlineStr">
        <is>
          <t>Questions et sous-questions</t>
        </is>
      </c>
      <c r="D350" s="1043" t="inlineStr">
        <is>
          <t>Texte écourté pour titrer dans les baromètres ou rapport</t>
        </is>
      </c>
      <c r="E350" s="33" t="inlineStr">
        <is>
          <t>Valeur de base
Fréquence (F)</t>
        </is>
      </c>
      <c r="F350" s="33" t="inlineStr">
        <is>
          <t>Valeur de base
intensité (I)</t>
        </is>
      </c>
      <c r="G350" s="33" t="inlineStr">
        <is>
          <t>F * I</t>
        </is>
      </c>
      <c r="H350" s="1708" t="inlineStr">
        <is>
          <t>Condition Fréq. 
&gt;= que</t>
        </is>
      </c>
      <c r="I350" s="44" t="inlineStr">
        <is>
          <t>Condition Fré
&lt;= que</t>
        </is>
      </c>
      <c r="J350" s="44" t="inlineStr">
        <is>
          <t>Condition respectée</t>
        </is>
      </c>
      <c r="K350" s="44" t="inlineStr">
        <is>
          <t>"VRAI" (PF&amp;NC) /  "VRAI" (Enf)</t>
        </is>
      </c>
      <c r="L350" s="44" t="inlineStr">
        <is>
          <t>Vrai (PF&amp;NC) /  Faux (Enf)</t>
        </is>
      </c>
      <c r="M350" s="44" t="inlineStr">
        <is>
          <t>Faux (PF&amp;NC) /  Vrai (Enf)</t>
        </is>
      </c>
      <c r="N350" s="1709" t="inlineStr">
        <is>
          <t>Faux (PF&amp;NC) /  Faux(Enf)</t>
        </is>
      </c>
      <c r="O350" s="1708" t="inlineStr">
        <is>
          <t>Condition Fréq. 
&gt;= que</t>
        </is>
      </c>
      <c r="P350" s="44" t="inlineStr">
        <is>
          <t>Condition Fré
&lt;= que</t>
        </is>
      </c>
      <c r="Q350" s="1709" t="inlineStr">
        <is>
          <t>Condition respectée</t>
        </is>
      </c>
      <c r="R350" s="1708" t="inlineStr">
        <is>
          <t>Condition Fréq. 
&gt;= que</t>
        </is>
      </c>
      <c r="S350" s="44" t="inlineStr">
        <is>
          <t>Condition Fré
&lt;= que</t>
        </is>
      </c>
      <c r="T350" s="1709" t="inlineStr">
        <is>
          <t>Condition respectée</t>
        </is>
      </c>
      <c r="U350" s="851" t="n"/>
      <c r="V350" s="1008" t="inlineStr">
        <is>
          <t>Condition</t>
        </is>
      </c>
      <c r="W350" s="1472" t="inlineStr">
        <is>
          <t>AP</t>
        </is>
      </c>
      <c r="X350" s="1008" t="inlineStr">
        <is>
          <t>Condition</t>
        </is>
      </c>
      <c r="Y350" s="1476" t="inlineStr">
        <is>
          <t>CL</t>
        </is>
      </c>
      <c r="Z350" s="1008" t="n"/>
      <c r="AA350" s="1480" t="inlineStr">
        <is>
          <t>CSS</t>
        </is>
      </c>
      <c r="AC350" s="1023" t="inlineStr">
        <is>
          <t>AP</t>
        </is>
      </c>
      <c r="AD350" s="1024" t="inlineStr">
        <is>
          <t>AP_F</t>
        </is>
      </c>
      <c r="AE350" s="1023" t="inlineStr">
        <is>
          <t>CL</t>
        </is>
      </c>
      <c r="AF350" s="1024" t="inlineStr">
        <is>
          <t>CL_F</t>
        </is>
      </c>
      <c r="AG350" s="1023" t="inlineStr">
        <is>
          <t>CSS</t>
        </is>
      </c>
      <c r="AH350" s="1024" t="inlineStr">
        <is>
          <t>CSS_F</t>
        </is>
      </c>
    </row>
    <row r="351" ht="26" customHeight="1">
      <c r="A351" s="686" t="n"/>
      <c r="B351" s="421" t="n"/>
      <c r="C351" s="2066" t="n"/>
      <c r="D351" s="102" t="n"/>
      <c r="E351" s="823" t="n"/>
      <c r="F351" s="822" t="n"/>
      <c r="G351" s="823" t="n"/>
      <c r="H351" s="1735" t="n"/>
      <c r="I351" s="1736" t="n"/>
      <c r="J351" s="46" t="n"/>
      <c r="K351" s="46" t="n"/>
      <c r="L351" s="46" t="n"/>
      <c r="M351" s="46" t="n"/>
      <c r="N351" s="1711" t="n"/>
      <c r="O351" s="1710" t="n"/>
      <c r="P351" s="1703" t="n"/>
      <c r="Q351" s="1711" t="n"/>
      <c r="R351" s="1710" t="n"/>
      <c r="S351" s="1703" t="n"/>
      <c r="T351" s="1711" t="n"/>
      <c r="U351" s="978" t="n"/>
      <c r="V351" s="1484" t="n"/>
      <c r="W351" s="1503" t="n">
        <v>11</v>
      </c>
      <c r="X351" s="2029" t="n"/>
      <c r="Y351" s="1489" t="n">
        <v>4</v>
      </c>
      <c r="Z351" s="2029" t="n"/>
      <c r="AA351" s="1496" t="n">
        <v>4</v>
      </c>
      <c r="AC351" s="1011" t="n"/>
      <c r="AD351" s="1012" t="n"/>
      <c r="AE351" s="1011" t="n"/>
      <c r="AF351" s="1012" t="n"/>
      <c r="AG351" s="1011" t="n"/>
      <c r="AH351" s="1012" t="n"/>
    </row>
    <row r="352" ht="26" customHeight="1">
      <c r="A352" s="686" t="n"/>
      <c r="B352" s="421" t="n"/>
      <c r="C352" s="2066" t="n"/>
      <c r="D352" s="102" t="n"/>
      <c r="E352" s="823" t="n"/>
      <c r="F352" s="822" t="n"/>
      <c r="G352" s="823" t="n"/>
      <c r="H352" s="1735" t="n"/>
      <c r="I352" s="1736" t="n"/>
      <c r="J352" s="46" t="n"/>
      <c r="K352" s="46" t="n"/>
      <c r="L352" s="46" t="n"/>
      <c r="M352" s="46" t="n"/>
      <c r="N352" s="1711" t="n"/>
      <c r="O352" s="1735" t="n"/>
      <c r="P352" s="1736" t="n"/>
      <c r="Q352" s="1711" t="n"/>
      <c r="R352" s="1735" t="n"/>
      <c r="S352" s="1736" t="n"/>
      <c r="T352" s="1711" t="n"/>
      <c r="U352" s="978" t="n"/>
      <c r="V352" s="1487" t="inlineStr">
        <is>
          <t>ou</t>
        </is>
      </c>
      <c r="W352" s="1506" t="n">
        <v>11</v>
      </c>
      <c r="X352" s="1507" t="n"/>
      <c r="Y352" s="1508" t="n">
        <v>11</v>
      </c>
      <c r="Z352" s="1507" t="n"/>
      <c r="AA352" s="1502" t="n">
        <v>11</v>
      </c>
      <c r="AC352" s="1013" t="n"/>
      <c r="AD352" s="1014" t="n"/>
      <c r="AE352" s="1013" t="n"/>
      <c r="AF352" s="1014" t="n"/>
      <c r="AG352" s="1013" t="n"/>
      <c r="AH352" s="1014" t="n"/>
    </row>
    <row r="353" ht="26" customHeight="1">
      <c r="A353" s="686" t="n"/>
      <c r="B353" s="825" t="n"/>
      <c r="C353" s="826" t="n"/>
      <c r="D353" s="827" t="n"/>
      <c r="E353" s="828" t="n"/>
      <c r="F353" s="828" t="n"/>
      <c r="G353" s="828" t="n"/>
      <c r="H353" s="1712" t="n"/>
      <c r="I353" s="829" t="n"/>
      <c r="J353" s="830" t="n"/>
      <c r="K353" s="46" t="n"/>
      <c r="L353" s="46" t="n"/>
      <c r="M353" s="46" t="n"/>
      <c r="N353" s="1711" t="n"/>
      <c r="O353" s="1712" t="n"/>
      <c r="P353" s="829" t="n"/>
      <c r="Q353" s="1725" t="n"/>
      <c r="R353" s="1712" t="n"/>
      <c r="S353" s="829" t="n"/>
      <c r="T353" s="1725" t="n"/>
      <c r="U353" s="978" t="n"/>
      <c r="V353" s="978" t="inlineStr">
        <is>
          <t>ou</t>
        </is>
      </c>
      <c r="W353" s="1473" t="n"/>
      <c r="X353" s="2002" t="n"/>
      <c r="Y353" s="1478" t="n"/>
      <c r="Z353" s="2002" t="n"/>
      <c r="AA353" s="1481" t="n"/>
      <c r="AC353" s="1013" t="n"/>
      <c r="AD353" s="1014" t="n"/>
      <c r="AE353" s="1013" t="n"/>
      <c r="AF353" s="1014" t="n"/>
      <c r="AG353" s="1013" t="n"/>
      <c r="AH353" s="1014" t="n"/>
    </row>
    <row r="354" ht="26" customHeight="1">
      <c r="A354" s="686" t="n"/>
      <c r="B354" s="53" t="n"/>
      <c r="C354" s="2066" t="n"/>
      <c r="D354" s="102" t="n"/>
      <c r="E354" s="823" t="n"/>
      <c r="F354" s="822" t="n"/>
      <c r="G354" s="823" t="n"/>
      <c r="H354" s="1710" t="n"/>
      <c r="I354" s="1703" t="n"/>
      <c r="J354" s="46" t="n"/>
      <c r="K354" s="46" t="n"/>
      <c r="L354" s="46" t="n"/>
      <c r="M354" s="46" t="n"/>
      <c r="N354" s="1711" t="n"/>
      <c r="O354" s="1735" t="n"/>
      <c r="P354" s="1736" t="n"/>
      <c r="Q354" s="1711" t="n"/>
      <c r="R354" s="1710" t="n"/>
      <c r="S354" s="1703" t="n"/>
      <c r="T354" s="1711" t="n"/>
      <c r="U354" s="978" t="n"/>
      <c r="V354" s="1484" t="n"/>
      <c r="W354" s="1485" t="n">
        <v>7</v>
      </c>
      <c r="X354" s="2029" t="n"/>
      <c r="Y354" s="1505" t="n">
        <v>11</v>
      </c>
      <c r="Z354" s="2029" t="n"/>
      <c r="AA354" s="1497" t="n">
        <v>11</v>
      </c>
      <c r="AC354" s="1013" t="n"/>
      <c r="AD354" s="1014" t="n"/>
      <c r="AE354" s="1013" t="n"/>
      <c r="AF354" s="1014" t="n"/>
      <c r="AG354" s="1013" t="n"/>
      <c r="AH354" s="1014" t="n"/>
    </row>
    <row r="355" ht="26" customHeight="1">
      <c r="A355" s="686" t="n"/>
      <c r="B355" s="22" t="n"/>
      <c r="C355" s="799" t="n"/>
      <c r="D355" s="102" t="n"/>
      <c r="E355" s="823" t="n"/>
      <c r="F355" s="822" t="n"/>
      <c r="G355" s="823" t="n"/>
      <c r="H355" s="1710" t="n"/>
      <c r="I355" s="1703" t="n"/>
      <c r="J355" s="46" t="n"/>
      <c r="K355" s="46" t="n"/>
      <c r="L355" s="46" t="n"/>
      <c r="M355" s="46" t="n"/>
      <c r="N355" s="1711" t="n"/>
      <c r="O355" s="1735" t="n"/>
      <c r="P355" s="1736" t="n"/>
      <c r="Q355" s="1711" t="n"/>
      <c r="R355" s="1710" t="n"/>
      <c r="S355" s="1703" t="n"/>
      <c r="T355" s="1711" t="n"/>
      <c r="U355" s="978" t="n"/>
      <c r="V355" s="1491" t="n"/>
      <c r="W355" s="1473" t="n"/>
      <c r="X355" s="2002" t="n"/>
      <c r="Y355" s="1511" t="n"/>
      <c r="Z355" s="2002" t="n"/>
      <c r="AA355" s="1513" t="n"/>
      <c r="AC355" s="1013" t="n"/>
      <c r="AD355" s="1014" t="n"/>
      <c r="AE355" s="1013" t="n"/>
      <c r="AF355" s="1014" t="n"/>
      <c r="AG355" s="1013" t="n"/>
      <c r="AH355" s="1014" t="n"/>
    </row>
    <row r="356" ht="26" customHeight="1">
      <c r="A356" s="686" t="n"/>
      <c r="B356" s="22" t="n"/>
      <c r="C356" s="799" t="n"/>
      <c r="D356" s="63" t="n"/>
      <c r="E356" s="823" t="n"/>
      <c r="F356" s="822" t="n"/>
      <c r="G356" s="823" t="n"/>
      <c r="H356" s="1710" t="n"/>
      <c r="I356" s="1703" t="n"/>
      <c r="J356" s="46" t="n"/>
      <c r="K356" s="46" t="n"/>
      <c r="L356" s="46" t="n"/>
      <c r="M356" s="46" t="n"/>
      <c r="N356" s="1711" t="n"/>
      <c r="O356" s="1735" t="n"/>
      <c r="P356" s="1736" t="n"/>
      <c r="Q356" s="1711" t="n"/>
      <c r="R356" s="1710" t="n"/>
      <c r="S356" s="1703" t="n"/>
      <c r="T356" s="1711" t="n"/>
      <c r="U356" s="978" t="n"/>
      <c r="V356" s="1487" t="inlineStr">
        <is>
          <t>ou</t>
        </is>
      </c>
      <c r="W356" s="1506" t="n">
        <v>11</v>
      </c>
      <c r="X356" s="1507" t="n"/>
      <c r="Y356" s="1508" t="n">
        <v>11</v>
      </c>
      <c r="Z356" s="1507" t="n"/>
      <c r="AA356" s="1502" t="n">
        <v>11</v>
      </c>
      <c r="AC356" s="1013" t="n"/>
      <c r="AD356" s="1014" t="n"/>
      <c r="AE356" s="1013" t="n"/>
      <c r="AF356" s="1014" t="n"/>
      <c r="AG356" s="1013" t="n"/>
      <c r="AH356" s="1014" t="n"/>
    </row>
    <row r="357" ht="27" customHeight="1" thickBot="1">
      <c r="A357" s="686" t="n"/>
      <c r="B357" s="831" t="n"/>
      <c r="C357" s="832" t="n"/>
      <c r="D357" s="833" t="n"/>
      <c r="E357" s="834" t="n"/>
      <c r="F357" s="834" t="n"/>
      <c r="G357" s="834" t="n"/>
      <c r="H357" s="1713" t="n"/>
      <c r="I357" s="835" t="n"/>
      <c r="J357" s="836" t="n"/>
      <c r="K357" s="46" t="n"/>
      <c r="L357" s="46" t="n"/>
      <c r="M357" s="46" t="n"/>
      <c r="N357" s="1711" t="n"/>
      <c r="O357" s="1713" t="n"/>
      <c r="P357" s="835" t="n"/>
      <c r="Q357" s="1726" t="n"/>
      <c r="R357" s="1713" t="n"/>
      <c r="S357" s="835" t="n"/>
      <c r="T357" s="1726" t="n"/>
      <c r="U357" s="978" t="n"/>
      <c r="V357" s="978" t="n"/>
      <c r="W357" s="1473" t="n"/>
      <c r="X357" s="2002" t="n"/>
      <c r="Y357" s="1478" t="n"/>
      <c r="Z357" s="2002" t="n"/>
      <c r="AA357" s="1481" t="n"/>
      <c r="AC357" s="1013" t="n"/>
      <c r="AD357" s="1014" t="n"/>
      <c r="AE357" s="1013" t="n"/>
      <c r="AF357" s="1014" t="n"/>
      <c r="AG357" s="1013" t="n"/>
      <c r="AH357" s="1014" t="n"/>
    </row>
    <row r="358" ht="35" customHeight="1" thickBot="1">
      <c r="A358" s="686" t="n"/>
      <c r="B358" s="837" t="inlineStr">
        <is>
          <t>Max PFA &amp; NC</t>
        </is>
      </c>
      <c r="C358" s="838" t="n"/>
      <c r="D358" s="838">
        <f>IF(G358=G353,D353,D357)</f>
        <v/>
      </c>
      <c r="E358" s="839" t="n"/>
      <c r="F358" s="839" t="n"/>
      <c r="G358" s="839">
        <f>IF(AND(J354=TRUE,J357=FALSE),G354,IF(AND(J354=FALSE,J357=TRUE),G357,IF(AND(J354=TRUE,J357=TRUE),G354+G357,MAX(G354,G357))))</f>
        <v/>
      </c>
      <c r="H358" s="1714" t="n"/>
      <c r="I358" s="840" t="n"/>
      <c r="J358" s="841">
        <f>IF(AND(J353=FALSE,J357=FALSE),FALSE,TRUE)</f>
        <v/>
      </c>
      <c r="K358" s="1698" t="n"/>
      <c r="L358" s="1698" t="n"/>
      <c r="M358" s="1698" t="n"/>
      <c r="N358" s="1715" t="n"/>
      <c r="O358" s="1714" t="n"/>
      <c r="P358" s="840" t="n"/>
      <c r="Q358" s="841">
        <f>IF(AND(Q353=FALSE,Q357=FALSE),FALSE,TRUE)</f>
        <v/>
      </c>
      <c r="R358" s="1714" t="n"/>
      <c r="S358" s="840" t="n"/>
      <c r="T358" s="841">
        <f>IF(AND(T353=FALSE,T357=FALSE),FALSE,TRUE)</f>
        <v/>
      </c>
      <c r="U358" s="978" t="n"/>
      <c r="V358" s="978" t="inlineStr">
        <is>
          <t>et</t>
        </is>
      </c>
      <c r="W358" s="1473" t="n"/>
      <c r="X358" s="2002" t="n"/>
      <c r="Y358" s="1478" t="n"/>
      <c r="Z358" s="2002" t="n"/>
      <c r="AA358" s="1481" t="n"/>
      <c r="AC358" s="1013">
        <f>IF(J358=TRUE,"V","F")</f>
        <v/>
      </c>
      <c r="AD358" s="1014" t="n"/>
      <c r="AE358" s="1013">
        <f>IF(Q358=TRUE,"V","F")</f>
        <v/>
      </c>
      <c r="AF358" s="1014" t="n"/>
      <c r="AG358" s="1013">
        <f>IF(T358=TRUE,"V","F")</f>
        <v/>
      </c>
      <c r="AH358" s="1014" t="n"/>
    </row>
    <row r="359" ht="68" customHeight="1">
      <c r="A359" s="686" t="n"/>
      <c r="B359" s="316">
        <f>'CPTS indépendants'!K32</f>
        <v/>
      </c>
      <c r="C359" s="2066">
        <f>Test_Bible!B299</f>
        <v/>
      </c>
      <c r="D359" s="102" t="inlineStr">
        <is>
          <t>a la responsabilité de communiquer les informations concernant la logistique familiale</t>
        </is>
      </c>
      <c r="E359" s="823">
        <f>Test_Bible!P299</f>
        <v/>
      </c>
      <c r="F359" s="822">
        <f>Test_Bible!D299</f>
        <v/>
      </c>
      <c r="G359" s="823">
        <f>Test_Bible!Q299</f>
        <v/>
      </c>
      <c r="H359" s="1710" t="n">
        <v>4</v>
      </c>
      <c r="I359" s="1703" t="n">
        <v>10</v>
      </c>
      <c r="J359" s="46">
        <f>IF(AND(E359&gt;=H359,E359&lt;=I359),TRUE,FALSE)</f>
        <v/>
      </c>
      <c r="K359" s="46" t="n"/>
      <c r="L359" s="46" t="n"/>
      <c r="M359" s="46" t="n"/>
      <c r="N359" s="1711" t="n"/>
      <c r="O359" s="1735" t="n">
        <v>11</v>
      </c>
      <c r="P359" s="1736" t="n">
        <v>11</v>
      </c>
      <c r="Q359" s="1711">
        <f>IF(AND(E359&gt;=O359,E359&lt;=P359),TRUE,FALSE)</f>
        <v/>
      </c>
      <c r="R359" s="1710" t="n"/>
      <c r="S359" s="1703" t="n"/>
      <c r="T359" s="1711" t="n"/>
      <c r="U359" s="978" t="n"/>
      <c r="V359" s="1484" t="n"/>
      <c r="W359" s="1485" t="n">
        <v>4</v>
      </c>
      <c r="X359" s="2029" t="n"/>
      <c r="Y359" s="1489" t="n">
        <v>4</v>
      </c>
      <c r="Z359" s="2029" t="n"/>
      <c r="AA359" s="1497" t="n">
        <v>11</v>
      </c>
      <c r="AC359" s="1013" t="inlineStr">
        <is>
          <t> </t>
        </is>
      </c>
      <c r="AD359" s="1014" t="n"/>
      <c r="AE359" s="1013" t="n"/>
      <c r="AF359" s="1014" t="n"/>
      <c r="AG359" s="1013" t="n"/>
      <c r="AH359" s="1014" t="n"/>
    </row>
    <row r="360" ht="34" customHeight="1">
      <c r="A360" s="686" t="n"/>
      <c r="B360" s="316">
        <f>'CPTS indépendants'!K49</f>
        <v/>
      </c>
      <c r="C360" s="2066">
        <f>Test_Bible!B286</f>
        <v/>
      </c>
      <c r="D360" s="102" t="n"/>
      <c r="E360" s="823">
        <f>Test_Bible!P286</f>
        <v/>
      </c>
      <c r="F360" s="822">
        <f>Test_Bible!D286</f>
        <v/>
      </c>
      <c r="G360" s="823">
        <f>Test_Bible!Q286</f>
        <v/>
      </c>
      <c r="H360" s="1710" t="n">
        <v>4</v>
      </c>
      <c r="I360" s="1703" t="n">
        <v>10</v>
      </c>
      <c r="J360" s="46">
        <f>IF(AND(E360&gt;=H360,E360&lt;=I360),TRUE,FALSE)</f>
        <v/>
      </c>
      <c r="K360" s="46" t="n"/>
      <c r="L360" s="46" t="n"/>
      <c r="M360" s="46" t="n"/>
      <c r="N360" s="1711" t="n"/>
      <c r="O360" s="1735" t="n">
        <v>11</v>
      </c>
      <c r="P360" s="1736" t="n">
        <v>11</v>
      </c>
      <c r="Q360" s="1711">
        <f>IF(AND(E360&gt;=O360,E360&lt;=P360),TRUE,FALSE)</f>
        <v/>
      </c>
      <c r="R360" s="1710" t="n"/>
      <c r="S360" s="1703" t="n"/>
      <c r="T360" s="1711" t="n"/>
      <c r="U360" s="978" t="n"/>
      <c r="V360" s="1491" t="n"/>
      <c r="W360" s="1473" t="n"/>
      <c r="X360" s="2002" t="n"/>
      <c r="Y360" s="1478" t="n"/>
      <c r="Z360" s="2002" t="n"/>
      <c r="AA360" s="1513" t="n"/>
      <c r="AC360" s="1013" t="n"/>
      <c r="AD360" s="1014" t="n"/>
      <c r="AE360" s="1013" t="n"/>
      <c r="AF360" s="1014" t="n"/>
      <c r="AG360" s="1013" t="n"/>
      <c r="AH360" s="1014" t="n"/>
    </row>
    <row r="361" ht="26" customHeight="1">
      <c r="A361" s="686" t="n"/>
      <c r="B361" s="316" t="n"/>
      <c r="C361" s="2066" t="n"/>
      <c r="D361" s="102" t="n"/>
      <c r="E361" s="823" t="n"/>
      <c r="F361" s="822" t="n"/>
      <c r="G361" s="823" t="n"/>
      <c r="H361" s="1710" t="n"/>
      <c r="I361" s="1703" t="n"/>
      <c r="J361" s="46" t="n"/>
      <c r="K361" s="46" t="n"/>
      <c r="L361" s="46" t="n"/>
      <c r="M361" s="46" t="n"/>
      <c r="N361" s="1711" t="n"/>
      <c r="O361" s="1735" t="n"/>
      <c r="P361" s="1736" t="n"/>
      <c r="Q361" s="1711" t="n"/>
      <c r="R361" s="1710" t="n"/>
      <c r="S361" s="1703" t="n"/>
      <c r="T361" s="1711" t="n"/>
      <c r="U361" s="978" t="n"/>
      <c r="V361" s="1491" t="n"/>
      <c r="W361" s="1473" t="n"/>
      <c r="X361" s="2002" t="n"/>
      <c r="Y361" s="1478" t="n"/>
      <c r="Z361" s="2002" t="n"/>
      <c r="AA361" s="1513" t="n"/>
      <c r="AC361" s="1013" t="n"/>
      <c r="AD361" s="1014" t="n"/>
      <c r="AE361" s="1013" t="n"/>
      <c r="AF361" s="1014" t="n"/>
      <c r="AG361" s="1013" t="n"/>
      <c r="AH361" s="1014" t="n"/>
    </row>
    <row r="362" ht="35" customHeight="1" thickBot="1">
      <c r="A362" s="686" t="n"/>
      <c r="B362" s="316">
        <f>'CPTS indépendants'!K50</f>
        <v/>
      </c>
      <c r="C362" s="2066">
        <f>Test_Bible!B287</f>
        <v/>
      </c>
      <c r="D362" s="102" t="n"/>
      <c r="E362" s="823">
        <f>Test_Bible!P287</f>
        <v/>
      </c>
      <c r="F362" s="822">
        <f>Test_Bible!E287</f>
        <v/>
      </c>
      <c r="G362" s="823">
        <f>Test_Bible!Q287</f>
        <v/>
      </c>
      <c r="H362" s="1710" t="n">
        <v>4</v>
      </c>
      <c r="I362" s="1703" t="n">
        <v>10</v>
      </c>
      <c r="J362" s="46">
        <f>IF(AND(E362&gt;=H362,E362&lt;=I362),TRUE,FALSE)</f>
        <v/>
      </c>
      <c r="K362" s="46" t="n"/>
      <c r="L362" s="46" t="n"/>
      <c r="M362" s="46" t="n"/>
      <c r="N362" s="1711" t="n"/>
      <c r="O362" s="1735" t="n">
        <v>11</v>
      </c>
      <c r="P362" s="1736" t="n">
        <v>11</v>
      </c>
      <c r="Q362" s="1711">
        <f>IF(AND(E362&gt;=O362,E362&lt;=P362),TRUE,FALSE)</f>
        <v/>
      </c>
      <c r="R362" s="1735" t="n"/>
      <c r="S362" s="1736" t="n"/>
      <c r="T362" s="1711" t="n"/>
      <c r="U362" s="978" t="n"/>
      <c r="V362" s="1487" t="inlineStr">
        <is>
          <t>ou</t>
        </is>
      </c>
      <c r="W362" s="1506" t="n">
        <v>11</v>
      </c>
      <c r="X362" s="1507" t="n"/>
      <c r="Y362" s="1508" t="n">
        <v>11</v>
      </c>
      <c r="Z362" s="1507" t="n"/>
      <c r="AA362" s="1502" t="n">
        <v>11</v>
      </c>
      <c r="AC362" s="1013" t="n"/>
      <c r="AD362" s="1014" t="n"/>
      <c r="AE362" s="1013" t="n"/>
      <c r="AF362" s="1014" t="n"/>
      <c r="AG362" s="1013" t="n"/>
      <c r="AH362" s="1014" t="n"/>
    </row>
    <row r="363" ht="69" customHeight="1" thickBot="1">
      <c r="A363" s="686" t="n"/>
      <c r="B363" s="842" t="inlineStr">
        <is>
          <t>Max Enf</t>
        </is>
      </c>
      <c r="C363" s="843">
        <f>_xlfn.XLOOKUP(G363,G359:G362,C359:C362)</f>
        <v/>
      </c>
      <c r="D363" s="843">
        <f>_xlfn.XLOOKUP(G363,G359:G362,D359:D362)</f>
        <v/>
      </c>
      <c r="E363" s="844" t="n"/>
      <c r="F363" s="844" t="n"/>
      <c r="G363" s="844">
        <f>IF(AND(J359=TRUE,J362=FALSE),G359,IF(AND(J359=FALSE,J362=TRUE),G362,MAX(G359,G362)))</f>
        <v/>
      </c>
      <c r="H363" s="1716" t="n"/>
      <c r="I363" s="845" t="n"/>
      <c r="J363" s="846">
        <f>IF(AND(J359=FALSE,J362=FALSE),FALSE,TRUE)</f>
        <v/>
      </c>
      <c r="K363" s="1699" t="n"/>
      <c r="L363" s="1699" t="n"/>
      <c r="M363" s="1699" t="n"/>
      <c r="N363" s="1717" t="n"/>
      <c r="O363" s="1716" t="n"/>
      <c r="P363" s="845" t="n"/>
      <c r="Q363" s="846">
        <f>IF(AND(Q359=FALSE,Q362=FALSE),FALSE,TRUE)</f>
        <v/>
      </c>
      <c r="R363" s="1716" t="n"/>
      <c r="S363" s="845" t="n"/>
      <c r="T363" s="846" t="n"/>
      <c r="U363" s="978" t="n"/>
      <c r="V363" s="978" t="n"/>
      <c r="W363" s="1475" t="n"/>
      <c r="Y363" s="1479" t="n"/>
      <c r="AA363" s="1483" t="n"/>
      <c r="AC363" s="1013">
        <f>IF(J363=TRUE,"V","F")</f>
        <v/>
      </c>
      <c r="AD363" s="1014" t="n"/>
      <c r="AE363" s="1013">
        <f>IF(Q363=TRUE,"V","F")</f>
        <v/>
      </c>
      <c r="AF363" s="1014" t="n"/>
      <c r="AG363" s="1013" t="n"/>
      <c r="AH363" s="1014" t="n"/>
    </row>
    <row r="364" ht="102" customHeight="1">
      <c r="A364" s="686" t="n"/>
      <c r="C364" s="428" t="inlineStr">
        <is>
          <t>COMPARATIF Comportement PFA-Enf</t>
        </is>
      </c>
      <c r="D364" s="2058" t="n"/>
      <c r="E364" s="484" t="inlineStr">
        <is>
          <t>Valeur =&gt;</t>
        </is>
      </c>
      <c r="F364" s="48" t="n"/>
      <c r="G364" s="48">
        <f>G353+G357+G363</f>
        <v/>
      </c>
      <c r="H364" s="1718" t="n"/>
      <c r="I364" s="485" t="n"/>
      <c r="J364" s="1701" t="n"/>
      <c r="K364" s="1702">
        <f>IF(AND(J363=TRUE,J358=TRUE),D363,"")</f>
        <v/>
      </c>
      <c r="L364" s="1702">
        <f>IF(AND(J358=TRUE,J363=FALSE),"Bien que le parent "&amp;D358&amp;" l'enfant ne semble pas s'ingérer","")</f>
        <v/>
      </c>
      <c r="M364" s="1702">
        <f>IF(AND(J358=FALSE,J363=TRUE),D363&amp;" sans signe de la participation du parent favorisé et|ou nouveau conjoint.e","")</f>
        <v/>
      </c>
      <c r="N364" s="1719">
        <f>IF(AND(J358=FALSE,J363=FALSE),"aucun comportement significatif de cette nature","")</f>
        <v/>
      </c>
      <c r="O364" s="1718" t="n"/>
      <c r="P364" s="485" t="n"/>
      <c r="Q364" s="1727" t="n"/>
      <c r="R364" s="1718" t="n"/>
      <c r="S364" s="485" t="n"/>
      <c r="T364" s="1727" t="n"/>
      <c r="U364" s="980" t="n"/>
      <c r="V364" s="980" t="n"/>
      <c r="W364" s="1475" t="n"/>
      <c r="Y364" s="1479" t="n"/>
      <c r="AA364" s="1483" t="n"/>
      <c r="AC364" s="1015" t="n"/>
      <c r="AD364" s="1016">
        <f>IF(AND(AC358="V",AC363="V"),2,IF(OR(AC358="V",AC363="V"),1,0))</f>
        <v/>
      </c>
      <c r="AE364" s="1015" t="n"/>
      <c r="AF364" s="1016">
        <f>IF(OR(AE358="V",AE363="V"),1,0)</f>
        <v/>
      </c>
      <c r="AG364" s="1015" t="n"/>
      <c r="AH364" s="1016" t="n"/>
    </row>
    <row r="365" ht="26" customHeight="1">
      <c r="A365" s="686" t="n"/>
      <c r="B365" t="inlineStr">
        <is>
          <t>PCR</t>
        </is>
      </c>
      <c r="H365" s="147" t="n"/>
      <c r="K365" s="1992" t="n"/>
      <c r="L365" s="1992" t="n"/>
      <c r="M365" s="1992" t="n"/>
      <c r="N365" s="1740" t="n"/>
      <c r="O365" s="147" t="n"/>
      <c r="Q365" s="330" t="n"/>
      <c r="R365" s="147" t="n"/>
      <c r="T365" s="330" t="n"/>
      <c r="U365" s="1992" t="n"/>
      <c r="AC365" s="1013" t="n"/>
      <c r="AD365" s="1014" t="n"/>
      <c r="AE365" s="1013" t="n"/>
      <c r="AF365" s="1014" t="n"/>
      <c r="AG365" s="1013" t="n"/>
      <c r="AH365" s="1014" t="n"/>
    </row>
    <row r="366" ht="26" customHeight="1">
      <c r="A366" s="686" t="n"/>
      <c r="B366" s="1017" t="n"/>
      <c r="C366" s="1018" t="n"/>
      <c r="D366" s="1018" t="n"/>
      <c r="E366" s="1026" t="n"/>
      <c r="F366" s="1026" t="n"/>
      <c r="G366" s="1026" t="n"/>
      <c r="H366" s="1735" t="n"/>
      <c r="I366" s="1736" t="n"/>
      <c r="J366" s="46" t="n"/>
      <c r="K366" s="33" t="n"/>
      <c r="L366" s="33" t="n"/>
      <c r="M366" s="33" t="n"/>
      <c r="N366" s="1720" t="n"/>
      <c r="O366" s="1710" t="n"/>
      <c r="P366" s="1703" t="n"/>
      <c r="Q366" s="1711" t="n"/>
      <c r="R366" s="1710" t="n"/>
      <c r="S366" s="1703" t="n"/>
      <c r="T366" s="1711" t="n"/>
      <c r="U366" s="1992" t="n"/>
      <c r="V366" s="1509" t="n"/>
      <c r="W366" s="1503" t="n">
        <v>11</v>
      </c>
      <c r="X366" s="1504" t="n"/>
      <c r="Y366" s="1489" t="n">
        <v>4</v>
      </c>
      <c r="Z366" s="2029" t="n"/>
      <c r="AA366" s="1496" t="n">
        <v>4</v>
      </c>
      <c r="AC366" s="1013" t="n"/>
      <c r="AD366" s="1014" t="n"/>
      <c r="AE366" s="1013" t="n"/>
      <c r="AF366" s="1014" t="n"/>
      <c r="AG366" s="1013" t="n"/>
      <c r="AH366" s="1014" t="n"/>
    </row>
    <row r="367" ht="27" customHeight="1" thickBot="1">
      <c r="A367" s="686" t="n"/>
      <c r="B367" s="1017" t="n"/>
      <c r="C367" s="1025" t="n"/>
      <c r="D367" s="1018" t="n"/>
      <c r="E367" s="1026" t="n"/>
      <c r="F367" s="1026" t="n"/>
      <c r="G367" s="1026" t="n"/>
      <c r="H367" s="1735" t="n"/>
      <c r="I367" s="1736" t="n"/>
      <c r="J367" s="46" t="n"/>
      <c r="K367" s="33" t="n"/>
      <c r="L367" s="33" t="n"/>
      <c r="M367" s="33" t="n"/>
      <c r="N367" s="1720" t="n"/>
      <c r="O367" s="1735" t="n"/>
      <c r="P367" s="1736" t="n"/>
      <c r="Q367" s="1711" t="n"/>
      <c r="R367" s="1735" t="n"/>
      <c r="S367" s="1736" t="n"/>
      <c r="T367" s="1711" t="n"/>
      <c r="V367" s="1510" t="n"/>
      <c r="W367" s="1506" t="n">
        <v>11</v>
      </c>
      <c r="X367" s="1507" t="n"/>
      <c r="Y367" s="1508" t="n">
        <v>11</v>
      </c>
      <c r="Z367" s="1507" t="n"/>
      <c r="AA367" s="1502" t="n">
        <v>11</v>
      </c>
      <c r="AC367" s="1013" t="n"/>
      <c r="AD367" s="1014" t="n"/>
      <c r="AE367" s="1013" t="n"/>
      <c r="AF367" s="1014" t="n"/>
      <c r="AG367" s="1013" t="n"/>
      <c r="AH367" s="1014" t="n"/>
    </row>
    <row r="368" ht="27" customHeight="1" thickBot="1">
      <c r="A368" s="686" t="n"/>
      <c r="C368" s="2073" t="n"/>
      <c r="D368" s="2073" t="n"/>
      <c r="E368" s="90" t="n"/>
      <c r="F368" s="483" t="n"/>
      <c r="G368" s="483" t="n"/>
      <c r="H368" s="1732" t="n"/>
      <c r="I368" s="1733" t="n"/>
      <c r="J368" s="1739">
        <f>IF(AND(J366=FALSE,J367=FALSE),FALSE,TRUE)</f>
        <v/>
      </c>
      <c r="K368" s="1721" t="n"/>
      <c r="L368" s="1722" t="n"/>
      <c r="M368" s="1722" t="n"/>
      <c r="N368" s="1723" t="n"/>
      <c r="O368" s="1732" t="n"/>
      <c r="P368" s="1733" t="n"/>
      <c r="Q368" s="1739">
        <f>IF(AND(Q366=FALSE,Q367=FALSE),FALSE,TRUE)</f>
        <v/>
      </c>
      <c r="R368" s="1744" t="n"/>
      <c r="S368" s="1745" t="n"/>
      <c r="T368" s="1746">
        <f>IF(AND(T366=FALSE,T367=FALSE),FALSE,TRUE)</f>
        <v/>
      </c>
      <c r="U368" s="980" t="n"/>
      <c r="AC368" s="1650">
        <f>IF(J368=TRUE,"V","F")</f>
        <v/>
      </c>
      <c r="AD368" s="1651" t="n"/>
      <c r="AE368" s="1650">
        <f>IF(Q368=TRUE,"V","F")</f>
        <v/>
      </c>
      <c r="AF368" s="1651" t="n"/>
      <c r="AG368" s="1650">
        <f>IF(T368=TRUE,"V","F")</f>
        <v/>
      </c>
      <c r="AH368" s="1651" t="n"/>
    </row>
    <row r="369" ht="26" customHeight="1">
      <c r="A369" s="686" t="n"/>
      <c r="C369" s="2073" t="n"/>
      <c r="D369" s="2073" t="n"/>
      <c r="E369" s="90" t="n"/>
      <c r="F369" s="483" t="n"/>
      <c r="G369" s="483" t="n"/>
      <c r="H369" s="2002" t="n"/>
      <c r="I369" s="2002" t="n"/>
      <c r="J369" s="979" t="n"/>
      <c r="K369" s="980" t="n"/>
      <c r="L369" s="980" t="n"/>
      <c r="M369" s="980" t="n"/>
      <c r="N369" s="980" t="n"/>
      <c r="O369" s="980" t="n"/>
      <c r="P369" s="980" t="n"/>
      <c r="Q369" s="980" t="n"/>
      <c r="R369" s="980" t="n"/>
      <c r="S369" s="980" t="n"/>
      <c r="T369" s="980" t="n"/>
      <c r="U369" s="980" t="n"/>
      <c r="V369" s="980" t="n"/>
      <c r="AC369" s="1737" t="n"/>
      <c r="AD369" s="1738">
        <f>IF(AND(AC368="V",AC358="V"),AD364-1,AD364)</f>
        <v/>
      </c>
      <c r="AE369" s="1737" t="n"/>
      <c r="AF369" s="1738">
        <f>IF(OR(AE358="V",AE363="V",AE368="V"),1,0)</f>
        <v/>
      </c>
      <c r="AG369" s="1737" t="n"/>
      <c r="AH369" s="1738">
        <f>IF(AG358="V",1,IF(AG368="V",1,0))</f>
        <v/>
      </c>
    </row>
  </sheetData>
  <mergeCells count="70">
    <mergeCell ref="K107:N107"/>
    <mergeCell ref="H164:J164"/>
    <mergeCell ref="K145:N145"/>
    <mergeCell ref="H349:J349"/>
    <mergeCell ref="R164:T164"/>
    <mergeCell ref="K263:N263"/>
    <mergeCell ref="K328:N328"/>
    <mergeCell ref="O88:Q88"/>
    <mergeCell ref="R145:T145"/>
    <mergeCell ref="H88:J88"/>
    <mergeCell ref="O31:Q31"/>
    <mergeCell ref="O69:Q69"/>
    <mergeCell ref="H182:J182"/>
    <mergeCell ref="R263:T263"/>
    <mergeCell ref="R223:T223"/>
    <mergeCell ref="R126:T126"/>
    <mergeCell ref="K283:N283"/>
    <mergeCell ref="H69:J69"/>
    <mergeCell ref="O50:Q50"/>
    <mergeCell ref="O223:Q223"/>
    <mergeCell ref="H283:J283"/>
    <mergeCell ref="H243:J243"/>
    <mergeCell ref="K69:N69"/>
    <mergeCell ref="O164:Q164"/>
    <mergeCell ref="H203:J203"/>
    <mergeCell ref="R203:T203"/>
    <mergeCell ref="R283:T283"/>
    <mergeCell ref="R50:T50"/>
    <mergeCell ref="K223:N223"/>
    <mergeCell ref="O126:Q126"/>
    <mergeCell ref="O182:Q182"/>
    <mergeCell ref="K164:N164"/>
    <mergeCell ref="R303:T303"/>
    <mergeCell ref="O203:Q203"/>
    <mergeCell ref="O243:Q243"/>
    <mergeCell ref="K88:N88"/>
    <mergeCell ref="H107:J107"/>
    <mergeCell ref="H145:J145"/>
    <mergeCell ref="O303:Q303"/>
    <mergeCell ref="R107:T107"/>
    <mergeCell ref="K126:N126"/>
    <mergeCell ref="H126:J126"/>
    <mergeCell ref="K182:N182"/>
    <mergeCell ref="H303:J303"/>
    <mergeCell ref="K349:N349"/>
    <mergeCell ref="E11:I11"/>
    <mergeCell ref="H263:J263"/>
    <mergeCell ref="R328:T328"/>
    <mergeCell ref="H328:J328"/>
    <mergeCell ref="O283:Q283"/>
    <mergeCell ref="K203:N203"/>
    <mergeCell ref="R182:T182"/>
    <mergeCell ref="K50:N50"/>
    <mergeCell ref="R349:T349"/>
    <mergeCell ref="K31:N31"/>
    <mergeCell ref="AI1:AK1"/>
    <mergeCell ref="H50:J50"/>
    <mergeCell ref="O107:Q107"/>
    <mergeCell ref="O145:Q145"/>
    <mergeCell ref="R88:T88"/>
    <mergeCell ref="H31:J31"/>
    <mergeCell ref="K243:N243"/>
    <mergeCell ref="O263:Q263"/>
    <mergeCell ref="O328:Q328"/>
    <mergeCell ref="K303:N303"/>
    <mergeCell ref="R69:T69"/>
    <mergeCell ref="R31:T31"/>
    <mergeCell ref="H223:J223"/>
    <mergeCell ref="R243:T243"/>
    <mergeCell ref="O349:Q349"/>
  </mergeCell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AX83"/>
  <sheetViews>
    <sheetView topLeftCell="A7" workbookViewId="0">
      <selection activeCell="A1" sqref="A1"/>
    </sheetView>
  </sheetViews>
  <sheetFormatPr baseColWidth="10" defaultColWidth="11" defaultRowHeight="16"/>
  <cols>
    <col width="14.6640625" customWidth="1" min="1" max="1"/>
    <col width="14.83203125" customWidth="1" min="2" max="2"/>
    <col width="52.83203125" customWidth="1" min="3" max="3"/>
    <col width="15" customWidth="1" min="4" max="10"/>
    <col width="18.6640625" customWidth="1" min="11" max="11"/>
    <col width="15.83203125" customWidth="1" min="12" max="16"/>
    <col width="20" customWidth="1" min="17" max="26"/>
    <col width="22" customWidth="1" min="46" max="51"/>
  </cols>
  <sheetData>
    <row r="1" ht="21" customHeight="1">
      <c r="B1" s="64" t="inlineStr">
        <is>
          <t>Zone Différentiel</t>
        </is>
      </c>
      <c r="P1" s="670" t="inlineStr">
        <is>
          <t>A compléter</t>
        </is>
      </c>
      <c r="AM1" s="64" t="inlineStr">
        <is>
          <t>Zone Différentiel avec échelle 1 à 10</t>
        </is>
      </c>
      <c r="AN1" s="29" t="n"/>
      <c r="AO1" s="29" t="n"/>
      <c r="AP1" s="29" t="n"/>
      <c r="AQ1" s="29" t="n"/>
    </row>
    <row r="2" ht="24" customHeight="1">
      <c r="B2" t="inlineStr">
        <is>
          <t>Analuyse des différentiels des échelles exponetielles</t>
        </is>
      </c>
      <c r="F2" s="576" t="inlineStr">
        <is>
          <t>APRÈS</t>
        </is>
      </c>
      <c r="L2" t="inlineStr">
        <is>
          <t>Calcul qualitatif des situations différentiels entre avant et après</t>
        </is>
      </c>
      <c r="AN2" s="29" t="n"/>
      <c r="AO2" s="29" t="n"/>
      <c r="AP2" s="29" t="n"/>
      <c r="AQ2" s="29" t="n"/>
    </row>
    <row r="3">
      <c r="D3" t="inlineStr">
        <is>
          <t>Jamais</t>
        </is>
      </c>
      <c r="E3" t="inlineStr">
        <is>
          <t>Rarement</t>
        </is>
      </c>
      <c r="F3" t="inlineStr">
        <is>
          <t>Parfois</t>
        </is>
      </c>
      <c r="G3" t="inlineStr">
        <is>
          <t>Régulièrement</t>
        </is>
      </c>
      <c r="H3" t="inlineStr">
        <is>
          <t>Souvent</t>
        </is>
      </c>
      <c r="I3" t="inlineStr">
        <is>
          <t>Toujours</t>
        </is>
      </c>
      <c r="M3" t="inlineStr">
        <is>
          <t>Jamais</t>
        </is>
      </c>
      <c r="N3" t="inlineStr">
        <is>
          <t>Rarement</t>
        </is>
      </c>
      <c r="O3" t="inlineStr">
        <is>
          <t>Parfois</t>
        </is>
      </c>
      <c r="P3" t="inlineStr">
        <is>
          <t>Régulièrement</t>
        </is>
      </c>
      <c r="Q3" t="inlineStr">
        <is>
          <t>Souvent</t>
        </is>
      </c>
      <c r="R3" t="inlineStr">
        <is>
          <t>Toujours</t>
        </is>
      </c>
      <c r="U3" s="3" t="inlineStr">
        <is>
          <t>Détérioration</t>
        </is>
      </c>
      <c r="Y3" s="3" t="inlineStr">
        <is>
          <t>Amélioration</t>
        </is>
      </c>
      <c r="AN3" s="29" t="n"/>
      <c r="AO3" s="29" t="n"/>
      <c r="AP3" s="29" t="n"/>
      <c r="AQ3" s="29" t="n"/>
    </row>
    <row r="4" ht="36" customHeight="1">
      <c r="B4" s="671" t="inlineStr">
        <is>
          <t>AVANT</t>
        </is>
      </c>
      <c r="C4" s="112" t="n"/>
      <c r="D4" s="2032" t="n">
        <v>0</v>
      </c>
      <c r="E4" s="2032" t="n">
        <v>1</v>
      </c>
      <c r="F4" s="2032" t="n">
        <v>2</v>
      </c>
      <c r="G4" s="2032" t="n">
        <v>4</v>
      </c>
      <c r="H4" s="2032" t="n">
        <v>7</v>
      </c>
      <c r="I4" s="2032" t="n">
        <v>10</v>
      </c>
      <c r="L4" s="112" t="n"/>
      <c r="M4" s="2032" t="n">
        <v>0</v>
      </c>
      <c r="N4" s="2032" t="n">
        <v>1</v>
      </c>
      <c r="O4" s="2032" t="n">
        <v>2</v>
      </c>
      <c r="P4" s="2032" t="n">
        <v>4</v>
      </c>
      <c r="Q4" s="2032" t="n">
        <v>7</v>
      </c>
      <c r="R4" s="2032" t="n">
        <v>10</v>
      </c>
      <c r="U4" s="17" t="inlineStr">
        <is>
          <t>(1)  Léger changement à surveiller</t>
        </is>
      </c>
      <c r="Y4" t="inlineStr">
        <is>
          <t>(1) Amélioration légère</t>
        </is>
      </c>
      <c r="AN4" s="2060" t="inlineStr">
        <is>
          <t>COMBINAISONS</t>
        </is>
      </c>
      <c r="AT4" s="524" t="inlineStr">
        <is>
          <t>A discuter avec Joanna</t>
        </is>
      </c>
      <c r="AU4" s="524" t="n"/>
      <c r="AV4" s="524" t="n"/>
      <c r="AW4" s="524" t="n"/>
      <c r="AX4" s="524" t="n"/>
    </row>
    <row r="5" ht="36" customHeight="1">
      <c r="B5" s="2" t="inlineStr">
        <is>
          <t>Jamais</t>
        </is>
      </c>
      <c r="C5" s="2032" t="n">
        <v>0</v>
      </c>
      <c r="D5" s="659">
        <f>$D5-D$4</f>
        <v/>
      </c>
      <c r="E5" s="660">
        <f>$D5-E$4</f>
        <v/>
      </c>
      <c r="F5" s="804">
        <f>$D5-F$4</f>
        <v/>
      </c>
      <c r="G5" s="806">
        <f>$D5-G$4</f>
        <v/>
      </c>
      <c r="H5" s="805">
        <f>$D5-H$4</f>
        <v/>
      </c>
      <c r="I5" s="809">
        <f>$D5-I$4</f>
        <v/>
      </c>
      <c r="J5" s="2068" t="inlineStr">
        <is>
          <t>Détérioration</t>
        </is>
      </c>
      <c r="K5" s="2" t="inlineStr">
        <is>
          <t>Jamais</t>
        </is>
      </c>
      <c r="L5" s="2032" t="n">
        <v>0</v>
      </c>
      <c r="M5" s="661">
        <f>$D5-M$4</f>
        <v/>
      </c>
      <c r="N5" s="662" t="inlineStr">
        <is>
          <t>N.S.</t>
        </is>
      </c>
      <c r="O5" s="813" t="inlineStr">
        <is>
          <t>Légère</t>
        </is>
      </c>
      <c r="P5" s="812" t="inlineStr">
        <is>
          <t>Modérée</t>
        </is>
      </c>
      <c r="Q5" s="811" t="inlineStr">
        <is>
          <t>Majeure</t>
        </is>
      </c>
      <c r="R5" s="810" t="inlineStr">
        <is>
          <t>Risque et/ou perte de lien</t>
        </is>
      </c>
      <c r="S5" s="2068" t="inlineStr">
        <is>
          <t>Détérioration</t>
        </is>
      </c>
      <c r="U5" s="663" t="inlineStr">
        <is>
          <t>(2) Modéré - comprendre s'il y a une dynamique de comportements derrière</t>
        </is>
      </c>
      <c r="Y5" t="inlineStr">
        <is>
          <t>(2)____</t>
        </is>
      </c>
      <c r="AA5" s="76" t="n"/>
      <c r="AN5" s="2087" t="inlineStr">
        <is>
          <t>DIFFÉRENTIEL (TOTAL)</t>
        </is>
      </c>
      <c r="AR5" s="69" t="inlineStr">
        <is>
          <t>Commentaires qualitatifs</t>
        </is>
      </c>
      <c r="AS5" s="69" t="n"/>
      <c r="AT5" s="2076" t="inlineStr">
        <is>
          <t>Commentaires qualitatifs</t>
        </is>
      </c>
    </row>
    <row r="6" ht="36" customHeight="1">
      <c r="B6" s="2" t="inlineStr">
        <is>
          <t>Rarement</t>
        </is>
      </c>
      <c r="C6" s="664" t="n">
        <v>1</v>
      </c>
      <c r="D6" s="807">
        <f>$D6-D$4</f>
        <v/>
      </c>
      <c r="E6" s="659">
        <f>$D6-E$4</f>
        <v/>
      </c>
      <c r="F6" s="804">
        <f>$D6-F$4</f>
        <v/>
      </c>
      <c r="G6" s="806">
        <f>$D6-G$4</f>
        <v/>
      </c>
      <c r="H6" s="805">
        <f>$D6-H$4</f>
        <v/>
      </c>
      <c r="I6" s="809">
        <f>$D6-I$4</f>
        <v/>
      </c>
      <c r="K6" s="2" t="inlineStr">
        <is>
          <t>Rarement</t>
        </is>
      </c>
      <c r="L6" s="664" t="n">
        <v>1</v>
      </c>
      <c r="M6" s="662" t="inlineStr">
        <is>
          <t>N.S.</t>
        </is>
      </c>
      <c r="N6" s="661">
        <f>$D6-N$4</f>
        <v/>
      </c>
      <c r="O6" s="813" t="inlineStr">
        <is>
          <t>Légère</t>
        </is>
      </c>
      <c r="P6" s="812" t="inlineStr">
        <is>
          <t>Modérée</t>
        </is>
      </c>
      <c r="Q6" s="811" t="inlineStr">
        <is>
          <t>Majeure</t>
        </is>
      </c>
      <c r="R6" s="810" t="inlineStr">
        <is>
          <t>Risque et/ou perte de lien</t>
        </is>
      </c>
      <c r="U6" s="663" t="inlineStr">
        <is>
          <t>(3) Significatif - s'outiller pour répondre adéquatement et éviter l'aggravation. Aller chercher de l'aide externe.</t>
        </is>
      </c>
      <c r="Y6" t="inlineStr">
        <is>
          <t>(3)____</t>
        </is>
      </c>
      <c r="AA6" s="76" t="n"/>
      <c r="AN6" s="30" t="n"/>
      <c r="AO6" s="30" t="n"/>
      <c r="AP6" s="30" t="n"/>
      <c r="AQ6" s="30" t="n"/>
      <c r="AR6" t="inlineStr">
        <is>
          <t>Qualifier le changement d'écart</t>
        </is>
      </c>
      <c r="AT6" s="80" t="n"/>
      <c r="AU6" s="80" t="n"/>
      <c r="AV6" s="80" t="inlineStr">
        <is>
          <t>Mise en garde/questionnement selon les seuils d'écart</t>
        </is>
      </c>
      <c r="AW6" s="80" t="n"/>
      <c r="AX6" s="80" t="n"/>
    </row>
    <row r="7" ht="36" customHeight="1">
      <c r="B7" s="2" t="inlineStr">
        <is>
          <t>Parfois</t>
        </is>
      </c>
      <c r="C7" s="665" t="n">
        <v>2</v>
      </c>
      <c r="D7" s="807">
        <f>$D7-D$4</f>
        <v/>
      </c>
      <c r="E7" s="807">
        <f>$D7-E$4</f>
        <v/>
      </c>
      <c r="F7" s="659">
        <f>$D7-F$4</f>
        <v/>
      </c>
      <c r="G7" s="806">
        <f>$D7-G$4</f>
        <v/>
      </c>
      <c r="H7" s="805">
        <f>$D7-H$4</f>
        <v/>
      </c>
      <c r="I7" s="809">
        <f>$D7-I$4</f>
        <v/>
      </c>
      <c r="K7" s="2" t="inlineStr">
        <is>
          <t>Parfois</t>
        </is>
      </c>
      <c r="L7" s="665" t="n">
        <v>2</v>
      </c>
      <c r="M7" s="662" t="inlineStr">
        <is>
          <t>Légère</t>
        </is>
      </c>
      <c r="N7" s="662" t="inlineStr">
        <is>
          <t>Légère</t>
        </is>
      </c>
      <c r="O7" s="661">
        <f>$D7-O$4</f>
        <v/>
      </c>
      <c r="P7" s="812" t="inlineStr">
        <is>
          <t>Modérée</t>
        </is>
      </c>
      <c r="Q7" s="811" t="inlineStr">
        <is>
          <t>Majeure</t>
        </is>
      </c>
      <c r="R7" s="810" t="inlineStr">
        <is>
          <t>Risque et/ou perte de lien</t>
        </is>
      </c>
      <c r="U7" s="17" t="inlineStr">
        <is>
          <t>(4) Majeure - Action urgente. Aiide professionnelle nécessaire pour la famille et l'enfant.</t>
        </is>
      </c>
      <c r="Y7" t="inlineStr">
        <is>
          <t>(4)____</t>
        </is>
      </c>
      <c r="AA7" s="76" t="n"/>
      <c r="AN7" s="30" t="n"/>
      <c r="AO7" s="30" t="n"/>
      <c r="AP7" s="30" t="n"/>
      <c r="AQ7" s="30" t="n"/>
      <c r="AT7" s="82" t="inlineStr">
        <is>
          <t>Échelle Enfant-PCR</t>
        </is>
      </c>
      <c r="AU7" s="2089" t="n"/>
      <c r="AV7" s="82" t="inlineStr">
        <is>
          <t>Échelle PFA_PCR</t>
        </is>
      </c>
      <c r="AW7" s="2089" t="n"/>
      <c r="AX7" s="82" t="inlineStr">
        <is>
          <t>Échelle Enfant-PFA</t>
        </is>
      </c>
    </row>
    <row r="8" ht="36" customHeight="1">
      <c r="B8" s="71" t="inlineStr">
        <is>
          <t>Régulièrement</t>
        </is>
      </c>
      <c r="C8" s="1999" t="n">
        <v>4</v>
      </c>
      <c r="D8" s="807">
        <f>$D8-D$4</f>
        <v/>
      </c>
      <c r="E8" s="807">
        <f>$D8-E$4</f>
        <v/>
      </c>
      <c r="F8" s="808">
        <f>$D8-F$4</f>
        <v/>
      </c>
      <c r="G8" s="659">
        <f>$D8-G$4</f>
        <v/>
      </c>
      <c r="H8" s="805">
        <f>$D8-H$4</f>
        <v/>
      </c>
      <c r="I8" s="809">
        <f>$D8-I$4</f>
        <v/>
      </c>
      <c r="K8" s="71" t="inlineStr">
        <is>
          <t>Régulièrement</t>
        </is>
      </c>
      <c r="L8" s="1999" t="n">
        <v>4</v>
      </c>
      <c r="M8" s="662" t="inlineStr">
        <is>
          <t>Modérée</t>
        </is>
      </c>
      <c r="N8" s="662" t="inlineStr">
        <is>
          <t>Modérée</t>
        </is>
      </c>
      <c r="O8" s="662" t="inlineStr">
        <is>
          <t>Légère</t>
        </is>
      </c>
      <c r="P8" s="661">
        <f>$D8-P$4</f>
        <v/>
      </c>
      <c r="Q8" s="811" t="inlineStr">
        <is>
          <t>Majeure</t>
        </is>
      </c>
      <c r="R8" s="810" t="inlineStr">
        <is>
          <t>Risque et/ou perte de lien</t>
        </is>
      </c>
      <c r="U8" s="17" t="inlineStr">
        <is>
          <t>Action psychojuridique essentielle.</t>
        </is>
      </c>
      <c r="AA8" s="76" t="n"/>
      <c r="AM8" s="2002" t="n"/>
      <c r="AN8" s="39" t="inlineStr">
        <is>
          <t>Échelle du multiplicateur d'intensité selon le différentiel</t>
        </is>
      </c>
      <c r="AO8" s="30" t="n"/>
      <c r="AP8" s="30" t="n"/>
      <c r="AQ8" s="30" t="n"/>
    </row>
    <row r="9" ht="36" customHeight="1">
      <c r="B9" s="71" t="inlineStr">
        <is>
          <t>Souvent</t>
        </is>
      </c>
      <c r="C9" s="1999" t="n">
        <v>7</v>
      </c>
      <c r="D9" s="807">
        <f>$D9-D$4</f>
        <v/>
      </c>
      <c r="E9" s="807">
        <f>$D9-E$4</f>
        <v/>
      </c>
      <c r="F9" s="808">
        <f>$D9-F$4</f>
        <v/>
      </c>
      <c r="G9" s="2069">
        <f>$D9-G$4</f>
        <v/>
      </c>
      <c r="H9" s="659">
        <f>$D9-H$4</f>
        <v/>
      </c>
      <c r="I9" s="809">
        <f>$D9-I$4</f>
        <v/>
      </c>
      <c r="K9" s="71" t="inlineStr">
        <is>
          <t>Souvent</t>
        </is>
      </c>
      <c r="L9" s="1999" t="n">
        <v>7</v>
      </c>
      <c r="M9" s="662" t="inlineStr">
        <is>
          <t>Significative</t>
        </is>
      </c>
      <c r="N9" s="662" t="inlineStr">
        <is>
          <t>Significative</t>
        </is>
      </c>
      <c r="O9" s="662" t="inlineStr">
        <is>
          <t>Modérée</t>
        </is>
      </c>
      <c r="P9" s="662" t="inlineStr">
        <is>
          <t>Légère</t>
        </is>
      </c>
      <c r="Q9" s="661">
        <f>$D9-Q$4</f>
        <v/>
      </c>
      <c r="R9" s="810" t="inlineStr">
        <is>
          <t>Risque et/ou perte de lien</t>
        </is>
      </c>
      <c r="AA9" s="76" t="n"/>
      <c r="AM9" s="2002" t="n"/>
      <c r="AN9" s="42" t="inlineStr">
        <is>
          <t>Max dégradation</t>
        </is>
      </c>
      <c r="AO9" s="34" t="n">
        <v>-10</v>
      </c>
      <c r="AP9" s="43" t="n">
        <v>-1</v>
      </c>
      <c r="AQ9" s="34" t="n"/>
      <c r="AR9" t="inlineStr">
        <is>
          <t>Rupture ????</t>
        </is>
      </c>
      <c r="AT9" s="76" t="inlineStr">
        <is>
          <t>Rupture de lien !</t>
        </is>
      </c>
      <c r="AU9" s="76" t="n"/>
      <c r="AV9" s="76" t="inlineStr">
        <is>
          <t>Exclusion du PCR par le PFA</t>
        </is>
      </c>
      <c r="AX9" s="83" t="n"/>
    </row>
    <row r="10" ht="36" customHeight="1">
      <c r="B10" s="71" t="inlineStr">
        <is>
          <t>Toujours</t>
        </is>
      </c>
      <c r="C10" s="1999" t="n">
        <v>10</v>
      </c>
      <c r="D10" s="807">
        <f>$D10-D$4</f>
        <v/>
      </c>
      <c r="E10" s="807">
        <f>$D10-E$4</f>
        <v/>
      </c>
      <c r="F10" s="808">
        <f>$D10-F$4</f>
        <v/>
      </c>
      <c r="G10" s="2069">
        <f>$D10-G$4</f>
        <v/>
      </c>
      <c r="H10" s="2069">
        <f>$D10-H$4</f>
        <v/>
      </c>
      <c r="I10" s="659">
        <f>$D10-I$4</f>
        <v/>
      </c>
      <c r="K10" s="71" t="inlineStr">
        <is>
          <t>Toujours</t>
        </is>
      </c>
      <c r="L10" s="1999" t="n">
        <v>10</v>
      </c>
      <c r="M10" s="662" t="inlineStr">
        <is>
          <t>Majeure</t>
        </is>
      </c>
      <c r="N10" s="662" t="inlineStr">
        <is>
          <t>Majeure</t>
        </is>
      </c>
      <c r="O10" s="662" t="inlineStr">
        <is>
          <t>Significative</t>
        </is>
      </c>
      <c r="P10" s="662" t="inlineStr">
        <is>
          <t>Modérée</t>
        </is>
      </c>
      <c r="Q10" s="662" t="inlineStr">
        <is>
          <t>Légère</t>
        </is>
      </c>
      <c r="R10" s="661">
        <f>$D10-R$4</f>
        <v/>
      </c>
      <c r="AA10" s="76" t="n"/>
      <c r="AM10" s="2002" t="n"/>
      <c r="AN10" s="42" t="n"/>
      <c r="AO10" s="34" t="n">
        <v>-9</v>
      </c>
      <c r="AP10" s="43" t="n">
        <v>-0.9</v>
      </c>
      <c r="AQ10" s="34" t="n"/>
      <c r="AT10" s="76" t="inlineStr">
        <is>
          <t>Rupture contact !</t>
        </is>
      </c>
      <c r="AU10" s="76" t="n"/>
      <c r="AV10" s="76" t="inlineStr">
        <is>
          <t>Exclusion du PCR par le PFA</t>
        </is>
      </c>
      <c r="AX10" s="83" t="n"/>
    </row>
    <row r="11" ht="36" customHeight="1">
      <c r="B11" s="71" t="n"/>
      <c r="C11" s="2002" t="n"/>
      <c r="D11" s="2069" t="inlineStr">
        <is>
          <t xml:space="preserve">Amélioration </t>
        </is>
      </c>
      <c r="I11" s="666" t="inlineStr">
        <is>
          <t>Pas de changement</t>
        </is>
      </c>
      <c r="J11" s="7" t="n"/>
      <c r="L11" s="2002" t="n"/>
      <c r="M11" s="2069" t="inlineStr">
        <is>
          <t xml:space="preserve">Amélioration </t>
        </is>
      </c>
      <c r="S11" s="666" t="inlineStr">
        <is>
          <t>Pas de changement</t>
        </is>
      </c>
      <c r="T11" s="7" t="n"/>
      <c r="AA11" s="76" t="n"/>
      <c r="AM11" s="2002" t="n"/>
      <c r="AN11" s="40" t="n"/>
      <c r="AO11" s="30" t="n">
        <v>-8</v>
      </c>
      <c r="AP11" s="31" t="n">
        <v>-0.8</v>
      </c>
      <c r="AQ11" s="30" t="n"/>
      <c r="AT11" s="76" t="inlineStr">
        <is>
          <t>Risque de rupture contact | lien</t>
        </is>
      </c>
      <c r="AU11" s="76" t="n"/>
      <c r="AV11" s="76" t="inlineStr">
        <is>
          <t>Exclusion du PCR par le PFA</t>
        </is>
      </c>
      <c r="AX11" s="83" t="n"/>
    </row>
    <row r="12" ht="19" customHeight="1">
      <c r="B12" s="2002" t="n"/>
      <c r="C12" s="17" t="inlineStr">
        <is>
          <t>Si une réponse est S.O. et qu'elle est la seule composante à générer un baromètre, annuler le baromètre.</t>
        </is>
      </c>
      <c r="D12" s="2002" t="n"/>
      <c r="E12" s="28" t="n"/>
      <c r="F12" s="2002" t="n"/>
      <c r="AA12" s="76" t="n"/>
      <c r="AM12" s="2002" t="n"/>
      <c r="AN12" s="40" t="n"/>
      <c r="AO12" s="30" t="n">
        <v>-7</v>
      </c>
      <c r="AP12" s="31" t="n">
        <v>-0.7</v>
      </c>
      <c r="AQ12" s="30" t="n"/>
      <c r="AT12" s="76" t="inlineStr">
        <is>
          <t>Risque de rupture contact | lien</t>
        </is>
      </c>
      <c r="AU12" s="76" t="n"/>
      <c r="AV12" s="76" t="inlineStr">
        <is>
          <t>Exclusion du PCR par le PFA</t>
        </is>
      </c>
      <c r="AX12" s="2082" t="inlineStr">
        <is>
          <t>Il y a de fortes chances que ces zones ne soient jamais rencontrées</t>
        </is>
      </c>
    </row>
    <row r="13" ht="19" customHeight="1">
      <c r="B13" s="17" t="inlineStr">
        <is>
          <t>Échelle 1 à 10</t>
        </is>
      </c>
      <c r="C13" t="inlineStr">
        <is>
          <t>Si une réponse est S.O. et que cette question fait parti d'un calcul, exclure cette question (avant et après) du calcul</t>
        </is>
      </c>
      <c r="H13" s="576" t="inlineStr">
        <is>
          <t>APRÈS</t>
        </is>
      </c>
      <c r="P13" s="670" t="inlineStr">
        <is>
          <t>A compléter</t>
        </is>
      </c>
      <c r="AA13" s="76" t="n"/>
      <c r="AM13" s="2002" t="n"/>
      <c r="AN13" s="40" t="n"/>
      <c r="AO13" s="30" t="n">
        <v>-6</v>
      </c>
      <c r="AP13" s="31" t="n">
        <v>-0.6</v>
      </c>
      <c r="AQ13" s="30" t="n"/>
      <c r="AT13" s="76" t="inlineStr">
        <is>
          <t>Risque de rupture contact</t>
        </is>
      </c>
      <c r="AU13" s="76" t="n"/>
      <c r="AV13" s="88" t="inlineStr">
        <is>
          <t>Dégradation très importante</t>
        </is>
      </c>
    </row>
    <row r="14" ht="24" customHeight="1">
      <c r="B14" s="671" t="inlineStr">
        <is>
          <t>AVANT</t>
        </is>
      </c>
      <c r="C14" s="112" t="n"/>
      <c r="D14" s="2032" t="n">
        <v>1</v>
      </c>
      <c r="E14" s="2032" t="n">
        <v>2</v>
      </c>
      <c r="F14" s="2032" t="n">
        <v>3</v>
      </c>
      <c r="G14" s="2032" t="n">
        <v>4</v>
      </c>
      <c r="H14" s="2032" t="n">
        <v>5</v>
      </c>
      <c r="I14" s="2032" t="n">
        <v>6</v>
      </c>
      <c r="J14" s="2032" t="n">
        <v>7</v>
      </c>
      <c r="K14" s="2032" t="n">
        <v>8</v>
      </c>
      <c r="L14" s="2032" t="n">
        <v>9</v>
      </c>
      <c r="M14" s="2032" t="n">
        <v>10</v>
      </c>
      <c r="P14" s="112" t="n"/>
      <c r="Q14" s="2032" t="n">
        <v>1</v>
      </c>
      <c r="R14" s="2032" t="n">
        <v>2</v>
      </c>
      <c r="S14" s="2032" t="n">
        <v>3</v>
      </c>
      <c r="T14" s="2032" t="n">
        <v>4</v>
      </c>
      <c r="U14" s="2032" t="n">
        <v>5</v>
      </c>
      <c r="V14" s="2032" t="n">
        <v>6</v>
      </c>
      <c r="W14" s="2032" t="n">
        <v>7</v>
      </c>
      <c r="X14" s="2032" t="n">
        <v>8</v>
      </c>
      <c r="Y14" s="2032" t="n">
        <v>9</v>
      </c>
      <c r="Z14" s="2032" t="n">
        <v>10</v>
      </c>
      <c r="AA14" s="76" t="n"/>
      <c r="AM14" s="2002" t="n"/>
      <c r="AN14" s="40" t="n"/>
      <c r="AO14" s="30" t="n">
        <v>-5</v>
      </c>
      <c r="AP14" s="31" t="n">
        <v>-0.5</v>
      </c>
      <c r="AQ14" s="30" t="n"/>
      <c r="AT14" s="76" t="inlineStr">
        <is>
          <t>Dégradation significative (action urgente)</t>
        </is>
      </c>
      <c r="AU14" s="76" t="n"/>
      <c r="AV14" s="88" t="inlineStr">
        <is>
          <t>Dégradation significative</t>
        </is>
      </c>
    </row>
    <row r="15" ht="24" customHeight="1">
      <c r="B15" s="657" t="n"/>
      <c r="C15" s="2032" t="n"/>
      <c r="D15" s="2032" t="n"/>
      <c r="E15" s="2032" t="n"/>
      <c r="F15" s="2032" t="n"/>
      <c r="G15" s="2032" t="n"/>
      <c r="H15" s="2032" t="n"/>
      <c r="I15" s="2032" t="n"/>
      <c r="J15" s="2032" t="n"/>
      <c r="K15" s="2032" t="n"/>
      <c r="L15" s="2032" t="n"/>
      <c r="M15" s="2032" t="n"/>
      <c r="P15" s="2032" t="n"/>
      <c r="Q15" s="2032" t="n"/>
      <c r="R15" s="2032" t="n"/>
      <c r="S15" s="2032" t="n"/>
      <c r="T15" s="2032" t="n"/>
      <c r="U15" s="2032" t="n"/>
      <c r="V15" s="2032" t="n"/>
      <c r="W15" s="2032" t="n"/>
      <c r="X15" s="2032" t="n"/>
      <c r="Y15" s="2032" t="n"/>
      <c r="Z15" s="2032" t="n"/>
      <c r="AM15" s="2002" t="n"/>
      <c r="AN15" s="40" t="n"/>
      <c r="AO15" s="30" t="n">
        <v>-4</v>
      </c>
      <c r="AP15" s="31" t="n">
        <v>-0.4</v>
      </c>
      <c r="AQ15" s="30" t="n"/>
      <c r="AT15" s="76" t="inlineStr">
        <is>
          <t>Dégradation importante (action nécessaire, s'outiller + aide prof.)</t>
        </is>
      </c>
      <c r="AU15" s="76" t="n"/>
      <c r="AV15" s="88" t="inlineStr">
        <is>
          <t>Dégradation modérée à significative</t>
        </is>
      </c>
    </row>
    <row r="16" ht="24" customHeight="1">
      <c r="B16" s="657" t="n"/>
      <c r="C16" s="2032" t="n">
        <v>1</v>
      </c>
      <c r="D16" s="667">
        <f>$D16-D$14</f>
        <v/>
      </c>
      <c r="E16" s="668">
        <f>$D16-E$14</f>
        <v/>
      </c>
      <c r="F16" s="668">
        <f>$D16-F$14</f>
        <v/>
      </c>
      <c r="G16" s="668">
        <f>$D16-G$14</f>
        <v/>
      </c>
      <c r="H16" s="668">
        <f>$D16-H$14</f>
        <v/>
      </c>
      <c r="I16" s="668">
        <f>$D16-I$14</f>
        <v/>
      </c>
      <c r="J16" s="668">
        <f>$D16-J$14</f>
        <v/>
      </c>
      <c r="K16" s="668">
        <f>$D16-K$14</f>
        <v/>
      </c>
      <c r="L16" s="668">
        <f>$D16-L$14</f>
        <v/>
      </c>
      <c r="M16" s="668">
        <f>$D16-M$14</f>
        <v/>
      </c>
      <c r="N16" s="2068" t="inlineStr">
        <is>
          <t>Détérioration</t>
        </is>
      </c>
      <c r="P16" s="2032" t="n">
        <v>1</v>
      </c>
      <c r="Q16" s="667" t="n"/>
      <c r="R16" s="668" t="n"/>
      <c r="S16" s="668" t="n"/>
      <c r="T16" s="668" t="n"/>
      <c r="U16" s="668" t="n"/>
      <c r="V16" s="668" t="n"/>
      <c r="W16" s="668" t="n"/>
      <c r="X16" s="668" t="n"/>
      <c r="Y16" s="668" t="n"/>
      <c r="Z16" s="668" t="n"/>
      <c r="AA16" s="2068" t="inlineStr">
        <is>
          <t>Détérioration</t>
        </is>
      </c>
      <c r="AM16" s="2002" t="n"/>
      <c r="AN16" s="40" t="n"/>
      <c r="AO16" s="30" t="n">
        <v>-3</v>
      </c>
      <c r="AP16" s="31" t="n">
        <v>-0.3</v>
      </c>
      <c r="AQ16" s="30" t="n"/>
      <c r="AT16" s="76" t="inlineStr">
        <is>
          <t>Dégradation modérée (action nécessaire, soutiller)</t>
        </is>
      </c>
      <c r="AU16" s="76" t="n"/>
      <c r="AV16" s="88" t="inlineStr">
        <is>
          <t>Dégradation modérée</t>
        </is>
      </c>
    </row>
    <row r="17" ht="24" customHeight="1">
      <c r="B17" s="657" t="n"/>
      <c r="C17" s="2032" t="n">
        <v>2</v>
      </c>
      <c r="D17" s="668">
        <f>$D17-D$14</f>
        <v/>
      </c>
      <c r="E17" s="667">
        <f>$D17-E$14</f>
        <v/>
      </c>
      <c r="F17" s="668">
        <f>$D17-F$14</f>
        <v/>
      </c>
      <c r="G17" s="668">
        <f>$D17-G$14</f>
        <v/>
      </c>
      <c r="H17" s="668">
        <f>$D17-H$14</f>
        <v/>
      </c>
      <c r="I17" s="668">
        <f>$D17-I$14</f>
        <v/>
      </c>
      <c r="J17" s="668">
        <f>$D17-J$14</f>
        <v/>
      </c>
      <c r="K17" s="668">
        <f>$D17-K$14</f>
        <v/>
      </c>
      <c r="L17" s="668">
        <f>$D17-L$14</f>
        <v/>
      </c>
      <c r="M17" s="668">
        <f>$D17-M$14</f>
        <v/>
      </c>
      <c r="P17" s="2032" t="n">
        <v>2</v>
      </c>
      <c r="Q17" s="668" t="n"/>
      <c r="R17" s="667" t="n"/>
      <c r="S17" s="668" t="n"/>
      <c r="T17" s="668" t="n"/>
      <c r="U17" s="668" t="n"/>
      <c r="V17" s="668" t="n"/>
      <c r="W17" s="668" t="n"/>
      <c r="X17" s="668" t="n"/>
      <c r="Y17" s="668" t="n"/>
      <c r="Z17" s="668" t="n"/>
      <c r="AM17" s="2002" t="n"/>
      <c r="AN17" s="40" t="n"/>
      <c r="AO17" s="30" t="n">
        <v>-2</v>
      </c>
      <c r="AP17" s="31" t="n">
        <v>-0.2</v>
      </c>
      <c r="AQ17" s="30" t="n"/>
      <c r="AT17" s="76" t="inlineStr">
        <is>
          <t>Dégradation légère à modérée - s'outiller</t>
        </is>
      </c>
      <c r="AU17" s="76" t="n"/>
      <c r="AV17" s="88" t="inlineStr">
        <is>
          <t>Dégradation légère à modérée</t>
        </is>
      </c>
      <c r="AX17" s="83" t="n"/>
    </row>
    <row r="18" ht="24" customHeight="1">
      <c r="B18" s="657" t="n"/>
      <c r="C18" s="2032" t="n">
        <v>3</v>
      </c>
      <c r="D18" s="668">
        <f>$D18-D$14</f>
        <v/>
      </c>
      <c r="E18" s="668">
        <f>$D18-E$14</f>
        <v/>
      </c>
      <c r="F18" s="667">
        <f>$D18-F$14</f>
        <v/>
      </c>
      <c r="G18" s="668">
        <f>$D18-G$14</f>
        <v/>
      </c>
      <c r="H18" s="668">
        <f>$D18-H$14</f>
        <v/>
      </c>
      <c r="I18" s="668">
        <f>$D18-I$14</f>
        <v/>
      </c>
      <c r="J18" s="668">
        <f>$D18-J$14</f>
        <v/>
      </c>
      <c r="K18" s="668">
        <f>$D18-K$14</f>
        <v/>
      </c>
      <c r="L18" s="668">
        <f>$D18-L$14</f>
        <v/>
      </c>
      <c r="M18" s="668">
        <f>$D18-M$14</f>
        <v/>
      </c>
      <c r="P18" s="2032" t="n">
        <v>3</v>
      </c>
      <c r="Q18" s="668" t="n"/>
      <c r="R18" s="668" t="n"/>
      <c r="S18" s="667" t="n"/>
      <c r="T18" s="668" t="n"/>
      <c r="U18" s="668" t="n"/>
      <c r="V18" s="668" t="n"/>
      <c r="W18" s="668" t="n"/>
      <c r="X18" s="668" t="n"/>
      <c r="Y18" s="668" t="n"/>
      <c r="Z18" s="668" t="n"/>
      <c r="AM18" s="2002" t="n"/>
      <c r="AN18" s="40" t="n"/>
      <c r="AO18" s="30" t="n">
        <v>-1</v>
      </c>
      <c r="AP18" s="31" t="n">
        <v>-0.1</v>
      </c>
      <c r="AQ18" s="30" t="n"/>
      <c r="AT18" s="76" t="inlineStr">
        <is>
          <t>Légère dégradation - à surveiller</t>
        </is>
      </c>
      <c r="AU18" s="76" t="n"/>
      <c r="AV18" s="88" t="inlineStr">
        <is>
          <t>Légère dégradation</t>
        </is>
      </c>
    </row>
    <row r="19" ht="24" customHeight="1">
      <c r="B19" s="657" t="n"/>
      <c r="C19" s="2032" t="n">
        <v>4</v>
      </c>
      <c r="D19" s="668">
        <f>$D19-D$14</f>
        <v/>
      </c>
      <c r="E19" s="668">
        <f>$D19-E$14</f>
        <v/>
      </c>
      <c r="F19" s="668">
        <f>$D19-F$14</f>
        <v/>
      </c>
      <c r="G19" s="667">
        <f>$D19-G$14</f>
        <v/>
      </c>
      <c r="H19" s="668">
        <f>$D19-H$14</f>
        <v/>
      </c>
      <c r="I19" s="668">
        <f>$D19-I$14</f>
        <v/>
      </c>
      <c r="J19" s="668">
        <f>$D19-J$14</f>
        <v/>
      </c>
      <c r="K19" s="668">
        <f>$D19-K$14</f>
        <v/>
      </c>
      <c r="L19" s="668">
        <f>$D19-L$14</f>
        <v/>
      </c>
      <c r="M19" s="668">
        <f>$D19-M$14</f>
        <v/>
      </c>
      <c r="P19" s="2032" t="n">
        <v>4</v>
      </c>
      <c r="Q19" s="668" t="n"/>
      <c r="R19" s="668" t="n"/>
      <c r="S19" s="668" t="n"/>
      <c r="T19" s="667" t="n"/>
      <c r="U19" s="668" t="n"/>
      <c r="V19" s="668" t="n"/>
      <c r="W19" s="668" t="n"/>
      <c r="X19" s="668" t="n"/>
      <c r="Y19" s="668" t="n"/>
      <c r="Z19" s="668" t="n"/>
      <c r="AM19" s="2002" t="n"/>
      <c r="AN19" s="40" t="inlineStr">
        <is>
          <t>Neutre</t>
        </is>
      </c>
      <c r="AO19" s="30" t="n">
        <v>0</v>
      </c>
      <c r="AP19" s="31" t="n">
        <v>0</v>
      </c>
      <c r="AQ19" s="30" t="n"/>
      <c r="AT19" s="76" t="inlineStr">
        <is>
          <t>Aucun changement</t>
        </is>
      </c>
      <c r="AU19" s="76" t="n"/>
      <c r="AV19" s="76" t="inlineStr">
        <is>
          <t>Aucun changement</t>
        </is>
      </c>
      <c r="AX19" s="76" t="inlineStr">
        <is>
          <t>Aucun changement</t>
        </is>
      </c>
    </row>
    <row r="20" ht="24" customHeight="1">
      <c r="B20" s="2" t="n"/>
      <c r="C20" s="2032" t="n">
        <v>5</v>
      </c>
      <c r="D20" s="668">
        <f>$D20-D$14</f>
        <v/>
      </c>
      <c r="E20" s="668">
        <f>$D20-E$14</f>
        <v/>
      </c>
      <c r="F20" s="668">
        <f>$D20-F$14</f>
        <v/>
      </c>
      <c r="G20" s="668">
        <f>$D20-G$14</f>
        <v/>
      </c>
      <c r="H20" s="667">
        <f>$D20-H$14</f>
        <v/>
      </c>
      <c r="I20" s="668">
        <f>$D20-I$14</f>
        <v/>
      </c>
      <c r="J20" s="668">
        <f>$D20-J$14</f>
        <v/>
      </c>
      <c r="K20" s="668">
        <f>$D20-K$14</f>
        <v/>
      </c>
      <c r="L20" s="668">
        <f>$D20-L$14</f>
        <v/>
      </c>
      <c r="M20" s="668">
        <f>$D20-M$14</f>
        <v/>
      </c>
      <c r="O20" s="669" t="n"/>
      <c r="P20" s="2032" t="n">
        <v>5</v>
      </c>
      <c r="Q20" s="668" t="n"/>
      <c r="R20" s="668" t="n"/>
      <c r="S20" s="668" t="n"/>
      <c r="T20" s="668" t="n"/>
      <c r="U20" s="667" t="n"/>
      <c r="V20" s="668" t="n"/>
      <c r="W20" s="668" t="n"/>
      <c r="X20" s="668" t="n"/>
      <c r="Y20" s="668" t="n"/>
      <c r="Z20" s="668" t="n"/>
      <c r="AM20" s="2002" t="n"/>
      <c r="AN20" s="40" t="n"/>
      <c r="AO20" s="30" t="n">
        <v>1</v>
      </c>
      <c r="AP20" s="31" t="n">
        <v>0.1</v>
      </c>
      <c r="AQ20" s="30" t="n"/>
      <c r="AT20" s="83" t="n"/>
      <c r="AV20" s="83" t="n"/>
      <c r="AW20" s="87" t="n"/>
      <c r="AX20" s="76" t="inlineStr">
        <is>
          <t>Peu de changement</t>
        </is>
      </c>
    </row>
    <row r="21" ht="24" customHeight="1">
      <c r="B21" s="2" t="n"/>
      <c r="C21" s="664" t="n">
        <v>6</v>
      </c>
      <c r="D21" s="668">
        <f>$D21-D$14</f>
        <v/>
      </c>
      <c r="E21" s="668">
        <f>$D21-E$14</f>
        <v/>
      </c>
      <c r="F21" s="668">
        <f>$D21-F$14</f>
        <v/>
      </c>
      <c r="G21" s="668">
        <f>$D21-G$14</f>
        <v/>
      </c>
      <c r="H21" s="668">
        <f>$D21-H$14</f>
        <v/>
      </c>
      <c r="I21" s="667">
        <f>$D21-I$14</f>
        <v/>
      </c>
      <c r="J21" s="668">
        <f>$D21-J$14</f>
        <v/>
      </c>
      <c r="K21" s="668">
        <f>$D21-K$14</f>
        <v/>
      </c>
      <c r="L21" s="668">
        <f>$D21-L$14</f>
        <v/>
      </c>
      <c r="M21" s="668">
        <f>$D21-M$14</f>
        <v/>
      </c>
      <c r="O21" s="669" t="n"/>
      <c r="P21" s="664" t="n">
        <v>6</v>
      </c>
      <c r="Q21" s="668" t="n"/>
      <c r="R21" s="668" t="n"/>
      <c r="S21" s="668" t="n"/>
      <c r="T21" s="668" t="n"/>
      <c r="U21" s="668" t="n"/>
      <c r="V21" s="667" t="n"/>
      <c r="W21" s="668" t="n"/>
      <c r="X21" s="668" t="n"/>
      <c r="Y21" s="668" t="n"/>
      <c r="Z21" s="668" t="n"/>
      <c r="AM21" s="2002" t="n"/>
      <c r="AN21" s="40" t="n"/>
      <c r="AO21" s="30" t="n">
        <v>2</v>
      </c>
      <c r="AP21" s="31" t="n">
        <v>0.2</v>
      </c>
      <c r="AQ21" s="30" t="n"/>
      <c r="AR21" t="inlineStr">
        <is>
          <t>Amélioration légère de la relation</t>
        </is>
      </c>
      <c r="AT21" s="83" t="n"/>
      <c r="AV21" s="83" t="n"/>
      <c r="AX21" s="76" t="inlineStr">
        <is>
          <t>Amélioration légère</t>
        </is>
      </c>
    </row>
    <row r="22" ht="24" customHeight="1">
      <c r="B22" s="2" t="n"/>
      <c r="C22" s="665" t="n">
        <v>7</v>
      </c>
      <c r="D22" s="668">
        <f>$D22-D$14</f>
        <v/>
      </c>
      <c r="E22" s="668">
        <f>$D22-E$14</f>
        <v/>
      </c>
      <c r="F22" s="668">
        <f>$D22-F$14</f>
        <v/>
      </c>
      <c r="G22" s="668">
        <f>$D22-G$14</f>
        <v/>
      </c>
      <c r="H22" s="668">
        <f>$D22-H$14</f>
        <v/>
      </c>
      <c r="I22" s="668">
        <f>$D22-I$14</f>
        <v/>
      </c>
      <c r="J22" s="667">
        <f>$D22-J$14</f>
        <v/>
      </c>
      <c r="K22" s="668">
        <f>$D22-K$14</f>
        <v/>
      </c>
      <c r="L22" s="668">
        <f>$D22-L$14</f>
        <v/>
      </c>
      <c r="M22" s="668">
        <f>$D22-M$14</f>
        <v/>
      </c>
      <c r="O22" s="669" t="n"/>
      <c r="P22" s="665" t="n">
        <v>7</v>
      </c>
      <c r="Q22" s="668" t="n"/>
      <c r="R22" s="668" t="n"/>
      <c r="S22" s="668" t="n"/>
      <c r="T22" s="668" t="n"/>
      <c r="U22" s="668" t="n"/>
      <c r="V22" s="668" t="n"/>
      <c r="W22" s="667" t="n"/>
      <c r="X22" s="668" t="n"/>
      <c r="Y22" s="668" t="n"/>
      <c r="Z22" s="668" t="n"/>
      <c r="AN22" s="40" t="n"/>
      <c r="AO22" s="30" t="n">
        <v>3</v>
      </c>
      <c r="AP22" s="31" t="n">
        <v>0.3</v>
      </c>
      <c r="AQ22" s="30" t="n"/>
      <c r="AT22" s="2079" t="inlineStr">
        <is>
          <t>Il y a de fortes chances que ces zones ne soient jamais rencontrées</t>
        </is>
      </c>
      <c r="AV22" s="2079" t="inlineStr">
        <is>
          <t>Il y a de fortes chances que ces zones ne soient jamais rencontrées</t>
        </is>
      </c>
      <c r="AX22" s="76" t="inlineStr">
        <is>
          <t>Amélioration modérée</t>
        </is>
      </c>
    </row>
    <row r="23" ht="24" customHeight="1">
      <c r="B23" s="71" t="n"/>
      <c r="C23" s="1999" t="n">
        <v>8</v>
      </c>
      <c r="D23" s="668">
        <f>$D23-D$14</f>
        <v/>
      </c>
      <c r="E23" s="668">
        <f>$D23-E$14</f>
        <v/>
      </c>
      <c r="F23" s="668">
        <f>$D23-F$14</f>
        <v/>
      </c>
      <c r="G23" s="668">
        <f>$D23-G$14</f>
        <v/>
      </c>
      <c r="H23" s="668">
        <f>$D23-H$14</f>
        <v/>
      </c>
      <c r="I23" s="668">
        <f>$D23-I$14</f>
        <v/>
      </c>
      <c r="J23" s="668">
        <f>$D23-J$14</f>
        <v/>
      </c>
      <c r="K23" s="667">
        <f>$D23-K$14</f>
        <v/>
      </c>
      <c r="L23" s="668">
        <f>$D23-L$14</f>
        <v/>
      </c>
      <c r="M23" s="668">
        <f>$D23-M$14</f>
        <v/>
      </c>
      <c r="O23" s="669" t="n"/>
      <c r="P23" s="1999" t="n">
        <v>8</v>
      </c>
      <c r="Q23" s="668" t="n"/>
      <c r="R23" s="668" t="n"/>
      <c r="S23" s="668" t="n"/>
      <c r="T23" s="668" t="n"/>
      <c r="U23" s="668" t="n"/>
      <c r="V23" s="668" t="n"/>
      <c r="W23" s="668" t="n"/>
      <c r="X23" s="667" t="n"/>
      <c r="Y23" s="668" t="n"/>
      <c r="Z23" s="668" t="n"/>
      <c r="AN23" s="40" t="n"/>
      <c r="AO23" s="30" t="n">
        <v>4</v>
      </c>
      <c r="AP23" s="31" t="n">
        <v>0.4</v>
      </c>
      <c r="AQ23" s="30" t="n"/>
      <c r="AX23" s="76" t="inlineStr">
        <is>
          <t>Amélioration modérée à significative</t>
        </is>
      </c>
    </row>
    <row r="24" ht="24" customHeight="1">
      <c r="B24" s="71" t="n"/>
      <c r="C24" s="1999" t="n">
        <v>9</v>
      </c>
      <c r="D24" s="668">
        <f>$D24-D$14</f>
        <v/>
      </c>
      <c r="E24" s="668">
        <f>$D24-E$14</f>
        <v/>
      </c>
      <c r="F24" s="668">
        <f>$D24-F$14</f>
        <v/>
      </c>
      <c r="G24" s="668">
        <f>$D24-G$14</f>
        <v/>
      </c>
      <c r="H24" s="668">
        <f>$D24-H$14</f>
        <v/>
      </c>
      <c r="I24" s="668">
        <f>$D24-I$14</f>
        <v/>
      </c>
      <c r="J24" s="668">
        <f>$D24-J$14</f>
        <v/>
      </c>
      <c r="K24" s="668">
        <f>$D24-K$14</f>
        <v/>
      </c>
      <c r="L24" s="667">
        <f>$D24-L$14</f>
        <v/>
      </c>
      <c r="M24" s="668">
        <f>$D24-M$14</f>
        <v/>
      </c>
      <c r="O24" s="669" t="n"/>
      <c r="P24" s="1999" t="n">
        <v>9</v>
      </c>
      <c r="Q24" s="668" t="n"/>
      <c r="R24" s="668" t="n"/>
      <c r="S24" s="668" t="n"/>
      <c r="T24" s="668" t="n"/>
      <c r="U24" s="668" t="n"/>
      <c r="V24" s="668" t="n"/>
      <c r="W24" s="668" t="n"/>
      <c r="X24" s="668" t="n"/>
      <c r="Y24" s="667" t="n"/>
      <c r="Z24" s="668" t="n"/>
      <c r="AN24" s="40" t="n"/>
      <c r="AO24" s="30" t="n">
        <v>5</v>
      </c>
      <c r="AP24" s="31" t="n">
        <v>0.5</v>
      </c>
      <c r="AQ24" s="30" t="n"/>
      <c r="AR24" t="inlineStr">
        <is>
          <t>Amélioration modérée de la relation</t>
        </is>
      </c>
      <c r="AT24" s="83" t="n"/>
      <c r="AV24" s="83" t="n"/>
      <c r="AX24" s="76" t="inlineStr">
        <is>
          <t>Amélioration très importante</t>
        </is>
      </c>
    </row>
    <row r="25" ht="24" customHeight="1">
      <c r="B25" s="71" t="n"/>
      <c r="C25" s="1999" t="n">
        <v>10</v>
      </c>
      <c r="D25" s="668">
        <f>$D25-D$14</f>
        <v/>
      </c>
      <c r="E25" s="668">
        <f>$D25-E$14</f>
        <v/>
      </c>
      <c r="F25" s="668">
        <f>$D25-F$14</f>
        <v/>
      </c>
      <c r="G25" s="668">
        <f>$D25-G$14</f>
        <v/>
      </c>
      <c r="H25" s="668">
        <f>$D25-H$14</f>
        <v/>
      </c>
      <c r="I25" s="668">
        <f>$D25-I$14</f>
        <v/>
      </c>
      <c r="J25" s="668">
        <f>$D25-J$14</f>
        <v/>
      </c>
      <c r="K25" s="668">
        <f>$D25-K$14</f>
        <v/>
      </c>
      <c r="L25" s="668">
        <f>$D25-L$14</f>
        <v/>
      </c>
      <c r="M25" s="667">
        <f>$D25-M$14</f>
        <v/>
      </c>
      <c r="P25" s="1999" t="n">
        <v>10</v>
      </c>
      <c r="Q25" s="668" t="n"/>
      <c r="R25" s="668" t="n"/>
      <c r="S25" s="668" t="n"/>
      <c r="T25" s="668" t="n"/>
      <c r="U25" s="668" t="n"/>
      <c r="V25" s="668" t="n"/>
      <c r="W25" s="668" t="n"/>
      <c r="X25" s="668" t="n"/>
      <c r="Y25" s="668" t="n"/>
      <c r="Z25" s="667" t="n"/>
      <c r="AN25" s="40" t="n"/>
      <c r="AO25" s="30" t="n">
        <v>6</v>
      </c>
      <c r="AP25" s="31" t="n">
        <v>0.6</v>
      </c>
      <c r="AQ25" s="30" t="n"/>
      <c r="AT25" s="83" t="n"/>
      <c r="AV25" s="83" t="n"/>
      <c r="AX25" s="76" t="inlineStr">
        <is>
          <t>Amélioration significative</t>
        </is>
      </c>
    </row>
    <row r="26" ht="24" customHeight="1">
      <c r="B26" s="71" t="n"/>
      <c r="C26" s="2002" t="n"/>
      <c r="D26" s="2069" t="inlineStr">
        <is>
          <t xml:space="preserve">Amélioration </t>
        </is>
      </c>
      <c r="N26" s="666" t="inlineStr">
        <is>
          <t>Pas de changement</t>
        </is>
      </c>
      <c r="O26" s="7" t="n"/>
      <c r="P26" s="2002" t="n"/>
      <c r="Q26" s="2069" t="inlineStr">
        <is>
          <t xml:space="preserve">Amélioration </t>
        </is>
      </c>
      <c r="AA26" s="666" t="inlineStr">
        <is>
          <t>Pas de changement</t>
        </is>
      </c>
      <c r="AN26" s="40" t="n"/>
      <c r="AO26" s="30" t="n">
        <v>7</v>
      </c>
      <c r="AP26" s="31" t="n">
        <v>0.7</v>
      </c>
      <c r="AQ26" s="30" t="n"/>
      <c r="AR26" t="inlineStr">
        <is>
          <t>Amélioration importante de la relation</t>
        </is>
      </c>
      <c r="AT26" s="83" t="n"/>
      <c r="AV26" s="83" t="n"/>
      <c r="AX26" s="76" t="inlineStr">
        <is>
          <t>Fusion qui s'installe</t>
        </is>
      </c>
    </row>
    <row r="27" ht="19" customHeight="1">
      <c r="B27" s="2002" t="n"/>
      <c r="C27" s="2002" t="n"/>
      <c r="D27" s="2002" t="n"/>
      <c r="E27" s="2002" t="n"/>
      <c r="F27" s="2002" t="n"/>
      <c r="AN27" s="40" t="n"/>
      <c r="AO27" s="30" t="n">
        <v>8</v>
      </c>
      <c r="AP27" s="31" t="n">
        <v>0.8</v>
      </c>
      <c r="AQ27" s="30" t="n"/>
      <c r="AT27" s="83" t="n"/>
      <c r="AV27" s="83" t="n"/>
      <c r="AX27" s="76" t="inlineStr">
        <is>
          <t>Fusion !!</t>
        </is>
      </c>
    </row>
    <row r="28" ht="19" customHeight="1">
      <c r="C28" s="2002" t="n"/>
      <c r="D28" s="2002" t="n"/>
      <c r="E28" s="2002" t="n"/>
      <c r="F28" s="2002" t="n"/>
      <c r="G28" s="2002" t="n"/>
      <c r="AN28" s="40" t="n"/>
      <c r="AO28" s="30" t="n">
        <v>9</v>
      </c>
      <c r="AP28" s="31" t="n">
        <v>0.9</v>
      </c>
      <c r="AQ28" s="30" t="n"/>
      <c r="AT28" s="83" t="n"/>
      <c r="AV28" s="83" t="n"/>
      <c r="AX28" s="84" t="inlineStr">
        <is>
          <t>L'extension du parent ?</t>
        </is>
      </c>
    </row>
    <row r="29" ht="19" customHeight="1">
      <c r="C29" s="2002" t="n"/>
      <c r="D29" s="2002" t="n"/>
      <c r="E29" s="2002" t="n"/>
      <c r="F29" s="2002" t="n"/>
      <c r="G29" s="2002" t="n"/>
      <c r="AN29" s="42" t="inlineStr">
        <is>
          <t>Max amélioration</t>
        </is>
      </c>
      <c r="AO29" s="34" t="n">
        <v>10</v>
      </c>
      <c r="AP29" s="43" t="n">
        <v>1</v>
      </c>
      <c r="AQ29" s="34" t="n"/>
      <c r="AT29" s="83" t="n"/>
      <c r="AV29" s="83" t="n"/>
      <c r="AX29" s="84" t="inlineStr">
        <is>
          <t>L'extension du parent ?</t>
        </is>
      </c>
    </row>
    <row r="30" ht="32" customHeight="1">
      <c r="C30" s="2002" t="n"/>
      <c r="D30" s="2002" t="n"/>
      <c r="E30" s="2002" t="n"/>
      <c r="F30" s="2002" t="n"/>
      <c r="G30" s="2002" t="n"/>
      <c r="H30" s="2078" t="inlineStr">
        <is>
          <t>Idéalement, chaque comparaison à sa propre échelle qualitative pour faire des commentaires dans le rapport final.</t>
        </is>
      </c>
    </row>
    <row r="31" ht="32" customHeight="1" thickBot="1">
      <c r="B31" s="318" t="inlineStr">
        <is>
          <t>Différentiel entre le PCR et l'enfant</t>
        </is>
      </c>
      <c r="C31" s="68" t="n"/>
      <c r="D31" s="2002" t="n"/>
      <c r="E31" s="2002" t="n"/>
      <c r="F31" s="2002" t="n"/>
      <c r="G31" s="2002" t="n"/>
      <c r="I31" s="85" t="n"/>
      <c r="V31" s="317" t="n"/>
    </row>
    <row r="32" ht="32" customFormat="1" customHeight="1" s="7">
      <c r="B32" s="10" t="n"/>
      <c r="C32" s="65" t="inlineStr">
        <is>
          <t>Différentiel entre la relation de l'enfant avec le parent ciblé avant et après l'élément déclencheur</t>
        </is>
      </c>
      <c r="D32" s="34" t="n"/>
      <c r="E32" s="34" t="n"/>
      <c r="F32" s="35" t="n"/>
      <c r="G32" s="35" t="n"/>
      <c r="I32" s="2124" t="inlineStr">
        <is>
          <t>Changement dans la relation 
de l'enfant avec le parent ciblé  (avant-après)</t>
        </is>
      </c>
      <c r="J32" s="709" t="n"/>
      <c r="K32" s="709" t="n"/>
      <c r="L32" s="709" t="n"/>
      <c r="M32" s="709" t="n"/>
      <c r="N32" s="1392" t="n"/>
    </row>
    <row r="33" ht="32" customFormat="1" customHeight="1" s="7">
      <c r="B33" s="10" t="n"/>
      <c r="C33" s="34" t="n"/>
      <c r="D33" s="33" t="inlineStr">
        <is>
          <t>Fréquence comport. base</t>
        </is>
      </c>
      <c r="E33" s="33" t="inlineStr">
        <is>
          <t>Multiplicateur d'intensité</t>
        </is>
      </c>
      <c r="F33" s="33" t="n"/>
      <c r="G33" s="32" t="n"/>
      <c r="I33" s="328" t="inlineStr">
        <is>
          <t>Avant :</t>
        </is>
      </c>
      <c r="J33" s="6">
        <f>(D34+D40)/2</f>
        <v/>
      </c>
      <c r="N33" s="329" t="n"/>
    </row>
    <row r="34" ht="40" customHeight="1">
      <c r="A34" t="inlineStr">
        <is>
          <t>1 à 10</t>
        </is>
      </c>
      <c r="B34" s="166">
        <f>#REF!</f>
        <v/>
      </c>
      <c r="C34" s="91">
        <f>Test_Bible!B97</f>
        <v/>
      </c>
      <c r="D34" s="36">
        <f>Test_Bible!P97</f>
        <v/>
      </c>
      <c r="E34" s="30" t="n"/>
      <c r="F34" s="30" t="n"/>
      <c r="G34" s="30" t="n"/>
      <c r="I34" s="328" t="inlineStr">
        <is>
          <t>Après :</t>
        </is>
      </c>
      <c r="J34" s="6">
        <f>(D35+D41)/2</f>
        <v/>
      </c>
      <c r="N34" s="330" t="n"/>
    </row>
    <row r="35" ht="40" customHeight="1">
      <c r="A35" t="inlineStr">
        <is>
          <t>1 à 10</t>
        </is>
      </c>
      <c r="B35" s="166">
        <f>#REF!</f>
        <v/>
      </c>
      <c r="C35" s="2059">
        <f>Test_Bible!B259</f>
        <v/>
      </c>
      <c r="D35" s="36">
        <f>Test_Bible!P259</f>
        <v/>
      </c>
      <c r="E35" s="30" t="n"/>
      <c r="F35" s="30" t="n"/>
      <c r="G35" s="30" t="n"/>
      <c r="I35" s="147" t="n"/>
      <c r="J35" s="37">
        <f>J34-J33</f>
        <v/>
      </c>
      <c r="K35" s="331">
        <f>VLOOKUP(J35,$AO$9:$AP$29,2)</f>
        <v/>
      </c>
      <c r="N35" s="330" t="n"/>
    </row>
    <row r="36" ht="21" customHeight="1">
      <c r="B36" s="21" t="n"/>
      <c r="C36" s="38" t="inlineStr">
        <is>
          <t>DIFF.  (- dégradation / + amélioration )</t>
        </is>
      </c>
      <c r="D36" s="37">
        <f>D35-D34</f>
        <v/>
      </c>
      <c r="E36" s="331">
        <f>VLOOKUP(D36,$AO$9:$AX$29,2)</f>
        <v/>
      </c>
      <c r="F36" s="682" t="n"/>
      <c r="G36" s="34" t="n"/>
      <c r="I36" s="147" t="n"/>
      <c r="K36" s="2081">
        <f>VLOOKUP(J35,$AO$9:$AX$29,6)</f>
        <v/>
      </c>
      <c r="N36" s="330" t="n"/>
      <c r="P36" t="inlineStr">
        <is>
          <t>Selon vos résultats du questionnaire :</t>
        </is>
      </c>
    </row>
    <row r="37">
      <c r="B37" s="21" t="n"/>
      <c r="I37" s="147" t="n"/>
      <c r="N37" s="330" t="n"/>
      <c r="P37" s="2077" t="inlineStr">
        <is>
          <t>Changement dans la relation des membres de la famille</t>
        </is>
      </c>
      <c r="T37" s="2077" t="n"/>
    </row>
    <row r="38" ht="45" customHeight="1">
      <c r="B38" s="10" t="n"/>
      <c r="C38" s="65" t="inlineStr">
        <is>
          <t>Différentiel entre la relation de l'enfant avec le parent ciblé avant et après l'élément déclencheur</t>
        </is>
      </c>
      <c r="D38" s="34" t="n"/>
      <c r="E38" s="34" t="n"/>
      <c r="F38" s="35" t="n"/>
      <c r="G38" s="35" t="n"/>
      <c r="I38" s="147" t="n"/>
      <c r="N38" s="330" t="n"/>
      <c r="Q38" s="106" t="inlineStr">
        <is>
          <t>entre avant et après la séparation</t>
        </is>
      </c>
      <c r="R38" s="106" t="n"/>
      <c r="S38" s="106" t="n"/>
      <c r="T38" s="106" t="n"/>
    </row>
    <row r="39" ht="40" customHeight="1" thickBot="1">
      <c r="B39" s="10" t="n"/>
      <c r="C39" s="34" t="n"/>
      <c r="D39" s="33" t="inlineStr">
        <is>
          <t>Fréquence comport. base</t>
        </is>
      </c>
      <c r="E39" s="33" t="n"/>
      <c r="F39" s="33" t="n"/>
      <c r="G39" s="32" t="n"/>
      <c r="I39" s="332" t="n"/>
      <c r="J39" s="333" t="n"/>
      <c r="K39" s="333" t="n"/>
      <c r="L39" s="333" t="n"/>
      <c r="M39" s="333" t="n"/>
      <c r="N39" s="334" t="n"/>
      <c r="P39" s="14" t="inlineStr">
        <is>
          <t>Avant</t>
        </is>
      </c>
      <c r="Q39" s="2088" t="inlineStr">
        <is>
          <t>Perception PFA - PCR</t>
        </is>
      </c>
      <c r="S39" s="14" t="inlineStr">
        <is>
          <t>Après</t>
        </is>
      </c>
    </row>
    <row r="40" ht="68" customHeight="1">
      <c r="A40" t="inlineStr">
        <is>
          <t>1 à 10</t>
        </is>
      </c>
      <c r="B40" s="166">
        <f>#REF!</f>
        <v/>
      </c>
      <c r="C40" s="91">
        <f>Test_Bible!B98</f>
        <v/>
      </c>
      <c r="D40" s="36">
        <f>Test_Bible!P98</f>
        <v/>
      </c>
      <c r="E40" s="30" t="n"/>
      <c r="F40" s="30" t="n"/>
      <c r="G40" s="30" t="n"/>
      <c r="H40" s="7" t="n"/>
      <c r="I40" s="7" t="n"/>
      <c r="J40" s="7" t="n"/>
      <c r="K40" s="7" t="n"/>
      <c r="L40" s="7" t="n"/>
      <c r="M40" s="7" t="n"/>
      <c r="P40" s="2078" t="inlineStr">
        <is>
          <t>Dénigrement était présent à une fréquence "valeur de 3=?"</t>
        </is>
      </c>
      <c r="S40" s="1990" t="inlineStr">
        <is>
          <t>Poursuite du dénigrement et perte de valeur du rôle parental.</t>
        </is>
      </c>
    </row>
    <row r="41" ht="34" customHeight="1">
      <c r="A41" t="inlineStr">
        <is>
          <t>1 à 10</t>
        </is>
      </c>
      <c r="B41" s="166">
        <f>#REF!</f>
        <v/>
      </c>
      <c r="C41" s="2059">
        <f>Test_Bible!B259</f>
        <v/>
      </c>
      <c r="D41" s="36">
        <f>Test_Bible!P259</f>
        <v/>
      </c>
      <c r="E41" s="30" t="n"/>
      <c r="F41" s="30" t="n"/>
      <c r="G41" s="30" t="n"/>
      <c r="H41" s="7" t="n"/>
      <c r="I41" s="7" t="n"/>
      <c r="J41" s="7" t="n"/>
      <c r="K41" s="7" t="n"/>
      <c r="L41" s="7" t="n"/>
      <c r="M41" s="7" t="n"/>
      <c r="R41" s="28" t="n"/>
    </row>
    <row r="42" ht="23" customHeight="1" thickBot="1">
      <c r="B42" s="21" t="n"/>
      <c r="C42" s="38" t="inlineStr">
        <is>
          <t>DIFF.  (- dégradation / + amélioration )</t>
        </is>
      </c>
      <c r="D42" s="37">
        <f>D41-D40</f>
        <v/>
      </c>
      <c r="E42" s="331">
        <f>VLOOKUP(D42,$AO$9:$AX$29,2)</f>
        <v/>
      </c>
      <c r="F42" s="324" t="n"/>
      <c r="G42" s="34" t="n"/>
      <c r="J42" s="7" t="n"/>
      <c r="K42" s="7" t="n"/>
      <c r="L42" s="7" t="n"/>
      <c r="Q42" s="2057">
        <f>VLOOKUP(J54,$AO$9:$AX$29,8)</f>
        <v/>
      </c>
    </row>
    <row r="43" ht="33" customHeight="1">
      <c r="B43" s="21" t="n"/>
      <c r="C43" s="2073" t="n"/>
      <c r="D43" s="6" t="n"/>
      <c r="E43" s="979" t="n"/>
      <c r="F43" s="2002" t="n"/>
      <c r="G43" s="2002" t="n"/>
      <c r="I43" s="2124" t="inlineStr">
        <is>
          <t>Changement dans la relation avec la famille élargie</t>
        </is>
      </c>
      <c r="J43" s="709" t="n"/>
      <c r="K43" s="709" t="n"/>
      <c r="L43" s="709" t="n"/>
      <c r="M43" s="709" t="n"/>
      <c r="N43" s="1392" t="n"/>
    </row>
    <row r="44" ht="46" customHeight="1">
      <c r="B44" s="10" t="n"/>
      <c r="C44" s="65" t="inlineStr">
        <is>
          <t>Différentiel entre la relation de l'enfant avec la famille du parent ciblé avant et après l'élément déclencheur</t>
        </is>
      </c>
      <c r="D44" s="34" t="n"/>
      <c r="E44" s="34" t="n"/>
      <c r="F44" s="35" t="n"/>
      <c r="G44" s="35" t="n"/>
      <c r="I44" s="328" t="inlineStr">
        <is>
          <t>Avant :</t>
        </is>
      </c>
      <c r="J44" s="6">
        <f>D46</f>
        <v/>
      </c>
      <c r="N44" s="329" t="n"/>
      <c r="P44" s="86" t="inlineStr">
        <is>
          <t>PFA</t>
        </is>
      </c>
      <c r="S44" s="79" t="inlineStr">
        <is>
          <t>PCR</t>
        </is>
      </c>
      <c r="U44" s="86" t="inlineStr">
        <is>
          <t>Famille élargie du PCR</t>
        </is>
      </c>
    </row>
    <row r="45" ht="28" customHeight="1">
      <c r="A45" s="1985" t="inlineStr">
        <is>
          <t>Exponentielle</t>
        </is>
      </c>
      <c r="B45" s="10" t="n"/>
      <c r="C45" s="34" t="n"/>
      <c r="D45" s="33" t="inlineStr">
        <is>
          <t>Fréquence comport. base</t>
        </is>
      </c>
      <c r="E45" s="33" t="n"/>
      <c r="F45" s="33" t="n"/>
      <c r="G45" s="32" t="n"/>
      <c r="H45" s="2083" t="n"/>
      <c r="I45" s="328" t="inlineStr">
        <is>
          <t>Après :</t>
        </is>
      </c>
      <c r="J45" s="6">
        <f>D47</f>
        <v/>
      </c>
      <c r="N45" s="330" t="n"/>
    </row>
    <row r="46" ht="52" customHeight="1">
      <c r="B46" s="166">
        <f>#REF!</f>
        <v/>
      </c>
      <c r="C46" s="578">
        <f>Test_Bible!B332</f>
        <v/>
      </c>
      <c r="D46" s="36">
        <f>Test_Bible!P332</f>
        <v/>
      </c>
      <c r="E46" s="30" t="n"/>
      <c r="F46" s="30" t="n"/>
      <c r="G46" s="30" t="n"/>
      <c r="H46" s="330" t="n"/>
      <c r="I46" s="147" t="n"/>
      <c r="J46" s="37">
        <f>D48</f>
        <v/>
      </c>
      <c r="K46" s="331" t="n"/>
      <c r="N46" s="330" t="n"/>
      <c r="Q46" s="1984" t="inlineStr">
        <is>
          <t>Après</t>
        </is>
      </c>
    </row>
    <row r="47" ht="41" customHeight="1">
      <c r="B47" s="166">
        <f>#REF!</f>
        <v/>
      </c>
      <c r="C47" s="17">
        <f>Test_Bible!#REF!</f>
        <v/>
      </c>
      <c r="D47" s="36">
        <f>Test_Bible!#REF!</f>
        <v/>
      </c>
      <c r="E47" s="30" t="n"/>
      <c r="F47" s="30" t="n"/>
      <c r="G47" s="30" t="n"/>
      <c r="I47" s="147" t="n"/>
      <c r="K47" s="2080" t="n"/>
      <c r="N47" s="330" t="n"/>
      <c r="Q47" s="7" t="inlineStr">
        <is>
          <t>Avant</t>
        </is>
      </c>
      <c r="R47" s="11" t="inlineStr">
        <is>
          <t>Avant</t>
        </is>
      </c>
    </row>
    <row r="48" ht="41" customHeight="1">
      <c r="B48" s="21" t="n"/>
      <c r="C48" s="38" t="inlineStr">
        <is>
          <t>DIFF.  (- dégradation / + amélioration )</t>
        </is>
      </c>
      <c r="D48" s="37">
        <f>D46-D47</f>
        <v/>
      </c>
      <c r="E48" s="331" t="n"/>
      <c r="F48" s="324" t="n"/>
      <c r="G48" s="34" t="n"/>
      <c r="I48" s="147" t="n"/>
      <c r="N48" s="330" t="n"/>
      <c r="T48" s="11" t="inlineStr">
        <is>
          <t>Avant</t>
        </is>
      </c>
    </row>
    <row r="49" ht="22" customHeight="1">
      <c r="B49" s="7" t="n"/>
      <c r="C49" s="2073" t="n"/>
      <c r="D49" s="6" t="n"/>
      <c r="E49" s="979" t="n"/>
      <c r="F49" s="2002" t="n"/>
      <c r="G49" s="2002" t="n"/>
      <c r="I49" s="147" t="n"/>
      <c r="N49" s="330" t="n"/>
    </row>
    <row r="50" ht="23" customHeight="1" thickBot="1">
      <c r="B50" s="7" t="n"/>
      <c r="C50" s="327" t="n"/>
      <c r="D50" s="6" t="n"/>
      <c r="E50" s="979" t="n"/>
      <c r="F50" s="2002" t="n"/>
      <c r="G50" s="2002" t="n"/>
      <c r="I50" s="332" t="n"/>
      <c r="J50" s="333" t="n"/>
      <c r="K50" s="333" t="n"/>
      <c r="L50" s="333" t="n"/>
      <c r="M50" s="333" t="n"/>
      <c r="N50" s="334" t="n"/>
    </row>
    <row r="51" ht="41" customHeight="1" thickBot="1">
      <c r="B51" s="318" t="inlineStr">
        <is>
          <t>Différentiel entre le PFA et l'enfant</t>
        </is>
      </c>
      <c r="R51" s="11" t="inlineStr">
        <is>
          <t>Après</t>
        </is>
      </c>
      <c r="S51" s="106" t="n"/>
    </row>
    <row r="52" ht="41" customHeight="1">
      <c r="B52" s="22" t="n"/>
      <c r="C52" s="65" t="inlineStr">
        <is>
          <t>Différentiel entre la relation de l'enfant avec le PFA avant et après l'élément déclencheur</t>
        </is>
      </c>
      <c r="D52" s="34" t="n"/>
      <c r="E52" s="34" t="n"/>
      <c r="F52" s="35" t="n"/>
      <c r="G52" s="35" t="n"/>
      <c r="I52" s="2124" t="inlineStr">
        <is>
          <t>Changement dans la relation 
de l'enfant avec le parent favorisé  (avant-après)</t>
        </is>
      </c>
      <c r="J52" s="709" t="n"/>
      <c r="K52" s="709" t="n"/>
      <c r="L52" s="709" t="n"/>
      <c r="M52" s="709" t="n"/>
      <c r="N52" s="1392" t="n"/>
      <c r="P52" s="89" t="n"/>
      <c r="S52" s="89" t="n"/>
      <c r="T52" s="11" t="inlineStr">
        <is>
          <t>Après</t>
        </is>
      </c>
    </row>
    <row r="53" ht="34" customHeight="1">
      <c r="B53" s="22" t="n"/>
      <c r="C53" s="34" t="n"/>
      <c r="D53" s="33" t="inlineStr">
        <is>
          <t>Fréquence comport. base</t>
        </is>
      </c>
      <c r="E53" s="33" t="n"/>
      <c r="F53" s="33" t="n"/>
      <c r="G53" s="32" t="n"/>
      <c r="I53" s="328" t="inlineStr">
        <is>
          <t>Avant :</t>
        </is>
      </c>
      <c r="J53" s="6" t="n"/>
      <c r="N53" s="329" t="n"/>
      <c r="P53" s="1976" t="inlineStr">
        <is>
          <t>La relation de l'enfant avec le parent favorisé est demeurée presque au même seuil qu'avant la séparation, où celle avec le parent ciblé a connu une dégradation importante.</t>
        </is>
      </c>
    </row>
    <row r="54" ht="51" customHeight="1">
      <c r="A54" t="inlineStr">
        <is>
          <t>1 à 10</t>
        </is>
      </c>
      <c r="B54" s="315">
        <f>#REF!</f>
        <v/>
      </c>
      <c r="C54" s="91">
        <f>Test_Bible!B99</f>
        <v/>
      </c>
      <c r="D54" s="36">
        <f>Test_Bible!P99</f>
        <v/>
      </c>
      <c r="E54" s="30" t="n"/>
      <c r="F54" s="30" t="n"/>
      <c r="G54" s="30" t="n"/>
      <c r="I54" s="328" t="inlineStr">
        <is>
          <t>Après :</t>
        </is>
      </c>
      <c r="J54" s="6" t="n"/>
      <c r="N54" s="330" t="n"/>
    </row>
    <row r="55" ht="51" customHeight="1">
      <c r="A55" t="inlineStr">
        <is>
          <t>1 à 10</t>
        </is>
      </c>
      <c r="B55" s="315">
        <f>#REF!</f>
        <v/>
      </c>
      <c r="C55" s="2059">
        <f>Test_Bible!B161</f>
        <v/>
      </c>
      <c r="D55" s="36">
        <f>Test_Bible!P161</f>
        <v/>
      </c>
      <c r="E55" s="30" t="n"/>
      <c r="F55" s="30" t="n"/>
      <c r="G55" s="30" t="n"/>
      <c r="I55" s="147" t="n"/>
      <c r="J55" s="37" t="n"/>
      <c r="K55" s="331" t="n"/>
      <c r="N55" s="330" t="n"/>
      <c r="P55" s="2059" t="inlineStr">
        <is>
          <t>L'attitude du parent favorisé n'a pas changé significativement entre avant et après la séparation. Le rôle du PCR est peu reconnu et le dénigrement se poursuit.</t>
        </is>
      </c>
    </row>
    <row r="56" ht="27" customHeight="1">
      <c r="B56" s="60" t="n"/>
      <c r="C56" s="38" t="inlineStr">
        <is>
          <t>DIFF.  (- dégradation / + amélioration )</t>
        </is>
      </c>
      <c r="D56" s="37">
        <f>D54-D55</f>
        <v/>
      </c>
      <c r="E56" s="331">
        <f>VLOOKUP(D56,$AO$9:$AX$29,2)</f>
        <v/>
      </c>
      <c r="F56" s="324">
        <f>VLOOKUP(D56,$AO$9:$AX$29,6)</f>
        <v/>
      </c>
      <c r="G56" s="34" t="n"/>
      <c r="I56" s="147" t="n"/>
      <c r="K56" s="2081" t="n"/>
      <c r="N56" s="330" t="n"/>
    </row>
    <row r="57" ht="25" customHeight="1">
      <c r="B57" s="60" t="n"/>
      <c r="I57" s="147" t="n"/>
      <c r="N57" s="330" t="n"/>
    </row>
    <row r="58" ht="32" customHeight="1">
      <c r="B58" s="60" t="n"/>
      <c r="C58" s="65" t="inlineStr">
        <is>
          <t>Différentiel dans l'idéalisation du PFA par l'enfant avant et après l'élément déclencheur</t>
        </is>
      </c>
      <c r="D58" s="34" t="n"/>
      <c r="E58" s="34" t="n"/>
      <c r="F58" s="35" t="n"/>
      <c r="G58" s="35" t="n"/>
      <c r="I58" s="147" t="n"/>
      <c r="N58" s="330" t="n"/>
      <c r="P58" s="9" t="n"/>
    </row>
    <row r="59" ht="42" customHeight="1" thickBot="1">
      <c r="B59" s="60" t="n"/>
      <c r="C59" s="34" t="n"/>
      <c r="D59" s="33" t="inlineStr">
        <is>
          <t>Fréquence comport. base</t>
        </is>
      </c>
      <c r="E59" s="33" t="n"/>
      <c r="F59" s="33" t="n"/>
      <c r="G59" s="32" t="n"/>
      <c r="I59" s="332" t="n"/>
      <c r="J59" s="333" t="n"/>
      <c r="K59" s="333" t="n"/>
      <c r="L59" s="333" t="n"/>
      <c r="M59" s="333" t="n"/>
      <c r="N59" s="334" t="n"/>
    </row>
    <row r="60" ht="42" customHeight="1">
      <c r="A60" t="inlineStr">
        <is>
          <t>1 à 10</t>
        </is>
      </c>
      <c r="B60" s="315">
        <f>#REF!</f>
        <v/>
      </c>
      <c r="C60" s="91">
        <f>Test_Bible!B101</f>
        <v/>
      </c>
      <c r="D60" s="36">
        <f>Test_Bible!P101</f>
        <v/>
      </c>
      <c r="E60" s="30" t="n"/>
      <c r="F60" s="30" t="n"/>
      <c r="G60" s="30" t="n"/>
    </row>
    <row r="61" ht="39" customHeight="1">
      <c r="A61" t="inlineStr">
        <is>
          <t>1 à 10</t>
        </is>
      </c>
      <c r="B61" s="315">
        <f>#REF!</f>
        <v/>
      </c>
      <c r="C61" s="2059">
        <f>Test_Bible!B260</f>
        <v/>
      </c>
      <c r="D61" s="36">
        <f>Test_Bible!P260</f>
        <v/>
      </c>
      <c r="E61" s="30" t="n"/>
      <c r="F61" s="30" t="n"/>
      <c r="G61" s="30" t="n"/>
    </row>
    <row r="62" ht="26" customHeight="1">
      <c r="B62" s="60" t="n"/>
      <c r="C62" s="38" t="inlineStr">
        <is>
          <t>DIFF.  (- dégradation / + amélioration )</t>
        </is>
      </c>
      <c r="D62" s="37">
        <f>D60-D61</f>
        <v/>
      </c>
      <c r="E62" s="331">
        <f>VLOOKUP(D62,$AO$9:$AX$29,2)</f>
        <v/>
      </c>
      <c r="F62" s="682">
        <f>VLOOKUP(D62,$AO$9:$AX$29,6)</f>
        <v/>
      </c>
      <c r="G62" s="34" t="n"/>
    </row>
    <row r="63" ht="26" customHeight="1">
      <c r="B63" s="60" t="n"/>
      <c r="C63" s="2073" t="n"/>
      <c r="D63" s="6" t="n"/>
      <c r="E63" s="979" t="n"/>
      <c r="F63" s="2002" t="n"/>
      <c r="G63" s="2002" t="n"/>
    </row>
    <row r="64" ht="26" customHeight="1">
      <c r="B64" s="60" t="n"/>
      <c r="C64" s="65" t="inlineStr">
        <is>
          <t>Différentiel dans la relation de nature fusionnelle du PFA par l'enfant avant et après l'élément déclencheur</t>
        </is>
      </c>
      <c r="D64" s="34" t="n"/>
      <c r="E64" s="34" t="n"/>
      <c r="F64" s="35" t="n"/>
      <c r="G64" s="35" t="n"/>
    </row>
    <row r="65" ht="42" customHeight="1">
      <c r="B65" s="60" t="n"/>
      <c r="C65" s="34" t="n"/>
      <c r="D65" s="33" t="inlineStr">
        <is>
          <t>Fréquence comport. base</t>
        </is>
      </c>
      <c r="E65" s="33" t="n"/>
      <c r="F65" s="33" t="n"/>
      <c r="G65" s="32" t="n"/>
    </row>
    <row r="66" ht="45" customHeight="1">
      <c r="A66" t="inlineStr">
        <is>
          <t>1 à 10</t>
        </is>
      </c>
      <c r="B66" s="315">
        <f>#REF!</f>
        <v/>
      </c>
      <c r="C66" s="91">
        <f>Test_Bible!B100</f>
        <v/>
      </c>
      <c r="D66" s="36">
        <f>Test_Bible!P100</f>
        <v/>
      </c>
      <c r="E66" s="30" t="n"/>
      <c r="F66" s="30" t="n"/>
      <c r="G66" s="30" t="n"/>
    </row>
    <row r="67" ht="55" customHeight="1">
      <c r="A67" t="inlineStr">
        <is>
          <t>1 à 10</t>
        </is>
      </c>
      <c r="B67" s="315">
        <f>#REF!</f>
        <v/>
      </c>
      <c r="C67" s="2059">
        <f>Test_Bible!B162</f>
        <v/>
      </c>
      <c r="D67" s="36">
        <f>Test_Bible!P162</f>
        <v/>
      </c>
      <c r="E67" s="30" t="n"/>
      <c r="F67" s="2075" t="inlineStr">
        <is>
          <t>MAX</t>
        </is>
      </c>
      <c r="G67" s="30" t="n"/>
    </row>
    <row r="68" ht="39" customHeight="1">
      <c r="A68" t="inlineStr">
        <is>
          <t>1 à 10</t>
        </is>
      </c>
      <c r="B68" s="315" t="inlineStr">
        <is>
          <t>Enf-PFA</t>
        </is>
      </c>
      <c r="C68" s="13">
        <f>Test_Bible!B261</f>
        <v/>
      </c>
      <c r="D68" s="36">
        <f>Test_Bible!P261</f>
        <v/>
      </c>
      <c r="E68" s="30" t="n"/>
      <c r="F68" s="1678" t="n"/>
      <c r="G68" s="30" t="n"/>
    </row>
    <row r="69" ht="26" customHeight="1">
      <c r="B69" s="60" t="n"/>
      <c r="C69" s="38" t="inlineStr">
        <is>
          <t>DIFF.  (- dégradation / + amélioration )</t>
        </is>
      </c>
      <c r="D69" s="37">
        <f>D66-(MAX(D67,D68))</f>
        <v/>
      </c>
      <c r="E69" s="331">
        <f>VLOOKUP(D69,$AO$9:$AX$29,2)</f>
        <v/>
      </c>
      <c r="F69" s="324">
        <f>VLOOKUP(D69,$AO$9:$AX$29,6)</f>
        <v/>
      </c>
      <c r="G69" s="34" t="n"/>
    </row>
    <row r="70" ht="26" customHeight="1">
      <c r="C70" s="2073" t="n"/>
      <c r="D70" s="6" t="n"/>
      <c r="E70" s="979" t="n"/>
      <c r="F70" s="2002" t="n"/>
      <c r="G70" s="2002" t="n"/>
    </row>
    <row r="71" ht="27" customHeight="1">
      <c r="A71" s="3" t="inlineStr">
        <is>
          <t>Type d'échelle</t>
        </is>
      </c>
      <c r="I71" s="550" t="n"/>
    </row>
    <row r="72" ht="38" customHeight="1" thickBot="1">
      <c r="B72" s="12" t="n"/>
      <c r="C72" s="65" t="inlineStr">
        <is>
          <t>Différentiel du rôle parental du PCR vu par le PFA avant et après</t>
        </is>
      </c>
      <c r="D72" s="34" t="n"/>
      <c r="E72" s="34" t="n"/>
      <c r="F72" s="325" t="n"/>
      <c r="G72" s="35" t="n"/>
    </row>
    <row r="73" ht="35" customHeight="1">
      <c r="B73" s="12" t="n"/>
      <c r="C73" s="34" t="n"/>
      <c r="D73" s="33" t="inlineStr">
        <is>
          <t>Fréquence comport. base</t>
        </is>
      </c>
      <c r="E73" s="33" t="n"/>
      <c r="F73" s="326" t="n"/>
      <c r="G73" s="32" t="n"/>
      <c r="I73" s="2124" t="inlineStr">
        <is>
          <t>Changement dans la dynamique
du parent favorisé à l'égard du PCR (avant-après)</t>
        </is>
      </c>
      <c r="J73" s="709" t="n"/>
      <c r="K73" s="709" t="n"/>
      <c r="L73" s="709" t="n"/>
      <c r="M73" s="709" t="n"/>
      <c r="N73" s="1392" t="n"/>
    </row>
    <row r="74" ht="59" customHeight="1">
      <c r="A74" t="inlineStr">
        <is>
          <t>Exponentielle</t>
        </is>
      </c>
      <c r="B74" s="319" t="n"/>
      <c r="C74" s="91">
        <f>Test_Bible!B105</f>
        <v/>
      </c>
      <c r="D74" s="36">
        <f>Test_Bible!P105</f>
        <v/>
      </c>
      <c r="E74" s="30" t="n"/>
      <c r="F74" s="39" t="n"/>
      <c r="G74" s="30" t="n"/>
      <c r="I74" s="328" t="inlineStr">
        <is>
          <t>Avant :</t>
        </is>
      </c>
      <c r="J74" s="6" t="n"/>
      <c r="K74">
        <f>(D74+D80)/2</f>
        <v/>
      </c>
      <c r="N74" s="329" t="n"/>
    </row>
    <row r="75" ht="41" customHeight="1">
      <c r="A75" t="inlineStr">
        <is>
          <t>Exponentielle</t>
        </is>
      </c>
      <c r="B75" s="319" t="n"/>
      <c r="C75" s="2059">
        <f>Test_Bible!B201</f>
        <v/>
      </c>
      <c r="D75" s="36">
        <f>Test_Bible!P201</f>
        <v/>
      </c>
      <c r="E75" s="30" t="n"/>
      <c r="F75" s="39" t="n"/>
      <c r="G75" s="30" t="n"/>
      <c r="I75" s="328" t="inlineStr">
        <is>
          <t>Après :</t>
        </is>
      </c>
      <c r="J75" s="6" t="n"/>
      <c r="K75">
        <f>(D75+D81)/2</f>
        <v/>
      </c>
      <c r="N75" s="330" t="n"/>
    </row>
    <row r="76" ht="27" customHeight="1">
      <c r="B76" s="12" t="n"/>
      <c r="C76" s="38" t="inlineStr">
        <is>
          <t>DIFF.  (- dégradation / + amélioration )</t>
        </is>
      </c>
      <c r="D76" s="37">
        <f>D74-D75</f>
        <v/>
      </c>
      <c r="E76" s="331" t="n"/>
      <c r="F76" s="324" t="n"/>
      <c r="G76" s="34" t="n"/>
      <c r="I76" s="147" t="n"/>
      <c r="J76" s="37" t="n"/>
      <c r="K76" s="682">
        <f>K74-K75</f>
        <v/>
      </c>
      <c r="N76" s="330" t="n"/>
    </row>
    <row r="77" ht="25" customHeight="1">
      <c r="B77" s="12" t="n"/>
      <c r="F77" s="1984" t="n"/>
      <c r="I77" s="147" t="n"/>
      <c r="K77" s="2081" t="n"/>
      <c r="N77" s="330" t="n"/>
    </row>
    <row r="78" ht="33" customHeight="1">
      <c r="B78" s="12" t="n"/>
      <c r="C78" s="65" t="inlineStr">
        <is>
          <t>Différentiel sur le dénigrement du PFA envers le PCR avant et après la séparation</t>
        </is>
      </c>
      <c r="D78" s="34" t="n"/>
      <c r="E78" s="34" t="n"/>
      <c r="F78" s="325" t="n"/>
      <c r="G78" s="35" t="n"/>
      <c r="I78" s="147" t="n"/>
      <c r="N78" s="330" t="n"/>
    </row>
    <row r="79" ht="38" customHeight="1">
      <c r="B79" s="12" t="n"/>
      <c r="C79" s="34" t="n"/>
      <c r="D79" s="33" t="inlineStr">
        <is>
          <t>Fréquence comport. base</t>
        </is>
      </c>
      <c r="E79" s="33" t="n"/>
      <c r="F79" s="326" t="n"/>
      <c r="G79" s="32" t="n"/>
      <c r="I79" s="147" t="n"/>
      <c r="N79" s="330" t="n"/>
    </row>
    <row r="80" ht="55" customHeight="1" thickBot="1">
      <c r="A80" t="inlineStr">
        <is>
          <t>Exponentielle</t>
        </is>
      </c>
      <c r="B80" s="319" t="n"/>
      <c r="C80" s="91">
        <f>Test_Bible!B103</f>
        <v/>
      </c>
      <c r="D80" s="36">
        <f>Test_Bible!P103</f>
        <v/>
      </c>
      <c r="E80" s="30" t="n"/>
      <c r="F80" s="39" t="n"/>
      <c r="G80" s="30" t="n"/>
      <c r="H80" s="9" t="n"/>
      <c r="I80" s="332" t="n"/>
      <c r="J80" s="333" t="n"/>
      <c r="K80" s="333" t="n"/>
      <c r="L80" s="333" t="n"/>
      <c r="M80" s="333" t="n"/>
      <c r="N80" s="334" t="n"/>
    </row>
    <row r="81" ht="51" customHeight="1">
      <c r="A81" t="inlineStr">
        <is>
          <t>Exponentielle</t>
        </is>
      </c>
      <c r="B81" s="319" t="n"/>
      <c r="C81" s="2059">
        <f>Test_Bible!B182</f>
        <v/>
      </c>
      <c r="D81" s="36">
        <f>Test_Bible!P182</f>
        <v/>
      </c>
      <c r="E81" s="30" t="n"/>
      <c r="F81" s="39" t="n"/>
      <c r="G81" s="30" t="n"/>
    </row>
    <row r="82" ht="26" customHeight="1">
      <c r="B82" s="12" t="n"/>
      <c r="C82" s="38" t="inlineStr">
        <is>
          <t>DIFF.  (- dégradation / + amélioration )</t>
        </is>
      </c>
      <c r="D82" s="37">
        <f>D80-D81</f>
        <v/>
      </c>
      <c r="E82" s="331" t="n"/>
      <c r="F82" s="324" t="n"/>
      <c r="G82" s="34" t="n"/>
    </row>
    <row r="83">
      <c r="C83" s="2073" t="n"/>
      <c r="D83" s="6" t="n"/>
      <c r="E83" s="979" t="n"/>
      <c r="F83" s="2002" t="n"/>
      <c r="G83" s="2002" t="n"/>
    </row>
  </sheetData>
  <mergeCells count="34">
    <mergeCell ref="P37:S37"/>
    <mergeCell ref="AV22:AV23"/>
    <mergeCell ref="K56:M58"/>
    <mergeCell ref="I32:N32"/>
    <mergeCell ref="A45:A46"/>
    <mergeCell ref="Q42:R42"/>
    <mergeCell ref="I43:N43"/>
    <mergeCell ref="AA16:AA24"/>
    <mergeCell ref="K47:M49"/>
    <mergeCell ref="P40:P41"/>
    <mergeCell ref="Q39:R39"/>
    <mergeCell ref="P53:T54"/>
    <mergeCell ref="H30:H32"/>
    <mergeCell ref="AX12:AX16"/>
    <mergeCell ref="M11:Q11"/>
    <mergeCell ref="I52:N52"/>
    <mergeCell ref="D26:M26"/>
    <mergeCell ref="D11:H11"/>
    <mergeCell ref="AT5:AX5"/>
    <mergeCell ref="H45:H46"/>
    <mergeCell ref="S5:S9"/>
    <mergeCell ref="K77:M79"/>
    <mergeCell ref="I73:N73"/>
    <mergeCell ref="S40:S41"/>
    <mergeCell ref="J5:J9"/>
    <mergeCell ref="AN5:AQ5"/>
    <mergeCell ref="AN4:AQ4"/>
    <mergeCell ref="Q46:R46"/>
    <mergeCell ref="N16:N24"/>
    <mergeCell ref="F67:F68"/>
    <mergeCell ref="AT22:AT23"/>
    <mergeCell ref="Q26:Z26"/>
    <mergeCell ref="K36:M38"/>
    <mergeCell ref="P55:T57"/>
  </mergeCells>
  <pageMargins left="0.7" right="0.7" top="0.75" bottom="0.75" header="0.3" footer="0.3"/>
  <pageSetup orientation="portrait" scale="16" fitToHeight="3" horizontalDpi="0" verticalDpi="0"/>
  <drawing r:id="rId1"/>
</worksheet>
</file>

<file path=xl/worksheets/sheet2.xml><?xml version="1.0" encoding="utf-8"?>
<worksheet xmlns="http://schemas.openxmlformats.org/spreadsheetml/2006/main">
  <sheetPr>
    <outlinePr summaryBelow="1" summaryRight="1"/>
    <pageSetUpPr/>
  </sheetPr>
  <dimension ref="A1:V38"/>
  <sheetViews>
    <sheetView topLeftCell="A20" workbookViewId="0">
      <selection activeCell="K38" sqref="K38"/>
    </sheetView>
  </sheetViews>
  <sheetFormatPr baseColWidth="10" defaultRowHeight="16"/>
  <cols>
    <col width="47.83203125" customWidth="1" min="2" max="2"/>
    <col width="24.5" customWidth="1" min="3" max="3"/>
  </cols>
  <sheetData>
    <row r="1" ht="19" customHeight="1">
      <c r="A1" s="1039" t="inlineStr">
        <is>
          <t>CALCUL du baromètre "CONSTAT"</t>
        </is>
      </c>
    </row>
    <row r="2" ht="34" customHeight="1">
      <c r="B2" s="1040" t="inlineStr">
        <is>
          <t>Quatre tendance de CONSTAT seront évalués:</t>
        </is>
      </c>
      <c r="C2" t="inlineStr">
        <is>
          <t>CL: Conflit de loyauté;</t>
        </is>
      </c>
    </row>
    <row r="3">
      <c r="B3" s="1976" t="inlineStr">
        <is>
          <t>VC: Violence conjugale sera citée séparément, le cas échant. (voir comportements VC)</t>
        </is>
      </c>
      <c r="C3" t="inlineStr">
        <is>
          <t>CSS : Conflit sévère de séparation;</t>
        </is>
      </c>
    </row>
    <row r="4">
      <c r="C4" t="inlineStr">
        <is>
          <t xml:space="preserve">AP: Aliénation parentale; </t>
        </is>
      </c>
    </row>
    <row r="5">
      <c r="C5" t="inlineStr">
        <is>
          <t>N.D. : Aucun critère ne permet de tendre vers …</t>
        </is>
      </c>
    </row>
    <row r="7" ht="24" customHeight="1">
      <c r="A7" s="49" t="inlineStr">
        <is>
          <t>5 critères définissent une situation d'aliénation parentale avéré que l'on ne retrouvera pas dans le CL ou le CSS. C'est par l'amalgame de ces 5 critères exprimés en baromètre qu'un CONSTAT FINAL (Kind-of-diagnostic) sera émis sur le continuum</t>
        </is>
      </c>
    </row>
    <row r="8" ht="39" customHeight="1">
      <c r="B8" t="inlineStr">
        <is>
          <t>1- Il y a une résistance ou une rupture de lien entre le parent répondant et le coparent (Il y a un lien fragile ou une rupture de lien)</t>
        </is>
      </c>
      <c r="H8" t="inlineStr">
        <is>
          <t>Contexte + critère d'exclusion</t>
        </is>
      </c>
      <c r="L8" s="64" t="inlineStr">
        <is>
          <t>Risque contextuel :</t>
        </is>
      </c>
      <c r="M8" s="64" t="n"/>
      <c r="N8" s="49">
        <f>Baromètre!D25</f>
        <v/>
      </c>
      <c r="O8" s="64" t="n"/>
      <c r="P8" s="64" t="inlineStr">
        <is>
          <t>Indice d'exclusion:</t>
        </is>
      </c>
      <c r="Q8" s="1686" t="n"/>
      <c r="R8" s="49">
        <f>Baromètre!D23</f>
        <v/>
      </c>
      <c r="S8" s="64" t="n"/>
    </row>
    <row r="9" ht="24" customHeight="1">
      <c r="B9" s="75" t="inlineStr">
        <is>
          <t>2- Il y avait une belle relation avant la séparation. La différence entre l'avant et l'après parle.   (baromètre différentiel)</t>
        </is>
      </c>
      <c r="L9" s="64" t="inlineStr">
        <is>
          <t>Écart :</t>
        </is>
      </c>
    </row>
    <row r="10" ht="24" customHeight="1">
      <c r="B10" s="75" t="inlineStr">
        <is>
          <t>3- Le parent répondant n'a pas commis d'abus, de négligence, de maltraitance (baromètre "comportements miroirs" + baromètre "action-réaction")</t>
        </is>
      </c>
    </row>
    <row r="11" ht="24" customHeight="1">
      <c r="B11" s="75" t="inlineStr">
        <is>
          <t>4- Le coparent (et|ou son nouveau conjoint) révèle des comportements aliénants (baromètre "Sévérité des comportements du coparent et du nouveau conjoint"+ baromètre "action-réaction")</t>
        </is>
      </c>
    </row>
    <row r="12" ht="24" customHeight="1">
      <c r="B12" s="75" t="inlineStr">
        <is>
          <t>5- L'enfant répond aux comportements aliénants en s'éloignant et|ou rejetant le parent répondant (baromètre "Action-Réaction" + baromètre "comportements indépendants")</t>
        </is>
      </c>
    </row>
    <row r="13" ht="24" customHeight="1"/>
    <row r="14" ht="24" customHeight="1"/>
    <row r="15" ht="25" customHeight="1">
      <c r="L15" s="1534" t="n"/>
      <c r="M15" s="1534" t="n"/>
      <c r="N15" s="1758" t="inlineStr">
        <is>
          <t>Indice binaire - Équivalence entre les concepts</t>
        </is>
      </c>
      <c r="O15" s="1534" t="n"/>
      <c r="P15" s="1534" t="n"/>
      <c r="T15" s="2089" t="n"/>
      <c r="V15" s="167" t="n"/>
    </row>
    <row r="16" ht="38" customHeight="1">
      <c r="B16" s="3" t="inlineStr">
        <is>
          <t>Le calcul final consolide :</t>
        </is>
      </c>
      <c r="F16" t="inlineStr">
        <is>
          <t>La situation se retrouve sur un continuum :</t>
        </is>
      </c>
      <c r="N16" s="1" t="inlineStr">
        <is>
          <t>AP</t>
        </is>
      </c>
      <c r="O16" s="1" t="inlineStr">
        <is>
          <t>CL</t>
        </is>
      </c>
      <c r="P16" s="1" t="inlineStr">
        <is>
          <t>CSS</t>
        </is>
      </c>
      <c r="T16" s="1" t="n"/>
      <c r="U16" s="1" t="n"/>
      <c r="V16" s="1" t="n"/>
    </row>
    <row r="17" ht="26" customHeight="1">
      <c r="A17" s="686" t="n"/>
      <c r="B17" t="inlineStr">
        <is>
          <t>L'analyse tendancielle de chaque thème "action-réaction" vers un ratio entre les diagnostics (CL , CSS, degré d'AP)</t>
        </is>
      </c>
      <c r="M17" s="2" t="inlineStr">
        <is>
          <t>Action-Réaction</t>
        </is>
      </c>
      <c r="N17">
        <f>'Modèle Calcul A-R + miroir'!AG21</f>
        <v/>
      </c>
      <c r="O17">
        <f>'Modèle Calcul A-R + miroir'!AH21</f>
        <v/>
      </c>
      <c r="P17">
        <f>'Modèle Calcul A-R + miroir'!AI21</f>
        <v/>
      </c>
      <c r="S17" s="2" t="n"/>
    </row>
    <row r="18" ht="26" customHeight="1">
      <c r="A18" s="1041" t="inlineStr">
        <is>
          <t xml:space="preserve">+ </t>
        </is>
      </c>
      <c r="B18" t="inlineStr">
        <is>
          <t>L'analyse tendancielle des "comportements miroirs" entre les parents vers un ratio entre les diagnostics (CL , CSS, degré d'AP)</t>
        </is>
      </c>
      <c r="M18" s="2" t="inlineStr">
        <is>
          <t>Miroir</t>
        </is>
      </c>
      <c r="N18">
        <f>'Modèle Calcul A-R + miroir'!AG24</f>
        <v/>
      </c>
      <c r="O18">
        <f>'Modèle Calcul A-R + miroir'!AH24</f>
        <v/>
      </c>
      <c r="P18">
        <f>'Modèle Calcul A-R + miroir'!AI24</f>
        <v/>
      </c>
      <c r="S18" s="2" t="n"/>
    </row>
    <row r="19" ht="26" customHeight="1">
      <c r="A19" s="1041" t="inlineStr">
        <is>
          <t xml:space="preserve">+ </t>
        </is>
      </c>
      <c r="B19" t="inlineStr">
        <is>
          <t>L'analyse tendancielle des "comportements indépendants" vers un ratio entre les diagnostics. (CL , CSS, degré d'AP)</t>
        </is>
      </c>
      <c r="M19" s="2" t="inlineStr">
        <is>
          <t>Indépendants</t>
        </is>
      </c>
      <c r="N19">
        <f>'Modèle Cpts Indépendants'!AF3</f>
        <v/>
      </c>
      <c r="O19">
        <f>'Modèle Cpts Indépendants'!AG3</f>
        <v/>
      </c>
      <c r="P19">
        <f>'Modèle Cpts Indépendants'!AH3</f>
        <v/>
      </c>
      <c r="S19" s="2" t="n"/>
    </row>
    <row r="20" ht="26" customHeight="1">
      <c r="A20" s="686" t="inlineStr">
        <is>
          <t>Si</t>
        </is>
      </c>
      <c r="B20" t="inlineStr">
        <is>
          <t>Selon "différentiel" avant-après</t>
        </is>
      </c>
      <c r="L20" s="1534" t="n"/>
      <c r="M20" s="1535" t="inlineStr">
        <is>
          <t>TOTAL</t>
        </is>
      </c>
      <c r="N20" s="1534">
        <f>N17+N18+N19</f>
        <v/>
      </c>
      <c r="O20" s="1534">
        <f>O17+O18+O19</f>
        <v/>
      </c>
      <c r="P20" s="1534">
        <f>P17+P18+P19</f>
        <v/>
      </c>
      <c r="S20" s="2" t="n"/>
    </row>
    <row r="21" ht="4" customHeight="1">
      <c r="M21" s="2" t="inlineStr">
        <is>
          <t>Nb de thèmes étudiés</t>
        </is>
      </c>
      <c r="N21">
        <f>'Modèle Calcul A-R + miroir'!#REF!+'Modèle Calcul A-R + miroir'!#REF!+'Modèle Cpts Indépendants'!AF5</f>
        <v/>
      </c>
      <c r="O21">
        <f>'Modèle Calcul A-R + miroir'!#REF!+'Modèle Calcul A-R + miroir'!#REF!+'Modèle Cpts Indépendants'!AG5</f>
        <v/>
      </c>
      <c r="P21">
        <f>'Modèle Calcul A-R + miroir'!#REF!+'Modèle Calcul A-R + miroir'!AE25+'Modèle Cpts Indépendants'!AH5</f>
        <v/>
      </c>
      <c r="S21" s="2" t="n"/>
    </row>
    <row r="22">
      <c r="M22" s="2" t="inlineStr">
        <is>
          <t>Nombre de thèmes</t>
        </is>
      </c>
      <c r="N22">
        <f>'Modèle Calcul A-R + miroir'!AG22+'Modèle Calcul A-R + miroir'!AG25+'Modèle Cpts Indépendants'!AF5</f>
        <v/>
      </c>
      <c r="O22">
        <f>'Modèle Calcul A-R + miroir'!AH22+'Modèle Calcul A-R + miroir'!AH25+'Modèle Cpts Indépendants'!AG5</f>
        <v/>
      </c>
      <c r="P22">
        <f>'Modèle Calcul A-R + miroir'!AI22+'Modèle Calcul A-R + miroir'!AI25+'Modèle Cpts Indépendants'!AH5</f>
        <v/>
      </c>
      <c r="S22" s="2" t="n"/>
    </row>
    <row r="23">
      <c r="M23" s="2" t="n"/>
    </row>
    <row r="24" ht="27" customHeight="1"/>
    <row r="25" ht="31" customHeight="1">
      <c r="B25" s="1843" t="inlineStr">
        <is>
          <t>Devrions-nous BOOSTER le baromètre de chaque acteur devant des questions qui ne seraient pas impliquer dans le calcul, par exemple le refus de la famille élargie?</t>
        </is>
      </c>
    </row>
    <row r="26" ht="31" customHeight="1">
      <c r="T26" s="1049" t="n"/>
    </row>
    <row r="27" ht="47" customHeight="1">
      <c r="C27" s="1977" t="n"/>
      <c r="E27" s="1046" t="n"/>
      <c r="F27" s="1047" t="n"/>
      <c r="G27" s="1048" t="n"/>
      <c r="H27" s="1048" t="n"/>
      <c r="I27" s="1048" t="n"/>
      <c r="J27" s="1048" t="n"/>
    </row>
    <row r="28" ht="26" customHeight="1"/>
    <row r="29" ht="35" customHeight="1">
      <c r="E29" s="2089" t="n"/>
      <c r="F29" s="2089" t="n"/>
      <c r="G29" s="2089" t="n"/>
      <c r="H29" s="2089" t="n"/>
      <c r="I29" s="2089" t="n"/>
      <c r="J29" s="2089" t="n"/>
    </row>
    <row r="30" ht="35" customHeight="1">
      <c r="E30" s="106" t="n"/>
    </row>
    <row r="32">
      <c r="G32" t="inlineStr">
        <is>
          <t>                                                                                                                                    </t>
        </is>
      </c>
    </row>
    <row r="35">
      <c r="E35" s="15" t="n"/>
      <c r="F35" s="15" t="n"/>
      <c r="G35" s="15" t="n"/>
      <c r="H35" s="15" t="n"/>
      <c r="I35" s="15" t="n"/>
      <c r="J35" s="15" t="n"/>
    </row>
    <row r="36" ht="45" customHeight="1">
      <c r="E36" s="15" t="n"/>
      <c r="F36" s="15" t="n"/>
      <c r="G36" s="15" t="n"/>
      <c r="H36" s="15" t="n"/>
      <c r="I36" s="15" t="n"/>
      <c r="J36" s="15" t="n"/>
      <c r="K36" s="1049" t="inlineStr">
        <is>
          <t>CSS</t>
        </is>
      </c>
      <c r="L36" s="1049" t="n"/>
      <c r="M36" s="1049" t="n"/>
      <c r="N36" s="1049" t="n"/>
      <c r="O36" s="1049" t="inlineStr">
        <is>
          <t>CL</t>
        </is>
      </c>
      <c r="P36" s="1049" t="n"/>
      <c r="Q36" s="1049" t="n"/>
      <c r="R36" s="1049" t="n"/>
      <c r="S36" s="1049" t="inlineStr">
        <is>
          <t>AP</t>
        </is>
      </c>
    </row>
    <row r="37" ht="56" customHeight="1">
      <c r="E37" s="7" t="n"/>
      <c r="F37" s="71" t="n"/>
      <c r="G37" s="7" t="n"/>
      <c r="H37" s="7" t="n"/>
      <c r="I37" s="1047" t="n"/>
    </row>
    <row r="38" ht="54" customHeight="1">
      <c r="E38" s="7" t="n"/>
      <c r="F38" s="71" t="n"/>
      <c r="G38" s="1046" t="n"/>
      <c r="H38" s="7" t="n"/>
      <c r="I38" s="7" t="n"/>
      <c r="J38" s="7" t="n"/>
    </row>
  </sheetData>
  <mergeCells count="2">
    <mergeCell ref="B3:B4"/>
    <mergeCell ref="C27:D27"/>
  </mergeCells>
  <pageMargins left="0.7" right="0.7" top="0.75" bottom="0.75" header="0.3" footer="0.3"/>
  <pageSetup orientation="portrait" horizontalDpi="0" verticalDpi="0"/>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Q148"/>
  <sheetViews>
    <sheetView showGridLines="0" topLeftCell="A51" zoomScale="92" zoomScaleNormal="92" workbookViewId="0">
      <selection activeCell="A57" sqref="A57:XFD66"/>
    </sheetView>
  </sheetViews>
  <sheetFormatPr baseColWidth="10" defaultRowHeight="16"/>
  <cols>
    <col width="16.1640625" customWidth="1" min="1" max="1"/>
    <col width="7.5" customWidth="1" min="2" max="2"/>
    <col width="9" customWidth="1" min="3" max="3"/>
    <col width="7.5" customWidth="1" min="4" max="4"/>
    <col width="9.5" bestFit="1" customWidth="1" min="5" max="5"/>
    <col width="5.83203125" bestFit="1" customWidth="1" min="6" max="6"/>
    <col width="51.33203125" bestFit="1" customWidth="1" min="7" max="7"/>
    <col hidden="1" width="13" customWidth="1" min="8" max="8"/>
    <col width="15" bestFit="1" customWidth="1" min="9" max="9"/>
    <col width="5.1640625" bestFit="1" customWidth="1" min="10" max="10"/>
    <col hidden="1" width="12.33203125" customWidth="1" min="11" max="11"/>
    <col width="3.6640625" bestFit="1" customWidth="1" min="12" max="12"/>
    <col hidden="1" min="13" max="14"/>
    <col width="10.5" customWidth="1" min="15" max="15"/>
    <col hidden="1" width="14" customWidth="1" min="16" max="16"/>
    <col width="44.83203125" customWidth="1" min="17" max="17"/>
    <col width="5.5" customWidth="1" min="18" max="18"/>
    <col width="14" customWidth="1" min="19" max="19"/>
    <col width="25.6640625" customWidth="1" min="20" max="20"/>
    <col width="14" customWidth="1" min="21" max="21"/>
    <col width="25" customWidth="1" min="22" max="23"/>
    <col width="25" customWidth="1" min="30" max="30"/>
  </cols>
  <sheetData>
    <row r="1" ht="29" customHeight="1">
      <c r="A1" s="477" t="inlineStr">
        <is>
          <t>Bilan de la situation selon diverses échelles</t>
        </is>
      </c>
      <c r="B1" s="477" t="n"/>
      <c r="C1" s="477" t="n"/>
      <c r="D1" s="477" t="n"/>
    </row>
    <row r="2" ht="29" customHeight="1">
      <c r="A2" s="477" t="n"/>
      <c r="B2" s="477" t="n"/>
      <c r="C2" s="477" t="n"/>
      <c r="D2" s="477" t="n"/>
    </row>
    <row r="3" ht="29" customHeight="1">
      <c r="A3" s="909" t="inlineStr">
        <is>
          <t>Indice de comportements aliénants</t>
        </is>
      </c>
      <c r="B3" s="477" t="n"/>
      <c r="C3" s="477" t="n"/>
      <c r="D3" s="477" t="n"/>
      <c r="O3" s="920" t="inlineStr">
        <is>
          <t>Catégorie et nature des comportements</t>
        </is>
      </c>
      <c r="AD3" s="3" t="inlineStr">
        <is>
          <t>Catégorie</t>
        </is>
      </c>
      <c r="AM3" s="118" t="n"/>
      <c r="AN3" s="118" t="inlineStr">
        <is>
          <t>Nature des comportements</t>
        </is>
      </c>
      <c r="AO3" s="454" t="n"/>
    </row>
    <row r="4" ht="14" customHeight="1">
      <c r="A4" s="477" t="n"/>
      <c r="B4" s="477" t="n"/>
      <c r="C4" s="477" t="n"/>
      <c r="D4" s="477" t="n"/>
      <c r="AM4" s="451" t="inlineStr">
        <is>
          <t>C</t>
        </is>
      </c>
      <c r="AN4" s="452" t="inlineStr">
        <is>
          <t>E</t>
        </is>
      </c>
      <c r="AO4" s="453" t="inlineStr">
        <is>
          <t>V</t>
        </is>
      </c>
    </row>
    <row r="5" ht="21" customHeight="1">
      <c r="A5" s="49" t="inlineStr">
        <is>
          <t>Comportements du parent PFA et collaboration du nouveau(lle) conjoint.e</t>
        </is>
      </c>
      <c r="B5" s="49" t="n"/>
      <c r="C5" s="49" t="n"/>
      <c r="D5" s="49" t="n"/>
      <c r="O5" s="49" t="inlineStr">
        <is>
          <t>Catégorie des comportements des parents tous confondus</t>
        </is>
      </c>
      <c r="AD5" s="475" t="inlineStr">
        <is>
          <t>Alliance</t>
        </is>
      </c>
      <c r="AE5" s="1573">
        <f>Test_Bible!AI418</f>
        <v/>
      </c>
      <c r="AL5" t="inlineStr">
        <is>
          <t>Parents</t>
        </is>
      </c>
      <c r="AM5" s="89">
        <f>Test_Bible!AF418</f>
        <v/>
      </c>
      <c r="AN5" s="89">
        <f>Test_Bible!AG418</f>
        <v/>
      </c>
      <c r="AO5" s="89">
        <f>Test_Bible!AH418</f>
        <v/>
      </c>
    </row>
    <row r="6">
      <c r="A6" t="inlineStr">
        <is>
          <t>Selon vos résultats du questionnaire :</t>
        </is>
      </c>
      <c r="AD6" s="475" t="inlineStr">
        <is>
          <t>Altération/dévoiement de la réalité</t>
        </is>
      </c>
      <c r="AE6" s="1573">
        <f>Test_Bible!AJ418</f>
        <v/>
      </c>
    </row>
    <row r="7" ht="18" customHeight="1">
      <c r="G7" s="118" t="n"/>
      <c r="H7" s="118" t="n"/>
      <c r="I7" s="118" t="n"/>
      <c r="J7" s="455" t="n"/>
      <c r="AD7" s="475" t="inlineStr">
        <is>
          <t>Chantage affectif, loyauté, manipulation</t>
        </is>
      </c>
      <c r="AE7" s="1573">
        <f>Test_Bible!AK418</f>
        <v/>
      </c>
    </row>
    <row r="8" ht="30" customHeight="1">
      <c r="E8" s="907" t="inlineStr">
        <is>
          <t>Sévérité</t>
        </is>
      </c>
      <c r="F8" s="906" t="n"/>
      <c r="G8" s="75" t="n"/>
      <c r="H8" s="75" t="n"/>
      <c r="I8" s="1978" t="inlineStr">
        <is>
          <t>Collaboration du nouveau conjoint</t>
        </is>
      </c>
      <c r="K8" s="75" t="n"/>
      <c r="L8" s="908" t="n"/>
      <c r="M8" s="455" t="n"/>
      <c r="N8" s="104" t="n"/>
      <c r="AD8" s="463" t="inlineStr">
        <is>
          <t>Dénigrement</t>
        </is>
      </c>
      <c r="AE8" s="1573">
        <f>Test_Bible!AL418</f>
        <v/>
      </c>
      <c r="AQ8" t="inlineStr">
        <is>
          <t>C: Comportemental</t>
        </is>
      </c>
    </row>
    <row r="9">
      <c r="A9" t="inlineStr">
        <is>
          <t>Valeur :</t>
        </is>
      </c>
      <c r="E9" s="115">
        <f>Test_Bible!V255</f>
        <v/>
      </c>
      <c r="F9" s="518" t="n"/>
      <c r="G9" s="1682" t="inlineStr">
        <is>
          <t>MAX</t>
        </is>
      </c>
      <c r="J9" s="1682" t="inlineStr">
        <is>
          <t>MAX</t>
        </is>
      </c>
      <c r="AD9" s="463" t="inlineStr">
        <is>
          <t>Interférence temps et/ou communication</t>
        </is>
      </c>
      <c r="AE9" s="1573">
        <f>Test_Bible!AM418</f>
        <v/>
      </c>
      <c r="AQ9" t="inlineStr">
        <is>
          <t>E: Emotif</t>
        </is>
      </c>
    </row>
    <row r="10">
      <c r="A10" s="507" t="inlineStr">
        <is>
          <t>Échelle totale</t>
        </is>
      </c>
      <c r="B10" s="73">
        <f>Test_Bible!X255</f>
        <v/>
      </c>
      <c r="C10" s="73">
        <f>Test_Bible!Y255</f>
        <v/>
      </c>
      <c r="D10" s="73">
        <f>Test_Bible!Z255</f>
        <v/>
      </c>
      <c r="E10" s="73">
        <f>Test_Bible!AA255</f>
        <v/>
      </c>
      <c r="F10" s="73">
        <f>Test_Bible!AB255</f>
        <v/>
      </c>
      <c r="G10" s="1683">
        <f>Test_Bible!AC255</f>
        <v/>
      </c>
      <c r="I10" s="115">
        <f>Test_Bible!V412</f>
        <v/>
      </c>
      <c r="J10" s="1683">
        <f>Test_Bible!AC412</f>
        <v/>
      </c>
      <c r="AD10" s="463" t="inlineStr">
        <is>
          <t>Interférence lien affectif ou symbolique</t>
        </is>
      </c>
      <c r="AE10" s="1573">
        <f>Test_Bible!AN418</f>
        <v/>
      </c>
      <c r="AQ10" t="inlineStr">
        <is>
          <t>V: Verbal</t>
        </is>
      </c>
    </row>
    <row r="11">
      <c r="A11" s="507" t="n"/>
      <c r="B11" s="73" t="n"/>
      <c r="C11" s="1684" t="n"/>
      <c r="D11" s="1684">
        <f>C10+(D10-C10)/2</f>
        <v/>
      </c>
      <c r="E11" s="1684">
        <f>D10+(E10-D10)/2</f>
        <v/>
      </c>
      <c r="F11" s="1684">
        <f>E10+(F10-E10)/2</f>
        <v/>
      </c>
      <c r="G11" s="1684">
        <f>F10+(G10-F10)/2</f>
        <v/>
      </c>
      <c r="I11" s="115" t="n"/>
      <c r="J11" s="1683" t="n"/>
      <c r="AD11" s="463" t="n"/>
      <c r="AE11" s="1573" t="n"/>
    </row>
    <row r="12">
      <c r="A12" s="507" t="n"/>
      <c r="B12" s="73" t="n"/>
      <c r="C12" s="76" t="n"/>
      <c r="D12" s="1685" t="inlineStr">
        <is>
          <t>Léger</t>
        </is>
      </c>
      <c r="E12" s="1685" t="inlineStr">
        <is>
          <t>Modéré</t>
        </is>
      </c>
      <c r="F12" s="1685" t="inlineStr">
        <is>
          <t>Sévère</t>
        </is>
      </c>
      <c r="G12" s="1685" t="inlineStr">
        <is>
          <t>Obsessif</t>
        </is>
      </c>
      <c r="I12" s="115" t="n"/>
      <c r="AD12" s="463" t="n"/>
      <c r="AE12" s="1573" t="n"/>
    </row>
    <row r="13">
      <c r="AD13" s="463" t="inlineStr">
        <is>
          <t>Parentification</t>
        </is>
      </c>
      <c r="AE13" s="1573">
        <f>Test_Bible!AO418</f>
        <v/>
      </c>
    </row>
    <row r="14" ht="27" customHeight="1">
      <c r="L14" s="1202" t="n"/>
      <c r="AD14" s="463" t="inlineStr">
        <is>
          <t>Rôle actif, Réponse au CC</t>
        </is>
      </c>
      <c r="AE14" s="1573">
        <f>Test_Bible!AP418</f>
        <v/>
      </c>
      <c r="AL14" s="455" t="n"/>
      <c r="AM14" s="118" t="n"/>
      <c r="AN14" s="118" t="inlineStr">
        <is>
          <t>Nature</t>
        </is>
      </c>
      <c r="AO14" s="454" t="n"/>
    </row>
    <row r="15" ht="27" customHeight="1">
      <c r="I15" s="514">
        <f>IF(AND(Test_Bible!$V$412&lt;=Test_Bible!$AC$412,Test_Bible!$V$412&gt;Test_Bible!$AB$412),Test_Bible!AC413,"")</f>
        <v/>
      </c>
      <c r="L15" s="13" t="n"/>
      <c r="AM15" s="451" t="inlineStr">
        <is>
          <t>C</t>
        </is>
      </c>
      <c r="AN15" s="452" t="inlineStr">
        <is>
          <t>E</t>
        </is>
      </c>
      <c r="AO15" s="453" t="inlineStr">
        <is>
          <t>V</t>
        </is>
      </c>
    </row>
    <row r="16" ht="27" customHeight="1">
      <c r="I16" s="504">
        <f>IF(AND(Test_Bible!$V$412&lt;=Test_Bible!$AB$412,Test_Bible!$V$412&gt;Test_Bible!$AA$412),Test_Bible!AB413,"")</f>
        <v/>
      </c>
      <c r="L16" s="13" t="n"/>
      <c r="AL16" t="inlineStr">
        <is>
          <t>Enfant</t>
        </is>
      </c>
      <c r="AM16" s="456">
        <f>Test_Bible!AF429</f>
        <v/>
      </c>
      <c r="AN16" s="456">
        <f>Test_Bible!AG429</f>
        <v/>
      </c>
      <c r="AO16" s="456">
        <f>Test_Bible!AH429</f>
        <v/>
      </c>
    </row>
    <row r="17" ht="27" customHeight="1">
      <c r="I17" s="117">
        <f>IF(AND(Test_Bible!$V$412&lt;=Test_Bible!$AA$412,Test_Bible!$V$412&gt;Test_Bible!$Z$412),Test_Bible!AA413,"")</f>
        <v/>
      </c>
      <c r="L17" s="13" t="n"/>
    </row>
    <row r="18" ht="27" customHeight="1">
      <c r="I18" s="505">
        <f>IF(AND(Test_Bible!$V$412&lt;=Test_Bible!$Z$412,Test_Bible!$V$412&gt;Test_Bible!$Y$412),Test_Bible!Z413,"")</f>
        <v/>
      </c>
      <c r="L18" s="13" t="n"/>
    </row>
    <row r="19" ht="27" customHeight="1">
      <c r="I19" s="506">
        <f>IF(AND(Test_Bible!$V$412&lt;=Test_Bible!$Y$412,Test_Bible!$V$412&lt;&gt;0),Test_Bible!Y413,"")</f>
        <v/>
      </c>
      <c r="L19" s="13" t="n"/>
      <c r="U19" s="49" t="inlineStr">
        <is>
          <t>Nature des comportements des parents tous confondus et réactions chez l'enfant</t>
        </is>
      </c>
    </row>
    <row r="20" ht="27" customHeight="1">
      <c r="I20" s="107" t="n"/>
      <c r="L20" s="13" t="n"/>
      <c r="AM20" s="451" t="inlineStr">
        <is>
          <t>C</t>
        </is>
      </c>
      <c r="AN20" s="452" t="inlineStr">
        <is>
          <t>E</t>
        </is>
      </c>
      <c r="AO20" s="453" t="inlineStr">
        <is>
          <t>V</t>
        </is>
      </c>
    </row>
    <row r="21">
      <c r="AL21" t="inlineStr">
        <is>
          <t>Co-parent</t>
        </is>
      </c>
      <c r="AM21" s="167">
        <f>AM5</f>
        <v/>
      </c>
      <c r="AN21" s="167">
        <f>AN5</f>
        <v/>
      </c>
      <c r="AO21" s="167">
        <f>AO5</f>
        <v/>
      </c>
    </row>
    <row r="22">
      <c r="AL22" t="inlineStr">
        <is>
          <t>Enfant</t>
        </is>
      </c>
      <c r="AM22" s="167">
        <f>-AM16</f>
        <v/>
      </c>
      <c r="AN22" s="167">
        <f>-AN16</f>
        <v/>
      </c>
      <c r="AO22" s="167">
        <f>-AO16</f>
        <v/>
      </c>
    </row>
    <row r="23" ht="24" customHeight="1">
      <c r="A23" s="1680" t="inlineStr">
        <is>
          <t>Facteur d'exclusion :</t>
        </is>
      </c>
      <c r="B23" s="60" t="n"/>
      <c r="C23" s="60" t="n"/>
      <c r="D23" s="51">
        <f>'Indice D''exclusion'!I51</f>
        <v/>
      </c>
    </row>
    <row r="25" ht="24" customHeight="1">
      <c r="A25" s="1680" t="inlineStr">
        <is>
          <t>Indice de risque contextuelle:</t>
        </is>
      </c>
      <c r="B25" s="1680" t="n"/>
      <c r="C25" s="1680" t="n"/>
      <c r="D25" s="51">
        <f>Contexte!E26</f>
        <v/>
      </c>
    </row>
    <row r="31" ht="21" customHeight="1">
      <c r="A31" s="49" t="inlineStr">
        <is>
          <t>Comportements de l'enfant</t>
        </is>
      </c>
      <c r="B31" s="49" t="n"/>
      <c r="C31" s="49" t="n"/>
      <c r="D31" s="49" t="n"/>
      <c r="O31" s="49" t="inlineStr">
        <is>
          <t>Catégorie des réactions de l'enfant</t>
        </is>
      </c>
    </row>
    <row r="32" ht="24" customHeight="1">
      <c r="A32" s="51" t="n"/>
      <c r="B32" s="51" t="n"/>
      <c r="C32" s="51" t="n"/>
      <c r="D32" s="51" t="n"/>
    </row>
    <row r="33" ht="24" customHeight="1">
      <c r="A33" s="51" t="n"/>
      <c r="B33" s="51" t="n"/>
      <c r="C33" s="51" t="n"/>
      <c r="D33" s="51" t="n"/>
      <c r="E33" s="118" t="inlineStr">
        <is>
          <t>Sévérité</t>
        </is>
      </c>
      <c r="F33" s="118" t="n"/>
      <c r="G33" s="118" t="n"/>
      <c r="H33" s="118" t="n"/>
      <c r="I33" s="118" t="n"/>
    </row>
    <row r="34">
      <c r="A34" t="inlineStr">
        <is>
          <t>Valeur :</t>
        </is>
      </c>
      <c r="E34" s="115">
        <f>Test_Bible!V367</f>
        <v/>
      </c>
      <c r="F34" s="518">
        <f>E34/(G35)</f>
        <v/>
      </c>
    </row>
    <row r="35">
      <c r="A35" s="507" t="inlineStr">
        <is>
          <t>Échelle totale</t>
        </is>
      </c>
      <c r="B35" s="73">
        <f>Test_Bible!X367</f>
        <v/>
      </c>
      <c r="C35" s="73">
        <f>Test_Bible!Y367</f>
        <v/>
      </c>
      <c r="D35" s="73">
        <f>Test_Bible!Z367</f>
        <v/>
      </c>
      <c r="E35" s="73">
        <f>Test_Bible!AA367</f>
        <v/>
      </c>
      <c r="F35" s="73">
        <f>Test_Bible!AB367</f>
        <v/>
      </c>
      <c r="G35" s="73">
        <f>Test_Bible!AC367</f>
        <v/>
      </c>
    </row>
    <row r="36" ht="19" customHeight="1">
      <c r="AD36" s="476" t="inlineStr">
        <is>
          <t>Intensité des comportements par catégorie vu chez l'enfant</t>
        </is>
      </c>
    </row>
    <row r="38">
      <c r="AD38" s="475" t="inlineStr">
        <is>
          <t>Alliance</t>
        </is>
      </c>
      <c r="AE38" s="1573">
        <f>Test_Bible!AI429</f>
        <v/>
      </c>
    </row>
    <row r="39">
      <c r="AD39" s="475" t="inlineStr">
        <is>
          <t>Altération/dévoiement de la réalité</t>
        </is>
      </c>
      <c r="AE39" s="1573">
        <f>Test_Bible!AJ429</f>
        <v/>
      </c>
    </row>
    <row r="40">
      <c r="AD40" s="475" t="inlineStr">
        <is>
          <t>Chantage affectif, loyauté, manipulation</t>
        </is>
      </c>
      <c r="AE40" s="1573">
        <f>Test_Bible!AK429</f>
        <v/>
      </c>
    </row>
    <row r="41">
      <c r="AD41" s="463" t="inlineStr">
        <is>
          <t>Dénigrement</t>
        </is>
      </c>
      <c r="AE41" s="1573">
        <f>Test_Bible!AL429</f>
        <v/>
      </c>
    </row>
    <row r="42">
      <c r="AD42" s="463" t="inlineStr">
        <is>
          <t>Interférence temps et/ou communication</t>
        </is>
      </c>
      <c r="AE42" s="1573">
        <f>Test_Bible!AM429</f>
        <v/>
      </c>
    </row>
    <row r="43">
      <c r="AD43" s="463" t="inlineStr">
        <is>
          <t>Interférence lien affectif ou symbolique</t>
        </is>
      </c>
      <c r="AE43" s="1573">
        <f>Test_Bible!AN429</f>
        <v/>
      </c>
    </row>
    <row r="44">
      <c r="AD44" s="463" t="inlineStr">
        <is>
          <t>Parentification</t>
        </is>
      </c>
      <c r="AE44" s="1573">
        <f>Test_Bible!AO429</f>
        <v/>
      </c>
    </row>
    <row r="45">
      <c r="AD45" s="463" t="inlineStr">
        <is>
          <t>Rôle actif, Réponse au CC</t>
        </is>
      </c>
      <c r="AE45" s="1573">
        <f>Test_Bible!AP429</f>
        <v/>
      </c>
    </row>
    <row r="50" ht="29" customHeight="1">
      <c r="A50" s="477" t="n"/>
      <c r="B50" s="477" t="n"/>
      <c r="C50" s="477" t="n"/>
      <c r="D50" s="477" t="n"/>
    </row>
    <row r="51" ht="29" customHeight="1">
      <c r="A51" s="909" t="n"/>
      <c r="B51" s="477" t="n"/>
      <c r="C51" s="477" t="n"/>
      <c r="D51" s="477" t="n"/>
    </row>
    <row r="52" ht="40" customHeight="1">
      <c r="A52" s="921" t="inlineStr">
        <is>
          <t>Les comportements aliénants qui ont de l'impact sur l'enfant</t>
        </is>
      </c>
      <c r="B52" s="477" t="n"/>
      <c r="C52" s="477" t="n"/>
      <c r="D52" s="477" t="n"/>
    </row>
    <row r="53" ht="19" customHeight="1">
      <c r="A53" t="inlineStr">
        <is>
          <t>SUJET</t>
        </is>
      </c>
      <c r="E53" s="851" t="inlineStr">
        <is>
          <t>Score A-R</t>
        </is>
      </c>
      <c r="G53" s="1986" t="inlineStr">
        <is>
          <t>Devant les comportements aliénants du PF, l'enfant répond :</t>
        </is>
      </c>
      <c r="M53" s="1987" t="inlineStr">
        <is>
          <t>L'enfant présente les comportements suivants sans signe de la participation du PFA :</t>
        </is>
      </c>
      <c r="S53" s="1988" t="inlineStr">
        <is>
          <t>L'enfant ne semble pas répondre aux comportements suivant du PFA :</t>
        </is>
      </c>
      <c r="W53" s="911" t="n"/>
    </row>
    <row r="54" ht="27" customHeight="1">
      <c r="A54" s="1916">
        <f>'Modèle Calcul A-R + miroir'!AR4</f>
        <v/>
      </c>
      <c r="B54" s="1916" t="n"/>
      <c r="C54" s="1916" t="n"/>
      <c r="D54" s="1916" t="n"/>
      <c r="E54" s="1917">
        <f>'Modèle Calcul A-R + miroir'!AT4</f>
        <v/>
      </c>
      <c r="F54" s="1918">
        <f>'Modèle Calcul A-R + miroir'!AS4</f>
        <v/>
      </c>
      <c r="G54" s="1919">
        <f>'Modèle Calcul A-R + miroir'!AU4</f>
        <v/>
      </c>
      <c r="H54" s="1920" t="n"/>
      <c r="I54" s="1920" t="n"/>
      <c r="J54" s="1920" t="n"/>
      <c r="K54" s="1920" t="n"/>
      <c r="L54" s="1921">
        <f>'Modèle Calcul A-R + miroir'!AV4</f>
        <v/>
      </c>
      <c r="M54" s="1989">
        <f>'Modèle Calcul A-R + miroir'!AW4</f>
        <v/>
      </c>
      <c r="N54" s="2097" t="n"/>
      <c r="O54" s="2097" t="n"/>
      <c r="P54" s="2097" t="n"/>
      <c r="Q54" s="2097" t="n"/>
      <c r="R54" s="1918">
        <f>'Modèle Calcul A-R + miroir'!AX4</f>
        <v/>
      </c>
      <c r="S54" s="1989">
        <f>'Modèle Calcul A-R + miroir'!AY4</f>
        <v/>
      </c>
      <c r="T54" s="2097" t="n"/>
      <c r="U54" s="2097" t="n"/>
      <c r="V54" s="2097" t="n"/>
      <c r="W54" s="912" t="n"/>
      <c r="X54" s="912" t="n"/>
    </row>
    <row r="55" ht="38" customHeight="1">
      <c r="A55" s="1922">
        <f>'Modèle Calcul A-R + miroir'!AR5</f>
        <v/>
      </c>
      <c r="B55" s="1923" t="n"/>
      <c r="C55" s="1923" t="n"/>
      <c r="D55" s="1923" t="n"/>
      <c r="E55" s="1924">
        <f>'Modèle Calcul A-R + miroir'!AT5</f>
        <v/>
      </c>
      <c r="F55" s="1925">
        <f>'Modèle Calcul A-R + miroir'!AS5</f>
        <v/>
      </c>
      <c r="G55" s="1926">
        <f>'Modèle Calcul A-R + miroir'!AU5</f>
        <v/>
      </c>
      <c r="H55" s="1927" t="n"/>
      <c r="I55" s="1927" t="n"/>
      <c r="J55" s="1927" t="n"/>
      <c r="K55" s="1927" t="n"/>
      <c r="L55" s="1928">
        <f>'Modèle Calcul A-R + miroir'!AV5</f>
        <v/>
      </c>
      <c r="M55" s="1983">
        <f>'Modèle Calcul A-R + miroir'!AW5</f>
        <v/>
      </c>
      <c r="N55" s="913" t="n"/>
      <c r="O55" s="913" t="n"/>
      <c r="P55" s="913" t="n"/>
      <c r="Q55" s="913" t="n"/>
      <c r="R55" s="1925">
        <f>'Modèle Calcul A-R + miroir'!AX5</f>
        <v/>
      </c>
      <c r="S55" s="1983">
        <f>'Modèle Calcul A-R + miroir'!AY5</f>
        <v/>
      </c>
      <c r="T55" s="913" t="n"/>
      <c r="U55" s="913" t="n"/>
      <c r="V55" s="913" t="n"/>
      <c r="W55" s="912" t="n"/>
      <c r="X55" s="912" t="n"/>
    </row>
    <row r="56" ht="37" customHeight="1">
      <c r="A56" s="1922">
        <f>'Modèle Calcul A-R + miroir'!AR6</f>
        <v/>
      </c>
      <c r="B56" s="1923" t="n"/>
      <c r="C56" s="1923" t="n"/>
      <c r="D56" s="1923" t="n"/>
      <c r="E56" s="1924">
        <f>'Modèle Calcul A-R + miroir'!AT6</f>
        <v/>
      </c>
      <c r="F56" s="1925">
        <f>'Modèle Calcul A-R + miroir'!AS6</f>
        <v/>
      </c>
      <c r="G56" s="1926">
        <f>'Modèle Calcul A-R + miroir'!AU6</f>
        <v/>
      </c>
      <c r="H56" s="1927" t="n"/>
      <c r="I56" s="1927" t="n"/>
      <c r="J56" s="1927" t="n"/>
      <c r="K56" s="1927" t="n"/>
      <c r="L56" s="1928">
        <f>'Modèle Calcul A-R + miroir'!AV6</f>
        <v/>
      </c>
      <c r="M56" s="1983">
        <f>'Modèle Calcul A-R + miroir'!AW6</f>
        <v/>
      </c>
      <c r="N56" s="913" t="n"/>
      <c r="O56" s="913" t="n"/>
      <c r="P56" s="913" t="n"/>
      <c r="Q56" s="913" t="n"/>
      <c r="R56" s="1925">
        <f>'Modèle Calcul A-R + miroir'!AX6</f>
        <v/>
      </c>
      <c r="S56" s="1983">
        <f>'Modèle Calcul A-R + miroir'!AY6</f>
        <v/>
      </c>
      <c r="T56" s="913" t="n"/>
      <c r="U56" s="913" t="n"/>
      <c r="V56" s="913" t="n"/>
      <c r="W56" s="912" t="n"/>
      <c r="X56" s="912" t="n"/>
    </row>
    <row r="57" ht="29" customHeight="1">
      <c r="A57" s="1922">
        <f>'Modèle Calcul A-R + miroir'!AR7</f>
        <v/>
      </c>
      <c r="B57" s="1923" t="n"/>
      <c r="C57" s="1923" t="n"/>
      <c r="D57" s="1923" t="n"/>
      <c r="E57" s="1924">
        <f>'Modèle Calcul A-R + miroir'!AT7</f>
        <v/>
      </c>
      <c r="F57" s="1925">
        <f>'Modèle Calcul A-R + miroir'!AS7</f>
        <v/>
      </c>
      <c r="G57" s="1926">
        <f>'Modèle Calcul A-R + miroir'!AU7</f>
        <v/>
      </c>
      <c r="H57" s="1927" t="n"/>
      <c r="I57" s="1927" t="n"/>
      <c r="J57" s="1927" t="n"/>
      <c r="K57" s="1927" t="n"/>
      <c r="L57" s="1928">
        <f>'Modèle Calcul A-R + miroir'!AV7</f>
        <v/>
      </c>
      <c r="M57" s="1983">
        <f>'Modèle Calcul A-R + miroir'!AW7</f>
        <v/>
      </c>
      <c r="N57" s="913" t="n"/>
      <c r="O57" s="913" t="n"/>
      <c r="P57" s="913" t="n"/>
      <c r="Q57" s="913" t="n"/>
      <c r="R57" s="1925">
        <f>'Modèle Calcul A-R + miroir'!AX7</f>
        <v/>
      </c>
      <c r="S57" s="1983">
        <f>'Modèle Calcul A-R + miroir'!AY7</f>
        <v/>
      </c>
      <c r="T57" s="913" t="n"/>
      <c r="U57" s="913" t="n"/>
      <c r="V57" s="913" t="n"/>
      <c r="W57" s="912" t="n"/>
      <c r="X57" s="912" t="n"/>
    </row>
    <row r="58" ht="29" customHeight="1">
      <c r="A58" s="1922">
        <f>'Modèle Calcul A-R + miroir'!AR8</f>
        <v/>
      </c>
      <c r="B58" s="1923" t="n"/>
      <c r="C58" s="1923" t="n"/>
      <c r="D58" s="1923" t="n"/>
      <c r="E58" s="1924">
        <f>'Modèle Calcul A-R + miroir'!AT8</f>
        <v/>
      </c>
      <c r="F58" s="1925">
        <f>'Modèle Calcul A-R + miroir'!AS8</f>
        <v/>
      </c>
      <c r="G58" s="1926">
        <f>'Modèle Calcul A-R + miroir'!AU8</f>
        <v/>
      </c>
      <c r="H58" s="1927" t="n"/>
      <c r="I58" s="1927" t="n"/>
      <c r="J58" s="1927" t="n"/>
      <c r="K58" s="1927" t="n"/>
      <c r="L58" s="1928">
        <f>'Modèle Calcul A-R + miroir'!AV8</f>
        <v/>
      </c>
      <c r="M58" s="1983">
        <f>'Modèle Calcul A-R + miroir'!AW8</f>
        <v/>
      </c>
      <c r="N58" s="913" t="n"/>
      <c r="O58" s="913" t="n"/>
      <c r="P58" s="913" t="n"/>
      <c r="Q58" s="913" t="n"/>
      <c r="R58" s="1925">
        <f>'Modèle Calcul A-R + miroir'!AX8</f>
        <v/>
      </c>
      <c r="S58" s="1983">
        <f>'Modèle Calcul A-R + miroir'!AY8</f>
        <v/>
      </c>
      <c r="T58" s="913" t="n"/>
      <c r="U58" s="913" t="n"/>
      <c r="V58" s="913" t="n"/>
      <c r="W58" s="912" t="n"/>
      <c r="X58" s="912" t="n"/>
    </row>
    <row r="59" ht="29" customHeight="1">
      <c r="A59" s="1922">
        <f>'Modèle Calcul A-R + miroir'!AR9</f>
        <v/>
      </c>
      <c r="B59" s="1923" t="n"/>
      <c r="C59" s="1923" t="n"/>
      <c r="D59" s="1923" t="n"/>
      <c r="E59" s="1924">
        <f>'Modèle Calcul A-R + miroir'!AT9</f>
        <v/>
      </c>
      <c r="F59" s="1925">
        <f>'Modèle Calcul A-R + miroir'!AS9</f>
        <v/>
      </c>
      <c r="G59" s="1983">
        <f>'Modèle Calcul A-R + miroir'!AU9</f>
        <v/>
      </c>
      <c r="H59" s="913" t="n"/>
      <c r="I59" s="913" t="n"/>
      <c r="J59" s="913" t="n"/>
      <c r="K59" s="913" t="n"/>
      <c r="L59" s="1928">
        <f>'Modèle Calcul A-R + miroir'!AV9</f>
        <v/>
      </c>
      <c r="M59" s="1983">
        <f>'Modèle Calcul A-R + miroir'!AW9</f>
        <v/>
      </c>
      <c r="N59" s="913" t="n"/>
      <c r="O59" s="913" t="n"/>
      <c r="P59" s="913" t="n"/>
      <c r="Q59" s="913" t="n"/>
      <c r="R59" s="1925">
        <f>'Modèle Calcul A-R + miroir'!AX9</f>
        <v/>
      </c>
      <c r="S59" s="1983">
        <f>'Modèle Calcul A-R + miroir'!AY9</f>
        <v/>
      </c>
      <c r="T59" s="913" t="n"/>
      <c r="U59" s="913" t="n"/>
      <c r="V59" s="913" t="n"/>
      <c r="W59" s="912" t="n"/>
      <c r="X59" s="912" t="n"/>
    </row>
    <row r="60" ht="29" customHeight="1">
      <c r="A60" s="1922">
        <f>'Modèle Calcul A-R + miroir'!AR10</f>
        <v/>
      </c>
      <c r="B60" s="1923" t="n"/>
      <c r="C60" s="1923" t="n"/>
      <c r="D60" s="1923" t="n"/>
      <c r="E60" s="1924">
        <f>'Modèle Calcul A-R + miroir'!AT10</f>
        <v/>
      </c>
      <c r="F60" s="1925">
        <f>'Modèle Calcul A-R + miroir'!AS10</f>
        <v/>
      </c>
      <c r="G60" s="1926">
        <f>'Modèle Calcul A-R + miroir'!AU10</f>
        <v/>
      </c>
      <c r="H60" s="1927" t="n"/>
      <c r="I60" s="1927" t="n"/>
      <c r="J60" s="1927" t="n"/>
      <c r="K60" s="1927" t="n"/>
      <c r="L60" s="1928">
        <f>'Modèle Calcul A-R + miroir'!AV10</f>
        <v/>
      </c>
      <c r="M60" s="1983">
        <f>'Modèle Calcul A-R + miroir'!AW10</f>
        <v/>
      </c>
      <c r="N60" s="913" t="n"/>
      <c r="O60" s="913" t="n"/>
      <c r="P60" s="913" t="n"/>
      <c r="Q60" s="913" t="n"/>
      <c r="R60" s="1925">
        <f>'Modèle Calcul A-R + miroir'!AX10</f>
        <v/>
      </c>
      <c r="S60" s="1983">
        <f>'Modèle Calcul A-R + miroir'!AY10</f>
        <v/>
      </c>
      <c r="T60" s="913" t="n"/>
      <c r="U60" s="913" t="n"/>
      <c r="V60" s="913" t="n"/>
      <c r="W60" s="912" t="n"/>
      <c r="X60" s="912" t="n"/>
    </row>
    <row r="61" ht="29" customHeight="1">
      <c r="A61" s="1922">
        <f>'Modèle Calcul A-R + miroir'!AR11</f>
        <v/>
      </c>
      <c r="B61" s="1923" t="n"/>
      <c r="C61" s="1923" t="n"/>
      <c r="D61" s="1923" t="n"/>
      <c r="E61" s="1924">
        <f>'Modèle Calcul A-R + miroir'!AT11</f>
        <v/>
      </c>
      <c r="F61" s="1925">
        <f>'Modèle Calcul A-R + miroir'!AS11</f>
        <v/>
      </c>
      <c r="G61" s="1926">
        <f>'Modèle Calcul A-R + miroir'!AU11</f>
        <v/>
      </c>
      <c r="H61" s="1927" t="n"/>
      <c r="I61" s="1927" t="n"/>
      <c r="J61" s="1927" t="n"/>
      <c r="K61" s="1927" t="n"/>
      <c r="L61" s="1928">
        <f>'Modèle Calcul A-R + miroir'!AV11</f>
        <v/>
      </c>
      <c r="M61" s="1983">
        <f>'Modèle Calcul A-R + miroir'!AW11</f>
        <v/>
      </c>
      <c r="N61" s="913" t="n"/>
      <c r="O61" s="913" t="n"/>
      <c r="P61" s="913" t="n"/>
      <c r="Q61" s="913" t="n"/>
      <c r="R61" s="1925">
        <f>'Modèle Calcul A-R + miroir'!AX11</f>
        <v/>
      </c>
      <c r="S61" s="1983">
        <f>'Modèle Calcul A-R + miroir'!AY11</f>
        <v/>
      </c>
      <c r="T61" s="913" t="n"/>
      <c r="U61" s="913" t="n"/>
      <c r="V61" s="913" t="n"/>
      <c r="W61" s="912" t="n"/>
      <c r="X61" s="912" t="n"/>
    </row>
    <row r="62" ht="29" customHeight="1">
      <c r="A62" s="1922">
        <f>'Modèle Calcul A-R + miroir'!AR12</f>
        <v/>
      </c>
      <c r="B62" s="1923" t="n"/>
      <c r="C62" s="1923" t="n"/>
      <c r="D62" s="1923" t="n"/>
      <c r="E62" s="1924">
        <f>'Modèle Calcul A-R + miroir'!AT12</f>
        <v/>
      </c>
      <c r="F62" s="1925">
        <f>'Modèle Calcul A-R + miroir'!AS12</f>
        <v/>
      </c>
      <c r="G62" s="1926">
        <f>'Modèle Calcul A-R + miroir'!AU12</f>
        <v/>
      </c>
      <c r="H62" s="1927" t="n"/>
      <c r="I62" s="1927" t="n"/>
      <c r="J62" s="1927" t="n"/>
      <c r="K62" s="1927" t="n"/>
      <c r="L62" s="1928">
        <f>'Modèle Calcul A-R + miroir'!AV12</f>
        <v/>
      </c>
      <c r="M62" s="1983">
        <f>'Modèle Calcul A-R + miroir'!AW12</f>
        <v/>
      </c>
      <c r="N62" s="913" t="n"/>
      <c r="O62" s="913" t="n"/>
      <c r="P62" s="913" t="n"/>
      <c r="Q62" s="913" t="n"/>
      <c r="R62" s="1925">
        <f>'Modèle Calcul A-R + miroir'!AX12</f>
        <v/>
      </c>
      <c r="S62" s="1983">
        <f>'Modèle Calcul A-R + miroir'!AY12</f>
        <v/>
      </c>
      <c r="T62" s="913" t="n"/>
      <c r="U62" s="913" t="n"/>
      <c r="V62" s="913" t="n"/>
      <c r="W62" s="912" t="n"/>
      <c r="X62" s="912" t="n"/>
    </row>
    <row r="63" ht="29" customHeight="1">
      <c r="A63" s="1922">
        <f>'Modèle Calcul A-R + miroir'!AR13</f>
        <v/>
      </c>
      <c r="B63" s="1923" t="n"/>
      <c r="C63" s="1923" t="n"/>
      <c r="D63" s="1923" t="n"/>
      <c r="E63" s="1924">
        <f>'Modèle Calcul A-R + miroir'!AT13</f>
        <v/>
      </c>
      <c r="F63" s="1925">
        <f>'Modèle Calcul A-R + miroir'!AS13</f>
        <v/>
      </c>
      <c r="G63" s="1926">
        <f>'Modèle Calcul A-R + miroir'!AU13</f>
        <v/>
      </c>
      <c r="H63" s="1927" t="n"/>
      <c r="I63" s="1927" t="n"/>
      <c r="J63" s="1927" t="n"/>
      <c r="K63" s="1927" t="n"/>
      <c r="L63" s="1928">
        <f>'Modèle Calcul A-R + miroir'!AV13</f>
        <v/>
      </c>
      <c r="M63" s="1983">
        <f>'Modèle Calcul A-R + miroir'!AW13</f>
        <v/>
      </c>
      <c r="N63" s="913" t="n"/>
      <c r="O63" s="913" t="n"/>
      <c r="P63" s="913" t="n"/>
      <c r="Q63" s="913" t="n"/>
      <c r="R63" s="1925">
        <f>'Modèle Calcul A-R + miroir'!AX13</f>
        <v/>
      </c>
      <c r="S63" s="1983">
        <f>'Modèle Calcul A-R + miroir'!AY13</f>
        <v/>
      </c>
      <c r="T63" s="913" t="n"/>
      <c r="U63" s="913" t="n"/>
      <c r="V63" s="913" t="n"/>
      <c r="W63" s="912" t="n"/>
      <c r="X63" s="912" t="n"/>
    </row>
    <row r="64" ht="29" customHeight="1">
      <c r="A64" s="1922">
        <f>'Modèle Calcul A-R + miroir'!AR14</f>
        <v/>
      </c>
      <c r="B64" s="1923" t="n"/>
      <c r="C64" s="1923" t="n"/>
      <c r="D64" s="1923" t="n"/>
      <c r="E64" s="1924">
        <f>'Modèle Calcul A-R + miroir'!AT14</f>
        <v/>
      </c>
      <c r="F64" s="1925">
        <f>'Modèle Calcul A-R + miroir'!AS14</f>
        <v/>
      </c>
      <c r="G64" s="1926">
        <f>'Modèle Calcul A-R + miroir'!AU14</f>
        <v/>
      </c>
      <c r="H64" s="1927" t="n"/>
      <c r="I64" s="1927" t="n"/>
      <c r="J64" s="1927" t="n"/>
      <c r="K64" s="1927" t="n"/>
      <c r="L64" s="1928">
        <f>'Modèle Calcul A-R + miroir'!AV14</f>
        <v/>
      </c>
      <c r="M64" s="1983">
        <f>'Modèle Calcul A-R + miroir'!AW14</f>
        <v/>
      </c>
      <c r="N64" s="913" t="n"/>
      <c r="O64" s="913" t="n"/>
      <c r="P64" s="913" t="n"/>
      <c r="Q64" s="913" t="n"/>
      <c r="R64" s="1925">
        <f>'Modèle Calcul A-R + miroir'!AX14</f>
        <v/>
      </c>
      <c r="S64" s="1983">
        <f>'Modèle Calcul A-R + miroir'!AY14</f>
        <v/>
      </c>
      <c r="T64" s="913" t="n"/>
      <c r="U64" s="913" t="n"/>
      <c r="V64" s="913" t="n"/>
      <c r="W64" s="912" t="n"/>
      <c r="X64" s="912" t="n"/>
    </row>
    <row r="65" ht="29" customHeight="1">
      <c r="A65" s="1922">
        <f>'Modèle Calcul A-R + miroir'!AR15</f>
        <v/>
      </c>
      <c r="B65" s="1923" t="n"/>
      <c r="C65" s="1923" t="n"/>
      <c r="D65" s="1923" t="n"/>
      <c r="E65" s="1924">
        <f>'Modèle Calcul A-R + miroir'!AT15</f>
        <v/>
      </c>
      <c r="F65" s="1925">
        <f>'Modèle Calcul A-R + miroir'!AS15</f>
        <v/>
      </c>
      <c r="G65" s="1926">
        <f>'Modèle Calcul A-R + miroir'!AU15</f>
        <v/>
      </c>
      <c r="H65" s="1927" t="n"/>
      <c r="I65" s="1927" t="n"/>
      <c r="J65" s="1927" t="n"/>
      <c r="K65" s="1927" t="n"/>
      <c r="L65" s="1928">
        <f>'Modèle Calcul A-R + miroir'!AV15</f>
        <v/>
      </c>
      <c r="M65" s="1983">
        <f>'Modèle Calcul A-R + miroir'!AW15</f>
        <v/>
      </c>
      <c r="N65" s="913" t="n"/>
      <c r="O65" s="913" t="n"/>
      <c r="P65" s="913" t="n"/>
      <c r="Q65" s="913" t="n"/>
      <c r="R65" s="1925">
        <f>'Modèle Calcul A-R + miroir'!AX15</f>
        <v/>
      </c>
      <c r="S65" s="1983">
        <f>'Modèle Calcul A-R + miroir'!AY15</f>
        <v/>
      </c>
      <c r="T65" s="913" t="n"/>
      <c r="U65" s="913" t="n"/>
      <c r="V65" s="913" t="n"/>
      <c r="W65" s="912" t="n"/>
      <c r="X65" s="912" t="n"/>
    </row>
    <row r="66" ht="29" customHeight="1">
      <c r="A66" s="1922">
        <f>'Modèle Calcul A-R + miroir'!AR16</f>
        <v/>
      </c>
      <c r="B66" s="1923" t="n"/>
      <c r="C66" s="1923" t="n"/>
      <c r="D66" s="1923" t="n"/>
      <c r="E66" s="1924">
        <f>'Modèle Calcul A-R + miroir'!AT16</f>
        <v/>
      </c>
      <c r="F66" s="1925">
        <f>'Modèle Calcul A-R + miroir'!AS16</f>
        <v/>
      </c>
      <c r="G66" s="1926">
        <f>'Modèle Calcul A-R + miroir'!AU16</f>
        <v/>
      </c>
      <c r="H66" s="1927" t="n"/>
      <c r="I66" s="1927" t="n"/>
      <c r="J66" s="1927" t="n"/>
      <c r="K66" s="1927" t="n"/>
      <c r="L66" s="1928">
        <f>'Modèle Calcul A-R + miroir'!AV16</f>
        <v/>
      </c>
      <c r="M66" s="1983">
        <f>'Modèle Calcul A-R + miroir'!AW16</f>
        <v/>
      </c>
      <c r="N66" s="913" t="n"/>
      <c r="O66" s="913" t="n"/>
      <c r="P66" s="913" t="n"/>
      <c r="Q66" s="913" t="n"/>
      <c r="R66" s="1925">
        <f>'Modèle Calcul A-R + miroir'!AX16</f>
        <v/>
      </c>
      <c r="S66" s="1983">
        <f>'Modèle Calcul A-R + miroir'!AY16</f>
        <v/>
      </c>
      <c r="T66" s="913" t="n"/>
      <c r="U66" s="913" t="n"/>
      <c r="V66" s="913" t="n"/>
      <c r="W66" s="912" t="n"/>
      <c r="X66" s="912" t="n"/>
    </row>
    <row r="67" ht="29" customHeight="1">
      <c r="A67" s="1922">
        <f>'Modèle Calcul A-R + miroir'!AR17</f>
        <v/>
      </c>
      <c r="B67" s="1923" t="n"/>
      <c r="C67" s="1923" t="n"/>
      <c r="D67" s="1923" t="n"/>
      <c r="E67" s="1924">
        <f>'Modèle Calcul A-R + miroir'!AT17</f>
        <v/>
      </c>
      <c r="F67" s="1925">
        <f>'Modèle Calcul A-R + miroir'!AS17</f>
        <v/>
      </c>
      <c r="G67" s="1926">
        <f>'Modèle Calcul A-R + miroir'!AU17</f>
        <v/>
      </c>
      <c r="H67" s="1927" t="n"/>
      <c r="I67" s="1927" t="n"/>
      <c r="J67" s="1927" t="n"/>
      <c r="K67" s="1927" t="n"/>
      <c r="L67" s="1928">
        <f>'Modèle Calcul A-R + miroir'!AV17</f>
        <v/>
      </c>
      <c r="M67" s="1983">
        <f>'Modèle Calcul A-R + miroir'!AW17</f>
        <v/>
      </c>
      <c r="N67" s="913" t="n"/>
      <c r="O67" s="913" t="n"/>
      <c r="P67" s="913" t="n"/>
      <c r="Q67" s="913" t="n"/>
      <c r="R67" s="1925">
        <f>'Modèle Calcul A-R + miroir'!AX17</f>
        <v/>
      </c>
      <c r="S67" s="1983">
        <f>'Modèle Calcul A-R + miroir'!AY17</f>
        <v/>
      </c>
      <c r="T67" s="913" t="n"/>
      <c r="U67" s="913" t="n"/>
      <c r="V67" s="913" t="n"/>
      <c r="W67" s="912" t="n"/>
      <c r="X67" s="912" t="n"/>
    </row>
    <row r="68" ht="36" customHeight="1">
      <c r="A68" s="1922">
        <f>'Modèle Calcul A-R + miroir'!AR18</f>
        <v/>
      </c>
      <c r="B68" s="1923" t="n"/>
      <c r="C68" s="1923" t="n"/>
      <c r="D68" s="1923" t="n"/>
      <c r="E68" s="1924">
        <f>'Modèle Calcul A-R + miroir'!AT18</f>
        <v/>
      </c>
      <c r="F68" s="1925">
        <f>'Modèle Calcul A-R + miroir'!AS18</f>
        <v/>
      </c>
      <c r="G68" s="1926">
        <f>'Modèle Calcul A-R + miroir'!AU18</f>
        <v/>
      </c>
      <c r="H68" s="1927" t="n"/>
      <c r="I68" s="1927" t="n"/>
      <c r="J68" s="1927" t="n"/>
      <c r="K68" s="1927" t="n"/>
      <c r="L68" s="1928">
        <f>'Modèle Calcul A-R + miroir'!AV18</f>
        <v/>
      </c>
      <c r="M68" s="1983">
        <f>'Modèle Calcul A-R + miroir'!AW18</f>
        <v/>
      </c>
      <c r="N68" s="913" t="n"/>
      <c r="O68" s="913" t="n"/>
      <c r="P68" s="913" t="n"/>
      <c r="Q68" s="913" t="n"/>
      <c r="R68" s="1925">
        <f>'Modèle Calcul A-R + miroir'!AX18</f>
        <v/>
      </c>
      <c r="S68" s="1983">
        <f>'Modèle Calcul A-R + miroir'!AY18</f>
        <v/>
      </c>
      <c r="T68" s="913" t="n"/>
      <c r="U68" s="913" t="n"/>
      <c r="V68" s="913" t="n"/>
      <c r="W68" s="912" t="n"/>
      <c r="X68" s="912" t="n"/>
    </row>
    <row r="69" ht="39" customHeight="1">
      <c r="A69" s="1922">
        <f>'Modèle Calcul A-R + miroir'!AR19</f>
        <v/>
      </c>
      <c r="B69" s="1923" t="n"/>
      <c r="C69" s="1923" t="n"/>
      <c r="D69" s="1923" t="n"/>
      <c r="E69" s="1924">
        <f>'Modèle Calcul A-R + miroir'!AT19</f>
        <v/>
      </c>
      <c r="F69" s="1925">
        <f>'Modèle Calcul A-R + miroir'!AS19</f>
        <v/>
      </c>
      <c r="G69" s="1926">
        <f>'Modèle Calcul A-R + miroir'!AU19</f>
        <v/>
      </c>
      <c r="H69" s="1927" t="n"/>
      <c r="I69" s="1927" t="n"/>
      <c r="J69" s="1927" t="n"/>
      <c r="K69" s="1927" t="n"/>
      <c r="L69" s="1928">
        <f>'Modèle Calcul A-R + miroir'!AV19</f>
        <v/>
      </c>
      <c r="M69" s="1983">
        <f>'Modèle Calcul A-R + miroir'!AW19</f>
        <v/>
      </c>
      <c r="N69" s="913" t="n"/>
      <c r="O69" s="913" t="n"/>
      <c r="P69" s="913" t="n"/>
      <c r="Q69" s="913" t="n"/>
      <c r="R69" s="1925">
        <f>'Modèle Calcul A-R + miroir'!AX19</f>
        <v/>
      </c>
      <c r="S69" s="1983">
        <f>'Modèle Calcul A-R + miroir'!AY19</f>
        <v/>
      </c>
      <c r="T69" s="913" t="n"/>
      <c r="U69" s="913" t="n"/>
      <c r="V69" s="913" t="n"/>
      <c r="W69" s="912" t="n"/>
      <c r="X69" s="912" t="n"/>
    </row>
    <row r="70" ht="29" customHeight="1">
      <c r="A70" s="913">
        <f>'Modèle Calcul A-R + miroir'!AR20</f>
        <v/>
      </c>
      <c r="B70" s="914" t="n"/>
      <c r="C70" s="914" t="n"/>
      <c r="D70" s="914" t="n"/>
      <c r="E70" s="915">
        <f>'Modèle Calcul A-R + miroir'!AT20</f>
        <v/>
      </c>
      <c r="F70" s="916">
        <f>'Modèle Calcul A-R + miroir'!AS20</f>
        <v/>
      </c>
      <c r="G70" s="917">
        <f>'Modèle Calcul A-R + miroir'!AU20</f>
        <v/>
      </c>
      <c r="H70" s="918" t="n"/>
      <c r="I70" s="918" t="n"/>
      <c r="J70" s="918" t="n"/>
      <c r="K70" s="918" t="n"/>
      <c r="L70" s="919">
        <f>'Modèle Calcul A-R + miroir'!AV20</f>
        <v/>
      </c>
      <c r="M70" s="1981">
        <f>'Modèle Calcul A-R + miroir'!AW20</f>
        <v/>
      </c>
      <c r="N70" s="913" t="n"/>
      <c r="O70" s="913" t="n"/>
      <c r="P70" s="913" t="n"/>
      <c r="Q70" s="913" t="n"/>
      <c r="R70" s="916">
        <f>'Modèle Calcul A-R + miroir'!AX20</f>
        <v/>
      </c>
      <c r="S70" s="1981">
        <f>'Modèle Calcul A-R + miroir'!AY20</f>
        <v/>
      </c>
      <c r="T70" s="913" t="n"/>
      <c r="U70" s="913" t="n"/>
      <c r="V70" s="913" t="n"/>
      <c r="W70" s="912" t="n"/>
      <c r="X70" s="912" t="n"/>
    </row>
    <row r="71" ht="29" customHeight="1">
      <c r="A71" s="913">
        <f>'Modèle Calcul A-R + miroir'!AR21</f>
        <v/>
      </c>
      <c r="B71" s="914" t="n"/>
      <c r="C71" s="914" t="n"/>
      <c r="D71" s="914" t="n"/>
      <c r="E71" s="915">
        <f>'Modèle Calcul A-R + miroir'!AT21</f>
        <v/>
      </c>
      <c r="F71" s="916">
        <f>'Modèle Calcul A-R + miroir'!AS21</f>
        <v/>
      </c>
      <c r="G71" s="917">
        <f>'Modèle Calcul A-R + miroir'!AU21</f>
        <v/>
      </c>
      <c r="H71" s="918" t="n"/>
      <c r="I71" s="918" t="n"/>
      <c r="J71" s="918" t="n"/>
      <c r="K71" s="918" t="n"/>
      <c r="L71" s="919">
        <f>'Modèle Calcul A-R + miroir'!AV21</f>
        <v/>
      </c>
      <c r="M71" s="1981">
        <f>'Modèle Calcul A-R + miroir'!AW21</f>
        <v/>
      </c>
      <c r="N71" s="913" t="n"/>
      <c r="O71" s="913" t="n"/>
      <c r="P71" s="913" t="n"/>
      <c r="Q71" s="913" t="n"/>
      <c r="R71" s="916">
        <f>'Modèle Calcul A-R + miroir'!AX21</f>
        <v/>
      </c>
      <c r="S71" s="1981">
        <f>'Modèle Calcul A-R + miroir'!AY21</f>
        <v/>
      </c>
      <c r="T71" s="913" t="n"/>
      <c r="U71" s="913" t="n"/>
      <c r="V71" s="913" t="n"/>
      <c r="W71" s="912" t="n"/>
      <c r="X71" s="912" t="n"/>
    </row>
    <row r="72" ht="29" customHeight="1">
      <c r="A72" s="913">
        <f>'Modèle Calcul A-R + miroir'!AR22</f>
        <v/>
      </c>
      <c r="B72" s="914" t="n"/>
      <c r="C72" s="914" t="n"/>
      <c r="D72" s="914" t="n"/>
      <c r="E72" s="915">
        <f>'Modèle Calcul A-R + miroir'!AT22</f>
        <v/>
      </c>
      <c r="F72" s="916">
        <f>'Modèle Calcul A-R + miroir'!AS22</f>
        <v/>
      </c>
      <c r="G72" s="917">
        <f>'Modèle Calcul A-R + miroir'!AU22</f>
        <v/>
      </c>
      <c r="H72" s="918" t="n"/>
      <c r="I72" s="918" t="n"/>
      <c r="J72" s="918" t="n"/>
      <c r="K72" s="918" t="n"/>
      <c r="L72" s="919">
        <f>'Modèle Calcul A-R + miroir'!AV22</f>
        <v/>
      </c>
      <c r="M72" s="1981">
        <f>'Modèle Calcul A-R + miroir'!AW22</f>
        <v/>
      </c>
      <c r="N72" s="913" t="n"/>
      <c r="O72" s="913" t="n"/>
      <c r="P72" s="913" t="n"/>
      <c r="Q72" s="913" t="n"/>
      <c r="R72" s="916">
        <f>'Modèle Calcul A-R + miroir'!AX22</f>
        <v/>
      </c>
      <c r="S72" s="1981">
        <f>'Modèle Calcul A-R + miroir'!AY22</f>
        <v/>
      </c>
      <c r="T72" s="913" t="n"/>
      <c r="U72" s="913" t="n"/>
      <c r="V72" s="913" t="n"/>
      <c r="W72" s="912" t="n"/>
      <c r="X72" s="912" t="n"/>
    </row>
    <row r="73" ht="29" customHeight="1">
      <c r="A73" s="913">
        <f>'Modèle Calcul A-R + miroir'!AR23</f>
        <v/>
      </c>
      <c r="B73" s="914" t="n"/>
      <c r="C73" s="914" t="n"/>
      <c r="D73" s="914" t="n"/>
      <c r="E73" s="915">
        <f>'Modèle Calcul A-R + miroir'!AT23</f>
        <v/>
      </c>
      <c r="F73" s="916">
        <f>'Modèle Calcul A-R + miroir'!AS23</f>
        <v/>
      </c>
      <c r="G73" s="1981">
        <f>'Modèle Calcul A-R + miroir'!AU23</f>
        <v/>
      </c>
      <c r="H73" s="913" t="n"/>
      <c r="I73" s="913" t="n"/>
      <c r="J73" s="913" t="n"/>
      <c r="K73" s="913" t="n"/>
      <c r="L73" s="919">
        <f>'Modèle Calcul A-R + miroir'!AV23</f>
        <v/>
      </c>
      <c r="M73" s="1982">
        <f>'Modèle Calcul A-R + miroir'!AW23</f>
        <v/>
      </c>
      <c r="N73" s="913" t="n"/>
      <c r="O73" s="913" t="n"/>
      <c r="P73" s="913" t="n"/>
      <c r="Q73" s="913" t="n"/>
      <c r="R73" s="916">
        <f>'Modèle Calcul A-R + miroir'!AX23</f>
        <v/>
      </c>
      <c r="S73" s="1981">
        <f>'Modèle Calcul A-R + miroir'!AY23</f>
        <v/>
      </c>
      <c r="T73" s="913" t="n"/>
      <c r="U73" s="913" t="n"/>
      <c r="V73" s="913" t="n"/>
      <c r="W73" s="912" t="n"/>
      <c r="X73" s="912" t="n"/>
    </row>
    <row r="74" ht="29" customHeight="1">
      <c r="A74" s="913">
        <f>'Modèle Calcul A-R + miroir'!AR24</f>
        <v/>
      </c>
      <c r="B74" s="914" t="n"/>
      <c r="C74" s="914" t="n"/>
      <c r="D74" s="914" t="n"/>
      <c r="E74" s="915">
        <f>'Modèle Calcul A-R + miroir'!AT24</f>
        <v/>
      </c>
      <c r="F74" s="916">
        <f>'Modèle Calcul A-R + miroir'!AS24</f>
        <v/>
      </c>
      <c r="G74" s="917">
        <f>'Modèle Calcul A-R + miroir'!AU24</f>
        <v/>
      </c>
      <c r="H74" s="918" t="n"/>
      <c r="I74" s="918" t="n"/>
      <c r="J74" s="918" t="n"/>
      <c r="K74" s="918" t="n"/>
      <c r="L74" s="919">
        <f>'Modèle Calcul A-R + miroir'!AV24</f>
        <v/>
      </c>
      <c r="M74" s="1981">
        <f>'Modèle Calcul A-R + miroir'!AW24</f>
        <v/>
      </c>
      <c r="N74" s="913" t="n"/>
      <c r="O74" s="913" t="n"/>
      <c r="P74" s="913" t="n"/>
      <c r="Q74" s="913" t="n"/>
      <c r="R74" s="916">
        <f>'Modèle Calcul A-R + miroir'!AX24</f>
        <v/>
      </c>
      <c r="S74" s="1981">
        <f>'Modèle Calcul A-R + miroir'!AY24</f>
        <v/>
      </c>
      <c r="T74" s="913" t="n"/>
      <c r="U74" s="913" t="n"/>
      <c r="V74" s="913" t="n"/>
      <c r="W74" s="912" t="n"/>
      <c r="X74" s="912" t="n"/>
    </row>
    <row r="75" ht="29" customHeight="1">
      <c r="A75" s="913">
        <f>'Modèle Calcul A-R + miroir'!AR25</f>
        <v/>
      </c>
      <c r="B75" s="914" t="n"/>
      <c r="C75" s="914" t="n"/>
      <c r="D75" s="914" t="n"/>
      <c r="E75" s="915">
        <f>'Modèle Calcul A-R + miroir'!AT25</f>
        <v/>
      </c>
      <c r="F75" s="916">
        <f>'Modèle Calcul A-R + miroir'!AS25</f>
        <v/>
      </c>
      <c r="G75" s="917">
        <f>'Modèle Calcul A-R + miroir'!AU25</f>
        <v/>
      </c>
      <c r="H75" s="918" t="n"/>
      <c r="I75" s="918" t="n"/>
      <c r="J75" s="918" t="n"/>
      <c r="K75" s="918" t="n"/>
      <c r="L75" s="919">
        <f>'Modèle Calcul A-R + miroir'!AV25</f>
        <v/>
      </c>
      <c r="M75" s="1982">
        <f>'Modèle Calcul A-R + miroir'!AW25</f>
        <v/>
      </c>
      <c r="N75" s="913" t="n"/>
      <c r="O75" s="913" t="n"/>
      <c r="P75" s="913" t="n"/>
      <c r="Q75" s="913" t="n"/>
      <c r="R75" s="916">
        <f>'Modèle Calcul A-R + miroir'!AX25</f>
        <v/>
      </c>
      <c r="S75" s="1981">
        <f>'Modèle Calcul A-R + miroir'!AY25</f>
        <v/>
      </c>
      <c r="T75" s="913" t="n"/>
      <c r="U75" s="913" t="n"/>
      <c r="V75" s="913" t="n"/>
      <c r="W75" s="912" t="n"/>
      <c r="X75" s="912" t="n"/>
    </row>
    <row r="76" ht="29" customHeight="1">
      <c r="A76" s="913">
        <f>'Modèle Calcul A-R + miroir'!AR26</f>
        <v/>
      </c>
      <c r="B76" s="914" t="n"/>
      <c r="C76" s="914" t="n"/>
      <c r="D76" s="914" t="n"/>
      <c r="E76" s="915">
        <f>'Modèle Calcul A-R + miroir'!AT26</f>
        <v/>
      </c>
      <c r="F76" s="916">
        <f>'Modèle Calcul A-R + miroir'!AS26</f>
        <v/>
      </c>
      <c r="G76" s="917">
        <f>'Modèle Calcul A-R + miroir'!AU26</f>
        <v/>
      </c>
      <c r="H76" s="918" t="n"/>
      <c r="I76" s="918" t="n"/>
      <c r="J76" s="918" t="n"/>
      <c r="K76" s="918" t="n"/>
      <c r="L76" s="919">
        <f>'Modèle Calcul A-R + miroir'!AV26</f>
        <v/>
      </c>
      <c r="M76" s="1981">
        <f>'Modèle Calcul A-R + miroir'!AW26</f>
        <v/>
      </c>
      <c r="N76" s="913" t="n"/>
      <c r="O76" s="913" t="n"/>
      <c r="P76" s="913" t="n"/>
      <c r="Q76" s="913" t="n"/>
      <c r="R76" s="916">
        <f>'Modèle Calcul A-R + miroir'!AX26</f>
        <v/>
      </c>
      <c r="S76" s="1981">
        <f>'Modèle Calcul A-R + miroir'!AY26</f>
        <v/>
      </c>
      <c r="T76" s="913" t="n"/>
      <c r="U76" s="913" t="n"/>
      <c r="V76" s="913" t="n"/>
      <c r="W76" s="912" t="n"/>
      <c r="X76" s="912" t="n"/>
    </row>
    <row r="77" ht="29" customHeight="1">
      <c r="A77" s="913">
        <f>'Modèle Calcul A-R + miroir'!AR27</f>
        <v/>
      </c>
      <c r="B77" s="914" t="n"/>
      <c r="C77" s="914" t="n"/>
      <c r="D77" s="914" t="n"/>
      <c r="E77" s="915">
        <f>'Modèle Calcul A-R + miroir'!AT27</f>
        <v/>
      </c>
      <c r="F77" s="916">
        <f>'Modèle Calcul A-R + miroir'!AS27</f>
        <v/>
      </c>
      <c r="G77" s="917">
        <f>'Modèle Calcul A-R + miroir'!AU27</f>
        <v/>
      </c>
      <c r="H77" s="918" t="n"/>
      <c r="I77" s="918" t="n"/>
      <c r="J77" s="918" t="n"/>
      <c r="K77" s="918" t="n"/>
      <c r="L77" s="919">
        <f>'Modèle Calcul A-R + miroir'!AV27</f>
        <v/>
      </c>
      <c r="M77" s="1981">
        <f>'Modèle Calcul A-R + miroir'!AW27</f>
        <v/>
      </c>
      <c r="N77" s="913" t="n"/>
      <c r="O77" s="913" t="n"/>
      <c r="P77" s="913" t="n"/>
      <c r="Q77" s="913" t="n"/>
      <c r="R77" s="916">
        <f>'Modèle Calcul A-R + miroir'!AX27</f>
        <v/>
      </c>
      <c r="S77" s="1981">
        <f>'Modèle Calcul A-R + miroir'!AY27</f>
        <v/>
      </c>
      <c r="T77" s="913" t="n"/>
      <c r="U77" s="913" t="n"/>
      <c r="V77" s="913" t="n"/>
      <c r="W77" s="912" t="n"/>
      <c r="X77" s="912" t="n"/>
    </row>
    <row r="78" ht="29" customHeight="1">
      <c r="A78" s="913">
        <f>'Modèle Calcul A-R + miroir'!AR28</f>
        <v/>
      </c>
      <c r="B78" s="914" t="n"/>
      <c r="C78" s="914" t="n"/>
      <c r="D78" s="914" t="n"/>
      <c r="E78" s="915">
        <f>'Modèle Calcul A-R + miroir'!AT28</f>
        <v/>
      </c>
      <c r="F78" s="916">
        <f>'Modèle Calcul A-R + miroir'!AS28</f>
        <v/>
      </c>
      <c r="G78" s="917">
        <f>'Modèle Calcul A-R + miroir'!AU28</f>
        <v/>
      </c>
      <c r="H78" s="918" t="n"/>
      <c r="I78" s="918" t="n"/>
      <c r="J78" s="918" t="n"/>
      <c r="K78" s="918" t="n"/>
      <c r="L78" s="919">
        <f>'Modèle Calcul A-R + miroir'!AV28</f>
        <v/>
      </c>
      <c r="M78" s="1981">
        <f>'Modèle Calcul A-R + miroir'!AW28</f>
        <v/>
      </c>
      <c r="N78" s="913" t="n"/>
      <c r="O78" s="913" t="n"/>
      <c r="P78" s="913" t="n"/>
      <c r="Q78" s="913" t="n"/>
      <c r="R78" s="916">
        <f>'Modèle Calcul A-R + miroir'!AX28</f>
        <v/>
      </c>
      <c r="S78" s="1981">
        <f>'Modèle Calcul A-R + miroir'!AY28</f>
        <v/>
      </c>
      <c r="T78" s="913" t="n"/>
      <c r="U78" s="913" t="n"/>
      <c r="V78" s="913" t="n"/>
      <c r="W78" s="912" t="n"/>
      <c r="X78" s="912" t="n"/>
    </row>
    <row r="79" ht="29" customHeight="1">
      <c r="A79" s="104" t="n"/>
      <c r="B79" s="477" t="n"/>
      <c r="C79" s="477" t="n"/>
      <c r="D79" s="477" t="n"/>
      <c r="F79" s="912" t="n"/>
      <c r="G79" s="912" t="n"/>
      <c r="H79" s="912" t="n"/>
      <c r="I79" s="912" t="n"/>
      <c r="J79" s="912" t="n"/>
      <c r="K79" s="912" t="n"/>
      <c r="L79" s="912" t="n"/>
      <c r="M79" s="912" t="n"/>
      <c r="N79" s="912" t="n"/>
      <c r="O79" s="912" t="n"/>
      <c r="P79" s="912" t="n"/>
      <c r="Q79" s="912" t="n"/>
      <c r="R79" s="912" t="n"/>
      <c r="S79" s="912" t="n"/>
      <c r="T79" s="912" t="n"/>
      <c r="U79" s="912" t="n"/>
      <c r="V79" s="912" t="n"/>
      <c r="W79" s="912" t="n"/>
      <c r="X79" s="912" t="n"/>
    </row>
    <row r="80" ht="29" customHeight="1">
      <c r="A80" s="477" t="n"/>
      <c r="B80" s="477" t="n"/>
      <c r="C80" s="477" t="n"/>
      <c r="D80" s="477" t="n"/>
      <c r="R80" s="476" t="inlineStr">
        <is>
          <t>L'enfant répond aux comportements aliénants suivants du parent favorisé</t>
        </is>
      </c>
    </row>
    <row r="81" ht="29" customHeight="1">
      <c r="A81" s="477" t="n"/>
      <c r="B81" s="477" t="n"/>
      <c r="C81" s="477" t="n"/>
      <c r="D81" s="477" t="n"/>
      <c r="R81">
        <f>'Modèle Calcul A-R + miroir'!AU4</f>
        <v/>
      </c>
      <c r="V81" s="73">
        <f>'Modèle Calcul A-R + miroir'!AT4</f>
        <v/>
      </c>
    </row>
    <row r="82" ht="29" customHeight="1">
      <c r="A82" s="477" t="n"/>
      <c r="B82" s="477" t="n"/>
      <c r="C82" s="477" t="n"/>
      <c r="D82" s="477" t="n"/>
      <c r="R82" s="1574">
        <f>'Modèle Calcul A-R + miroir'!AU5</f>
        <v/>
      </c>
      <c r="V82" s="73">
        <f>'Modèle Calcul A-R + miroir'!AT5</f>
        <v/>
      </c>
    </row>
    <row r="83" ht="29" customHeight="1">
      <c r="A83" s="477" t="n"/>
      <c r="B83" s="477" t="n"/>
      <c r="C83" s="477" t="n"/>
      <c r="D83" s="477" t="n"/>
      <c r="R83" s="1574">
        <f>'Modèle Calcul A-R + miroir'!AU6</f>
        <v/>
      </c>
      <c r="V83" s="73">
        <f>'Modèle Calcul A-R + miroir'!AT6</f>
        <v/>
      </c>
    </row>
    <row r="84" ht="29" customHeight="1">
      <c r="A84" s="477" t="n"/>
      <c r="B84" s="477" t="n"/>
      <c r="C84" s="477" t="n"/>
      <c r="D84" s="477" t="n"/>
      <c r="R84" s="1574">
        <f>'Modèle Calcul A-R + miroir'!AU7</f>
        <v/>
      </c>
      <c r="V84" s="73">
        <f>'Modèle Calcul A-R + miroir'!AT7</f>
        <v/>
      </c>
    </row>
    <row r="85" ht="29" customHeight="1">
      <c r="A85" s="477" t="n"/>
      <c r="B85" s="477" t="n"/>
      <c r="C85" s="477" t="n"/>
      <c r="D85" s="477" t="n"/>
      <c r="R85" s="1574">
        <f>'Modèle Calcul A-R + miroir'!AU8</f>
        <v/>
      </c>
      <c r="V85" s="73">
        <f>'Modèle Calcul A-R + miroir'!AT8</f>
        <v/>
      </c>
    </row>
    <row r="86" ht="29" customHeight="1">
      <c r="A86" s="477" t="n"/>
      <c r="B86" s="477" t="n"/>
      <c r="C86" s="477" t="n"/>
      <c r="D86" s="477" t="n"/>
      <c r="R86" s="1574">
        <f>'Modèle Calcul A-R + miroir'!AU9</f>
        <v/>
      </c>
      <c r="V86" s="73">
        <f>'Modèle Calcul A-R + miroir'!AT9</f>
        <v/>
      </c>
    </row>
    <row r="87" ht="29" customHeight="1">
      <c r="A87" s="477" t="n"/>
      <c r="B87" s="477" t="n"/>
      <c r="C87" s="477" t="n"/>
      <c r="D87" s="477" t="n"/>
      <c r="R87" s="1574">
        <f>'Modèle Calcul A-R + miroir'!AU10</f>
        <v/>
      </c>
      <c r="V87" s="73">
        <f>'Modèle Calcul A-R + miroir'!AT10</f>
        <v/>
      </c>
    </row>
    <row r="88" ht="29" customHeight="1">
      <c r="A88" s="477" t="n"/>
      <c r="B88" s="477" t="n"/>
      <c r="C88" s="477" t="n"/>
      <c r="D88" s="477" t="n"/>
      <c r="R88" s="1574">
        <f>'Modèle Calcul A-R + miroir'!AU11</f>
        <v/>
      </c>
      <c r="V88" s="73">
        <f>'Modèle Calcul A-R + miroir'!AT11</f>
        <v/>
      </c>
    </row>
    <row r="89" ht="29" customHeight="1">
      <c r="A89" s="477" t="n"/>
      <c r="B89" s="477" t="n"/>
      <c r="C89" s="477" t="n"/>
      <c r="D89" s="477" t="n"/>
      <c r="R89" s="1574">
        <f>'Modèle Calcul A-R + miroir'!AU14</f>
        <v/>
      </c>
      <c r="V89" s="73">
        <f>'Modèle Calcul A-R + miroir'!AT14</f>
        <v/>
      </c>
    </row>
    <row r="90" ht="29" customHeight="1">
      <c r="A90" s="477" t="n"/>
      <c r="B90" s="477" t="n"/>
      <c r="C90" s="477" t="n"/>
      <c r="D90" s="477" t="n"/>
      <c r="R90" s="1574">
        <f>'Modèle Calcul A-R + miroir'!AU18</f>
        <v/>
      </c>
      <c r="V90" s="73">
        <f>'Modèle Calcul A-R + miroir'!AT18</f>
        <v/>
      </c>
    </row>
    <row r="91" ht="29" customHeight="1">
      <c r="A91" s="477" t="n"/>
      <c r="B91" s="477" t="n"/>
      <c r="C91" s="477" t="n"/>
      <c r="D91" s="477" t="n"/>
      <c r="R91" s="1574">
        <f>'Modèle Calcul A-R + miroir'!AU22</f>
        <v/>
      </c>
      <c r="V91" s="73">
        <f>'Modèle Calcul A-R + miroir'!AT22</f>
        <v/>
      </c>
    </row>
    <row r="92" ht="29" customHeight="1">
      <c r="A92" s="477" t="n"/>
      <c r="B92" s="477" t="n"/>
      <c r="C92" s="477" t="n"/>
      <c r="D92" s="477" t="n"/>
      <c r="R92" s="1574">
        <f>'Modèle Calcul A-R + miroir'!AU23</f>
        <v/>
      </c>
      <c r="V92" s="73">
        <f>'Modèle Calcul A-R + miroir'!AT23</f>
        <v/>
      </c>
    </row>
    <row r="93" ht="29" customHeight="1">
      <c r="A93" s="477" t="n"/>
      <c r="B93" s="477" t="n"/>
      <c r="C93" s="477" t="n"/>
      <c r="D93" s="477" t="n"/>
      <c r="R93" s="1574">
        <f>'Modèle Calcul A-R + miroir'!AU25</f>
        <v/>
      </c>
      <c r="V93" s="73">
        <f>'Modèle Calcul A-R + miroir'!AT25</f>
        <v/>
      </c>
    </row>
    <row r="94" ht="29" customHeight="1">
      <c r="A94" s="477" t="n"/>
      <c r="B94" s="477" t="n"/>
      <c r="C94" s="477" t="n"/>
      <c r="D94" s="477" t="n"/>
      <c r="R94" s="1574">
        <f>'Modèle Calcul A-R + miroir'!AU26</f>
        <v/>
      </c>
      <c r="V94" s="73">
        <f>'Modèle Calcul A-R + miroir'!AT26</f>
        <v/>
      </c>
    </row>
    <row r="95" ht="29" customHeight="1">
      <c r="A95" s="477" t="n"/>
      <c r="B95" s="477" t="n"/>
      <c r="C95" s="477" t="n"/>
      <c r="D95" s="477" t="n"/>
      <c r="R95" s="1574">
        <f>'Modèle Calcul A-R + miroir'!AU27</f>
        <v/>
      </c>
      <c r="U95" t="inlineStr">
        <is>
          <t>˜</t>
        </is>
      </c>
      <c r="V95" s="73">
        <f>'Modèle Calcul A-R + miroir'!AT27</f>
        <v/>
      </c>
    </row>
    <row r="96" ht="29" customHeight="1">
      <c r="A96" s="477" t="n"/>
      <c r="B96" s="477" t="n"/>
      <c r="C96" s="477" t="n"/>
      <c r="D96" s="477" t="n"/>
    </row>
    <row r="97" ht="29" customHeight="1">
      <c r="A97" s="477" t="n"/>
      <c r="B97" s="477" t="n"/>
      <c r="C97" s="477" t="n"/>
      <c r="D97" s="477" t="n"/>
    </row>
    <row r="98" ht="29" customHeight="1">
      <c r="A98" s="477" t="n"/>
      <c r="B98" s="477" t="n"/>
      <c r="C98" s="477" t="n"/>
      <c r="D98" s="477" t="n"/>
    </row>
    <row r="99" ht="30" customHeight="1">
      <c r="A99" s="477" t="n"/>
      <c r="B99" s="477" t="n"/>
      <c r="C99" s="477" t="n"/>
      <c r="D99" s="477" t="n"/>
    </row>
    <row r="100" ht="29" customHeight="1">
      <c r="A100" s="49" t="inlineStr">
        <is>
          <t>Alignement ou divergeance des parents selon certains comportements</t>
        </is>
      </c>
      <c r="B100" s="477" t="n"/>
      <c r="C100" s="477" t="n"/>
      <c r="D100" s="477" t="n"/>
    </row>
    <row r="101" ht="29" customHeight="1">
      <c r="A101" s="477" t="n"/>
      <c r="B101" s="477" t="n"/>
      <c r="C101" s="477" t="n"/>
      <c r="D101" s="477" t="n"/>
    </row>
    <row r="102" ht="44" customHeight="1">
      <c r="A102" s="477" t="n"/>
      <c r="B102" s="477" t="n"/>
      <c r="C102" s="477" t="n"/>
      <c r="D102" s="477" t="n"/>
      <c r="Q102" s="924" t="inlineStr">
        <is>
          <t>Voir Fichier " Modèle Calcul Miroir</t>
        </is>
      </c>
    </row>
    <row r="103" ht="44" customHeight="1">
      <c r="A103" s="477" t="n"/>
      <c r="B103" s="477" t="n"/>
      <c r="C103" s="477" t="n"/>
      <c r="D103" s="477" t="n"/>
      <c r="Q103">
        <f>'Modèle Miroir_divergence'!B12</f>
        <v/>
      </c>
      <c r="T103" s="910">
        <f>'Modèle Miroir_divergence'!K12</f>
        <v/>
      </c>
    </row>
    <row r="104" ht="44" customHeight="1">
      <c r="A104" s="477" t="n"/>
      <c r="B104" s="477" t="n"/>
      <c r="C104" s="477" t="n"/>
      <c r="D104" s="477" t="n"/>
      <c r="Q104">
        <f>'Modèle Miroir_divergence'!B13</f>
        <v/>
      </c>
      <c r="T104" s="910">
        <f>'Modèle Miroir_divergence'!K13</f>
        <v/>
      </c>
    </row>
    <row r="105" ht="44" customHeight="1">
      <c r="A105" s="477" t="n"/>
      <c r="B105" s="477" t="n"/>
      <c r="C105" s="477" t="n"/>
      <c r="D105" s="477" t="n"/>
      <c r="Q105">
        <f>'Modèle Miroir_divergence'!B14</f>
        <v/>
      </c>
      <c r="T105" s="910">
        <f>'Modèle Miroir_divergence'!K14</f>
        <v/>
      </c>
    </row>
    <row r="106" ht="44" customHeight="1">
      <c r="A106" s="477" t="n"/>
      <c r="B106" s="477" t="n"/>
      <c r="C106" s="477" t="n"/>
      <c r="D106" s="477" t="n"/>
      <c r="Q106">
        <f>'Modèle Miroir_divergence'!B15</f>
        <v/>
      </c>
      <c r="T106" s="910">
        <f>'Modèle Miroir_divergence'!K15</f>
        <v/>
      </c>
    </row>
    <row r="107" ht="44" customHeight="1">
      <c r="A107" s="477" t="n"/>
      <c r="B107" s="477" t="n"/>
      <c r="C107" s="477" t="n"/>
      <c r="D107" s="477" t="n"/>
      <c r="Q107">
        <f>'Modèle Miroir_divergence'!B19</f>
        <v/>
      </c>
      <c r="T107" s="910">
        <f>'Modèle Miroir_divergence'!K19</f>
        <v/>
      </c>
    </row>
    <row r="108" ht="44" customHeight="1">
      <c r="A108" s="477" t="n"/>
      <c r="B108" s="477" t="n"/>
      <c r="C108" s="477" t="n"/>
      <c r="D108" s="477" t="n"/>
      <c r="Q108">
        <f>'Modèle Miroir_divergence'!B20</f>
        <v/>
      </c>
      <c r="T108" s="910">
        <f>'Modèle Miroir_divergence'!K20</f>
        <v/>
      </c>
    </row>
    <row r="109" ht="44" customHeight="1">
      <c r="A109" s="477" t="n"/>
      <c r="B109" s="477" t="n"/>
      <c r="C109" s="477" t="n"/>
      <c r="D109" s="477" t="n"/>
      <c r="Q109">
        <f>'Modèle Miroir_divergence'!B21</f>
        <v/>
      </c>
      <c r="T109" s="910">
        <f>'Modèle Miroir_divergence'!K21</f>
        <v/>
      </c>
    </row>
    <row r="110" ht="44" customHeight="1">
      <c r="A110" s="477" t="n"/>
      <c r="B110" s="477" t="n"/>
      <c r="C110" s="477" t="n"/>
      <c r="D110" s="477" t="n"/>
      <c r="Q110">
        <f>'Modèle Miroir_divergence'!B22</f>
        <v/>
      </c>
      <c r="T110" s="910">
        <f>'Modèle Miroir_divergence'!K22</f>
        <v/>
      </c>
    </row>
    <row r="111" ht="44" customHeight="1">
      <c r="A111" s="477" t="n"/>
      <c r="B111" s="477" t="n"/>
      <c r="C111" s="477" t="n"/>
      <c r="D111" s="477" t="n"/>
      <c r="Q111">
        <f>'Modèle Miroir_divergence'!B23</f>
        <v/>
      </c>
      <c r="T111" s="910">
        <f>'Modèle Miroir_divergence'!K23</f>
        <v/>
      </c>
    </row>
    <row r="112" ht="44" customHeight="1">
      <c r="A112" s="477" t="n"/>
      <c r="B112" s="477" t="n"/>
      <c r="C112" s="477" t="n"/>
      <c r="D112" s="477" t="n"/>
      <c r="Q112">
        <f>'Modèle Miroir_divergence'!B24</f>
        <v/>
      </c>
      <c r="T112" s="910">
        <f>'Modèle Miroir_divergence'!K24</f>
        <v/>
      </c>
    </row>
    <row r="113" ht="44" customHeight="1">
      <c r="A113" s="477" t="n"/>
      <c r="B113" s="477" t="n"/>
      <c r="C113" s="477" t="n"/>
      <c r="D113" s="477" t="n"/>
      <c r="Q113">
        <f>'Modèle Miroir_divergence'!B25</f>
        <v/>
      </c>
      <c r="T113" s="910">
        <f>'Modèle Miroir_divergence'!K25</f>
        <v/>
      </c>
    </row>
    <row r="114" ht="44" customHeight="1">
      <c r="A114" s="477" t="n"/>
      <c r="B114" s="477" t="n"/>
      <c r="C114" s="477" t="n"/>
      <c r="D114" s="477" t="n"/>
      <c r="Q114">
        <f>'Modèle Miroir_divergence'!B26</f>
        <v/>
      </c>
      <c r="T114" s="910">
        <f>'Modèle Miroir_divergence'!K26</f>
        <v/>
      </c>
    </row>
    <row r="115" ht="44" customHeight="1">
      <c r="A115" s="477" t="n"/>
      <c r="B115" s="477" t="n"/>
      <c r="C115" s="477" t="n"/>
      <c r="D115" s="477" t="n"/>
      <c r="Q115">
        <f>'Modèle Miroir_divergence'!B27</f>
        <v/>
      </c>
      <c r="T115" s="910">
        <f>'Modèle Miroir_divergence'!K27</f>
        <v/>
      </c>
    </row>
    <row r="116" ht="44" customHeight="1">
      <c r="A116" s="477" t="n"/>
      <c r="B116" s="477" t="n"/>
      <c r="C116" s="477" t="n"/>
      <c r="D116" s="477" t="n"/>
      <c r="Q116">
        <f>'Modèle Miroir_divergence'!B17</f>
        <v/>
      </c>
      <c r="T116" s="910">
        <f>'Modèle Miroir_divergence'!K17</f>
        <v/>
      </c>
    </row>
    <row r="117" ht="44" customHeight="1">
      <c r="A117" s="477" t="n"/>
      <c r="B117" s="477" t="n"/>
      <c r="C117" s="477" t="n"/>
      <c r="D117" s="477" t="n"/>
    </row>
    <row r="118" ht="29" customHeight="1">
      <c r="A118" s="477" t="n"/>
      <c r="B118" s="477" t="n"/>
      <c r="C118" s="477" t="n"/>
      <c r="D118" s="477" t="n"/>
    </row>
    <row r="119" ht="29" customHeight="1">
      <c r="A119" s="477" t="n"/>
      <c r="B119" s="477" t="n"/>
      <c r="C119" s="477" t="n"/>
      <c r="D119" s="477" t="n"/>
    </row>
    <row r="120" ht="29" customHeight="1">
      <c r="A120" s="477" t="n"/>
      <c r="B120" s="477" t="n"/>
      <c r="C120" s="477" t="n"/>
      <c r="D120" s="477" t="n"/>
    </row>
    <row r="121" ht="29" customHeight="1">
      <c r="A121" s="51" t="inlineStr">
        <is>
          <t>Changement dans les relations entre avant et après la séparation</t>
        </is>
      </c>
      <c r="B121" s="477" t="n"/>
      <c r="C121" s="477" t="n"/>
      <c r="D121" s="477" t="n"/>
    </row>
    <row r="122" ht="29" customHeight="1">
      <c r="A122" t="inlineStr">
        <is>
          <t>Selon vos résultats du questionnaire :</t>
        </is>
      </c>
      <c r="B122" s="477" t="n"/>
      <c r="C122" s="477" t="n"/>
      <c r="D122" s="477" t="n"/>
    </row>
    <row r="123" ht="29" customHeight="1">
      <c r="A123" s="477" t="n"/>
      <c r="B123" s="477" t="n"/>
      <c r="C123" s="477" t="n"/>
      <c r="D123" s="477" t="n"/>
    </row>
    <row r="124" ht="29" customHeight="1">
      <c r="A124" s="477" t="n"/>
      <c r="B124" s="477" t="n"/>
      <c r="C124" s="477" t="n"/>
      <c r="D124" s="477" t="n"/>
      <c r="E124" t="inlineStr">
        <is>
          <t xml:space="preserve">Qualitatif </t>
        </is>
      </c>
    </row>
    <row r="125" ht="29" customHeight="1">
      <c r="A125" s="477" t="n"/>
      <c r="B125" s="477" t="n"/>
      <c r="C125" s="477" t="n"/>
      <c r="D125" s="477" t="n"/>
    </row>
    <row r="126" ht="24" customHeight="1">
      <c r="B126" s="51" t="n"/>
      <c r="C126" s="51" t="n"/>
      <c r="D126" s="51" t="n"/>
    </row>
    <row r="128">
      <c r="E128" s="2078" t="n"/>
      <c r="H128" s="1985" t="n"/>
    </row>
    <row r="129" ht="19" customHeight="1">
      <c r="A129" s="455" t="n"/>
      <c r="B129" s="455" t="n"/>
      <c r="C129" s="455" t="n"/>
      <c r="D129" s="455" t="n"/>
      <c r="E129" s="2078" t="n"/>
      <c r="G129" s="28" t="n"/>
    </row>
    <row r="130" ht="24" customHeight="1">
      <c r="E130" s="2078" t="n"/>
      <c r="G130" s="28" t="n"/>
      <c r="H130" s="880" t="n"/>
      <c r="I130" s="1980" t="n"/>
    </row>
    <row r="131">
      <c r="E131" s="2078" t="n"/>
      <c r="G131" s="1979" t="n"/>
      <c r="I131" s="1979" t="n"/>
      <c r="K131" s="1979" t="n"/>
    </row>
    <row r="132">
      <c r="E132" s="2078" t="n"/>
      <c r="G132" s="28" t="n"/>
      <c r="H132" s="79" t="n"/>
      <c r="J132" s="79" t="n"/>
      <c r="K132" s="79" t="n"/>
    </row>
    <row r="134">
      <c r="I134" s="1984" t="n"/>
    </row>
    <row r="135">
      <c r="I135" s="7" t="n"/>
      <c r="J135" s="11" t="n"/>
    </row>
    <row r="136">
      <c r="L136" s="11" t="n"/>
    </row>
    <row r="139">
      <c r="J139" s="11" t="n"/>
      <c r="K139" s="106" t="n"/>
    </row>
    <row r="140">
      <c r="H140" s="89" t="n"/>
      <c r="K140" s="89" t="n"/>
      <c r="L140" s="11" t="n"/>
    </row>
    <row r="143">
      <c r="G143" s="73" t="n"/>
    </row>
    <row r="144">
      <c r="E144" s="13" t="n"/>
      <c r="F144" s="13" t="n"/>
      <c r="G144" s="13" t="n"/>
      <c r="H144" s="13" t="n"/>
      <c r="I144" s="13" t="n"/>
    </row>
    <row r="145">
      <c r="E145" s="13" t="n"/>
      <c r="F145" s="13" t="n"/>
      <c r="G145" s="13" t="n"/>
      <c r="H145" s="13" t="n"/>
      <c r="I145" s="13" t="n"/>
    </row>
    <row r="146">
      <c r="E146" s="2066" t="n"/>
      <c r="F146" s="2066" t="n"/>
      <c r="G146" s="2066" t="n"/>
      <c r="H146" s="2066" t="n"/>
      <c r="I146" s="2066" t="n"/>
    </row>
    <row r="147">
      <c r="E147" s="2066" t="n"/>
      <c r="F147" s="2066" t="n"/>
      <c r="G147" s="2066" t="n"/>
      <c r="H147" s="2066" t="n"/>
      <c r="I147" s="2066" t="n"/>
    </row>
    <row r="148">
      <c r="E148" s="2066" t="n"/>
      <c r="F148" s="2066" t="n"/>
      <c r="G148" s="2066" t="n"/>
      <c r="H148" s="2066" t="n"/>
      <c r="I148" s="2066" t="n"/>
    </row>
  </sheetData>
  <mergeCells count="62">
    <mergeCell ref="M56:Q56"/>
    <mergeCell ref="M58:Q58"/>
    <mergeCell ref="G59:K59"/>
    <mergeCell ref="S65:V65"/>
    <mergeCell ref="M68:Q68"/>
    <mergeCell ref="S74:V74"/>
    <mergeCell ref="S55:V55"/>
    <mergeCell ref="M59:Q59"/>
    <mergeCell ref="K131:M131"/>
    <mergeCell ref="S64:V64"/>
    <mergeCell ref="M55:Q55"/>
    <mergeCell ref="M67:Q67"/>
    <mergeCell ref="S76:V76"/>
    <mergeCell ref="S54:V54"/>
    <mergeCell ref="S63:V63"/>
    <mergeCell ref="M73:Q73"/>
    <mergeCell ref="M64:Q64"/>
    <mergeCell ref="M70:Q70"/>
    <mergeCell ref="M60:Q60"/>
    <mergeCell ref="S75:V75"/>
    <mergeCell ref="M78:Q78"/>
    <mergeCell ref="S60:V60"/>
    <mergeCell ref="M69:Q69"/>
    <mergeCell ref="I134:J134"/>
    <mergeCell ref="S56:V56"/>
    <mergeCell ref="M54:Q54"/>
    <mergeCell ref="S72:V72"/>
    <mergeCell ref="S59:V59"/>
    <mergeCell ref="G53:K53"/>
    <mergeCell ref="I131:J131"/>
    <mergeCell ref="M75:Q75"/>
    <mergeCell ref="M65:Q65"/>
    <mergeCell ref="S62:V62"/>
    <mergeCell ref="M74:Q74"/>
    <mergeCell ref="S71:V71"/>
    <mergeCell ref="S61:V61"/>
    <mergeCell ref="S58:V58"/>
    <mergeCell ref="S77:V77"/>
    <mergeCell ref="S70:V70"/>
    <mergeCell ref="H128:I128"/>
    <mergeCell ref="M77:Q77"/>
    <mergeCell ref="I8:J8"/>
    <mergeCell ref="S67:V67"/>
    <mergeCell ref="S73:V73"/>
    <mergeCell ref="G73:K73"/>
    <mergeCell ref="M61:Q61"/>
    <mergeCell ref="M53:Q53"/>
    <mergeCell ref="S66:V66"/>
    <mergeCell ref="M57:Q57"/>
    <mergeCell ref="S57:V57"/>
    <mergeCell ref="M62:Q62"/>
    <mergeCell ref="M76:Q76"/>
    <mergeCell ref="S69:V69"/>
    <mergeCell ref="S78:V78"/>
    <mergeCell ref="M63:Q63"/>
    <mergeCell ref="M72:Q72"/>
    <mergeCell ref="I130:L130"/>
    <mergeCell ref="S68:V68"/>
    <mergeCell ref="M66:Q66"/>
    <mergeCell ref="S53:V53"/>
    <mergeCell ref="G131:H131"/>
    <mergeCell ref="M71:Q71"/>
  </mergeCells>
  <conditionalFormatting sqref="T103:T116">
    <cfRule type="iconSet" priority="4">
      <iconSet>
        <cfvo type="percent" val="0"/>
        <cfvo type="percent" val="33"/>
        <cfvo type="percent" val="67"/>
      </iconSet>
    </cfRule>
    <cfRule type="containsText" priority="3" operator="containsText" dxfId="0" text="Conseils prioritaires">
      <formula>NOT(ISERROR(SEARCH("Conseils prioritaires",T103)))</formula>
    </cfRule>
    <cfRule type="cellIs" priority="1" operator="equal" dxfId="13">
      <formula>"Adéquat"</formula>
    </cfRule>
    <cfRule type="containsText" priority="2" operator="containsText" dxfId="2" text="à surveiller">
      <formula>NOT(ISERROR(SEARCH("à surveiller",T103)))</formula>
    </cfRule>
  </conditionalFormatting>
  <pageMargins left="0.7" right="0.7" top="0.75" bottom="0.75" header="0.3" footer="0.3"/>
  <pageSetup orientation="portrait" horizontalDpi="0" verticalDpi="0" copies="2"/>
  <drawing r:id="rId1"/>
</worksheet>
</file>

<file path=xl/worksheets/sheet4.xml><?xml version="1.0" encoding="utf-8"?>
<worksheet xmlns:r="http://schemas.openxmlformats.org/officeDocument/2006/relationships" xmlns="http://schemas.openxmlformats.org/spreadsheetml/2006/main">
  <sheetPr>
    <outlinePr summaryBelow="1" summaryRight="1"/>
    <pageSetUpPr fitToPage="1"/>
  </sheetPr>
  <dimension ref="A1:CS355"/>
  <sheetViews>
    <sheetView topLeftCell="A202" zoomScale="75" zoomScaleNormal="75" workbookViewId="0">
      <selection activeCell="L207" sqref="L207"/>
    </sheetView>
  </sheetViews>
  <sheetFormatPr baseColWidth="10" defaultColWidth="11" defaultRowHeight="40" customHeight="1"/>
  <cols>
    <col width="23" customWidth="1" min="1" max="1"/>
    <col width="24.1640625" customWidth="1" min="2" max="2"/>
    <col width="22" customWidth="1" min="3" max="3"/>
    <col width="19.83203125" customWidth="1" style="2002" min="4" max="4"/>
    <col width="8.83203125" customWidth="1" style="2002" min="5" max="5"/>
    <col width="63.83203125" customWidth="1" style="17" min="6" max="6"/>
    <col hidden="1" width="63.83203125" customWidth="1" style="2073" min="7" max="7"/>
    <col width="52" customWidth="1" style="17" min="8" max="8"/>
    <col hidden="1" width="52" customWidth="1" style="17" min="9" max="9"/>
    <col hidden="1" width="52" customWidth="1" style="2002" min="10" max="10"/>
    <col width="15.83203125" customWidth="1" style="2002" min="11" max="11"/>
    <col width="19.33203125" customWidth="1" style="1991" min="12" max="12"/>
    <col width="15.33203125" customWidth="1" style="1991" min="13" max="13"/>
    <col width="19.33203125" customWidth="1" style="1991" min="14" max="14"/>
    <col width="36.33203125" customWidth="1" style="602" min="15" max="15"/>
    <col width="9.1640625" customWidth="1" style="1991" min="16" max="17"/>
    <col width="9" customWidth="1" style="191" min="18" max="18"/>
    <col width="9" customWidth="1" style="135" min="19" max="20"/>
    <col width="35.1640625" customWidth="1" style="180" min="21" max="21"/>
    <col width="5.6640625" customWidth="1" style="2089" min="22" max="23"/>
    <col width="5.6640625" customWidth="1" style="457" min="24" max="25"/>
    <col width="5.6640625" customWidth="1" style="163" min="26" max="29"/>
    <col width="28.5" customWidth="1" style="2002" min="30" max="30"/>
    <col width="13.6640625" customWidth="1" style="1217" min="31" max="32"/>
    <col width="13.6640625" customWidth="1" style="2002" min="33" max="33"/>
    <col width="13.6640625" customWidth="1" style="295" min="34" max="34"/>
    <col width="16.83203125" customWidth="1" min="35" max="35"/>
    <col width="13.6640625" customWidth="1" min="36" max="46"/>
  </cols>
  <sheetData>
    <row r="1" ht="20" customHeight="1">
      <c r="L1" s="594" t="inlineStr">
        <is>
          <t>Legende :</t>
        </is>
      </c>
      <c r="M1" s="153" t="inlineStr">
        <is>
          <t>Échelle de fréquence</t>
        </is>
      </c>
      <c r="N1" s="596" t="n"/>
      <c r="O1" s="191" t="n"/>
      <c r="P1" s="153" t="n"/>
      <c r="Q1" s="191" t="n"/>
      <c r="R1" s="135" t="n"/>
      <c r="T1" s="2000" t="n"/>
    </row>
    <row r="2" ht="15" customHeight="1">
      <c r="F2" s="1177" t="n"/>
      <c r="L2" s="1990" t="inlineStr">
        <is>
          <t>Compt. A</t>
        </is>
      </c>
      <c r="M2" s="7" t="inlineStr">
        <is>
          <t>E1A</t>
        </is>
      </c>
      <c r="N2" s="597" t="n"/>
      <c r="O2" s="17" t="inlineStr">
        <is>
          <t xml:space="preserve">Jamais / Rarement / Occasionnellement / Régulièrement / Souvent / Toujours / S.O. </t>
        </is>
      </c>
      <c r="P2" s="17" t="n"/>
      <c r="Q2" s="191" t="n"/>
      <c r="R2" s="135" t="n"/>
      <c r="T2" s="2000" t="n"/>
      <c r="AW2" s="7" t="inlineStr">
        <is>
          <t>E1A</t>
        </is>
      </c>
      <c r="AX2">
        <f>O2</f>
        <v/>
      </c>
    </row>
    <row r="3" ht="15" customHeight="1">
      <c r="M3" s="7" t="inlineStr">
        <is>
          <t>E2A</t>
        </is>
      </c>
      <c r="N3" s="597" t="n"/>
      <c r="O3" s="17" t="inlineStr">
        <is>
          <t xml:space="preserve">Excellente / Très bonne / Bonne / Moyenne / Faible / Mauvaise / S.O.   </t>
        </is>
      </c>
      <c r="P3" s="17" t="n"/>
      <c r="Q3" s="191" t="n"/>
      <c r="R3" s="135" t="n"/>
      <c r="T3" s="2000" t="n"/>
      <c r="AW3" s="7" t="inlineStr">
        <is>
          <t xml:space="preserve">E1B </t>
        </is>
      </c>
      <c r="AX3">
        <f>O8</f>
        <v/>
      </c>
    </row>
    <row r="4" ht="15" customHeight="1">
      <c r="M4" s="7" t="inlineStr">
        <is>
          <t>E3A</t>
        </is>
      </c>
      <c r="N4" s="597" t="n"/>
      <c r="O4" s="17" t="inlineStr">
        <is>
          <t>Tout à fait en désaccord / En désaccord /  Partiellement en désaccord /  Partiellement d’accord / D’accord / Tout à fait d’accord / S.O.</t>
        </is>
      </c>
      <c r="P4" s="17" t="n"/>
      <c r="Q4" s="191" t="n"/>
      <c r="R4" s="135" t="n"/>
      <c r="T4" s="2000" t="n"/>
      <c r="AT4" t="inlineStr">
        <is>
          <t>révisé</t>
        </is>
      </c>
      <c r="AW4" s="7" t="inlineStr">
        <is>
          <t>E2A</t>
        </is>
      </c>
      <c r="AX4">
        <f>O3</f>
        <v/>
      </c>
    </row>
    <row r="5" ht="15" customHeight="1">
      <c r="M5" s="7" t="inlineStr">
        <is>
          <t>E4A</t>
        </is>
      </c>
      <c r="N5" s="597" t="n"/>
      <c r="O5" s="17" t="inlineStr">
        <is>
          <t xml:space="preserve">Nulle / Très faible / Faible / Moyenne / Élevé / Très élevé / S.O. </t>
        </is>
      </c>
      <c r="P5" s="17" t="n"/>
      <c r="Q5" s="191" t="n"/>
      <c r="R5" s="135" t="n"/>
      <c r="T5" s="2000" t="n"/>
      <c r="AW5" s="984" t="inlineStr">
        <is>
          <t>E2B</t>
        </is>
      </c>
      <c r="AX5">
        <f>O9</f>
        <v/>
      </c>
    </row>
    <row r="6" ht="15" customHeight="1">
      <c r="M6" s="7" t="inlineStr">
        <is>
          <t>E5</t>
        </is>
      </c>
      <c r="N6" s="597" t="n"/>
      <c r="O6" s="17" t="inlineStr">
        <is>
          <t>Je communique avec le coparent / rarement, au besoin seulement/ 1 à 2 fois semaine / 3 à 5 fois semaine / tous les jours / +sieurs x par jour / S.O.</t>
        </is>
      </c>
      <c r="P6" s="17" t="n"/>
      <c r="Q6" s="191" t="n"/>
      <c r="R6" s="135" t="n"/>
      <c r="T6" s="2000" t="n"/>
      <c r="AW6" s="983" t="inlineStr">
        <is>
          <t>E3A</t>
        </is>
      </c>
      <c r="AX6">
        <f>O4</f>
        <v/>
      </c>
    </row>
    <row r="7" ht="15" customHeight="1">
      <c r="M7" s="7" t="inlineStr">
        <is>
          <t>E6</t>
        </is>
      </c>
      <c r="N7" s="597" t="n"/>
      <c r="O7" s="17" t="inlineStr">
        <is>
          <t>Pas du tout / Très peu / Peu / Régulièrement /  Beaucoup / Trop / S.O.</t>
        </is>
      </c>
      <c r="P7" s="17" t="n"/>
      <c r="Q7" s="191" t="n"/>
      <c r="R7" s="135" t="n"/>
      <c r="T7" s="2000" t="n"/>
      <c r="AW7" s="982" t="inlineStr">
        <is>
          <t>E3B</t>
        </is>
      </c>
      <c r="AX7" t="inlineStr">
        <is>
          <t xml:space="preserve">Tout à fait d’accord / D'accord / Partiellement d'accord / Partiellement en désaccord / En désaccord / Tout à fait en désaccord / S.O. </t>
        </is>
      </c>
    </row>
    <row r="8" ht="15" customHeight="1">
      <c r="L8" s="1991" t="inlineStr">
        <is>
          <t>Compt. B</t>
        </is>
      </c>
      <c r="M8" s="7" t="inlineStr">
        <is>
          <t xml:space="preserve">E1B </t>
        </is>
      </c>
      <c r="N8" s="597" t="n"/>
      <c r="O8" s="17" t="inlineStr">
        <is>
          <t>Toujours / Souvent / Régulièrement / Occasionnellement / Rarement / Jamais / S.O.</t>
        </is>
      </c>
      <c r="P8" s="17" t="n"/>
      <c r="Q8" s="191" t="n"/>
      <c r="R8" s="135" t="n"/>
      <c r="T8" s="2000" t="n"/>
      <c r="AW8" s="7" t="inlineStr">
        <is>
          <t>E4A</t>
        </is>
      </c>
      <c r="AX8">
        <f>O5</f>
        <v/>
      </c>
    </row>
    <row r="9" ht="15" customHeight="1">
      <c r="M9" s="984" t="inlineStr">
        <is>
          <t>E2B</t>
        </is>
      </c>
      <c r="N9" s="985" t="inlineStr">
        <is>
          <t>Question n'existe pas</t>
        </is>
      </c>
      <c r="O9" s="984" t="inlineStr">
        <is>
          <t xml:space="preserve">Mauvaise / Faible / Moyenne / Bonne / Très bonne / Excellente / S.O </t>
        </is>
      </c>
      <c r="P9" s="984" t="n"/>
      <c r="Q9" s="191" t="n"/>
      <c r="R9" s="135" t="n"/>
      <c r="T9" s="2000" t="n"/>
      <c r="V9" s="1984" t="n"/>
      <c r="AW9" s="984" t="inlineStr">
        <is>
          <t>E4B</t>
        </is>
      </c>
      <c r="AX9">
        <f>O11</f>
        <v/>
      </c>
    </row>
    <row r="10" ht="15" customHeight="1">
      <c r="M10" s="17" t="inlineStr">
        <is>
          <t>E3B</t>
        </is>
      </c>
      <c r="N10" s="597" t="n"/>
      <c r="O10" s="17" t="inlineStr">
        <is>
          <t xml:space="preserve">Tout à fait d’accord / D'accord / Partiellement d'accord / Partiellement en désaccord / En désaccord / Tout à fait en désaccord / S.O. </t>
        </is>
      </c>
      <c r="P10" s="17" t="n"/>
      <c r="Q10" s="191" t="n"/>
      <c r="R10" s="135" t="n"/>
      <c r="T10" s="2000" t="n"/>
      <c r="AT10" t="inlineStr">
        <is>
          <t>révisé</t>
        </is>
      </c>
      <c r="AW10" s="7" t="inlineStr">
        <is>
          <t>E5</t>
        </is>
      </c>
      <c r="AX10">
        <f>O6</f>
        <v/>
      </c>
    </row>
    <row r="11" ht="15" customHeight="1">
      <c r="M11" s="984" t="inlineStr">
        <is>
          <t>E4B</t>
        </is>
      </c>
      <c r="N11" s="985" t="inlineStr">
        <is>
          <t>Question n'existe pas</t>
        </is>
      </c>
      <c r="O11" s="984" t="inlineStr">
        <is>
          <t>Très élevé / Élevé / Moyenne / Faible / Très faible / Nulle / S.O.</t>
        </is>
      </c>
      <c r="P11" s="984" t="n"/>
      <c r="Q11" s="191" t="n"/>
      <c r="R11" s="135" t="n"/>
      <c r="T11" s="2000" t="n"/>
      <c r="AW11" s="7" t="inlineStr">
        <is>
          <t>E6</t>
        </is>
      </c>
      <c r="AX11">
        <f>O7</f>
        <v/>
      </c>
    </row>
    <row r="12" ht="76" customHeight="1">
      <c r="N12" s="17" t="n"/>
      <c r="O12" s="597" t="n"/>
      <c r="P12" s="17" t="n"/>
      <c r="Q12" s="17" t="n"/>
      <c r="R12" s="17" t="n"/>
    </row>
    <row r="13" ht="20" customHeight="1">
      <c r="D13" s="1992" t="inlineStr">
        <is>
          <t>Questionnaires</t>
        </is>
      </c>
      <c r="E13" s="1992" t="n"/>
      <c r="F13" s="120" t="n"/>
      <c r="G13" s="1992" t="n"/>
      <c r="H13" s="120" t="n"/>
      <c r="I13" s="120" t="n"/>
      <c r="J13" s="1992" t="n"/>
      <c r="K13" s="1992" t="n"/>
      <c r="L13" s="534" t="n"/>
      <c r="M13" s="534" t="n"/>
      <c r="N13" s="534" t="n"/>
      <c r="O13" s="596" t="n"/>
      <c r="P13" s="534" t="n"/>
      <c r="Q13" s="534" t="n"/>
      <c r="S13" s="535" t="n"/>
      <c r="T13" s="535" t="n"/>
      <c r="V13" s="462" t="n"/>
      <c r="W13" s="462" t="n"/>
      <c r="X13" s="457" t="inlineStr">
        <is>
          <t>Comptabilisation par catégorie</t>
        </is>
      </c>
      <c r="AD13" s="1218" t="n"/>
      <c r="AE13" s="1219" t="n"/>
      <c r="AF13" s="1219" t="n"/>
      <c r="AG13" s="1218" t="n"/>
      <c r="AH13" s="1220" t="n"/>
      <c r="AI13" s="1218" t="n"/>
    </row>
    <row r="14" ht="18" customHeight="1">
      <c r="E14" s="1992" t="n"/>
      <c r="F14" s="120" t="n"/>
      <c r="G14" s="1992" t="n"/>
      <c r="H14" s="120" t="n"/>
      <c r="I14" s="120" t="n"/>
      <c r="J14" s="1992" t="n"/>
      <c r="K14" s="1992" t="n"/>
      <c r="L14" s="534" t="n"/>
      <c r="M14" s="534" t="n"/>
      <c r="N14" s="534" t="n"/>
      <c r="O14" s="596" t="n"/>
      <c r="P14" s="534" t="n"/>
      <c r="Q14" s="534" t="n"/>
      <c r="R14" s="549" t="n"/>
      <c r="S14" s="546" t="n"/>
      <c r="T14" s="546" t="n"/>
      <c r="U14" s="977" t="n"/>
      <c r="V14" s="462" t="n"/>
      <c r="W14" s="462" t="n"/>
      <c r="AD14" s="1218" t="n"/>
      <c r="AE14" s="1219" t="n"/>
      <c r="AF14" s="1219" t="n"/>
      <c r="AG14" s="1218" t="n"/>
      <c r="AH14" s="1220" t="n"/>
      <c r="AI14" s="1218" t="n"/>
    </row>
    <row r="15" ht="55" customHeight="1" thickBot="1">
      <c r="A15" s="1995" t="inlineStr">
        <is>
          <t>Question conditionnelle à :</t>
        </is>
      </c>
      <c r="E15" s="120" t="n"/>
      <c r="F15" s="120" t="n"/>
      <c r="G15" s="120" t="n"/>
      <c r="H15" s="120" t="inlineStr">
        <is>
          <t>Choix de réponses</t>
        </is>
      </c>
      <c r="I15" s="120" t="n"/>
      <c r="J15" s="1992" t="inlineStr">
        <is>
          <t>sq1: 1er niveau
sq2: 2e niveau</t>
        </is>
      </c>
      <c r="K15" s="1992" t="n"/>
      <c r="L15" s="1996" t="inlineStr">
        <is>
          <t>Intensité</t>
        </is>
      </c>
      <c r="M15" s="333" t="n"/>
      <c r="N15" s="1996" t="inlineStr">
        <is>
          <t>Échelle de fréquence</t>
        </is>
      </c>
      <c r="O15" s="333" t="n"/>
      <c r="P15" s="934" t="n"/>
      <c r="Q15" s="536" t="inlineStr">
        <is>
          <t>Résultat Questionnaire</t>
        </is>
      </c>
      <c r="R15" s="1994" t="inlineStr">
        <is>
          <t>Échelle CEV</t>
        </is>
      </c>
      <c r="S15" s="2098" t="n"/>
      <c r="T15" s="2099" t="n"/>
      <c r="U15" s="879" t="inlineStr">
        <is>
          <t>Catégories</t>
        </is>
      </c>
      <c r="V15" s="462" t="n"/>
      <c r="W15" s="462" t="n"/>
      <c r="AD15" s="1977" t="inlineStr">
        <is>
          <t>Bulle info 🔶</t>
        </is>
      </c>
      <c r="AG15" s="1977" t="inlineStr">
        <is>
          <t>Drapeau rouge 🔴</t>
        </is>
      </c>
    </row>
    <row r="16" ht="78" customHeight="1" thickBot="1">
      <c r="A16" s="938" t="inlineStr">
        <is>
          <t>Un choix de réponse qui provient d'un autre questionnaire ou question-mère</t>
        </is>
      </c>
      <c r="B16" s="936" t="inlineStr">
        <is>
          <t>Au résultat d'une question mère c.a.d. sous-question (sq1 = niveau 1; sq2 = niveau 2)</t>
        </is>
      </c>
      <c r="C16" s="937" t="inlineStr">
        <is>
          <t>Choix de réponse qui fait changer l'intensité</t>
        </is>
      </c>
      <c r="D16" s="940" t="n"/>
      <c r="E16" s="138" t="n"/>
      <c r="F16" s="537" t="inlineStr">
        <is>
          <t>Questions</t>
        </is>
      </c>
      <c r="G16" s="537" t="inlineStr">
        <is>
          <t>Questions (mode imparfait)</t>
        </is>
      </c>
      <c r="H16" s="120" t="inlineStr">
        <is>
          <t>Choix de réponses (présent)</t>
        </is>
      </c>
      <c r="I16" s="120" t="inlineStr">
        <is>
          <t>Choix de réponses (imparfait)</t>
        </is>
      </c>
      <c r="J16" s="538" t="inlineStr">
        <is>
          <t>Questions qui s'allume selon la réponse d'une autre Q</t>
        </is>
      </c>
      <c r="K16" s="976" t="inlineStr">
        <is>
          <t>Condition &gt;=</t>
        </is>
      </c>
      <c r="L16" s="975" t="inlineStr">
        <is>
          <t>Intensité de Base : 1 à 3</t>
        </is>
      </c>
      <c r="M16" s="974" t="inlineStr">
        <is>
          <t>Intensité conditionnelle (âge, temps de séparation)</t>
        </is>
      </c>
      <c r="N16" s="539" t="inlineStr">
        <is>
          <t>Échelle</t>
        </is>
      </c>
      <c r="O16" s="973" t="inlineStr">
        <is>
          <t>Trois types d'échelle:
Numérique : 0 - 10 (aucune à excellente)
Libelé : Voir Légende ci-haut
Chois de réponse (Voir fichier Test_Bible)</t>
        </is>
      </c>
      <c r="P16" s="540" t="inlineStr">
        <is>
          <t>Fréquence</t>
        </is>
      </c>
      <c r="Q16" s="540" t="inlineStr">
        <is>
          <t>Fréquence * Intensité</t>
        </is>
      </c>
      <c r="R16" s="541" t="inlineStr">
        <is>
          <t>C</t>
        </is>
      </c>
      <c r="S16" s="542" t="inlineStr">
        <is>
          <t>E</t>
        </is>
      </c>
      <c r="T16" s="543" t="inlineStr">
        <is>
          <t>V</t>
        </is>
      </c>
      <c r="U16" s="544" t="n"/>
      <c r="V16" s="1271" t="inlineStr">
        <is>
          <t>A:Alliance</t>
        </is>
      </c>
      <c r="W16" s="1272" t="inlineStr">
        <is>
          <t>B:Altération/dévoiement de la réalité</t>
        </is>
      </c>
      <c r="X16" s="1273" t="inlineStr">
        <is>
          <t>C: Chantage affectif, loyauté, manipulation</t>
        </is>
      </c>
      <c r="Y16" s="1274" t="inlineStr">
        <is>
          <t>D: Dénigrement</t>
        </is>
      </c>
      <c r="Z16" s="1275" t="inlineStr">
        <is>
          <t>E: Interférence temps et/ou communication</t>
        </is>
      </c>
      <c r="AA16" s="1276" t="inlineStr">
        <is>
          <t>F: Interférence lien affectif ou symbolique</t>
        </is>
      </c>
      <c r="AB16" s="1277" t="inlineStr">
        <is>
          <t>G: Parentification</t>
        </is>
      </c>
      <c r="AC16" s="1278" t="inlineStr">
        <is>
          <t>H: Rôle actif, Réponse au CC, r</t>
        </is>
      </c>
      <c r="AD16" s="1221" t="n"/>
      <c r="AE16" s="1222" t="n"/>
      <c r="AF16" s="295" t="inlineStr">
        <is>
          <t>références</t>
        </is>
      </c>
      <c r="AG16" s="1223" t="n"/>
      <c r="AH16" s="295" t="inlineStr">
        <is>
          <t>références</t>
        </is>
      </c>
      <c r="AI16" s="1055" t="n"/>
    </row>
    <row r="17" ht="50" customHeight="1">
      <c r="A17" s="1979" t="n"/>
      <c r="B17" s="1979" t="inlineStr">
        <is>
          <t>Condition est dans la "Colonne M"</t>
        </is>
      </c>
      <c r="C17" s="1979" t="inlineStr">
        <is>
          <t>Condition applicable à l'intensité (Colonne O et P)</t>
        </is>
      </c>
      <c r="D17" s="1205" t="inlineStr">
        <is>
          <t>Questionnaire 
BASE</t>
        </is>
      </c>
      <c r="E17" s="618" t="n"/>
      <c r="F17" s="1206" t="n"/>
      <c r="H17" s="1207" t="n"/>
      <c r="I17" s="156" t="n"/>
      <c r="J17" s="1208" t="n"/>
      <c r="K17" s="1209" t="n"/>
      <c r="L17" s="1210" t="n"/>
      <c r="M17" s="1211" t="n"/>
      <c r="N17" s="1212" t="n"/>
      <c r="O17" s="956" t="n"/>
      <c r="P17" s="338" t="n"/>
      <c r="Q17" s="338" t="n"/>
      <c r="R17" s="1213" t="n"/>
      <c r="S17" s="1214" t="n"/>
      <c r="T17" s="1215" t="n"/>
      <c r="U17" s="1216" t="n"/>
      <c r="V17" s="466" t="n"/>
      <c r="W17" s="466" t="n"/>
      <c r="AD17" s="552" t="n"/>
      <c r="AG17" s="552" t="n"/>
      <c r="AI17" s="552" t="n"/>
    </row>
    <row r="18" ht="102" customHeight="1">
      <c r="C18" t="inlineStr">
        <is>
          <t>Boite affichage</t>
        </is>
      </c>
      <c r="D18" s="203" t="n">
        <v>1</v>
      </c>
      <c r="E18" s="203" t="inlineStr">
        <is>
          <t>B00</t>
        </is>
      </c>
      <c r="F18" s="646" t="inlineStr">
        <is>
          <t xml:space="preserve">Identification: Qui êtes-vous ? </t>
        </is>
      </c>
      <c r="G18" s="553" t="n"/>
      <c r="H18" s="206" t="inlineStr">
        <is>
          <t>Une mère
Un père 
Un parent (non binaire) 
Un grand-parent 
Un·e nouveau ou nouvelle conjoint·e
Autre (spécifiez)</t>
        </is>
      </c>
      <c r="I18" s="212" t="n"/>
      <c r="J18" s="212" t="n"/>
      <c r="K18" s="225" t="n"/>
      <c r="L18" s="592" t="n">
        <v>0</v>
      </c>
      <c r="M18" s="620" t="n"/>
      <c r="N18" s="957" t="n"/>
      <c r="O18" s="955" t="n"/>
      <c r="P18" s="337" t="n"/>
      <c r="Q18" s="337" t="n"/>
      <c r="R18" s="192" t="n"/>
      <c r="S18" s="390" t="n"/>
      <c r="T18" s="391" t="n"/>
      <c r="U18" s="181" t="n"/>
      <c r="V18" s="466" t="n"/>
      <c r="W18" s="466" t="n"/>
      <c r="AD18" s="552" t="n"/>
      <c r="AE18" s="1224" t="n"/>
      <c r="AG18" s="552" t="n"/>
      <c r="AI18" s="552" t="n"/>
    </row>
    <row r="19" ht="90" customHeight="1">
      <c r="C19" s="1038" t="inlineStr">
        <is>
          <t>AJOUT : à partir d'ici. … (réf. B01) 
Mettre une ligne, un icone ou une couleur (ex: un encadré en haut du questionnaire en permanence)  qui indique que : 
SSI je réponds au nom d'un autre parent</t>
        </is>
      </c>
      <c r="D19" s="203" t="n">
        <v>2</v>
      </c>
      <c r="E19" s="203" t="inlineStr">
        <is>
          <t>B01</t>
        </is>
      </c>
      <c r="F19" s="646" t="inlineStr">
        <is>
          <t xml:space="preserve">Répondez-vous à ce questionnaire en votre nom ou au nom d'un autre parent ? 
</t>
        </is>
      </c>
      <c r="G19" s="553" t="n"/>
      <c r="H19" s="530" t="inlineStr">
        <is>
          <t>En mon nom ou celui d'une autre mère 
En mon nom ou celui d'un autre père 
En mon nom ou celui d'un autre parent (non binaire)</t>
        </is>
      </c>
      <c r="I19" s="1108" t="n"/>
      <c r="J19" s="212" t="n"/>
      <c r="K19" s="226" t="n"/>
      <c r="L19" s="592" t="n">
        <v>0</v>
      </c>
      <c r="M19" s="620" t="n"/>
      <c r="N19" s="957" t="inlineStr">
        <is>
          <t>Choix de réponses</t>
        </is>
      </c>
      <c r="O19" s="955" t="n"/>
      <c r="P19" s="337" t="n"/>
      <c r="Q19" s="337" t="n"/>
      <c r="R19" s="192" t="inlineStr">
        <is>
          <t>n/a</t>
        </is>
      </c>
      <c r="S19" s="390" t="inlineStr">
        <is>
          <t>n/a</t>
        </is>
      </c>
      <c r="T19" s="391" t="inlineStr">
        <is>
          <t>n/a</t>
        </is>
      </c>
      <c r="U19" s="181" t="inlineStr">
        <is>
          <t>N / A</t>
        </is>
      </c>
      <c r="V19" s="464" t="n"/>
      <c r="W19" s="464" t="n"/>
      <c r="AD19" s="552" t="inlineStr">
        <is>
          <t>🔶</t>
        </is>
      </c>
      <c r="AE19" s="1224" t="inlineStr">
        <is>
          <t xml:space="preserve">explication modus operandi du questionnaire / application : objectif de l'application : il est possible de répondre à ce questionnaire au nom d'un autre parent (ex.: pour comprendre ce que vit un·e ami·e ou un proche parent. La dynamique familiale à l'étude est celle d'un enfant (un à la fois) et de ses parents.  </t>
        </is>
      </c>
      <c r="AG19" s="1221" t="n"/>
      <c r="AH19" s="1053" t="n"/>
      <c r="AI19" s="1055" t="n"/>
    </row>
    <row r="20" ht="60" customHeight="1">
      <c r="C20" s="1038" t="inlineStr">
        <is>
          <t>AJOUT : à partir d'ici. … (réf. B02) 
Mettre une ligne ou une couleur (ex: un encadré en haut du questionnaire en permanence)  qui indique que : 
SSI Je réponds une analyse rétrospective</t>
        </is>
      </c>
      <c r="D20" s="203" t="n">
        <v>3</v>
      </c>
      <c r="E20" s="203" t="inlineStr">
        <is>
          <t>B02</t>
        </is>
      </c>
      <c r="F20" s="646" t="inlineStr">
        <is>
          <t xml:space="preserve">Souhaitez-vous faire une analyse au présent ou de manière rétrospective </t>
        </is>
      </c>
      <c r="G20" s="1051" t="n"/>
      <c r="H20" s="530" t="n"/>
      <c r="I20" s="1108" t="n"/>
      <c r="J20" s="212" t="n"/>
      <c r="K20" s="226" t="n"/>
      <c r="L20" s="592" t="n">
        <v>0</v>
      </c>
      <c r="M20" s="620" t="n"/>
      <c r="N20" s="957" t="inlineStr">
        <is>
          <t>Au présent; Rétrospectif</t>
        </is>
      </c>
      <c r="O20" s="955" t="n"/>
      <c r="P20" s="337" t="n"/>
      <c r="Q20" s="337" t="n"/>
      <c r="R20" s="192" t="n"/>
      <c r="S20" s="390" t="n"/>
      <c r="T20" s="391" t="n"/>
      <c r="U20" s="181" t="n"/>
      <c r="V20" s="464" t="n"/>
      <c r="W20" s="464" t="n"/>
      <c r="AD20" s="552" t="n"/>
      <c r="AE20" s="1224" t="n"/>
      <c r="AG20" s="1221" t="n"/>
      <c r="AH20" s="1053" t="n"/>
      <c r="AI20" s="1055" t="n"/>
    </row>
    <row r="21" ht="96" customHeight="1">
      <c r="D21" s="203" t="n">
        <v>4</v>
      </c>
      <c r="E21" s="203" t="inlineStr">
        <is>
          <t>B03</t>
        </is>
      </c>
      <c r="F21" s="646" t="inlineStr">
        <is>
          <t xml:space="preserve">Quelle a été la durée de vie commune avec l'autre parent (coparent)?
</t>
        </is>
      </c>
      <c r="G21" s="553" t="inlineStr">
        <is>
          <t xml:space="preserve">Quelle a été la durée de vie commune avec l'autre parent (coparent)?
</t>
        </is>
      </c>
      <c r="H21" s="528" t="inlineStr">
        <is>
          <t xml:space="preserve">1 an et moins
2 à 5 ans
6 à 10 ans
11 à 20 ans 
plus de 20 ans  </t>
        </is>
      </c>
      <c r="I21" s="1109" t="n"/>
      <c r="J21" s="205" t="n"/>
      <c r="K21" s="225" t="n"/>
      <c r="L21" s="223" t="n">
        <v>0</v>
      </c>
      <c r="M21" s="619" t="n"/>
      <c r="N21" s="136" t="inlineStr">
        <is>
          <t>Choix de réponses</t>
        </is>
      </c>
      <c r="O21" s="956" t="n"/>
      <c r="P21" s="338" t="n"/>
      <c r="Q21" s="338" t="n"/>
      <c r="R21" s="192" t="inlineStr">
        <is>
          <t>n/a</t>
        </is>
      </c>
      <c r="S21" s="390" t="inlineStr">
        <is>
          <t>n/a</t>
        </is>
      </c>
      <c r="T21" s="391" t="inlineStr">
        <is>
          <t>n/a</t>
        </is>
      </c>
      <c r="U21" s="181" t="inlineStr">
        <is>
          <t>N / A</t>
        </is>
      </c>
      <c r="V21" s="464" t="n"/>
      <c r="W21" s="464" t="n"/>
      <c r="AD21" s="552" t="n"/>
      <c r="AE21" s="1222" t="n"/>
      <c r="AF21" s="1222" t="n"/>
      <c r="AG21" s="552" t="inlineStr">
        <is>
          <t>🔴</t>
        </is>
      </c>
      <c r="AH21" s="1053" t="n"/>
      <c r="AI21" s="1054" t="inlineStr">
        <is>
          <t>Si père et &lt; 1 an et valeur parentale faible = Référence ouvrage si dispo</t>
        </is>
      </c>
    </row>
    <row r="22" ht="97" customHeight="1">
      <c r="D22" s="203" t="n">
        <v>5</v>
      </c>
      <c r="E22" s="203" t="inlineStr">
        <is>
          <t>B04</t>
        </is>
      </c>
      <c r="F22" s="646" t="inlineStr">
        <is>
          <t xml:space="preserve">Depuis combien de temps êtes vous séparé.e de l'autre parent (coparent)? </t>
        </is>
      </c>
      <c r="G22" s="553" t="inlineStr">
        <is>
          <t xml:space="preserve">Depuis combien de temps êtiez-vous séparé.e de l'autre parent (coparent)? </t>
        </is>
      </c>
      <c r="H22" s="528" t="inlineStr">
        <is>
          <t xml:space="preserve">moins de 1 an (incl. en union ou en instance de séparation)
1 à 2 ans
2 à 5 ans
5 à 10 ans 
plus de 10 ans  </t>
        </is>
      </c>
      <c r="I22" s="1109" t="n"/>
      <c r="J22" s="205" t="n"/>
      <c r="K22" s="225" t="n"/>
      <c r="L22" s="223" t="n">
        <v>0</v>
      </c>
      <c r="M22" s="619" t="n"/>
      <c r="N22" s="136" t="inlineStr">
        <is>
          <t>Choix de réponses</t>
        </is>
      </c>
      <c r="O22" s="956" t="n"/>
      <c r="P22" s="338" t="n"/>
      <c r="Q22" s="338" t="n"/>
      <c r="R22" s="192" t="inlineStr">
        <is>
          <t>n/a</t>
        </is>
      </c>
      <c r="S22" s="390" t="inlineStr">
        <is>
          <t>n/a</t>
        </is>
      </c>
      <c r="T22" s="391" t="inlineStr">
        <is>
          <t>n/a</t>
        </is>
      </c>
      <c r="U22" s="181" t="inlineStr">
        <is>
          <t>N / A</t>
        </is>
      </c>
      <c r="V22" s="464" t="n"/>
      <c r="W22" s="464" t="n"/>
      <c r="AD22" s="552" t="n"/>
      <c r="AE22" s="1224" t="n"/>
      <c r="AF22" s="1224" t="n"/>
      <c r="AG22" s="552" t="inlineStr">
        <is>
          <t>🔴</t>
        </is>
      </c>
      <c r="AH22" s="1053" t="n"/>
      <c r="AI22" s="1224" t="inlineStr">
        <is>
          <t xml:space="preserve">Référence ouvrage sur la fragilité séparation &lt; 2 ans 
(i) 
rappeler qu'il est normal de vivre une péiode de turbulence (importante) les 2 premières années de la séparation. 
Réf: stats Francine Cyr 
</t>
        </is>
      </c>
    </row>
    <row r="23" ht="95" customHeight="1">
      <c r="D23" s="203" t="n">
        <v>6</v>
      </c>
      <c r="E23" s="203" t="inlineStr">
        <is>
          <t>B05</t>
        </is>
      </c>
      <c r="F23" s="646" t="inlineStr">
        <is>
          <t>Combien d'enfants compte la fratrie ?</t>
        </is>
      </c>
      <c r="G23" s="646" t="inlineStr">
        <is>
          <t>Combien d'enfants compte la fratrie ?</t>
        </is>
      </c>
      <c r="H23" s="1175" t="inlineStr">
        <is>
          <t>1 enfant (c elui qui fait l'objet de l'analyse)
2
3
Plus de 4 enfants</t>
        </is>
      </c>
      <c r="I23" s="1176" t="n"/>
      <c r="J23" s="205" t="n"/>
      <c r="K23" s="225" t="n"/>
      <c r="L23" s="223" t="n"/>
      <c r="M23" s="619" t="n"/>
      <c r="N23" s="136" t="inlineStr">
        <is>
          <t>Choix de réponses</t>
        </is>
      </c>
      <c r="O23" s="956" t="n"/>
      <c r="P23" s="338" t="n"/>
      <c r="Q23" s="338" t="n"/>
      <c r="R23" s="192" t="n"/>
      <c r="S23" s="390" t="n"/>
      <c r="T23" s="391" t="n"/>
      <c r="U23" s="181" t="n"/>
      <c r="V23" s="464" t="n"/>
      <c r="W23" s="464" t="n"/>
      <c r="AD23" s="552" t="n"/>
      <c r="AE23" s="1224" t="n"/>
      <c r="AF23" s="1224" t="n"/>
      <c r="AG23" s="1221" t="n"/>
      <c r="AH23" s="1053" t="n"/>
      <c r="AI23" s="1055" t="n"/>
    </row>
    <row r="24" ht="79" customHeight="1">
      <c r="D24" s="203" t="n">
        <v>7</v>
      </c>
      <c r="E24" s="203" t="inlineStr">
        <is>
          <t>B06</t>
        </is>
      </c>
      <c r="F24" s="646" t="inlineStr">
        <is>
          <t>Quel âge a l'enfant qui fait l'objet de l'analyse ?</t>
        </is>
      </c>
      <c r="G24" s="646" t="inlineStr">
        <is>
          <t>Quel âge a l'enfant qui fait l'objet de l'analyse ?</t>
        </is>
      </c>
      <c r="H24" s="204" t="n"/>
      <c r="I24" s="211" t="n"/>
      <c r="J24" s="205" t="n"/>
      <c r="K24" s="225" t="n"/>
      <c r="L24" s="223" t="n">
        <v>0</v>
      </c>
      <c r="M24" s="619" t="n"/>
      <c r="N24" s="136" t="inlineStr">
        <is>
          <t>Choix de réponses</t>
        </is>
      </c>
      <c r="O24" s="956" t="n"/>
      <c r="P24" s="338" t="n"/>
      <c r="Q24" s="338" t="n"/>
      <c r="R24" s="192" t="inlineStr">
        <is>
          <t>n/a</t>
        </is>
      </c>
      <c r="S24" s="390" t="inlineStr">
        <is>
          <t>n/a</t>
        </is>
      </c>
      <c r="T24" s="391" t="inlineStr">
        <is>
          <t>n/a</t>
        </is>
      </c>
      <c r="U24" s="181" t="inlineStr">
        <is>
          <t>N / A</t>
        </is>
      </c>
      <c r="V24" s="464" t="n"/>
      <c r="W24" s="464" t="n"/>
      <c r="AD24" s="552" t="inlineStr">
        <is>
          <t>🔶</t>
        </is>
      </c>
      <c r="AE24" s="1224" t="inlineStr">
        <is>
          <t>Préciser notion : Il est possible de faire une analyse comparative ou rétroactive</t>
        </is>
      </c>
      <c r="AF24" s="1224" t="n"/>
      <c r="AG24" s="1221" t="n"/>
      <c r="AH24" s="1053" t="n"/>
      <c r="AI24" s="1055" t="n"/>
    </row>
    <row r="25" ht="71" customHeight="1">
      <c r="D25" s="203" t="n">
        <v>8</v>
      </c>
      <c r="E25" s="203" t="inlineStr">
        <is>
          <t>B07</t>
        </is>
      </c>
      <c r="F25" s="646" t="inlineStr">
        <is>
          <t xml:space="preserve">Quelle est votre situation familiale actuelle? </t>
        </is>
      </c>
      <c r="G25" s="646" t="inlineStr">
        <is>
          <t xml:space="preserve">Quelle était votre situation familiale? </t>
        </is>
      </c>
      <c r="H25" s="528" t="inlineStr">
        <is>
          <t xml:space="preserve">Célibataire
En couple ou famille recomposée SANS enfant issu de la nouvelle union
Famile recomposée AVEC enfant(s) issu(s) de la nouvelle union </t>
        </is>
      </c>
      <c r="I25" s="1109" t="n"/>
      <c r="J25" s="205" t="n"/>
      <c r="K25" s="225" t="n"/>
      <c r="L25" s="223" t="n">
        <v>0</v>
      </c>
      <c r="M25" s="619" t="n"/>
      <c r="N25" s="136" t="inlineStr">
        <is>
          <t>Choix de réponses</t>
        </is>
      </c>
      <c r="O25" s="1982" t="n"/>
      <c r="P25" s="338" t="n"/>
      <c r="Q25" s="338" t="n"/>
      <c r="R25" s="192" t="inlineStr">
        <is>
          <t>n/a</t>
        </is>
      </c>
      <c r="S25" s="390" t="inlineStr">
        <is>
          <t>n/a</t>
        </is>
      </c>
      <c r="T25" s="391" t="inlineStr">
        <is>
          <t>n/a</t>
        </is>
      </c>
      <c r="U25" s="181" t="inlineStr">
        <is>
          <t>N / A</t>
        </is>
      </c>
      <c r="V25" s="464" t="n"/>
      <c r="W25" s="464" t="n"/>
      <c r="AD25" s="552" t="n"/>
      <c r="AE25" s="1224" t="n"/>
      <c r="AG25" s="1221" t="n"/>
      <c r="AH25" s="1053" t="n"/>
      <c r="AI25" s="1224" t="inlineStr">
        <is>
          <t xml:space="preserve">mettre en relief les défis pour un parent ciblé d'avoir un.e nouveau / nvlle conjoint.e = cible pour ex qui refuse la séparation  
si votre co-parent  accepte la séparation vs vit mal la séparation, il se peut que la transition soit plus difficile … patience ...  </t>
        </is>
      </c>
    </row>
    <row r="26" ht="71" customHeight="1">
      <c r="D26" s="203" t="n">
        <v>9</v>
      </c>
      <c r="E26" s="203" t="inlineStr">
        <is>
          <t>B08</t>
        </is>
      </c>
      <c r="F26" s="646" t="inlineStr">
        <is>
          <t xml:space="preserve">Quelle est la situation familiale actuelle de l'autre parent ? 
</t>
        </is>
      </c>
      <c r="G26" s="646" t="inlineStr">
        <is>
          <t xml:space="preserve">Quelle était la situation familiale de l'autre parent? 
</t>
        </is>
      </c>
      <c r="H26" s="528" t="inlineStr">
        <is>
          <t xml:space="preserve">Célibataire 
En couple 
Famille recomposée </t>
        </is>
      </c>
      <c r="I26" s="1109" t="n"/>
      <c r="J26" s="205" t="n"/>
      <c r="K26" s="225" t="n"/>
      <c r="L26" s="223" t="n">
        <v>0</v>
      </c>
      <c r="M26" s="619" t="n"/>
      <c r="N26" s="136" t="inlineStr">
        <is>
          <t>Choix de réponses</t>
        </is>
      </c>
      <c r="O26" s="1982" t="n"/>
      <c r="P26" s="338" t="n"/>
      <c r="Q26" s="338" t="n"/>
      <c r="R26" s="192" t="inlineStr">
        <is>
          <t>n/a</t>
        </is>
      </c>
      <c r="S26" s="390" t="inlineStr">
        <is>
          <t>n/a</t>
        </is>
      </c>
      <c r="T26" s="391" t="inlineStr">
        <is>
          <t>n/a</t>
        </is>
      </c>
      <c r="U26" s="181" t="inlineStr">
        <is>
          <t>N / A</t>
        </is>
      </c>
      <c r="V26" s="464" t="n"/>
      <c r="W26" s="464" t="n"/>
      <c r="AD26" s="552" t="n"/>
      <c r="AE26" s="1224" t="n"/>
      <c r="AF26" s="1222" t="n"/>
      <c r="AG26" s="1221" t="n"/>
      <c r="AH26" s="1053" t="n"/>
      <c r="AI26" s="1055" t="n"/>
    </row>
    <row r="27" ht="57" customHeight="1">
      <c r="B27" s="1900" t="inlineStr">
        <is>
          <t>Changement d'échelle</t>
        </is>
      </c>
      <c r="D27" s="203" t="n">
        <v>10</v>
      </c>
      <c r="E27" s="203" t="inlineStr">
        <is>
          <t>B11</t>
        </is>
      </c>
      <c r="F27" s="646" t="inlineStr">
        <is>
          <t>Dans quelle mesure l'entente de garde et/ou les droits d'accès sont-ils respectés?</t>
        </is>
      </c>
      <c r="G27" s="646" t="inlineStr">
        <is>
          <t>Dans quelle mesure l'entente de garde et/ou les droits d'accès étaient-ils respectés?</t>
        </is>
      </c>
      <c r="H27" s="248" t="n"/>
      <c r="I27" s="1110" t="n"/>
      <c r="J27" s="208" t="n"/>
      <c r="K27" s="225" t="n">
        <v>4</v>
      </c>
      <c r="L27" s="224" t="n">
        <v>3</v>
      </c>
      <c r="M27" s="619" t="n"/>
      <c r="N27" s="136" t="n"/>
      <c r="O27" s="1906" t="inlineStr">
        <is>
          <t xml:space="preserve">En tout temps / Presque toujours / Régulièrement / De manière irrégulière / Rarement / Jamais / S.O. </t>
        </is>
      </c>
      <c r="P27" s="345">
        <f>Test_Bible!P53</f>
        <v/>
      </c>
      <c r="Q27" s="345">
        <f>Test_Bible!Q53</f>
        <v/>
      </c>
      <c r="R27" s="192" t="inlineStr">
        <is>
          <t>n/a</t>
        </is>
      </c>
      <c r="S27" s="390" t="inlineStr">
        <is>
          <t>n/a</t>
        </is>
      </c>
      <c r="T27" s="391" t="inlineStr">
        <is>
          <t>n/a</t>
        </is>
      </c>
      <c r="U27" s="182" t="inlineStr">
        <is>
          <t>E: Interférence temps et/ou communication</t>
        </is>
      </c>
      <c r="V27" s="466" t="n"/>
      <c r="W27" s="466" t="n"/>
      <c r="AD27" s="552" t="inlineStr">
        <is>
          <t>🔶</t>
        </is>
      </c>
      <c r="AE27" s="291" t="inlineStr">
        <is>
          <t xml:space="preserve">info de base ???  Référence : Roland Broca et Olga Odinetz, Séparations conflictuelles et aliénation parentale : Enfants en danger. Édition Chronique sociale, France, 2016 </t>
        </is>
      </c>
      <c r="AG27" s="1056" t="inlineStr">
        <is>
          <t>🔴 ATTN : déf. AP</t>
        </is>
      </c>
      <c r="AH27" s="1053" t="n"/>
      <c r="AI27" s="1055" t="n"/>
    </row>
    <row r="28" ht="51" customHeight="1">
      <c r="B28" s="124" t="inlineStr">
        <is>
          <t>sq1 (s'active si B11&gt;=condition)</t>
        </is>
      </c>
      <c r="D28" s="203" t="n">
        <v>11</v>
      </c>
      <c r="E28" s="143" t="inlineStr">
        <is>
          <t>B11a</t>
        </is>
      </c>
      <c r="F28" s="302" t="inlineStr">
        <is>
          <t>Un jugement concernant la garde des enfants a-t-il été rendu par le tribunal ?</t>
        </is>
      </c>
      <c r="G28" s="302" t="inlineStr">
        <is>
          <t>Un jugement concernant la garde des enfants avait-il été rendu par le tribunal ?</t>
        </is>
      </c>
      <c r="H28" s="122" t="n"/>
      <c r="I28" s="1111" t="n"/>
      <c r="J28" s="124" t="inlineStr">
        <is>
          <t xml:space="preserve">sq1 (si oui sq2) </t>
        </is>
      </c>
      <c r="K28" s="227" t="n"/>
      <c r="L28" s="610" t="n">
        <v>0</v>
      </c>
      <c r="M28" s="621" t="n"/>
      <c r="N28" s="136" t="inlineStr">
        <is>
          <t>O/N</t>
        </is>
      </c>
      <c r="O28" s="1907" t="n"/>
      <c r="P28" s="338" t="n"/>
      <c r="Q28" s="338" t="n"/>
      <c r="R28" s="192" t="inlineStr">
        <is>
          <t>n/a</t>
        </is>
      </c>
      <c r="S28" s="390" t="inlineStr">
        <is>
          <t>n/a</t>
        </is>
      </c>
      <c r="T28" s="391" t="inlineStr">
        <is>
          <t>n/a</t>
        </is>
      </c>
      <c r="U28" s="181" t="inlineStr">
        <is>
          <t>N / A</t>
        </is>
      </c>
      <c r="V28" s="464" t="n"/>
      <c r="W28" s="464" t="n"/>
      <c r="X28" s="164" t="n"/>
      <c r="AD28" s="552" t="n"/>
      <c r="AE28" s="1222" t="n"/>
      <c r="AF28" s="1222" t="n"/>
      <c r="AG28" s="1221" t="n"/>
      <c r="AH28" s="1053" t="n"/>
      <c r="AI28" s="1055" t="n"/>
    </row>
    <row r="29" ht="59" customHeight="1">
      <c r="B29" s="124" t="inlineStr">
        <is>
          <t>sq2 de B11a (s'active si x=oui)</t>
        </is>
      </c>
      <c r="D29" s="203" t="n">
        <v>12</v>
      </c>
      <c r="E29" s="143" t="inlineStr">
        <is>
          <t>B11a1</t>
        </is>
      </c>
      <c r="F29" s="302" t="inlineStr">
        <is>
          <t>Est-ce que l'autre parent (coparent) respecte les ordonnances ou les jugements de la Cour ?</t>
        </is>
      </c>
      <c r="G29" s="302" t="inlineStr">
        <is>
          <t>L'autre parent (coparent) respectait-il les ordonnances ou les jugements de la Cour ?</t>
        </is>
      </c>
      <c r="H29" s="122" t="n"/>
      <c r="I29" s="1111" t="n"/>
      <c r="J29" s="124" t="inlineStr">
        <is>
          <t>sq2</t>
        </is>
      </c>
      <c r="K29" s="227" t="n"/>
      <c r="L29" s="595" t="n">
        <v>2</v>
      </c>
      <c r="M29" s="621" t="n"/>
      <c r="N29" s="136" t="inlineStr">
        <is>
          <t>E1B</t>
        </is>
      </c>
      <c r="O29" s="2070" t="inlineStr">
        <is>
          <t>Toujours / Souvent / Régulièrement / Occasionnellement / Rarement / Jamais / S.O.</t>
        </is>
      </c>
      <c r="P29" s="345">
        <f>Test_Bible!P56</f>
        <v/>
      </c>
      <c r="Q29" s="345">
        <f>Test_Bible!Q56</f>
        <v/>
      </c>
      <c r="R29" s="192" t="inlineStr">
        <is>
          <t>n/a</t>
        </is>
      </c>
      <c r="S29" s="390" t="inlineStr">
        <is>
          <t>n/a</t>
        </is>
      </c>
      <c r="T29" s="391" t="inlineStr">
        <is>
          <t>n/a</t>
        </is>
      </c>
      <c r="U29" s="182" t="inlineStr">
        <is>
          <t>E: Interférence temps et/ou communication</t>
        </is>
      </c>
      <c r="V29" s="465" t="n"/>
      <c r="W29" s="465" t="n"/>
      <c r="AD29" s="1221" t="n"/>
      <c r="AE29" s="1222" t="n"/>
      <c r="AF29" s="1222" t="n"/>
      <c r="AG29" s="1056" t="inlineStr">
        <is>
          <t>🔴 ATTN : déf. AP</t>
        </is>
      </c>
      <c r="AH29" s="1053" t="n"/>
      <c r="AI29" s="1055" t="n"/>
    </row>
    <row r="30" ht="59" customHeight="1">
      <c r="B30" s="124" t="inlineStr">
        <is>
          <t>sq1 (s'active si B11&gt;=condition)</t>
        </is>
      </c>
      <c r="D30" s="203" t="n">
        <v>13</v>
      </c>
      <c r="E30" s="143" t="inlineStr">
        <is>
          <t>B11b</t>
        </is>
      </c>
      <c r="F30" s="302" t="inlineStr">
        <is>
          <t>Respectez-vous, de votre côté, les ordonnances et entente de garde ?</t>
        </is>
      </c>
      <c r="G30" s="302" t="inlineStr">
        <is>
          <t>Respectiez-vous, de votre côté, les ordonnances et entente de garde ?</t>
        </is>
      </c>
      <c r="H30" s="122" t="n"/>
      <c r="I30" s="1111" t="n"/>
      <c r="J30" s="124" t="inlineStr">
        <is>
          <t>sq1</t>
        </is>
      </c>
      <c r="K30" s="227" t="n"/>
      <c r="L30" s="595" t="n">
        <v>2</v>
      </c>
      <c r="M30" s="621" t="n"/>
      <c r="N30" s="136" t="inlineStr">
        <is>
          <t>E1B</t>
        </is>
      </c>
      <c r="O30" s="2070" t="inlineStr">
        <is>
          <t>Toujours / Souvent / Régulièrement / Occasionnellement / Rarement / Jamais / S.O.</t>
        </is>
      </c>
      <c r="P30" s="345">
        <f>Test_Bible!P57</f>
        <v/>
      </c>
      <c r="Q30" s="345">
        <f>Test_Bible!Q57</f>
        <v/>
      </c>
      <c r="R30" s="192" t="inlineStr">
        <is>
          <t>n/a</t>
        </is>
      </c>
      <c r="S30" s="390" t="inlineStr">
        <is>
          <t>n/a</t>
        </is>
      </c>
      <c r="T30" s="391" t="inlineStr">
        <is>
          <t>n/a</t>
        </is>
      </c>
      <c r="U30" s="182" t="inlineStr">
        <is>
          <t>E: Interférence temps et/ou communication</t>
        </is>
      </c>
      <c r="V30" s="466" t="n"/>
      <c r="W30" s="466" t="n"/>
      <c r="AD30" s="1221" t="n"/>
      <c r="AE30" s="1222" t="n"/>
      <c r="AF30" s="1222" t="n"/>
      <c r="AG30" s="1221" t="n"/>
      <c r="AH30" s="1053" t="n"/>
      <c r="AI30" s="1055" t="n"/>
    </row>
    <row r="31" ht="125" customHeight="1" thickBot="1">
      <c r="B31" s="1903" t="inlineStr">
        <is>
          <t>sq1 (s'active si B11&gt;=condition)</t>
        </is>
      </c>
      <c r="D31" s="203" t="n">
        <v>14</v>
      </c>
      <c r="E31" s="1808" t="inlineStr">
        <is>
          <t>B12</t>
        </is>
      </c>
      <c r="F31" s="1687" t="inlineStr">
        <is>
          <t xml:space="preserve">Comment qualifieriez-vous votre relation avec votre enfant ? (attn: plusieurs choix possible)  
</t>
        </is>
      </c>
      <c r="G31" s="1687" t="inlineStr">
        <is>
          <t xml:space="preserve">Aviez-vous encore un lien et/ou des contacts avec votre enfant? 
</t>
        </is>
      </c>
      <c r="H31" s="1799" t="inlineStr">
        <is>
          <t>J'ai une très bonne relation
J'ai une bonne relation
J'ai une relation difficile
Mon lien est fragilisé par le contexte familial
Je suis en rupture de lien affectif 
Je suis en rupture de contact physique</t>
        </is>
      </c>
      <c r="I31" s="1796" t="n"/>
      <c r="J31" s="1797" t="inlineStr">
        <is>
          <t>sq1</t>
        </is>
      </c>
      <c r="K31" s="227" t="n"/>
      <c r="L31" s="1902" t="n">
        <v>0</v>
      </c>
      <c r="M31" s="621" t="n"/>
      <c r="N31" s="1798" t="inlineStr">
        <is>
          <t>choix multiple</t>
        </is>
      </c>
      <c r="O31" s="956" t="n"/>
      <c r="P31" s="338" t="n"/>
      <c r="Q31" s="338" t="n"/>
      <c r="R31" s="192" t="inlineStr">
        <is>
          <t>n/a</t>
        </is>
      </c>
      <c r="S31" s="390" t="inlineStr">
        <is>
          <t>n/a</t>
        </is>
      </c>
      <c r="T31" s="391" t="inlineStr">
        <is>
          <t>n/a</t>
        </is>
      </c>
      <c r="U31" s="182" t="inlineStr">
        <is>
          <t>E: Interférence temps et/ou communication</t>
        </is>
      </c>
      <c r="V31" s="466" t="n"/>
      <c r="W31" s="466" t="n"/>
      <c r="AD31" s="552" t="inlineStr">
        <is>
          <t>🔶</t>
        </is>
      </c>
      <c r="AE31" s="1224" t="inlineStr">
        <is>
          <t xml:space="preserve">notion rupture de lien 
vs 
rupture de contact 
rejet actif vs rejet passif </t>
        </is>
      </c>
      <c r="AG31" s="552" t="inlineStr">
        <is>
          <t>🔴</t>
        </is>
      </c>
      <c r="AI31" s="295" t="inlineStr">
        <is>
          <t xml:space="preserve">si incidence AP élevée : conseils mobilisation </t>
        </is>
      </c>
    </row>
    <row r="32" ht="128" customHeight="1">
      <c r="B32" s="1900" t="inlineStr">
        <is>
          <t>sq2 (s'active si B12 à tous sauf très bonne et bonne relation)</t>
        </is>
      </c>
      <c r="D32" s="203" t="n">
        <v>15</v>
      </c>
      <c r="E32" s="1809" t="inlineStr">
        <is>
          <t>B12a</t>
        </is>
      </c>
      <c r="F32" s="302" t="inlineStr">
        <is>
          <t>Quels types de difficultés relationnelles rencontrez-vous ? (attn: plusieurs choix)</t>
        </is>
      </c>
      <c r="G32" s="302" t="inlineStr">
        <is>
          <t>Quels types de difficultés relationnelles rencontriez-vous ?</t>
        </is>
      </c>
      <c r="H32" s="1799" t="inlineStr">
        <is>
          <t>Période adolescente difficile
L'anxiété de séparation fragilise mon lien affectif
Le conflit parental fragilise mon lien affectif
Contact sporadique, mais accès (garde non-respecté)
Communication à distance seulement (téléphone, texto, RS)
Aucune communication ou contact
Aucune de ces réponses</t>
        </is>
      </c>
      <c r="I32" s="1112" t="n"/>
      <c r="J32" s="124" t="inlineStr">
        <is>
          <t>sq2 (ouvre si B11c à non et à oui, mais lien fragile)</t>
        </is>
      </c>
      <c r="K32" s="227" t="n"/>
      <c r="L32" s="610" t="n">
        <v>0</v>
      </c>
      <c r="M32" s="622" t="n"/>
      <c r="N32" s="958" t="inlineStr">
        <is>
          <t>choix multiple</t>
        </is>
      </c>
      <c r="O32" s="956" t="n"/>
      <c r="P32" s="338" t="n"/>
      <c r="Q32" s="338" t="n"/>
      <c r="R32" s="192" t="inlineStr">
        <is>
          <t>n/a</t>
        </is>
      </c>
      <c r="S32" s="390" t="inlineStr">
        <is>
          <t>n/a</t>
        </is>
      </c>
      <c r="T32" s="391" t="inlineStr">
        <is>
          <t>n/a</t>
        </is>
      </c>
      <c r="U32" s="182" t="n"/>
      <c r="V32" s="466" t="n"/>
      <c r="W32" s="466" t="n"/>
      <c r="AD32" s="552" t="n"/>
      <c r="AG32" s="552" t="n"/>
      <c r="AI32" s="552" t="n"/>
    </row>
    <row r="33" ht="87" customHeight="1">
      <c r="B33" s="1900" t="inlineStr">
        <is>
          <t>sq2 (s'active si B12 à tous sauf très bonne et bonne relation)</t>
        </is>
      </c>
      <c r="D33" s="203" t="n">
        <v>16</v>
      </c>
      <c r="E33" s="1809" t="inlineStr">
        <is>
          <t>B12b</t>
        </is>
      </c>
      <c r="F33" s="302" t="inlineStr">
        <is>
          <t xml:space="preserve">Ces difficultés relationnelles sont-elles récentes? </t>
        </is>
      </c>
      <c r="G33" s="302" t="inlineStr">
        <is>
          <t xml:space="preserve">Ces difficultés relationnelles étaient-elles récentes? </t>
        </is>
      </c>
      <c r="H33" s="122" t="inlineStr">
        <is>
          <t>&lt; 9 mois
Entre 9 mois et 2 ans
Entre 2 ans et 5 ans
Entre 5 ans et 10 ans
Plus de 10 ans</t>
        </is>
      </c>
      <c r="I33" s="1111" t="n"/>
      <c r="J33" s="124" t="inlineStr">
        <is>
          <t>sq2 (ouvre si B11c à non et à oui, mais lien fragile)</t>
        </is>
      </c>
      <c r="K33" s="227" t="n"/>
      <c r="L33" s="610" t="n">
        <v>0</v>
      </c>
      <c r="M33" s="621" t="n"/>
      <c r="N33" s="136" t="inlineStr">
        <is>
          <t>choix multiple</t>
        </is>
      </c>
      <c r="O33" s="956" t="n"/>
      <c r="P33" s="338" t="n"/>
      <c r="Q33" s="338" t="n"/>
      <c r="R33" s="192" t="inlineStr">
        <is>
          <t>n/a</t>
        </is>
      </c>
      <c r="S33" s="390" t="inlineStr">
        <is>
          <t>n/a</t>
        </is>
      </c>
      <c r="T33" s="391" t="inlineStr">
        <is>
          <t>n/a</t>
        </is>
      </c>
      <c r="U33" s="182" t="n"/>
      <c r="V33" s="466" t="n"/>
      <c r="W33" s="466" t="n"/>
      <c r="AD33" s="552" t="n"/>
      <c r="AG33" s="552" t="n"/>
      <c r="AI33" s="552" t="n"/>
    </row>
    <row r="34" ht="48" customHeight="1">
      <c r="B34" s="1900" t="inlineStr">
        <is>
          <t>sq2 (s'active si B12 en rupture seulement)</t>
        </is>
      </c>
      <c r="D34" s="203" t="n">
        <v>17</v>
      </c>
      <c r="E34" s="1809" t="inlineStr">
        <is>
          <t>B12c</t>
        </is>
      </c>
      <c r="F34" s="302" t="inlineStr">
        <is>
          <t>Est-ce qu'il y a d'autres enfants en rupture de lien ou de contact?</t>
        </is>
      </c>
      <c r="G34" s="302" t="inlineStr">
        <is>
          <t>Y avait-il d'autres enfants en rupture de lien ou de contact?</t>
        </is>
      </c>
      <c r="H34" s="566" t="n"/>
      <c r="I34" s="1113" t="n"/>
      <c r="J34" s="124" t="inlineStr">
        <is>
          <t>sq2 (ouvre si B11c à non et à oui, mais lien fragile)</t>
        </is>
      </c>
      <c r="K34" s="227" t="n"/>
      <c r="L34" s="610" t="n">
        <v>0</v>
      </c>
      <c r="M34" s="621" t="n"/>
      <c r="N34" s="136" t="inlineStr">
        <is>
          <t>O/N</t>
        </is>
      </c>
      <c r="O34" s="956" t="n"/>
      <c r="P34" s="338" t="n"/>
      <c r="Q34" s="338" t="n"/>
      <c r="R34" s="192" t="inlineStr">
        <is>
          <t>n/a</t>
        </is>
      </c>
      <c r="S34" s="390" t="inlineStr">
        <is>
          <t>n/a</t>
        </is>
      </c>
      <c r="T34" s="391" t="inlineStr">
        <is>
          <t>n/a</t>
        </is>
      </c>
      <c r="U34" s="182" t="n"/>
      <c r="V34" s="466" t="n"/>
      <c r="W34" s="466" t="n"/>
      <c r="AD34" s="552" t="inlineStr">
        <is>
          <t>🔶</t>
        </is>
      </c>
      <c r="AE34" s="1224" t="inlineStr">
        <is>
          <t xml:space="preserve">notion rupture de lien 
vs 
rupture de contact 
rejet actif vs rejet passif </t>
        </is>
      </c>
      <c r="AF34" s="1224" t="n"/>
      <c r="AG34" s="552" t="n"/>
      <c r="AI34" s="552" t="n"/>
    </row>
    <row r="35" ht="135" customHeight="1" thickBot="1">
      <c r="B35" s="1900" t="inlineStr">
        <is>
          <t>sq2 (s'active si B12 en rupture seulement)</t>
        </is>
      </c>
      <c r="D35" s="203" t="n">
        <v>18</v>
      </c>
      <c r="E35" s="1809" t="inlineStr">
        <is>
          <t>B12d</t>
        </is>
      </c>
      <c r="F35" s="302" t="inlineStr">
        <is>
          <t>Un traumatisme vécu par vous, le co-parent ou l'enfant pourrait-il expliquer la rupture de contact ou de lien avec votre enfant ?</t>
        </is>
      </c>
      <c r="G35" s="555" t="inlineStr">
        <is>
          <t>Un traumatisme vécu par vous, par l'autre parent ou par l'enfant aurait-il pu expliquer la rupture de contact ou de lien avec votre enfant ?</t>
        </is>
      </c>
      <c r="H35" s="567" t="inlineStr">
        <is>
          <t>Épisode de dépression (pour vous ou l'autre parent)
Épisode de violence (de votre part ou de l'autre parent)
Infidélité (de votre part ou de l'autre parent)
Événement déclencheur (ex.: déménagement, deuil,...) 
Arrivée d'un·e nouveau ou nouvelle conjoint·e
Autre
Aucun</t>
        </is>
      </c>
      <c r="I35" s="1114" t="n"/>
      <c r="J35" s="124" t="inlineStr">
        <is>
          <t>sq2 (ouvre si B11c à non et à oui, mais lien fragile)</t>
        </is>
      </c>
      <c r="K35" s="145" t="n"/>
      <c r="L35" s="611" t="n">
        <v>0</v>
      </c>
      <c r="M35" s="622" t="n"/>
      <c r="N35" s="959" t="inlineStr">
        <is>
          <t>choix multiple</t>
        </is>
      </c>
      <c r="O35" s="650" t="n"/>
      <c r="P35" s="360" t="n"/>
      <c r="Q35" s="360" t="n"/>
      <c r="R35" s="192" t="inlineStr">
        <is>
          <t>n/a</t>
        </is>
      </c>
      <c r="S35" s="390" t="inlineStr">
        <is>
          <t>n/a</t>
        </is>
      </c>
      <c r="T35" s="391" t="inlineStr">
        <is>
          <t>n/a</t>
        </is>
      </c>
      <c r="U35" s="409" t="n"/>
      <c r="V35" s="466" t="n"/>
      <c r="W35" s="466" t="n"/>
      <c r="AD35" s="552" t="inlineStr">
        <is>
          <t>🔶</t>
        </is>
      </c>
      <c r="AE35" s="1224" t="inlineStr">
        <is>
          <t xml:space="preserve">Un traumatisme vécu par l'enfant ou par le coparant pourrait expliquer la rupture de contact ou de lien avec votre enfant... Comprendre les raisons qui pourraient pousser l'enfant à s'allier à l'autre parent ou à prendre ses distances … quelques exemples et cas de figures : </t>
        </is>
      </c>
      <c r="AF35" s="1224" t="inlineStr">
        <is>
          <t xml:space="preserve">réf. ? Amy Baker ? Francyne Cyr ? </t>
        </is>
      </c>
      <c r="AG35" s="552" t="n"/>
      <c r="AH35" s="1225" t="inlineStr">
        <is>
          <t xml:space="preserve">https://www.santemagazine.fr/psycho-sexo/psycho/psycho-enfant/parent-solo-ne-soyez-pas-trop-fusionnel-172034 </t>
        </is>
      </c>
      <c r="AI35" s="1991" t="inlineStr">
        <is>
          <t xml:space="preserve">réf. ? Amy Baker ? Francyne Cyr ? </t>
        </is>
      </c>
    </row>
    <row r="36" ht="40" customHeight="1" thickBot="1">
      <c r="D36" s="364" t="n"/>
      <c r="E36" s="364" t="n"/>
      <c r="F36" s="365" t="n"/>
      <c r="G36" s="364" t="n"/>
      <c r="H36" s="365" t="n"/>
      <c r="I36" s="365" t="n"/>
      <c r="J36" s="364" t="n"/>
      <c r="K36" s="364" t="n"/>
      <c r="L36" s="364" t="n"/>
      <c r="M36" s="364" t="n"/>
      <c r="N36" s="366" t="n"/>
      <c r="O36" s="599" t="n"/>
      <c r="P36" s="366" t="n"/>
      <c r="Q36" s="366" t="n"/>
      <c r="R36" s="429" t="n"/>
      <c r="S36" s="407" t="n"/>
      <c r="T36" s="407" t="n"/>
      <c r="U36" s="369" t="n"/>
      <c r="V36" s="466" t="n"/>
      <c r="W36" s="466" t="n"/>
      <c r="AD36" s="1226" t="n"/>
      <c r="AE36" s="1227" t="n"/>
      <c r="AG36" s="552" t="n"/>
      <c r="AH36" s="295" t="inlineStr">
        <is>
          <t xml:space="preserve">réf. : Jocelyne Dahan, médiatrice familiale </t>
        </is>
      </c>
      <c r="AI36" s="552" t="n"/>
    </row>
    <row r="37" ht="40" customHeight="1" thickBot="1">
      <c r="D37" s="177" t="inlineStr">
        <is>
          <t>Questionnaire HISTORIQUE</t>
        </is>
      </c>
      <c r="E37" s="144" t="n"/>
      <c r="F37" s="585" t="n"/>
      <c r="G37" s="38" t="n"/>
      <c r="H37" s="410" t="n"/>
      <c r="I37" s="1115" t="n"/>
      <c r="J37" s="411" t="n"/>
      <c r="K37" s="412" t="n"/>
      <c r="L37" s="412" t="n"/>
      <c r="M37" s="38" t="n"/>
      <c r="N37" s="953" t="n"/>
      <c r="O37" s="600" t="n"/>
      <c r="P37" s="413" t="n"/>
      <c r="Q37" s="413" t="n"/>
      <c r="R37" s="430" t="n"/>
      <c r="S37" s="431" t="n"/>
      <c r="T37" s="431" t="n"/>
      <c r="U37" s="414" t="n"/>
      <c r="V37" s="466" t="n"/>
      <c r="W37" s="466" t="n"/>
      <c r="AD37" s="886" t="n"/>
      <c r="AE37" s="1228" t="n"/>
      <c r="AG37" s="552" t="n"/>
      <c r="AI37" s="552" t="n"/>
    </row>
    <row r="38" ht="48" customFormat="1" customHeight="1" s="7">
      <c r="D38" s="177" t="n">
        <v>19</v>
      </c>
      <c r="E38" s="144" t="inlineStr">
        <is>
          <t>H01</t>
        </is>
      </c>
      <c r="F38" s="1052" t="inlineStr">
        <is>
          <t>Durant la vie commune avec l'autre parent (coparent), quel était le degré de complicité entre vous et votre enfant?</t>
        </is>
      </c>
      <c r="G38" s="1052" t="inlineStr">
        <is>
          <t>Durant la vie commune avec l'autre parent (coparent), quel était le degré de complicité entre vous et votre enfant?</t>
        </is>
      </c>
      <c r="H38" s="129" t="n"/>
      <c r="I38" s="1116" t="n"/>
      <c r="J38" s="133" t="inlineStr">
        <is>
          <t>ATTN : différentiel</t>
        </is>
      </c>
      <c r="K38" s="228" t="n"/>
      <c r="L38" s="612" t="n">
        <v>1</v>
      </c>
      <c r="M38" s="623" t="n"/>
      <c r="N38" s="954" t="inlineStr">
        <is>
          <t xml:space="preserve">1 à 10 </t>
        </is>
      </c>
      <c r="O38" s="952" t="inlineStr">
        <is>
          <t>Aucune (1) à Excellente (10)</t>
        </is>
      </c>
      <c r="P38" s="346">
        <f>Test_Bible!P97</f>
        <v/>
      </c>
      <c r="Q38" s="346">
        <f>Test_Bible!Q97</f>
        <v/>
      </c>
      <c r="R38" s="192" t="inlineStr">
        <is>
          <t>n/a</t>
        </is>
      </c>
      <c r="S38" s="390" t="inlineStr">
        <is>
          <t>n/a</t>
        </is>
      </c>
      <c r="T38" s="391" t="inlineStr">
        <is>
          <t>n/a</t>
        </is>
      </c>
      <c r="U38" s="183" t="inlineStr">
        <is>
          <t>A:Alliance</t>
        </is>
      </c>
      <c r="V38" s="464" t="n"/>
      <c r="W38" s="464" t="n"/>
      <c r="X38" s="59" t="n"/>
      <c r="Y38" s="59" t="n"/>
      <c r="Z38" s="57" t="n"/>
      <c r="AA38" s="57" t="n"/>
      <c r="AB38" s="57" t="n"/>
      <c r="AC38" s="57" t="n"/>
      <c r="AD38" s="1221" t="n"/>
      <c r="AE38" s="1222" t="n"/>
      <c r="AF38" s="1222" t="n"/>
      <c r="AG38" s="1056" t="inlineStr">
        <is>
          <t>🔴 ATTN : déf. AP : relation avant vs après</t>
        </is>
      </c>
      <c r="AH38" s="1053" t="n"/>
      <c r="AI38" s="1055" t="n"/>
    </row>
    <row r="39" ht="69" customFormat="1" customHeight="1" s="7">
      <c r="D39" s="177" t="n">
        <v>20</v>
      </c>
      <c r="E39" s="144" t="inlineStr">
        <is>
          <t>H02</t>
        </is>
      </c>
      <c r="F39" s="585" t="inlineStr">
        <is>
          <t>Durant la vie commune avec l'autre parent, dans quelle mesure diriez-vous que votre enfant se confiait naturellement à vous pour ses questionnements, peines et chagrins ou pour partager de bonnes nouvelles ?</t>
        </is>
      </c>
      <c r="G39" s="585" t="inlineStr">
        <is>
          <t>Durant la vie commune avec l'autre parent, dans quelle mesure diriez-vous que votre enfant se confiait naturellement à vous pour ses questionnements, peines et chagrins ou pour partager de bonnes nouvelles?</t>
        </is>
      </c>
      <c r="H39" s="129" t="n"/>
      <c r="I39" s="1116" t="n"/>
      <c r="J39" s="133" t="inlineStr">
        <is>
          <t>ATTN : différentiel</t>
        </is>
      </c>
      <c r="K39" s="228" t="n"/>
      <c r="L39" s="612" t="n">
        <v>1</v>
      </c>
      <c r="M39" s="623" t="n"/>
      <c r="N39" s="137" t="inlineStr">
        <is>
          <t xml:space="preserve">1 à 10 </t>
        </is>
      </c>
      <c r="O39" s="952" t="inlineStr">
        <is>
          <t>Aucune (1) à Excellente (10)</t>
        </is>
      </c>
      <c r="P39" s="346">
        <f>Test_Bible!P98</f>
        <v/>
      </c>
      <c r="Q39" s="346">
        <f>Test_Bible!Q98</f>
        <v/>
      </c>
      <c r="R39" s="192" t="inlineStr">
        <is>
          <t>n/a</t>
        </is>
      </c>
      <c r="S39" s="390" t="inlineStr">
        <is>
          <t>n/a</t>
        </is>
      </c>
      <c r="T39" s="391" t="inlineStr">
        <is>
          <t>n/a</t>
        </is>
      </c>
      <c r="U39" s="183" t="inlineStr">
        <is>
          <t>A:Alliance</t>
        </is>
      </c>
      <c r="V39" s="464" t="n"/>
      <c r="W39" s="464" t="n"/>
      <c r="X39" s="59" t="n"/>
      <c r="Y39" s="59" t="n"/>
      <c r="Z39" s="57" t="n"/>
      <c r="AA39" s="57" t="n"/>
      <c r="AB39" s="57" t="n"/>
      <c r="AC39" s="57" t="n"/>
      <c r="AD39" s="1221" t="n"/>
      <c r="AE39" s="1222" t="n"/>
      <c r="AF39" s="1222" t="n"/>
      <c r="AG39" s="1221" t="n"/>
      <c r="AH39" s="1053" t="n"/>
      <c r="AI39" s="1055" t="n"/>
    </row>
    <row r="40" ht="48" customFormat="1" customHeight="1" s="7">
      <c r="D40" s="177" t="n">
        <v>22</v>
      </c>
      <c r="E40" s="144" t="inlineStr">
        <is>
          <t>H04</t>
        </is>
      </c>
      <c r="F40" s="585" t="inlineStr">
        <is>
          <t>Comment qualifieriez-vous la complicité entre votre enfant et l'autre parent avant la séparation (éclatement de votre famille) ?</t>
        </is>
      </c>
      <c r="G40" s="585" t="inlineStr">
        <is>
          <t>Comment qualifieriez-vous la complicité entre votre enfant et l'autre parent avant la séparation (éclatement de votre famille)?</t>
        </is>
      </c>
      <c r="H40" s="129" t="n"/>
      <c r="I40" s="1116" t="n"/>
      <c r="J40" s="133" t="inlineStr">
        <is>
          <t>ATTN : différentiel (= &gt; 5)</t>
        </is>
      </c>
      <c r="K40" s="228" t="n">
        <v>6</v>
      </c>
      <c r="L40" s="612" t="n">
        <v>1</v>
      </c>
      <c r="M40" s="623" t="n"/>
      <c r="N40" s="137" t="inlineStr">
        <is>
          <t xml:space="preserve">1 à 10 </t>
        </is>
      </c>
      <c r="O40" s="952" t="inlineStr">
        <is>
          <t>Aucune (1) à Excellente (10)</t>
        </is>
      </c>
      <c r="P40" s="346">
        <f>Test_Bible!P99</f>
        <v/>
      </c>
      <c r="Q40" s="346">
        <f>Test_Bible!Q99</f>
        <v/>
      </c>
      <c r="R40" s="192" t="inlineStr">
        <is>
          <t>n/a</t>
        </is>
      </c>
      <c r="S40" s="390" t="inlineStr">
        <is>
          <t>n/a</t>
        </is>
      </c>
      <c r="T40" s="391" t="inlineStr">
        <is>
          <t>n/a</t>
        </is>
      </c>
      <c r="U40" s="183" t="inlineStr">
        <is>
          <t>A:Alliance</t>
        </is>
      </c>
      <c r="V40" s="464" t="n"/>
      <c r="W40" s="464" t="n"/>
      <c r="X40" s="59" t="n"/>
      <c r="Y40" s="59" t="n"/>
      <c r="Z40" s="57" t="n"/>
      <c r="AA40" s="57" t="n"/>
      <c r="AB40" s="57" t="n"/>
      <c r="AC40" s="57" t="n"/>
      <c r="AD40" s="1221" t="n"/>
      <c r="AE40" s="1222" t="n"/>
      <c r="AF40" s="1222" t="n"/>
      <c r="AG40" s="1221" t="n"/>
      <c r="AH40" s="1053" t="n"/>
      <c r="AI40" s="1055" t="n"/>
    </row>
    <row r="41" ht="48" customFormat="1" customHeight="1" s="7">
      <c r="B41" s="124" t="inlineStr">
        <is>
          <t>sq1 (s'active si H04&gt;=condition)</t>
        </is>
      </c>
      <c r="D41" s="177" t="n">
        <v>23</v>
      </c>
      <c r="E41" s="143" t="inlineStr">
        <is>
          <t>H04a</t>
        </is>
      </c>
      <c r="F41" s="302" t="inlineStr">
        <is>
          <t>Durant la vie commune, dans quelle mesure diriez-vous que la relation entre votre enfant et l'autre parent était fusionnelle ?</t>
        </is>
      </c>
      <c r="G41" s="302" t="inlineStr">
        <is>
          <t>Durant la vie commune, dans quelle mesure diriez-vous que la relation entre votre enfant et l'autre parent était fusionnelle?</t>
        </is>
      </c>
      <c r="H41" s="122" t="n"/>
      <c r="I41" s="1111" t="n"/>
      <c r="J41" s="133" t="inlineStr">
        <is>
          <t>sq1</t>
        </is>
      </c>
      <c r="K41" s="228" t="n">
        <v>5</v>
      </c>
      <c r="L41" s="612" t="n">
        <v>1</v>
      </c>
      <c r="M41" s="623" t="n"/>
      <c r="N41" s="137" t="inlineStr">
        <is>
          <t xml:space="preserve">1 à 10 </t>
        </is>
      </c>
      <c r="O41" s="952" t="inlineStr">
        <is>
          <t>Aucune (1) à Excellente (10)</t>
        </is>
      </c>
      <c r="P41" s="346">
        <f>Test_Bible!P100</f>
        <v/>
      </c>
      <c r="Q41" s="346">
        <f>Test_Bible!Q100</f>
        <v/>
      </c>
      <c r="R41" s="192" t="inlineStr">
        <is>
          <t>n/a</t>
        </is>
      </c>
      <c r="S41" s="390" t="inlineStr">
        <is>
          <t>n/a</t>
        </is>
      </c>
      <c r="T41" s="391" t="inlineStr">
        <is>
          <t>n/a</t>
        </is>
      </c>
      <c r="U41" s="183" t="inlineStr">
        <is>
          <t>A:Alliance</t>
        </is>
      </c>
      <c r="V41" s="464" t="n"/>
      <c r="W41" s="464" t="n"/>
      <c r="X41" s="59" t="n"/>
      <c r="Y41" s="59" t="n"/>
      <c r="Z41" s="57" t="n"/>
      <c r="AA41" s="57" t="n"/>
      <c r="AB41" s="57" t="n"/>
      <c r="AC41" s="57" t="n"/>
      <c r="AD41" s="552" t="inlineStr">
        <is>
          <t>🔶</t>
        </is>
      </c>
      <c r="AE41" s="1224" t="inlineStr">
        <is>
          <t xml:space="preserve">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t>
        </is>
      </c>
      <c r="AF41" s="1224" t="n"/>
      <c r="AG41" s="552" t="inlineStr">
        <is>
          <t>🔴</t>
        </is>
      </c>
      <c r="AH41" s="291" t="n"/>
      <c r="AI41" s="1224" t="inlineStr">
        <is>
          <t xml:space="preserve">S'il y a une différence avant vs après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réf.: https://www.aufeminin.com/enfant/parent-enfant-attention-a-la-fusion-s643495.html  
https://www.santemagazine.fr/psycho-sexo/psycho/psycho-enfant/parent-solo-ne-soyez-pas-trop-fusionnel-172034 
réf. : Jocelyne Dahan, médiatrice familiale </t>
        </is>
      </c>
    </row>
    <row r="42" ht="48" customFormat="1" customHeight="1" s="7">
      <c r="D42" s="177" t="n">
        <v>21</v>
      </c>
      <c r="E42" s="143" t="inlineStr">
        <is>
          <t>H04a1</t>
        </is>
      </c>
      <c r="F42" s="302" t="inlineStr">
        <is>
          <t>Dans quelle mesure diriez-vous que votre enfant idéalisait l’autre parent avant la séparation (éclatement de la famille) ?</t>
        </is>
      </c>
      <c r="G42" s="302" t="inlineStr">
        <is>
          <t>Dans quelle mesure diriez-vous que votre enfant idéalisait l’autre parent avant la séparation (éclatement de la famille)?</t>
        </is>
      </c>
      <c r="H42" s="122" t="n"/>
      <c r="I42" s="1116" t="n"/>
      <c r="J42" s="133" t="inlineStr">
        <is>
          <t>ATTN : différentiel</t>
        </is>
      </c>
      <c r="K42" s="228" t="n"/>
      <c r="L42" s="612" t="n">
        <v>1</v>
      </c>
      <c r="M42" s="623" t="n"/>
      <c r="N42" s="137" t="inlineStr">
        <is>
          <t xml:space="preserve">1 à 10 </t>
        </is>
      </c>
      <c r="O42" s="952" t="inlineStr">
        <is>
          <t>Aucune (1) à Excellente (10)</t>
        </is>
      </c>
      <c r="P42" s="346">
        <f>Test_Bible!P101</f>
        <v/>
      </c>
      <c r="Q42" s="346">
        <f>Test_Bible!Q101</f>
        <v/>
      </c>
      <c r="R42" s="192" t="inlineStr">
        <is>
          <t>n/a</t>
        </is>
      </c>
      <c r="S42" s="390" t="inlineStr">
        <is>
          <t>n/a</t>
        </is>
      </c>
      <c r="T42" s="391" t="inlineStr">
        <is>
          <t>n/a</t>
        </is>
      </c>
      <c r="U42" s="183" t="inlineStr">
        <is>
          <t>A:Alliance</t>
        </is>
      </c>
      <c r="V42" s="464" t="n"/>
      <c r="W42" s="464" t="n"/>
      <c r="X42" s="59" t="n"/>
      <c r="Y42" s="59" t="n"/>
      <c r="Z42" s="57" t="n"/>
      <c r="AA42" s="57" t="n"/>
      <c r="AB42" s="57" t="n"/>
      <c r="AC42" s="57" t="n"/>
      <c r="AD42" s="1221" t="n"/>
      <c r="AE42" s="1222" t="n"/>
      <c r="AF42" s="1222" t="n"/>
      <c r="AG42" s="1221" t="n"/>
      <c r="AH42" s="1053" t="n"/>
      <c r="AI42" s="1055" t="n"/>
    </row>
    <row r="43" ht="48" customFormat="1" customHeight="1" s="7">
      <c r="D43" s="177" t="n">
        <v>24</v>
      </c>
      <c r="E43" s="144" t="inlineStr">
        <is>
          <t>H05</t>
        </is>
      </c>
      <c r="F43" s="585" t="inlineStr">
        <is>
          <t>Durant la vie commune, arrivait-il que l'autre parent vous critique ou vous dénigre devant votre enfant ?</t>
        </is>
      </c>
      <c r="G43" s="585" t="inlineStr">
        <is>
          <t>Durant la vie commune, arrivait-il que l'autre parent vous critique ou vous dénigre devant votre enfant ?</t>
        </is>
      </c>
      <c r="H43" s="129" t="n"/>
      <c r="I43" s="1116" t="n"/>
      <c r="J43" s="169" t="inlineStr">
        <is>
          <t>= &gt; 2 Differentiel</t>
        </is>
      </c>
      <c r="K43" s="1588" t="n">
        <v>2</v>
      </c>
      <c r="L43" s="595" t="n">
        <v>2</v>
      </c>
      <c r="M43" s="623" t="n"/>
      <c r="N43" s="623" t="inlineStr">
        <is>
          <t>E1A</t>
        </is>
      </c>
      <c r="O43" s="623" t="inlineStr">
        <is>
          <t xml:space="preserve">Jamais / Rarement / Occasionnellement / Régulièrement / Souvent / Toujours / S.O. </t>
        </is>
      </c>
      <c r="P43" s="345">
        <f>Test_Bible!P103</f>
        <v/>
      </c>
      <c r="Q43" s="345">
        <f>Test_Bible!Q103</f>
        <v/>
      </c>
      <c r="R43" s="192" t="inlineStr">
        <is>
          <t>n/a</t>
        </is>
      </c>
      <c r="S43" s="390" t="inlineStr">
        <is>
          <t>n/a</t>
        </is>
      </c>
      <c r="T43" s="391" t="inlineStr">
        <is>
          <t>n/a</t>
        </is>
      </c>
      <c r="U43" s="184" t="inlineStr">
        <is>
          <t>D: Dénigrement</t>
        </is>
      </c>
      <c r="V43" s="464" t="n"/>
      <c r="W43" s="464" t="n"/>
      <c r="X43" s="59" t="n"/>
      <c r="Y43" s="59" t="n"/>
      <c r="Z43" s="57" t="n"/>
      <c r="AA43" s="57" t="n"/>
      <c r="AB43" s="57" t="n"/>
      <c r="AC43" s="57" t="n"/>
      <c r="AD43" s="552" t="n"/>
      <c r="AE43" s="1224" t="n"/>
      <c r="AF43" s="1222" t="n"/>
      <c r="AG43" s="552" t="inlineStr">
        <is>
          <t>🔴</t>
        </is>
      </c>
      <c r="AH43" s="1053" t="n"/>
      <c r="AI43" s="1224" t="inlineStr">
        <is>
          <t>Si l'enfant n'a pas  confiance en l'autre parent … il se peut que ce soit un pattern et que l'enfant ait enregistré ça … 
donc si l'enfant a tendance à critiquer aussi le parent ... pas nécessairement du rejet de sa part. ... à étudier en comparaison avec d'autres facteurs</t>
        </is>
      </c>
    </row>
    <row r="44" ht="48" customFormat="1" customHeight="1" s="7">
      <c r="B44" s="124" t="inlineStr">
        <is>
          <t>sq1 (s'active si H05&gt;=condition)</t>
        </is>
      </c>
      <c r="D44" s="177" t="n">
        <v>25</v>
      </c>
      <c r="E44" s="143" t="inlineStr">
        <is>
          <t>H05a</t>
        </is>
      </c>
      <c r="F44" s="586" t="inlineStr">
        <is>
          <t>Durant la vie commune, arrivait-il que l'autre parent hausse le ton ou vous insulte (injure) pour imposer son point de vue ou sa volonté ?</t>
        </is>
      </c>
      <c r="G44" s="586" t="inlineStr">
        <is>
          <t>Durant la vie commune, arrivait-il que l'autre parent hausse le ton ou vous insulte (injure) pour imposer son point de vue ou sa volonté ?</t>
        </is>
      </c>
      <c r="H44" s="121" t="n"/>
      <c r="I44" s="1117" t="n"/>
      <c r="J44" s="124" t="inlineStr">
        <is>
          <t>sq1</t>
        </is>
      </c>
      <c r="K44" s="227" t="n"/>
      <c r="L44" s="595" t="n">
        <v>3</v>
      </c>
      <c r="M44" s="623" t="n"/>
      <c r="N44" s="623" t="inlineStr">
        <is>
          <t>E1A</t>
        </is>
      </c>
      <c r="O44" s="623" t="inlineStr">
        <is>
          <t xml:space="preserve">Jamais / Rarement / Occasionnellement / Régulièrement / Souvent / Toujours / S.O. </t>
        </is>
      </c>
      <c r="P44" s="345">
        <f>Test_Bible!P104</f>
        <v/>
      </c>
      <c r="Q44" s="345">
        <f>Test_Bible!Q104</f>
        <v/>
      </c>
      <c r="R44" s="192" t="inlineStr">
        <is>
          <t>n/a</t>
        </is>
      </c>
      <c r="S44" s="390" t="inlineStr">
        <is>
          <t>n/a</t>
        </is>
      </c>
      <c r="T44" s="391" t="inlineStr">
        <is>
          <t>n/a</t>
        </is>
      </c>
      <c r="U44" s="185" t="inlineStr">
        <is>
          <t>D: Dénigrement</t>
        </is>
      </c>
      <c r="V44" s="465" t="n"/>
      <c r="W44" s="465" t="n"/>
      <c r="X44" s="59" t="n"/>
      <c r="Y44" s="59" t="n"/>
      <c r="Z44" s="57" t="n"/>
      <c r="AA44" s="57" t="n"/>
      <c r="AB44" s="57" t="n"/>
      <c r="AC44" s="57" t="n"/>
      <c r="AD44" s="1221" t="n"/>
      <c r="AE44" s="1222" t="n"/>
      <c r="AF44" s="1222" t="n"/>
      <c r="AG44" s="1221" t="n"/>
      <c r="AH44" s="1053" t="n"/>
      <c r="AI44" s="1055" t="n"/>
    </row>
    <row r="45" ht="74" customFormat="1" customHeight="1" s="7">
      <c r="D45" s="177" t="n">
        <v>26</v>
      </c>
      <c r="E45" s="144" t="inlineStr">
        <is>
          <t>H06</t>
        </is>
      </c>
      <c r="F45" s="585" t="inlineStr">
        <is>
          <t xml:space="preserve">Dans quelle mesure êtes-vous d'accord avec l'énoncé suivant : durant la vie commune l'autre parent percevait votre rôle parental aussi important que le sien. </t>
        </is>
      </c>
      <c r="G45" s="585" t="inlineStr">
        <is>
          <t xml:space="preserve">Dans quelle mesure êtes-vous d'accord avec l'énoncé suivant? Durant la vie commune l'autre parent percevait votre rôle parental comme étant aussi important que le sien. </t>
        </is>
      </c>
      <c r="H45" s="129" t="n"/>
      <c r="I45" s="129" t="n"/>
      <c r="J45" s="129" t="n"/>
      <c r="K45" s="1588" t="n">
        <v>4</v>
      </c>
      <c r="L45" s="593" t="n">
        <v>1</v>
      </c>
      <c r="M45" s="623" t="n"/>
      <c r="N45" s="623" t="inlineStr">
        <is>
          <t>E3A</t>
        </is>
      </c>
      <c r="O45" s="38" t="inlineStr">
        <is>
          <t>Tout à fait en désaccord / En désaccord /  Partiellement en désaccord /  Partiellement d’accord / D’accord / Tout à fait d’accord / S.O.</t>
        </is>
      </c>
      <c r="P45" s="345">
        <f>Test_Bible!P105</f>
        <v/>
      </c>
      <c r="Q45" s="345">
        <f>Test_Bible!Q105</f>
        <v/>
      </c>
      <c r="R45" s="192" t="inlineStr">
        <is>
          <t>n/a</t>
        </is>
      </c>
      <c r="S45" s="390" t="inlineStr">
        <is>
          <t>n/a</t>
        </is>
      </c>
      <c r="T45" s="391" t="inlineStr">
        <is>
          <t>n/a</t>
        </is>
      </c>
      <c r="U45" s="186" t="inlineStr">
        <is>
          <t>F: Interférence lien affectif ou symbolique</t>
        </is>
      </c>
      <c r="V45" s="464" t="n"/>
      <c r="W45" s="464" t="n"/>
      <c r="X45" s="59" t="n"/>
      <c r="Y45" s="59" t="n"/>
      <c r="Z45" s="57" t="n"/>
      <c r="AA45" s="57" t="n"/>
      <c r="AB45" s="57" t="n"/>
      <c r="AC45" s="57" t="n"/>
      <c r="AD45" s="552" t="inlineStr">
        <is>
          <t>🔶</t>
        </is>
      </c>
      <c r="AE45" s="1224" t="inlineStr">
        <is>
          <t xml:space="preserve">notion de valeur parentale </t>
        </is>
      </c>
      <c r="AF45" s="1224" t="n"/>
      <c r="AG45" s="552" t="inlineStr">
        <is>
          <t>🔴</t>
        </is>
      </c>
      <c r="AH45" s="1053" t="n"/>
      <c r="AI45" s="1054" t="inlineStr">
        <is>
          <t xml:space="preserve">Si écart entre avant et après : recommandation médiation s'il y a un écart entre les perceptions des rôles des parents et valeurs (d'interventions) parentales de chacun </t>
        </is>
      </c>
    </row>
    <row r="46" ht="48" customFormat="1" customHeight="1" s="7">
      <c r="D46" s="177" t="n">
        <v>27</v>
      </c>
      <c r="E46" s="143" t="inlineStr">
        <is>
          <t>H06a</t>
        </is>
      </c>
      <c r="F46" s="586" t="inlineStr">
        <is>
          <t>Durant la vie commune, arrivait-il que l'autre parent présente à votre entourage une vision négative de vos compétences parentales?</t>
        </is>
      </c>
      <c r="G46" s="586" t="inlineStr">
        <is>
          <t>Durant la vie commune, arrivait-il que l'autre parent présente à votre entourage une vision négative de vos compétences parentales?</t>
        </is>
      </c>
      <c r="H46" s="121" t="n"/>
      <c r="I46" s="1117" t="n"/>
      <c r="J46" s="124" t="inlineStr">
        <is>
          <t>sq1</t>
        </is>
      </c>
      <c r="K46" s="227" t="n"/>
      <c r="L46" s="595" t="n">
        <v>3</v>
      </c>
      <c r="M46" s="623" t="n"/>
      <c r="N46" s="623" t="inlineStr">
        <is>
          <t>E1A</t>
        </is>
      </c>
      <c r="O46" s="623" t="inlineStr">
        <is>
          <t xml:space="preserve">Jamais / Rarement / Occasionnellement / Régulièrement / Souvent / Toujours / S.O. </t>
        </is>
      </c>
      <c r="P46" s="345">
        <f>Test_Bible!P106</f>
        <v/>
      </c>
      <c r="Q46" s="345">
        <f>Test_Bible!Q106</f>
        <v/>
      </c>
      <c r="R46" s="192" t="inlineStr">
        <is>
          <t>n/a</t>
        </is>
      </c>
      <c r="S46" s="390" t="inlineStr">
        <is>
          <t>n/a</t>
        </is>
      </c>
      <c r="T46" s="391" t="inlineStr">
        <is>
          <t>n/a</t>
        </is>
      </c>
      <c r="U46" s="129" t="inlineStr">
        <is>
          <t>D: Dénigrement</t>
        </is>
      </c>
      <c r="V46" s="464" t="n"/>
      <c r="W46" s="464" t="n"/>
      <c r="X46" s="59" t="n"/>
      <c r="Y46" s="59" t="n"/>
      <c r="Z46" s="57" t="n"/>
      <c r="AA46" s="57" t="n"/>
      <c r="AB46" s="57" t="n"/>
      <c r="AC46" s="57" t="n"/>
      <c r="AD46" s="552" t="n"/>
      <c r="AE46" s="1224" t="n"/>
      <c r="AF46" s="1224" t="n"/>
      <c r="AG46" s="552" t="n"/>
      <c r="AH46" s="1053" t="n"/>
      <c r="AI46" s="1054" t="n"/>
    </row>
    <row r="47" ht="40" customFormat="1" customHeight="1" s="106">
      <c r="A47" s="131" t="n"/>
      <c r="B47" s="131" t="n"/>
      <c r="C47" s="131" t="n"/>
      <c r="D47" s="364" t="n"/>
      <c r="E47" s="364" t="n"/>
      <c r="F47" s="365" t="n"/>
      <c r="G47" s="364" t="n"/>
      <c r="H47" s="365" t="n"/>
      <c r="I47" s="365" t="n"/>
      <c r="J47" s="364" t="n"/>
      <c r="K47" s="364" t="n"/>
      <c r="L47" s="364" t="n"/>
      <c r="M47" s="364" t="n"/>
      <c r="N47" s="366" t="n"/>
      <c r="O47" s="599" t="n"/>
      <c r="P47" s="366" t="n"/>
      <c r="Q47" s="366" t="n"/>
      <c r="R47" s="367" t="n"/>
      <c r="S47" s="368" t="n"/>
      <c r="T47" s="368" t="n"/>
      <c r="U47" s="369" t="n"/>
      <c r="V47" s="467" t="n"/>
      <c r="W47" s="467" t="n"/>
      <c r="X47" s="1172" t="n"/>
      <c r="Y47" s="1172" t="n"/>
      <c r="Z47" s="1173" t="n"/>
      <c r="AA47" s="1173" t="n"/>
      <c r="AB47" s="1173" t="n"/>
      <c r="AC47" s="1173" t="n"/>
      <c r="AD47" s="552" t="n"/>
      <c r="AE47" s="1217" t="n"/>
      <c r="AF47" s="1217" t="n"/>
      <c r="AG47" s="552" t="n"/>
      <c r="AH47" s="295" t="n"/>
      <c r="AI47" s="1229" t="n"/>
    </row>
    <row r="48" ht="60" customFormat="1" customHeight="1" s="106" thickBot="1">
      <c r="D48" s="1174" t="inlineStr">
        <is>
          <t>PCR 
Questionnaire A</t>
        </is>
      </c>
      <c r="E48" s="370" t="n"/>
      <c r="F48" s="371" t="n"/>
      <c r="G48" s="370" t="n"/>
      <c r="H48" s="371" t="n"/>
      <c r="I48" s="371" t="n"/>
      <c r="J48" s="370" t="n"/>
      <c r="K48" s="370" t="n"/>
      <c r="L48" s="370" t="n"/>
      <c r="M48" s="370" t="n"/>
      <c r="N48" s="1045" t="n"/>
      <c r="O48" s="601" t="n"/>
      <c r="P48" s="1045" t="n"/>
      <c r="Q48" s="1045" t="n"/>
      <c r="R48" s="372" t="n"/>
      <c r="S48" s="373" t="n"/>
      <c r="T48" s="373" t="n"/>
      <c r="U48" s="374" t="n"/>
      <c r="V48" s="1271" t="inlineStr">
        <is>
          <t>A:Alliance</t>
        </is>
      </c>
      <c r="W48" s="1272" t="inlineStr">
        <is>
          <t>B:Altération/dévoiement de la réalité</t>
        </is>
      </c>
      <c r="X48" s="1273" t="inlineStr">
        <is>
          <t>C: Chantage affectif, loyauté, manipulation</t>
        </is>
      </c>
      <c r="Y48" s="1274" t="inlineStr">
        <is>
          <t>D: Dénigrement</t>
        </is>
      </c>
      <c r="Z48" s="1275" t="inlineStr">
        <is>
          <t>E: Interférence temps et/ou communication</t>
        </is>
      </c>
      <c r="AA48" s="1276" t="inlineStr">
        <is>
          <t>F: Interférence lien affectif ou symbolique</t>
        </is>
      </c>
      <c r="AB48" s="1277" t="inlineStr">
        <is>
          <t>G: Parentification</t>
        </is>
      </c>
      <c r="AC48" s="1278" t="inlineStr">
        <is>
          <t>H: Rôle actif, Réponse au CC, r</t>
        </is>
      </c>
      <c r="AD48" s="552" t="n"/>
      <c r="AE48" s="1217" t="n"/>
      <c r="AF48" s="1217" t="n"/>
      <c r="AG48" s="552" t="n"/>
      <c r="AH48" s="295" t="n"/>
      <c r="AI48" s="1229" t="n"/>
    </row>
    <row r="49" ht="78" customHeight="1" thickBot="1">
      <c r="C49" s="992" t="inlineStr">
        <is>
          <t>Q mère silencieuse sans sa SQ :
intensité 0 si f&lt;=2</t>
        </is>
      </c>
      <c r="D49" s="1582" t="n">
        <v>28</v>
      </c>
      <c r="E49" s="941" t="inlineStr">
        <is>
          <t>PCR01</t>
        </is>
      </c>
      <c r="F49" s="371" t="inlineStr">
        <is>
          <t>Dans quelle mesure êtes-vous d'accord ou non avec cet énoncé ? 
Vous êtes à l'aise en présence de l'autre parent (coparent).</t>
        </is>
      </c>
      <c r="G49" s="556" t="inlineStr">
        <is>
          <t>Dans quelle mesure êtes-vous d'accord ou non avec cet énoncé ? 
Vous étiez à l'aise en présence de l'autre parent (coparent).</t>
        </is>
      </c>
      <c r="H49" s="253" t="n"/>
      <c r="I49" s="1118" t="n"/>
      <c r="J49" s="215" t="n"/>
      <c r="K49" s="361" t="n">
        <v>4</v>
      </c>
      <c r="L49" s="1589" t="n">
        <v>1</v>
      </c>
      <c r="M49" s="1589" t="n">
        <v>0</v>
      </c>
      <c r="N49" s="961" t="inlineStr">
        <is>
          <t xml:space="preserve">E3B </t>
        </is>
      </c>
      <c r="O49" s="2066" t="inlineStr">
        <is>
          <t xml:space="preserve">Tout à fait d’accord / D'accord / Partiellement d'accord / Partiellement en désaccord / En désaccord / Tout à fait en désaccord / S.O. </t>
        </is>
      </c>
      <c r="P49" s="362" t="n"/>
      <c r="Q49" s="362" t="n"/>
      <c r="R49" s="1590" t="n">
        <v>0.5</v>
      </c>
      <c r="S49" s="1591" t="n">
        <v>0.5</v>
      </c>
      <c r="T49" s="1592" t="n">
        <v>0</v>
      </c>
      <c r="U49" s="740" t="inlineStr">
        <is>
          <t>C: Chantage affectif, loyauté, manipulation</t>
        </is>
      </c>
      <c r="V49" s="1558" t="n"/>
      <c r="W49" s="1558" t="n"/>
      <c r="X49" s="1558" t="n">
        <v>1</v>
      </c>
      <c r="Y49" s="1558" t="n"/>
      <c r="Z49" s="1558" t="n"/>
      <c r="AA49" s="1558" t="n"/>
      <c r="AB49" s="1558" t="n"/>
      <c r="AC49" s="1558" t="n"/>
      <c r="AD49" s="1558" t="n"/>
      <c r="AE49" s="1231" t="n"/>
      <c r="AF49" s="1231" t="n"/>
      <c r="AG49" s="1230" t="n"/>
      <c r="AH49" s="1232" t="n"/>
      <c r="AI49" s="1233" t="n"/>
    </row>
    <row r="50" ht="60" customHeight="1" thickBot="1">
      <c r="D50" s="1582" t="n">
        <v>29</v>
      </c>
      <c r="E50" s="941" t="inlineStr">
        <is>
          <t>PCR01a</t>
        </is>
      </c>
      <c r="F50" s="302" t="inlineStr">
        <is>
          <t xml:space="preserve">Dans quelle mesure sentez-vous que vous devez marcher sur des œufs lorsqu'en présence de l'autre parent afin d'éviter les conflits ? </t>
        </is>
      </c>
      <c r="G50" s="557" t="inlineStr">
        <is>
          <t xml:space="preserve">Dans quelle mesure deviez-vous marcher sur des œufs lorsqu'en présence de l'autre parent afin d'éviter les conflits ? </t>
        </is>
      </c>
      <c r="H50" s="253" t="n"/>
      <c r="I50" s="1118" t="n"/>
      <c r="J50" s="215" t="n"/>
      <c r="K50" s="361" t="n">
        <v>4</v>
      </c>
      <c r="L50" s="1589" t="n">
        <v>2</v>
      </c>
      <c r="M50" s="1589" t="n"/>
      <c r="N50" s="960" t="inlineStr">
        <is>
          <t>E1A</t>
        </is>
      </c>
      <c r="O50" s="2059" t="inlineStr">
        <is>
          <t xml:space="preserve">Jamais / Rarement / Occasionnellement / Régulièrement / Souvent / Toujours / S.O. </t>
        </is>
      </c>
      <c r="P50" s="362" t="n"/>
      <c r="Q50" s="362" t="n"/>
      <c r="R50" s="1590" t="n">
        <v>0.33</v>
      </c>
      <c r="S50" s="1591" t="n">
        <v>0.34</v>
      </c>
      <c r="T50" s="1592" t="n">
        <v>0.33</v>
      </c>
      <c r="U50" s="740" t="inlineStr">
        <is>
          <t>C: Chantage affectif, loyauté, manipulation</t>
        </is>
      </c>
      <c r="V50" s="1558" t="n"/>
      <c r="W50" s="1558" t="n"/>
      <c r="X50" s="1558" t="n">
        <v>1</v>
      </c>
      <c r="Y50" s="1558" t="n"/>
      <c r="Z50" s="1558" t="n"/>
      <c r="AA50" s="1558" t="n"/>
      <c r="AB50" s="1558" t="n"/>
      <c r="AC50" s="1558" t="n"/>
      <c r="AD50" s="1558" t="n"/>
      <c r="AE50" s="1231" t="n"/>
      <c r="AF50" s="1231" t="n"/>
      <c r="AG50" s="1230" t="n"/>
      <c r="AH50" s="1232" t="n"/>
      <c r="AI50" s="1233" t="n"/>
    </row>
    <row r="51" ht="60" customHeight="1">
      <c r="D51" s="1582" t="n">
        <v>30</v>
      </c>
      <c r="E51" s="941" t="inlineStr">
        <is>
          <t>PCR01a1</t>
        </is>
      </c>
      <c r="F51" s="1058" t="inlineStr">
        <is>
          <t xml:space="preserve">Dans quelle mesure l'autre parent hausse la voix ou utilise des jurons pour imposer sa vision des choses? </t>
        </is>
      </c>
      <c r="G51" s="1059" t="inlineStr">
        <is>
          <t xml:space="preserve">Dans quelle mesure l'autre parent haussait la voix ou utilisait des jurons pour imposer sa vision des choses? </t>
        </is>
      </c>
      <c r="H51" s="253" t="n"/>
      <c r="I51" s="1118" t="n"/>
      <c r="J51" s="215" t="n"/>
      <c r="K51" s="361" t="n"/>
      <c r="L51" s="1589" t="n">
        <v>3</v>
      </c>
      <c r="M51" s="1589" t="n"/>
      <c r="N51" s="960" t="inlineStr">
        <is>
          <t>E1A</t>
        </is>
      </c>
      <c r="O51" s="2059" t="inlineStr">
        <is>
          <t xml:space="preserve">Jamais / Rarement / Occasionnellement / Régulièrement / Souvent / Toujours / S.O. </t>
        </is>
      </c>
      <c r="P51" s="362" t="n"/>
      <c r="Q51" s="362" t="n"/>
      <c r="R51" s="1593" t="n"/>
      <c r="S51" s="1594" t="n"/>
      <c r="T51" s="1595" t="n"/>
      <c r="U51" s="741" t="inlineStr">
        <is>
          <t>D: Dénigrement</t>
        </is>
      </c>
      <c r="V51" s="1558" t="n"/>
      <c r="W51" s="1558" t="n"/>
      <c r="X51" s="1558" t="n"/>
      <c r="Y51" s="1558" t="n">
        <v>1</v>
      </c>
      <c r="Z51" s="1558" t="n"/>
      <c r="AA51" s="1558" t="n"/>
      <c r="AB51" s="1558" t="n"/>
      <c r="AC51" s="1558" t="n"/>
      <c r="AD51" s="1558" t="n"/>
      <c r="AE51" s="1231" t="n"/>
      <c r="AF51" s="1231" t="n"/>
      <c r="AG51" s="1230" t="n"/>
      <c r="AH51" s="1232" t="n"/>
      <c r="AI51" s="1233" t="n"/>
    </row>
    <row r="52" ht="132" customHeight="1" thickBot="1">
      <c r="B52" s="124" t="inlineStr">
        <is>
          <t>sq1 (s'active si PCR06&gt;=condition)</t>
        </is>
      </c>
      <c r="D52" s="1582" t="n">
        <v>35</v>
      </c>
      <c r="E52" s="944" t="inlineStr">
        <is>
          <t>PCR01b</t>
        </is>
      </c>
      <c r="F52" s="302" t="inlineStr">
        <is>
          <t>Quels sont les sujets délicats entre vous et l'autre parent ?</t>
        </is>
      </c>
      <c r="G52" s="1066" t="inlineStr">
        <is>
          <t>Quels étaient les sujets de discorde entre vous et l'autre parent?</t>
        </is>
      </c>
      <c r="H52" s="290" t="inlineStr">
        <is>
          <t>- Nutrition
- Gestion du temps de garde
- Questions d'argent
- Accompagnement des devoirs
- Gestion des vêtements
- Choix des activités sportives
- Autre (spécifiez)</t>
        </is>
      </c>
      <c r="I52" s="1121" t="n"/>
      <c r="J52" s="250" t="inlineStr">
        <is>
          <t>sq1</t>
        </is>
      </c>
      <c r="K52" s="232" t="n"/>
      <c r="L52" s="593" t="n"/>
      <c r="M52" s="593" t="n"/>
      <c r="N52" s="961" t="inlineStr">
        <is>
          <t>choix multiples</t>
        </is>
      </c>
      <c r="O52" s="602" t="inlineStr">
        <is>
          <t>- Préparation des repas et/ou boîte à lunch des enfants
- Accompagnement des devoirs
- Gestion des vêtements
- Choix des activités culturelles ou sportives
- Autres</t>
        </is>
      </c>
      <c r="P52" s="352" t="n"/>
      <c r="Q52" s="352" t="n"/>
      <c r="R52" s="675" t="inlineStr">
        <is>
          <t>n/a</t>
        </is>
      </c>
      <c r="S52" s="676" t="inlineStr">
        <is>
          <t>n/a</t>
        </is>
      </c>
      <c r="T52" s="1615" t="inlineStr">
        <is>
          <t>n/a</t>
        </is>
      </c>
      <c r="U52" s="741" t="inlineStr">
        <is>
          <t>D: Dénigrement</t>
        </is>
      </c>
      <c r="V52" s="471" t="n"/>
      <c r="W52" s="471" t="n"/>
      <c r="X52" s="458" t="n"/>
      <c r="Y52" s="1070" t="n">
        <v>1</v>
      </c>
      <c r="AD52" s="1234" t="n"/>
      <c r="AE52" s="1235" t="n"/>
      <c r="AF52" s="1235" t="n"/>
      <c r="AG52" s="1234" t="n"/>
      <c r="AH52" s="1236" t="n"/>
      <c r="AI52" s="1237" t="n"/>
    </row>
    <row r="53" ht="60" customHeight="1" thickBot="1">
      <c r="B53" s="1807" t="inlineStr">
        <is>
          <t>Condition ajoutée :
S'active si B11&lt;=2</t>
        </is>
      </c>
      <c r="C53" t="inlineStr">
        <is>
          <t> </t>
        </is>
      </c>
      <c r="D53" s="1582" t="n">
        <v>31</v>
      </c>
      <c r="E53" s="941" t="inlineStr">
        <is>
          <t>PCR02</t>
        </is>
      </c>
      <c r="F53" s="1060" t="inlineStr">
        <is>
          <t xml:space="preserve">Dans quelle mesure devez-vous faire  des compromis pour assurer une bonne entente de garde? </t>
        </is>
      </c>
      <c r="G53" s="1061" t="inlineStr">
        <is>
          <t xml:space="preserve">Dans quelle mesure deviez-vous faire  des compromis pour assurer une bonne entente de garde ? </t>
        </is>
      </c>
      <c r="H53" s="253" t="n"/>
      <c r="I53" s="1118" t="n"/>
      <c r="J53" s="215" t="inlineStr">
        <is>
          <t> </t>
        </is>
      </c>
      <c r="K53" s="229" t="n"/>
      <c r="L53" s="361" t="n">
        <v>2</v>
      </c>
      <c r="M53" s="361" t="n"/>
      <c r="N53" s="960" t="inlineStr">
        <is>
          <t>E1A</t>
        </is>
      </c>
      <c r="O53" s="2059" t="inlineStr">
        <is>
          <t xml:space="preserve">Jamais / Rarement / Occasionnellement / Régulièrement / Souvent / Toujours / S.O. </t>
        </is>
      </c>
      <c r="P53" s="362" t="n"/>
      <c r="Q53" s="362" t="n"/>
      <c r="R53" s="1593" t="n">
        <v>1</v>
      </c>
      <c r="S53" s="1594" t="n"/>
      <c r="T53" s="1595" t="n"/>
      <c r="U53" s="740" t="inlineStr">
        <is>
          <t>C: Chantage affectif, loyauté, manipulation</t>
        </is>
      </c>
      <c r="V53" s="1558" t="n"/>
      <c r="W53" s="1558" t="n"/>
      <c r="X53" s="1558" t="n">
        <v>1</v>
      </c>
      <c r="Y53" s="1558" t="n"/>
      <c r="Z53" s="1558" t="n"/>
      <c r="AA53" s="1558" t="n"/>
      <c r="AB53" s="1558" t="n"/>
      <c r="AC53" s="1558" t="n"/>
      <c r="AD53" s="1559" t="inlineStr">
        <is>
          <t> </t>
        </is>
      </c>
      <c r="AE53" s="1235" t="n"/>
      <c r="AF53" s="1235" t="n"/>
      <c r="AG53" s="1230" t="n"/>
      <c r="AH53" s="1236" t="n"/>
      <c r="AI53" s="1237" t="n"/>
    </row>
    <row r="54" ht="60" customHeight="1">
      <c r="D54" s="1582" t="n">
        <v>32</v>
      </c>
      <c r="E54" s="941" t="inlineStr">
        <is>
          <t>PCR03</t>
        </is>
      </c>
      <c r="F54" s="371" t="inlineStr">
        <is>
          <t>Dans quelle mesure vous arrive-t-il d'éviter ou d'ignorer l’autre parent lorsque vous le croisez à l'école, lors de changement de garde ou lors d'événements sportifs ?</t>
        </is>
      </c>
      <c r="G54" s="532" t="inlineStr">
        <is>
          <t>Dans quelle mesure vous arrivait-t-il d'éviter ou d'ignorer l’autre parent lorsque vous le croisiez à l'école, lors de changement de garde ou lors d'événements sportifs?</t>
        </is>
      </c>
      <c r="H54" s="253" t="n"/>
      <c r="I54" s="1118" t="n"/>
      <c r="J54" s="215" t="n"/>
      <c r="K54" s="229" t="n"/>
      <c r="L54" s="593" t="n">
        <v>1</v>
      </c>
      <c r="M54" s="593" t="n"/>
      <c r="N54" s="960" t="inlineStr">
        <is>
          <t>E1A</t>
        </is>
      </c>
      <c r="O54" s="2059" t="inlineStr">
        <is>
          <t xml:space="preserve">Jamais / Rarement / Occasionnellement / Régulièrement / Souvent / Toujours / S.O. </t>
        </is>
      </c>
      <c r="P54" s="351">
        <f>Test_Bible!P121</f>
        <v/>
      </c>
      <c r="Q54" s="351">
        <f>Test_Bible!Q121</f>
        <v/>
      </c>
      <c r="R54" s="675" t="n">
        <v>1</v>
      </c>
      <c r="S54" s="676" t="n">
        <v>0</v>
      </c>
      <c r="T54" s="677" t="n">
        <v>0</v>
      </c>
      <c r="U54" s="740" t="inlineStr">
        <is>
          <t>C: Chantage affectif, loyauté, manipulation</t>
        </is>
      </c>
      <c r="V54" s="471" t="n"/>
      <c r="W54" s="471" t="n"/>
      <c r="X54" s="459" t="n">
        <v>1</v>
      </c>
      <c r="Y54" s="1070" t="n"/>
      <c r="Z54" s="1557" t="n"/>
      <c r="AA54" s="1557" t="n"/>
      <c r="AB54" s="1557" t="n"/>
      <c r="AC54" s="1557" t="n"/>
      <c r="AD54" s="1559" t="n"/>
      <c r="AE54" s="1235" t="n"/>
      <c r="AF54" s="1235" t="n"/>
      <c r="AG54" s="1230" t="n"/>
      <c r="AH54" s="1236" t="n"/>
      <c r="AI54" s="1237" t="n"/>
    </row>
    <row r="55" ht="62" customFormat="1" customHeight="1" s="7">
      <c r="D55" s="1582" t="n">
        <v>33</v>
      </c>
      <c r="E55" s="942" t="inlineStr">
        <is>
          <t>PCR04</t>
        </is>
      </c>
      <c r="F55" s="371" t="inlineStr">
        <is>
          <t>Dans quelle mesure questionnez-vous votre enfant à son retour de garde afin de connaître la routine (repas, dodo, etc.) et les activités qu'il a fait alors qu'il était chez l'autre parent ?</t>
        </is>
      </c>
      <c r="G55" s="1064" t="inlineStr">
        <is>
          <t>Dans quelle mesure questionniez-vous votre enfant à son retour de garde afin de connaître la routine (repas, dodo, etc.) et les activités qu'il avait fait alors qu'il était chez l'autre parent?</t>
        </is>
      </c>
      <c r="H55" s="254" t="n"/>
      <c r="I55" s="1119" t="n"/>
      <c r="J55" s="216" t="n"/>
      <c r="K55" s="230" t="n"/>
      <c r="L55" s="608" t="n">
        <v>2</v>
      </c>
      <c r="M55" s="608" t="n"/>
      <c r="N55" s="961" t="inlineStr">
        <is>
          <t>E1A</t>
        </is>
      </c>
      <c r="O55" s="2059" t="inlineStr">
        <is>
          <t xml:space="preserve">Jamais / Rarement / Occasionnellement / Régulièrement / Souvent / Toujours / S.O. </t>
        </is>
      </c>
      <c r="P55" s="351">
        <f>Test_Bible!P122</f>
        <v/>
      </c>
      <c r="Q55" s="351">
        <f>Test_Bible!Q122</f>
        <v/>
      </c>
      <c r="R55" s="386" t="n">
        <v>0</v>
      </c>
      <c r="S55" s="387" t="n">
        <v>0</v>
      </c>
      <c r="T55" s="388" t="n">
        <v>1</v>
      </c>
      <c r="U55" s="740" t="inlineStr">
        <is>
          <t>C: Chantage affectif, loyauté, manipulation</t>
        </is>
      </c>
      <c r="V55" s="471" t="n"/>
      <c r="W55" s="471" t="n"/>
      <c r="X55" s="459" t="n">
        <v>1</v>
      </c>
      <c r="Y55" s="1070" t="n"/>
      <c r="Z55" s="57" t="n"/>
      <c r="AA55" s="57" t="n"/>
      <c r="AB55" s="57" t="n"/>
      <c r="AC55" s="57" t="n"/>
      <c r="AD55" s="552" t="n"/>
      <c r="AE55" s="1217" t="n"/>
      <c r="AF55" s="1217" t="n"/>
      <c r="AG55" s="1230" t="inlineStr">
        <is>
          <t>🔴</t>
        </is>
      </c>
      <c r="AH55" s="1053" t="n"/>
      <c r="AI55" s="1054" t="inlineStr">
        <is>
          <t xml:space="preserve">si tendance forte aux questionnements  : mise en garde concernant la position dans laquelle cela met l'enfant </t>
        </is>
      </c>
    </row>
    <row r="56" ht="88" customHeight="1">
      <c r="D56" s="1582" t="n">
        <v>34</v>
      </c>
      <c r="E56" s="943" t="inlineStr">
        <is>
          <t>PCR06</t>
        </is>
      </c>
      <c r="F56" s="371" t="inlineStr">
        <is>
          <t>Dans quelle mesure devez-vous faire un retour sur les interventions (nutrition, hygiène, logistique, etc.) de l'autre parent (par courriel ou texto) au retour des enfants après un séjour de garde ?</t>
        </is>
      </c>
      <c r="G56" s="1065" t="inlineStr">
        <is>
          <t>Dans quelle mesure deviez-vous faire un retour sur les interventions (nutrition, hygiène, logistique, etc.) de l'autre parent (par courriel ou texto) au retour des enfants après un séjour de garde?</t>
        </is>
      </c>
      <c r="H56" s="256" t="n"/>
      <c r="I56" s="1120" t="n"/>
      <c r="J56" s="249" t="n"/>
      <c r="K56" s="231" t="n">
        <v>2</v>
      </c>
      <c r="L56" s="608" t="n">
        <v>2</v>
      </c>
      <c r="M56" s="608" t="n"/>
      <c r="N56" s="961" t="inlineStr">
        <is>
          <t>E1A</t>
        </is>
      </c>
      <c r="O56" s="2059" t="inlineStr">
        <is>
          <t xml:space="preserve">Jamais / Rarement / Occasionnellement / Régulièrement / Souvent / Toujours / S.O. </t>
        </is>
      </c>
      <c r="P56" s="351">
        <f>Test_Bible!P123</f>
        <v/>
      </c>
      <c r="Q56" s="351">
        <f>Test_Bible!Q123</f>
        <v/>
      </c>
      <c r="R56" s="675" t="n">
        <v>1</v>
      </c>
      <c r="S56" s="676" t="n">
        <v>0</v>
      </c>
      <c r="T56" s="1615" t="n">
        <v>0</v>
      </c>
      <c r="U56" s="741" t="inlineStr">
        <is>
          <t>D: Dénigrement</t>
        </is>
      </c>
      <c r="V56" s="471" t="n"/>
      <c r="W56" s="471" t="n"/>
      <c r="X56" s="458" t="n"/>
      <c r="Y56" s="1070" t="n">
        <v>1</v>
      </c>
      <c r="AD56" s="1234" t="n"/>
      <c r="AE56" s="1235" t="n"/>
      <c r="AF56" s="1235" t="n"/>
      <c r="AG56" s="1234" t="n"/>
      <c r="AH56" s="1236" t="n"/>
      <c r="AI56" s="1237" t="n"/>
    </row>
    <row r="57" ht="112" customHeight="1">
      <c r="B57" s="124" t="inlineStr">
        <is>
          <t>sq1 (s'active si PCR06&gt;=condition)</t>
        </is>
      </c>
      <c r="D57" s="1582" t="n">
        <v>35</v>
      </c>
      <c r="E57" s="944" t="inlineStr">
        <is>
          <t>PCR06a</t>
        </is>
      </c>
      <c r="F57" s="302" t="inlineStr">
        <is>
          <t>Quels sont les sujets de discorde entre vous et l'autre parent ?</t>
        </is>
      </c>
      <c r="G57" s="1066" t="inlineStr">
        <is>
          <t>Quels étaient les sujets de discorde entre vous et l'autre parent?</t>
        </is>
      </c>
      <c r="H57" s="290" t="inlineStr">
        <is>
          <t>- Préparation des repas (et boîte à lunch) des enfants
- Accompagnement des devoirs
- Gestion des vêtements
- Choix des activités sportives
- Autre (spécifiez)</t>
        </is>
      </c>
      <c r="I57" s="1121" t="n"/>
      <c r="J57" s="250" t="inlineStr">
        <is>
          <t>sq1</t>
        </is>
      </c>
      <c r="K57" s="232" t="n"/>
      <c r="L57" s="593" t="n"/>
      <c r="M57" s="593" t="n"/>
      <c r="N57" s="961" t="inlineStr">
        <is>
          <t>choix multiples</t>
        </is>
      </c>
      <c r="O57" s="602" t="inlineStr">
        <is>
          <t>- Préparation des repas et/ou boîte à lunch des enfants
- Accompagnement des devoirs
- Gestion des vêtements
- Choix des activités culturelles ou sportives
- Autres</t>
        </is>
      </c>
      <c r="P57" s="352" t="n"/>
      <c r="Q57" s="352" t="n"/>
      <c r="R57" s="675" t="inlineStr">
        <is>
          <t>n/a</t>
        </is>
      </c>
      <c r="S57" s="676" t="inlineStr">
        <is>
          <t>n/a</t>
        </is>
      </c>
      <c r="T57" s="1615" t="inlineStr">
        <is>
          <t>n/a</t>
        </is>
      </c>
      <c r="U57" s="741" t="inlineStr">
        <is>
          <t>D: Dénigrement</t>
        </is>
      </c>
      <c r="V57" s="471" t="n"/>
      <c r="W57" s="471" t="n"/>
      <c r="X57" s="458" t="n"/>
      <c r="Y57" s="1070" t="n">
        <v>1</v>
      </c>
      <c r="AD57" s="1234" t="n"/>
      <c r="AE57" s="1235" t="n"/>
      <c r="AF57" s="1235" t="n"/>
      <c r="AG57" s="1234" t="n"/>
      <c r="AH57" s="1236" t="n"/>
      <c r="AI57" s="1237" t="n"/>
    </row>
    <row r="58" ht="52" customHeight="1">
      <c r="D58" s="1582" t="n">
        <v>36</v>
      </c>
      <c r="E58" s="945" t="inlineStr">
        <is>
          <t>PCR07</t>
        </is>
      </c>
      <c r="F58" s="371" t="inlineStr">
        <is>
          <t>Vous arrive-t-il de faire des reproches à l'autre parent devant votre enfant ?</t>
        </is>
      </c>
      <c r="G58" s="1067" t="inlineStr">
        <is>
          <t>Vous arrivait-il de faire des reproches à l'autre parent devant votre enfant ?</t>
        </is>
      </c>
      <c r="H58" s="256" t="n"/>
      <c r="I58" s="1120" t="n"/>
      <c r="J58" s="214" t="n"/>
      <c r="K58" s="229" t="n"/>
      <c r="L58" s="608" t="n">
        <v>2</v>
      </c>
      <c r="M58" s="608" t="n"/>
      <c r="N58" s="961" t="inlineStr">
        <is>
          <t>E1A</t>
        </is>
      </c>
      <c r="O58" s="2059" t="inlineStr">
        <is>
          <t xml:space="preserve">Jamais / Rarement / Occasionnellement / Régulièrement / Souvent / Toujours / S.O. </t>
        </is>
      </c>
      <c r="P58" s="351">
        <f>Test_Bible!P130</f>
        <v/>
      </c>
      <c r="Q58" s="351">
        <f>Test_Bible!Q130</f>
        <v/>
      </c>
      <c r="R58" s="359" t="n">
        <v>0</v>
      </c>
      <c r="S58" s="676" t="n">
        <v>0</v>
      </c>
      <c r="T58" s="1615" t="n">
        <v>1</v>
      </c>
      <c r="U58" s="741" t="inlineStr">
        <is>
          <t>D: Dénigrement</t>
        </is>
      </c>
      <c r="V58" s="471" t="n"/>
      <c r="W58" s="471" t="n"/>
      <c r="X58" s="459" t="n"/>
      <c r="Y58" s="1070" t="n">
        <v>1</v>
      </c>
      <c r="AD58" s="1238" t="n"/>
      <c r="AE58" s="1238" t="n"/>
      <c r="AF58" s="1235" t="n"/>
      <c r="AG58" s="1230" t="inlineStr">
        <is>
          <t>🔴</t>
        </is>
      </c>
      <c r="AH58" s="1236" t="n"/>
      <c r="AI58" s="1239" t="inlineStr">
        <is>
          <t xml:space="preserve">Notion de CL + commentaires 
On le fait tous un peu inconsciemment … mais une exposition répétée place l'enfant en échec (CL) </t>
        </is>
      </c>
    </row>
    <row r="59" ht="92" customHeight="1">
      <c r="C59" s="935" t="inlineStr">
        <is>
          <t>Intensité 3 si fréquence &gt;= 2 ET si (Temps de séparation (B04) &gt; 2 ans OU âge (B06) &gt;=8 ans), sinon Intensité 1</t>
        </is>
      </c>
      <c r="D59" s="1582" t="n">
        <v>37</v>
      </c>
      <c r="E59" s="945" t="inlineStr">
        <is>
          <t>PCR08</t>
        </is>
      </c>
      <c r="F59" s="371" t="inlineStr">
        <is>
          <t>À quelle fréquence appelez-vous votre enfant lorsqu’il est chez l‘autre parent ?</t>
        </is>
      </c>
      <c r="G59" s="1064" t="inlineStr">
        <is>
          <t>À quelle fréquence appeliez-vous votre enfant lorsqu’il était chez l‘autre parent ?</t>
        </is>
      </c>
      <c r="H59" s="256" t="n"/>
      <c r="I59" s="1120" t="n"/>
      <c r="J59" s="214" t="inlineStr">
        <is>
          <t> </t>
        </is>
      </c>
      <c r="K59" s="231" t="n">
        <v>2</v>
      </c>
      <c r="L59" s="593" t="n">
        <v>1</v>
      </c>
      <c r="M59" s="674" t="n">
        <v>3</v>
      </c>
      <c r="N59" s="961" t="inlineStr">
        <is>
          <t>E5</t>
        </is>
      </c>
      <c r="O59" s="1606" t="inlineStr">
        <is>
          <t>Je communique avec le coparent / rarement, au besoin seulement/ 1 à 2 fois semaine / 3 à 5 fois semaine / tous les jours / +sieurs x par jour / S.O.</t>
        </is>
      </c>
      <c r="P59" s="351">
        <f>Test_Bible!P131</f>
        <v/>
      </c>
      <c r="Q59" s="351">
        <f>Test_Bible!Q131</f>
        <v/>
      </c>
      <c r="R59" s="675" t="n">
        <v>1</v>
      </c>
      <c r="S59" s="676" t="n">
        <v>0</v>
      </c>
      <c r="T59" s="677" t="n">
        <v>0</v>
      </c>
      <c r="U59" s="742" t="inlineStr">
        <is>
          <t>E: Interférence temps et/ou communication</t>
        </is>
      </c>
      <c r="V59" s="471" t="n"/>
      <c r="W59" s="471" t="n"/>
      <c r="X59" s="458" t="n"/>
      <c r="Y59" s="1070" t="n"/>
      <c r="Z59" s="1279" t="n">
        <v>1</v>
      </c>
      <c r="AD59" s="1234" t="n"/>
      <c r="AE59" s="1235" t="n"/>
      <c r="AF59" s="1235" t="n"/>
      <c r="AG59" s="1230" t="inlineStr">
        <is>
          <t>🔴</t>
        </is>
      </c>
      <c r="AH59" s="1232" t="n"/>
      <c r="AI59" s="1240" t="inlineStr">
        <is>
          <t xml:space="preserve">Importance pour l'enfant d'avoir le temps de se poser chez l'autre parent / Notion de relation fusionnelle volontaire ou involontaire  
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row>
    <row r="60" ht="88" customHeight="1">
      <c r="C60" s="935" t="inlineStr">
        <is>
          <t>intensité 2 si âge (B06) &gt;= 10 ans;
Intensité 3 si âge (B02) &lt; 10 ans</t>
        </is>
      </c>
      <c r="D60" s="1582" t="n">
        <v>38</v>
      </c>
      <c r="E60" s="946" t="inlineStr">
        <is>
          <t>PCR09</t>
        </is>
      </c>
      <c r="F60" s="371" t="inlineStr">
        <is>
          <t>Dans quelle mesure laissez-vous à votre enfant le droit de choisir la fréquence des visites et le temps qu'il passe chez l'autre parent ?</t>
        </is>
      </c>
      <c r="G60" s="1064" t="inlineStr">
        <is>
          <t>Dans quelle mesure laissiez-vous à votre enfant le droit de choisir la fréquence des visites et le temps qu'il passait chez l'autre parent ?</t>
        </is>
      </c>
      <c r="H60" s="678" t="n"/>
      <c r="I60" s="1122" t="n"/>
      <c r="J60" s="679" t="n"/>
      <c r="K60" s="233" t="n"/>
      <c r="L60" s="608" t="n">
        <v>2</v>
      </c>
      <c r="M60" s="607" t="n">
        <v>3</v>
      </c>
      <c r="N60" s="961" t="inlineStr">
        <is>
          <t>E1A</t>
        </is>
      </c>
      <c r="O60" s="2059" t="inlineStr">
        <is>
          <t xml:space="preserve">Jamais / Rarement / Occasionnellement / Régulièrement / Souvent / Toujours / S.O. </t>
        </is>
      </c>
      <c r="P60" s="351">
        <f>Test_Bible!P132</f>
        <v/>
      </c>
      <c r="Q60" s="351">
        <f>Test_Bible!Q132</f>
        <v/>
      </c>
      <c r="R60" s="675" t="n">
        <v>1</v>
      </c>
      <c r="S60" s="387" t="n">
        <v>0</v>
      </c>
      <c r="T60" s="388" t="n">
        <v>0</v>
      </c>
      <c r="U60" s="742" t="inlineStr">
        <is>
          <t>E: Interférence temps et/ou communication</t>
        </is>
      </c>
      <c r="V60" s="471" t="n"/>
      <c r="W60" s="471" t="n"/>
      <c r="X60" s="458" t="n"/>
      <c r="Y60" s="1070" t="n"/>
      <c r="Z60" s="1279" t="n">
        <v>1</v>
      </c>
    </row>
    <row r="61" ht="68" customHeight="1">
      <c r="D61" s="1582" t="n">
        <v>39</v>
      </c>
      <c r="E61" s="1536" t="inlineStr">
        <is>
          <t>PCR19</t>
        </is>
      </c>
      <c r="F61" s="371" t="inlineStr">
        <is>
          <t xml:space="preserve">Dans quelle mesure considérez-vous l'autre parent (coparent) comme étant votre égal·e sur le plan parental ? </t>
        </is>
      </c>
      <c r="G61" s="1068" t="inlineStr">
        <is>
          <t xml:space="preserve">Dans quelle mesure considériez-vous l'autre parent (coparent) comme étant votre égal·e sur le plan parental? </t>
        </is>
      </c>
      <c r="H61" s="233" t="n"/>
      <c r="I61" s="233" t="n"/>
      <c r="J61" s="233" t="n"/>
      <c r="K61" s="233" t="n"/>
      <c r="L61" s="593" t="n">
        <v>1</v>
      </c>
      <c r="M61" s="593" t="n"/>
      <c r="N61" s="961" t="inlineStr">
        <is>
          <t xml:space="preserve">E3B </t>
        </is>
      </c>
      <c r="O61" s="597" t="inlineStr">
        <is>
          <t>Tout à fait d’accord / D'accord / Partiellement d'accord / Ni d'accord, ni pas d'accord / Pas d'accord / Pas du tout d'accord / S.O.</t>
        </is>
      </c>
      <c r="P61" s="351">
        <f>Test_Bible!P133</f>
        <v/>
      </c>
      <c r="Q61" s="351">
        <f>Test_Bible!Q133</f>
        <v/>
      </c>
      <c r="R61" s="675" t="n">
        <v>0</v>
      </c>
      <c r="S61" s="387" t="n">
        <v>0</v>
      </c>
      <c r="T61" s="388" t="n">
        <v>0</v>
      </c>
      <c r="U61" s="742" t="inlineStr">
        <is>
          <t>E: Interférence temps et/ou communication</t>
        </is>
      </c>
      <c r="V61" s="471" t="n"/>
      <c r="W61" s="471" t="n"/>
      <c r="X61" s="459" t="n"/>
      <c r="Y61" s="1070" t="n"/>
      <c r="Z61" s="1279" t="n">
        <v>1</v>
      </c>
      <c r="AD61" s="1234" t="inlineStr">
        <is>
          <t>🔶</t>
        </is>
      </c>
      <c r="AE61" s="291" t="inlineStr">
        <is>
          <t>Notion de valeur parentale</t>
        </is>
      </c>
      <c r="AF61" s="1224" t="n"/>
    </row>
    <row r="62" ht="54" customHeight="1">
      <c r="D62" s="1582" t="n">
        <v>40</v>
      </c>
      <c r="E62" s="946" t="inlineStr">
        <is>
          <t>PCR10</t>
        </is>
      </c>
      <c r="F62" s="371" t="inlineStr">
        <is>
          <t>De manière générale, au-delà des conflits qui pourraient vous opposer à l'autre parent, dans quelle mesure diriez-vous que les exigences de la coparentalité nuit à votre qualité de vie ?</t>
        </is>
      </c>
      <c r="G62" s="1068" t="inlineStr">
        <is>
          <t>De manière générale, au-delà des conflits qui pouvaient vous opposer à l'autre parent, dans quelle mesure diriez-vous que les exigences de la coparentalité nuisait à votre qualité de vie?</t>
        </is>
      </c>
      <c r="H62" s="680" t="n"/>
      <c r="I62" s="1123" t="n"/>
      <c r="J62" s="681" t="n"/>
      <c r="K62" s="233" t="n"/>
      <c r="L62" s="593" t="n">
        <v>1</v>
      </c>
      <c r="M62" s="593" t="n"/>
      <c r="N62" s="961" t="inlineStr">
        <is>
          <t>E3A</t>
        </is>
      </c>
      <c r="O62" s="597" t="inlineStr">
        <is>
          <t>Pas du tout d’accord / Pas d’accord / Ni d’accord, ni pas d’accord / Partiellement d’accord / D’accord / Tout à fait d’accord / S.O.</t>
        </is>
      </c>
      <c r="P62" s="351">
        <f>Test_Bible!P134</f>
        <v/>
      </c>
      <c r="Q62" s="351">
        <f>Test_Bible!Q134</f>
        <v/>
      </c>
      <c r="R62" s="386" t="n">
        <v>0</v>
      </c>
      <c r="S62" s="387" t="n">
        <v>1</v>
      </c>
      <c r="T62" s="388" t="n">
        <v>0</v>
      </c>
      <c r="U62" s="743" t="inlineStr">
        <is>
          <t>F: Interférence lien affectif ou symbolique</t>
        </is>
      </c>
      <c r="V62" s="471" t="n"/>
      <c r="W62" s="471" t="n"/>
      <c r="X62" s="458" t="n"/>
      <c r="Y62" s="1070" t="n"/>
      <c r="AA62" s="1279" t="n">
        <v>1</v>
      </c>
      <c r="AD62" s="1234" t="n"/>
      <c r="AF62" s="1224" t="n"/>
    </row>
    <row r="63" ht="54" customHeight="1">
      <c r="D63" s="1582" t="n">
        <v>41</v>
      </c>
      <c r="E63" s="946" t="inlineStr">
        <is>
          <t>PCR11</t>
        </is>
      </c>
      <c r="F63" s="371" t="inlineStr">
        <is>
          <t>Dans quelle mesure acceptez-vous que les vêtements et/ou jouets de votre enfant se promènent d’une maison à l’autre ?</t>
        </is>
      </c>
      <c r="G63" s="1068" t="inlineStr">
        <is>
          <t>Dans quelle mesure acceptiez-vous que les vêtements et/ou jouets de votre enfant se promènent d’une maison à l’autre ?</t>
        </is>
      </c>
      <c r="H63" s="256" t="n"/>
      <c r="I63" s="1120" t="n"/>
      <c r="J63" s="214" t="inlineStr">
        <is>
          <t> </t>
        </is>
      </c>
      <c r="K63" s="229" t="n"/>
      <c r="L63" s="608" t="n">
        <v>2</v>
      </c>
      <c r="M63" s="608" t="n"/>
      <c r="N63" s="961" t="inlineStr">
        <is>
          <t>E3B</t>
        </is>
      </c>
      <c r="O63" s="597" t="inlineStr">
        <is>
          <t>Tout à fait d’accord / D'accord / Partiellement d'accord / Ni d'accord, ni pas d'accord / Pas d'accord / Pas du tout d'accord / S.O.</t>
        </is>
      </c>
      <c r="P63" s="351">
        <f>Test_Bible!P135</f>
        <v/>
      </c>
      <c r="Q63" s="351">
        <f>Test_Bible!Q135</f>
        <v/>
      </c>
      <c r="R63" s="386" t="n">
        <v>1</v>
      </c>
      <c r="S63" s="676" t="n">
        <v>0</v>
      </c>
      <c r="T63" s="677" t="n">
        <v>0</v>
      </c>
      <c r="U63" s="743" t="inlineStr">
        <is>
          <t>F: Interférence lien affectif ou symbolique</t>
        </is>
      </c>
      <c r="V63" s="471" t="n"/>
      <c r="W63" s="471" t="n"/>
      <c r="X63" s="458" t="n"/>
      <c r="Y63" s="1070" t="n"/>
      <c r="AA63" s="1279" t="n">
        <v>1</v>
      </c>
      <c r="AD63" s="1234" t="inlineStr">
        <is>
          <t> </t>
        </is>
      </c>
      <c r="AE63" s="1235" t="n"/>
      <c r="AF63" s="1235" t="n"/>
      <c r="AG63" s="1234" t="inlineStr">
        <is>
          <t> </t>
        </is>
      </c>
      <c r="AH63" s="1236" t="n"/>
      <c r="AI63" s="1237" t="n"/>
    </row>
    <row r="64" ht="52" customFormat="1" customHeight="1" s="7">
      <c r="D64" s="1582" t="n">
        <v>42</v>
      </c>
      <c r="E64" s="945" t="inlineStr">
        <is>
          <t>PCR12</t>
        </is>
      </c>
      <c r="F64" s="371" t="inlineStr">
        <is>
          <t>Dans quelle mesure vous arrive-t-il de prendre des décisions sans consulter l'autre parent ?</t>
        </is>
      </c>
      <c r="G64" s="1067" t="inlineStr">
        <is>
          <t>Dans quelle mesure vous arrivait-il de prendre des décisions sans consulter l'autre parent ?</t>
        </is>
      </c>
      <c r="H64" s="258" t="n"/>
      <c r="I64" s="1124" t="n"/>
      <c r="J64" s="216" t="n"/>
      <c r="K64" s="230" t="n">
        <v>4</v>
      </c>
      <c r="L64" s="608" t="n">
        <v>2</v>
      </c>
      <c r="M64" s="608" t="n"/>
      <c r="N64" s="961" t="inlineStr">
        <is>
          <t>E1A</t>
        </is>
      </c>
      <c r="O64" s="2059" t="inlineStr">
        <is>
          <t xml:space="preserve">Jamais / Rarement / Occasionnellement / Régulièrement / Souvent / Toujours / S.O. </t>
        </is>
      </c>
      <c r="P64" s="351">
        <f>Test_Bible!P136</f>
        <v/>
      </c>
      <c r="Q64" s="351">
        <f>Test_Bible!Q136</f>
        <v/>
      </c>
      <c r="R64" s="359" t="n">
        <v>1</v>
      </c>
      <c r="S64" s="676" t="n">
        <v>0</v>
      </c>
      <c r="T64" s="677" t="n">
        <v>0</v>
      </c>
      <c r="U64" s="744" t="inlineStr">
        <is>
          <t>F: Interférence lien affectif ou symbolique</t>
        </is>
      </c>
      <c r="V64" s="471" t="n"/>
      <c r="W64" s="471" t="n"/>
      <c r="X64" s="458" t="n"/>
      <c r="Y64" s="1070" t="n"/>
      <c r="Z64" s="57" t="n"/>
      <c r="AA64" s="1279" t="n">
        <v>1</v>
      </c>
      <c r="AB64" s="57" t="n"/>
      <c r="AC64" s="57" t="n"/>
      <c r="AD64" s="1230" t="inlineStr">
        <is>
          <t>🔶</t>
        </is>
      </c>
      <c r="AE64" s="1231" t="n"/>
      <c r="AF64" s="1231" t="n"/>
      <c r="AG64" s="552" t="inlineStr">
        <is>
          <t>🔴</t>
        </is>
      </c>
      <c r="AH64" s="1232" t="n"/>
      <c r="AI64" s="1233" t="n"/>
    </row>
    <row r="65" ht="120" customFormat="1" customHeight="1" s="7">
      <c r="B65" s="124" t="inlineStr">
        <is>
          <t>sq1 (s'active si PCR12&gt;=condition)</t>
        </is>
      </c>
      <c r="D65" s="1582" t="n">
        <v>43</v>
      </c>
      <c r="E65" s="947" t="inlineStr">
        <is>
          <t>PCR12a</t>
        </is>
      </c>
      <c r="F65" s="302" t="inlineStr">
        <is>
          <t>Quel type de décisions avez-vous pris sans consulter l'autre parent ou sans attendre son approbation ?</t>
        </is>
      </c>
      <c r="G65" s="803" t="inlineStr">
        <is>
          <t>Quel type de décisions avez-vous pris sans consulter l'autre parent ou sans attendre son approbation ?</t>
        </is>
      </c>
      <c r="H65" s="259" t="inlineStr">
        <is>
          <t>Choix d'école et/ou inscription (primaire et secondaire)
Choix de club|programme sportif ou calendrier sportif
Soins médicaux ou dentaires
Déménagement (forçant un changement majeur ou autres)
Achat d'une valeur significative (auto, animal,…)
Décisions engendrant des coûts significatifs sans votre consentement préalable
Autre (spécifiez)</t>
        </is>
      </c>
      <c r="I65" s="1125" t="n"/>
      <c r="J65" s="251" t="inlineStr">
        <is>
          <t>sq1</t>
        </is>
      </c>
      <c r="K65" s="234" t="n"/>
      <c r="L65" s="608" t="n"/>
      <c r="M65" s="608" t="n"/>
      <c r="N65" s="961" t="inlineStr">
        <is>
          <t>choix multiples</t>
        </is>
      </c>
      <c r="O65" s="597" t="n"/>
      <c r="P65" s="353" t="n"/>
      <c r="Q65" s="353" t="n"/>
      <c r="R65" s="359" t="n">
        <v>1</v>
      </c>
      <c r="S65" s="676" t="n">
        <v>0</v>
      </c>
      <c r="T65" s="677" t="n">
        <v>0</v>
      </c>
      <c r="U65" s="744" t="inlineStr">
        <is>
          <t>F: Interférence lien affectif ou symbolique</t>
        </is>
      </c>
      <c r="V65" s="471" t="n"/>
      <c r="W65" s="471" t="n"/>
      <c r="X65" s="459" t="n"/>
      <c r="Y65" s="1070" t="n"/>
      <c r="Z65" s="57" t="n"/>
      <c r="AA65" s="1279" t="n">
        <v>1</v>
      </c>
      <c r="AB65" s="57" t="n"/>
      <c r="AC65" s="57" t="n"/>
      <c r="AD65" s="1230" t="inlineStr">
        <is>
          <t>🔶</t>
        </is>
      </c>
      <c r="AE65" s="1239" t="inlineStr">
        <is>
          <t xml:space="preserve">notion autorité parentale ?  </t>
        </is>
      </c>
      <c r="AF65" s="1239" t="n"/>
      <c r="AG65" s="552" t="inlineStr">
        <is>
          <t>🔴</t>
        </is>
      </c>
      <c r="AH65" s="1236" t="n"/>
      <c r="AI65" s="1237" t="n"/>
    </row>
    <row r="66" ht="60" customHeight="1">
      <c r="D66" s="1582" t="n">
        <v>44</v>
      </c>
      <c r="E66" s="945" t="inlineStr">
        <is>
          <t>PCR13</t>
        </is>
      </c>
      <c r="F66" s="371" t="inlineStr">
        <is>
          <t>Dans quelle mesure diriez-vous que la mauvaise entente entre vous et l'autre parent vous contraint à demander à votre enfant de faire les messages et demandes entourant la logistique familiale?</t>
        </is>
      </c>
      <c r="G66" s="556" t="inlineStr">
        <is>
          <t>Dans quelle mesure diriez-vous que la mauvaise entente entre vous et l'autre parent vous contraignait à demander à votre enfant de faire les messages et demandes entourant la logistique familiale?</t>
        </is>
      </c>
      <c r="H66" s="256" t="n"/>
      <c r="I66" s="1120" t="n"/>
      <c r="J66" s="214" t="inlineStr">
        <is>
          <t> </t>
        </is>
      </c>
      <c r="K66" s="229" t="n"/>
      <c r="L66" s="608" t="n">
        <v>2</v>
      </c>
      <c r="M66" s="608" t="n"/>
      <c r="N66" s="961" t="inlineStr">
        <is>
          <t>E4A</t>
        </is>
      </c>
      <c r="O66" s="1606" t="inlineStr">
        <is>
          <t>Nulle / Très faible / Faible / Moyenne / Élevé / Très élevé / S.O.</t>
        </is>
      </c>
      <c r="P66" s="351">
        <f>Test_Bible!P145</f>
        <v/>
      </c>
      <c r="Q66" s="351">
        <f>Test_Bible!Q145</f>
        <v/>
      </c>
      <c r="R66" s="675" t="n">
        <v>1</v>
      </c>
      <c r="S66" s="676" t="n">
        <v>0</v>
      </c>
      <c r="T66" s="677" t="n">
        <v>0</v>
      </c>
      <c r="U66" s="745" t="inlineStr">
        <is>
          <t>G: Parentification</t>
        </is>
      </c>
      <c r="V66" s="471" t="n"/>
      <c r="W66" s="471" t="n"/>
      <c r="X66" s="458" t="n"/>
      <c r="Y66" s="1070" t="n"/>
      <c r="AB66" s="1279" t="n">
        <v>1</v>
      </c>
      <c r="AD66" s="1234" t="inlineStr">
        <is>
          <t> </t>
        </is>
      </c>
      <c r="AE66" s="1235" t="n"/>
      <c r="AF66" s="1235" t="n"/>
      <c r="AG66" s="552" t="inlineStr">
        <is>
          <t>🔴</t>
        </is>
      </c>
      <c r="AH66" s="1236" t="n"/>
      <c r="AI66"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67" ht="66" customHeight="1">
      <c r="C67" s="935" t="inlineStr">
        <is>
          <t>intensité 2 si âge (B06) &gt;= 14 ans;
Intensité 3 si âge (B06) &lt; 14 ans</t>
        </is>
      </c>
      <c r="D67" s="1582" t="n">
        <v>45</v>
      </c>
      <c r="E67" s="945" t="inlineStr">
        <is>
          <t>PCR14</t>
        </is>
      </c>
      <c r="F67" s="371" t="inlineStr">
        <is>
          <t>Dans quelle mesure être vous d'accord ou non avec cet énoncé : Vous êtes d'avis qu'un enfant de 12 ans est assez mature pour choisir où et avec qui il veut vivre.</t>
        </is>
      </c>
      <c r="G67" s="556" t="inlineStr">
        <is>
          <t>Dans quelle mesure étiez-vous d'accord ou non avec cet énoncé? Un enfant de 12 ans est assez mature pour choisir où et avec qui il veut vivre.</t>
        </is>
      </c>
      <c r="H67" s="256" t="n"/>
      <c r="I67" s="1120" t="n"/>
      <c r="J67" s="214" t="inlineStr">
        <is>
          <t> </t>
        </is>
      </c>
      <c r="K67" s="229" t="n"/>
      <c r="L67" s="608" t="n">
        <v>2</v>
      </c>
      <c r="M67" s="607" t="n">
        <v>3</v>
      </c>
      <c r="N67" s="961" t="inlineStr">
        <is>
          <t>E3A</t>
        </is>
      </c>
      <c r="O67" s="597" t="inlineStr">
        <is>
          <t>Pas du tout d’accord / Pas d’accord / Ni d’accord, ni pas d’accord / Partiellement d’accord / D’accord / Tout à fait d’accord / S.O.</t>
        </is>
      </c>
      <c r="P67" s="351">
        <f>Test_Bible!P146</f>
        <v/>
      </c>
      <c r="Q67" s="351">
        <f>Test_Bible!Q146</f>
        <v/>
      </c>
      <c r="R67" s="675" t="n">
        <v>1</v>
      </c>
      <c r="S67" s="676" t="n">
        <v>0</v>
      </c>
      <c r="T67" s="677" t="n">
        <v>0</v>
      </c>
      <c r="U67" s="745" t="inlineStr">
        <is>
          <t>G: Parentification</t>
        </is>
      </c>
      <c r="V67" s="471" t="n"/>
      <c r="W67" s="471" t="n"/>
      <c r="X67" s="458" t="n"/>
      <c r="Y67" s="1070" t="n"/>
      <c r="AB67" s="1279" t="n">
        <v>1</v>
      </c>
      <c r="AD67" s="1234" t="inlineStr">
        <is>
          <t> </t>
        </is>
      </c>
      <c r="AE67" s="1235" t="n"/>
      <c r="AF67" s="1235" t="n"/>
      <c r="AG67" s="552" t="inlineStr">
        <is>
          <t>🔴</t>
        </is>
      </c>
      <c r="AH67" s="1236" t="n"/>
      <c r="AI67"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68" ht="66" customHeight="1">
      <c r="C68" s="935" t="inlineStr">
        <is>
          <t>intensité 2 si âge (B06) &gt;= 12 ans;
Intensité 3 si âge (B06) &lt; 12 ans</t>
        </is>
      </c>
      <c r="D68" s="1582" t="n">
        <v>46</v>
      </c>
      <c r="E68" s="945" t="inlineStr">
        <is>
          <t>PCR15</t>
        </is>
      </c>
      <c r="F68" s="371" t="inlineStr">
        <is>
          <t>Dans quelle mesure diriez-vous qu'il est important que votre enfant soit au courant des enjeux de la séparation et/ou du conflit qui vous oppose à l'autre parent ?</t>
        </is>
      </c>
      <c r="G68" s="556" t="inlineStr">
        <is>
          <t>Dans quelle mesure diriez-vous qu'il était important que votre enfant soit au courant des enjeux de la séparation et/ou du conflit qui vous opposait à l'autre parent?</t>
        </is>
      </c>
      <c r="H68" s="256" t="n"/>
      <c r="I68" s="1120" t="n"/>
      <c r="J68" s="214" t="inlineStr">
        <is>
          <t xml:space="preserve">&gt;=2 </t>
        </is>
      </c>
      <c r="K68" s="229" t="n">
        <v>2</v>
      </c>
      <c r="L68" s="608" t="n">
        <v>2</v>
      </c>
      <c r="M68" s="607" t="n">
        <v>3</v>
      </c>
      <c r="N68" s="961" t="inlineStr">
        <is>
          <t>E3A</t>
        </is>
      </c>
      <c r="O68" s="597" t="inlineStr">
        <is>
          <t>Pas du tout d’accord / Pas d’accord / Ni d’accord, ni pas d’accord / Partiellement d’accord / D’accord / Tout à fait d’accord / S.O.</t>
        </is>
      </c>
      <c r="P68" s="351">
        <f>Test_Bible!P147</f>
        <v/>
      </c>
      <c r="Q68" s="351">
        <f>Test_Bible!Q147</f>
        <v/>
      </c>
      <c r="R68" s="675" t="n">
        <v>1</v>
      </c>
      <c r="S68" s="676" t="n">
        <v>0</v>
      </c>
      <c r="T68" s="677" t="n">
        <v>0</v>
      </c>
      <c r="U68" s="745" t="inlineStr">
        <is>
          <t>G: Parentification</t>
        </is>
      </c>
      <c r="V68" s="471" t="n"/>
      <c r="W68" s="471" t="n"/>
      <c r="X68" s="458" t="n"/>
      <c r="Y68" s="1070" t="n"/>
      <c r="AB68" s="1279" t="n">
        <v>1</v>
      </c>
      <c r="AD68" s="552" t="n"/>
      <c r="AE68" s="1224" t="n"/>
      <c r="AF68" s="1224" t="n"/>
      <c r="AG68" s="552" t="inlineStr">
        <is>
          <t>🔴</t>
        </is>
      </c>
      <c r="AH68" s="1236" t="n"/>
      <c r="AI68"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69" ht="57" customHeight="1">
      <c r="B69" s="124" t="inlineStr">
        <is>
          <t>sq1 (s'active si PCR15&gt;=condition)</t>
        </is>
      </c>
      <c r="D69" s="1582" t="n">
        <v>47</v>
      </c>
      <c r="E69" s="947" t="inlineStr">
        <is>
          <t>PCR15a</t>
        </is>
      </c>
      <c r="F69" s="302" t="inlineStr">
        <is>
          <t>Dans quelle mesure cet énoncé s'applique à votre situation? Vous avez mis votre enfant au courant des enjeux juridiques (pension alimentaire, modalité de garde, etc.) qui vous oppose à l’autre parent.</t>
        </is>
      </c>
      <c r="G69" s="531" t="inlineStr">
        <is>
          <t>Dans quelle mesure cet énoncé s'applique à votre situation? Vous aviez mis votre enfant au courant des enjeux juridiques (pension alimentaire, modalité de garde, etc.) qui vous opposait à l’autre parent.</t>
        </is>
      </c>
      <c r="H69" s="260" t="n"/>
      <c r="I69" s="1126" t="n"/>
      <c r="J69" s="252" t="inlineStr">
        <is>
          <t>sq1</t>
        </is>
      </c>
      <c r="K69" s="235" t="n"/>
      <c r="L69" s="673" t="n">
        <v>0</v>
      </c>
      <c r="M69" s="673" t="n"/>
      <c r="N69" s="961" t="inlineStr">
        <is>
          <t>O/N</t>
        </is>
      </c>
      <c r="P69" s="351" t="n"/>
      <c r="Q69" s="351" t="n"/>
      <c r="R69" s="675" t="n">
        <v>1</v>
      </c>
      <c r="S69" s="676" t="n">
        <v>0</v>
      </c>
      <c r="T69" s="677" t="n">
        <v>0</v>
      </c>
      <c r="U69" s="745" t="inlineStr">
        <is>
          <t>G: Parentification</t>
        </is>
      </c>
      <c r="V69" s="471" t="n"/>
      <c r="W69" s="471" t="n"/>
      <c r="X69" s="458" t="n"/>
      <c r="Y69" s="1070" t="n"/>
      <c r="AB69" s="1279" t="n">
        <v>1</v>
      </c>
      <c r="AD69" s="552" t="n"/>
      <c r="AE69" s="1239" t="n"/>
      <c r="AF69" s="1239" t="n"/>
      <c r="AG69" s="1230" t="inlineStr">
        <is>
          <t>🔴</t>
        </is>
      </c>
      <c r="AH69" s="1236" t="n"/>
      <c r="AI69"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70" ht="57" customFormat="1" customHeight="1" s="7">
      <c r="D70" s="1582" t="n">
        <v>48</v>
      </c>
      <c r="E70" s="942" t="inlineStr">
        <is>
          <t>PCR16</t>
        </is>
      </c>
      <c r="F70" s="371" t="inlineStr">
        <is>
          <t>Au-delà des conflits, dans quelle mesure acceptez-vous et êtes-vous serein·e avec la séparation (séparation de couple ou familiale)?</t>
        </is>
      </c>
      <c r="G70" s="532" t="inlineStr">
        <is>
          <t>Au-delà des conflits, dans quelle mesure acceptiez-vous et êtiez-vous serein·e avec la séparation (séparation de couple ou familiale)?</t>
        </is>
      </c>
      <c r="H70" s="255" t="n"/>
      <c r="I70" s="1127" t="n"/>
      <c r="J70" s="216" t="inlineStr">
        <is>
          <t>&gt;=3</t>
        </is>
      </c>
      <c r="K70" s="230" t="n">
        <v>4</v>
      </c>
      <c r="L70" s="609" t="n">
        <v>1</v>
      </c>
      <c r="M70" s="609" t="n"/>
      <c r="N70" s="961" t="inlineStr">
        <is>
          <t>E3B</t>
        </is>
      </c>
      <c r="O70" s="597" t="inlineStr">
        <is>
          <t>Tout à fait d’accord / D'accord / Partiellement d'accord / Ni d'accord, ni pas d'accord / Pas d'accord / Pas du tout d'accord / S.O.</t>
        </is>
      </c>
      <c r="P70" s="351">
        <f>Test_Bible!P150</f>
        <v/>
      </c>
      <c r="Q70" s="351">
        <f>Test_Bible!Q150</f>
        <v/>
      </c>
      <c r="R70" s="386" t="n">
        <v>0</v>
      </c>
      <c r="S70" s="387" t="n">
        <v>1</v>
      </c>
      <c r="T70" s="388" t="n">
        <v>0</v>
      </c>
      <c r="U70" s="745" t="inlineStr">
        <is>
          <t>G: Parentification</t>
        </is>
      </c>
      <c r="V70" s="471" t="n"/>
      <c r="W70" s="471" t="n"/>
      <c r="X70" s="458" t="n"/>
      <c r="Y70" s="1070" t="n"/>
      <c r="Z70" s="57" t="n"/>
      <c r="AA70" s="57" t="n"/>
      <c r="AB70" s="1279" t="n">
        <v>1</v>
      </c>
      <c r="AC70" s="57" t="n"/>
      <c r="AD70" s="1221" t="n"/>
      <c r="AE70" s="1222" t="n"/>
      <c r="AF70" s="1222" t="n"/>
      <c r="AG70" s="1221" t="n"/>
      <c r="AH70" s="1053" t="n"/>
      <c r="AI70"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71" ht="52" customFormat="1" customHeight="1" s="7">
      <c r="B71" s="124" t="inlineStr">
        <is>
          <t>sq1 (s'active si PCR16&gt;=condition)</t>
        </is>
      </c>
      <c r="D71" s="1582" t="n">
        <v>49</v>
      </c>
      <c r="E71" s="948" t="inlineStr">
        <is>
          <t>PCR16a</t>
        </is>
      </c>
      <c r="F71" s="302" t="inlineStr">
        <is>
          <t>Dans quelle mesure diriez-vous que vous confiez à votre enfant votre peine concernant la séparation?</t>
        </is>
      </c>
      <c r="G71" s="555" t="inlineStr">
        <is>
          <t>Dans quelle mesure diriez-vous que vous confiiez à votre enfant votre peine concernant la séparation?</t>
        </is>
      </c>
      <c r="H71" s="392" t="n"/>
      <c r="I71" s="1128" t="n"/>
      <c r="J71" s="393" t="inlineStr">
        <is>
          <t>sq1</t>
        </is>
      </c>
      <c r="K71" s="394" t="n"/>
      <c r="L71" s="608" t="n">
        <v>2</v>
      </c>
      <c r="M71" s="608" t="n"/>
      <c r="N71" s="961" t="inlineStr">
        <is>
          <t>E1B</t>
        </is>
      </c>
      <c r="O71" s="2059" t="inlineStr">
        <is>
          <t>Toujours / Souvent / Régulièrement / Occasionnellement / Rarement / Jamais / S.O.</t>
        </is>
      </c>
      <c r="P71" s="395">
        <f>Test_Bible!P151</f>
        <v/>
      </c>
      <c r="Q71" s="395">
        <f>Test_Bible!Q151</f>
        <v/>
      </c>
      <c r="R71" s="396" t="n">
        <v>0</v>
      </c>
      <c r="S71" s="397" t="n">
        <v>1</v>
      </c>
      <c r="T71" s="398" t="n">
        <v>0</v>
      </c>
      <c r="U71" s="746" t="inlineStr">
        <is>
          <t>G: Parentification</t>
        </is>
      </c>
      <c r="V71" s="471" t="n"/>
      <c r="W71" s="471" t="n"/>
      <c r="X71" s="459" t="n"/>
      <c r="Y71" s="1070" t="n"/>
      <c r="Z71" s="57" t="n"/>
      <c r="AA71" s="57" t="n"/>
      <c r="AB71" s="1279" t="n">
        <v>1</v>
      </c>
      <c r="AC71" s="57" t="n"/>
      <c r="AD71" s="552" t="inlineStr">
        <is>
          <t>🔶</t>
        </is>
      </c>
      <c r="AE71" s="1217" t="n"/>
      <c r="AF71" s="1217" t="n"/>
      <c r="AG71" s="552" t="inlineStr">
        <is>
          <t>🔴</t>
        </is>
      </c>
      <c r="AH71" s="1053" t="n"/>
      <c r="AI71" s="1242"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72" ht="67" customFormat="1" customHeight="1" s="7">
      <c r="A72" s="801" t="inlineStr">
        <is>
          <t>s'active si PCR a NC (B07 n'égale pas "célibataire")</t>
        </is>
      </c>
      <c r="D72" s="1582" t="n">
        <v>50</v>
      </c>
      <c r="E72" s="949" t="inlineStr">
        <is>
          <t>PCR17</t>
        </is>
      </c>
      <c r="F72" s="371" t="inlineStr">
        <is>
          <t>Est-ce que votre nouveau ou nouvelle conjoint·e corrige votre enfant lorsqu’il est irrespectueux envers vous?</t>
        </is>
      </c>
      <c r="G72" s="370" t="inlineStr">
        <is>
          <t>Est-ce que votre nouveau ou nouvelle conjoint·e corrigeait votre enfant lorsqu’il était irrespectueux envers vous?</t>
        </is>
      </c>
      <c r="H72" s="583" t="n"/>
      <c r="I72" s="583" t="n"/>
      <c r="J72" s="584" t="n"/>
      <c r="K72" s="584" t="n"/>
      <c r="L72" s="1596" t="n">
        <v>1</v>
      </c>
      <c r="M72" s="291" t="n"/>
      <c r="N72" s="1069" t="inlineStr">
        <is>
          <t>E1A</t>
        </is>
      </c>
      <c r="O72" s="2059" t="inlineStr">
        <is>
          <t xml:space="preserve">Jamais / Rarement / Occasionnellement / Régulièrement / Souvent / Toujours / S.O. </t>
        </is>
      </c>
      <c r="P72" s="395">
        <f>Test_Bible!P152</f>
        <v/>
      </c>
      <c r="Q72" s="395">
        <f>Test_Bible!Q152</f>
        <v/>
      </c>
      <c r="R72" s="675" t="n">
        <v>0.5</v>
      </c>
      <c r="S72" s="676" t="n">
        <v>0</v>
      </c>
      <c r="T72" s="677" t="n">
        <v>0.5</v>
      </c>
      <c r="U72" s="579" t="inlineStr">
        <is>
          <t>Aucune</t>
        </is>
      </c>
      <c r="V72" s="2002" t="n"/>
      <c r="W72" s="2002" t="n"/>
      <c r="X72" s="458" t="n"/>
      <c r="Y72" s="1070" t="n"/>
      <c r="Z72" s="57" t="n"/>
      <c r="AA72" s="57" t="n"/>
      <c r="AB72" s="57" t="n"/>
      <c r="AC72" s="57" t="n"/>
      <c r="AD72" s="582" t="n"/>
      <c r="AE72" s="1222" t="n"/>
      <c r="AF72" s="1222" t="n"/>
      <c r="AG72" s="552" t="inlineStr">
        <is>
          <t>🔴</t>
        </is>
      </c>
      <c r="AH72" s="1053" t="n"/>
      <c r="AI72" s="1990" t="inlineStr">
        <is>
          <t xml:space="preserve">Si indice AP élevée : présenter les meilleures pratiques pour le nouveau conjoint : </t>
        </is>
      </c>
    </row>
    <row r="73" ht="69" customFormat="1" customHeight="1" s="7" thickBot="1">
      <c r="A73" s="801" t="inlineStr">
        <is>
          <t>s'active si PCR a NC (B07 n'égale pas "célibataire")</t>
        </is>
      </c>
      <c r="D73" s="1582" t="n">
        <v>51</v>
      </c>
      <c r="E73" s="949" t="inlineStr">
        <is>
          <t>PCR18</t>
        </is>
      </c>
      <c r="F73" s="371" t="inlineStr">
        <is>
          <t>Est-ce que votre situation crée certains ou d'importants désaccords entre vous et votre nouveau ou nouvelle conjoint·e face à la façon d’agir avec votre enfant?</t>
        </is>
      </c>
      <c r="G73" s="370" t="inlineStr">
        <is>
          <t>Est-ce que votre situation créait certains ou d'importants désaccords entre vous et votre nouveau ou nouvelle conjoint·e face à la façon d’agir avec votre enfant?</t>
        </is>
      </c>
      <c r="H73" s="583" t="n"/>
      <c r="I73" s="583" t="n"/>
      <c r="J73" s="584" t="n"/>
      <c r="K73" s="584" t="n"/>
      <c r="L73" s="1596" t="n">
        <v>1</v>
      </c>
      <c r="M73" s="291" t="n"/>
      <c r="N73" s="1071" t="inlineStr">
        <is>
          <t>E3A</t>
        </is>
      </c>
      <c r="O73" s="597" t="inlineStr">
        <is>
          <t>Pas du tout d’accord / Pas d’accord / Ni d’accord, ni pas d’accord / Partiellement d’accord / D’accord / Tout à fait d’accord / S.O.</t>
        </is>
      </c>
      <c r="P73" s="395">
        <f>Test_Bible!P153</f>
        <v/>
      </c>
      <c r="Q73" s="395">
        <f>Test_Bible!Q153</f>
        <v/>
      </c>
      <c r="R73" s="675" t="n">
        <v>0.5</v>
      </c>
      <c r="S73" s="676" t="n">
        <v>0</v>
      </c>
      <c r="T73" s="677" t="n">
        <v>0.5</v>
      </c>
      <c r="U73" s="579" t="inlineStr">
        <is>
          <t>Aucune</t>
        </is>
      </c>
      <c r="V73" s="2002" t="n"/>
      <c r="W73" s="2002" t="n"/>
      <c r="X73" s="468" t="n"/>
      <c r="Y73" s="1070" t="n"/>
      <c r="Z73" s="57" t="n"/>
      <c r="AA73" s="57" t="n"/>
      <c r="AB73" s="57" t="n"/>
      <c r="AC73" s="57" t="n"/>
      <c r="AD73" s="582" t="n"/>
      <c r="AE73" s="1222" t="n"/>
      <c r="AF73" s="1222" t="n"/>
      <c r="AG73" s="552" t="inlineStr">
        <is>
          <t>🔴</t>
        </is>
      </c>
      <c r="AH73" s="1053" t="n"/>
    </row>
    <row r="74" ht="37" customFormat="1" customHeight="1" s="132">
      <c r="A74" s="7" t="n"/>
      <c r="B74" s="7" t="n"/>
      <c r="C74" s="7" t="n"/>
      <c r="D74" s="1178" t="n"/>
      <c r="E74" s="1179" t="n"/>
      <c r="F74" s="1180" t="n"/>
      <c r="G74" s="1181" t="n"/>
      <c r="H74" s="1182" t="n"/>
      <c r="I74" s="1182" t="n"/>
      <c r="J74" s="1183" t="n"/>
      <c r="K74" s="1183" t="n"/>
      <c r="L74" s="1183" t="n"/>
      <c r="M74" s="1183" t="n"/>
      <c r="N74" s="1184" t="n"/>
      <c r="O74" s="1185" t="n"/>
      <c r="P74" s="1184" t="n"/>
      <c r="Q74" s="1186">
        <f>SUM(Q49:Q73)</f>
        <v/>
      </c>
      <c r="R74" s="1187" t="inlineStr">
        <is>
          <t>C</t>
        </is>
      </c>
      <c r="S74" s="1188" t="inlineStr">
        <is>
          <t>E</t>
        </is>
      </c>
      <c r="T74" s="1188" t="inlineStr">
        <is>
          <t>V</t>
        </is>
      </c>
      <c r="U74" s="1189" t="n"/>
      <c r="V74" s="2002" t="n"/>
      <c r="W74" s="2002" t="n"/>
      <c r="X74" s="468" t="n"/>
      <c r="Y74" s="1070" t="n"/>
      <c r="Z74" s="57" t="n"/>
      <c r="AA74" s="57" t="n"/>
      <c r="AB74" s="57" t="n"/>
      <c r="AC74" s="57" t="n"/>
      <c r="AD74" s="1243" t="n"/>
      <c r="AE74" s="1244" t="n"/>
      <c r="AF74" s="1245" t="n"/>
      <c r="AG74" s="1246" t="n"/>
      <c r="AH74" s="1247" t="n"/>
      <c r="AI74" s="1248" t="n"/>
      <c r="AJ74" s="7" t="n"/>
      <c r="AK74" s="7" t="n"/>
      <c r="AL74" s="7" t="n"/>
      <c r="AM74" s="7" t="n"/>
      <c r="AN74" s="7" t="n"/>
      <c r="AO74" s="7" t="n"/>
      <c r="AP74" s="7" t="n"/>
      <c r="AQ74" s="7" t="n"/>
      <c r="AR74" s="7" t="n"/>
      <c r="AS74" s="7" t="n"/>
      <c r="AT74" s="7" t="n"/>
      <c r="AU74" s="7" t="n"/>
      <c r="AV74" s="7" t="n"/>
      <c r="AW74" s="7" t="n"/>
      <c r="AX74" s="7" t="n"/>
      <c r="AY74" s="7" t="n"/>
      <c r="AZ74" s="7" t="n"/>
      <c r="BA74" s="7" t="n"/>
      <c r="BB74" s="7" t="n"/>
      <c r="BC74" s="7" t="n"/>
      <c r="BD74" s="7" t="n"/>
      <c r="BE74" s="7" t="n"/>
      <c r="BF74" s="7" t="n"/>
      <c r="BG74" s="7" t="n"/>
      <c r="BH74" s="7" t="n"/>
      <c r="BI74" s="7" t="n"/>
      <c r="BJ74" s="7" t="n"/>
      <c r="BK74" s="7" t="n"/>
      <c r="BL74" s="7" t="n"/>
      <c r="BM74" s="7" t="n"/>
      <c r="BN74" s="7" t="n"/>
      <c r="BO74" s="7" t="n"/>
      <c r="BP74" s="7" t="n"/>
      <c r="BQ74" s="7" t="n"/>
      <c r="BR74" s="7" t="n"/>
      <c r="BS74" s="7" t="n"/>
      <c r="BT74" s="7" t="n"/>
      <c r="BU74" s="7" t="n"/>
      <c r="BV74" s="7" t="n"/>
      <c r="BW74" s="7" t="n"/>
      <c r="BX74" s="7" t="n"/>
      <c r="BY74" s="7" t="n"/>
      <c r="BZ74" s="7" t="n"/>
      <c r="CA74" s="7" t="n"/>
      <c r="CB74" s="7" t="n"/>
      <c r="CC74" s="7" t="n"/>
      <c r="CD74" s="7" t="n"/>
      <c r="CE74" s="7" t="n"/>
      <c r="CF74" s="7" t="n"/>
      <c r="CG74" s="7" t="n"/>
      <c r="CH74" s="7" t="n"/>
      <c r="CI74" s="7" t="n"/>
      <c r="CJ74" s="7" t="n"/>
      <c r="CK74" s="7" t="n"/>
      <c r="CL74" s="7" t="n"/>
      <c r="CM74" s="7" t="n"/>
      <c r="CN74" s="7" t="n"/>
      <c r="CO74" s="7" t="n"/>
      <c r="CP74" s="7" t="n"/>
      <c r="CQ74" s="7" t="n"/>
      <c r="CR74" s="7" t="n"/>
      <c r="CS74" s="7" t="n"/>
    </row>
    <row r="75" ht="37" customFormat="1" customHeight="1" s="132">
      <c r="A75" s="7" t="n"/>
      <c r="B75" s="7" t="n"/>
      <c r="C75" s="7" t="n"/>
      <c r="D75" s="370" t="n"/>
      <c r="E75" s="370" t="n"/>
      <c r="F75" s="1190" t="n"/>
      <c r="G75" s="1191" t="n"/>
      <c r="H75" s="1192" t="n"/>
      <c r="I75" s="1192" t="n"/>
      <c r="J75" s="1193" t="n"/>
      <c r="K75" s="1193" t="n"/>
      <c r="L75" s="1193" t="n"/>
      <c r="M75" s="1193" t="n"/>
      <c r="N75" s="1194" t="n"/>
      <c r="O75" s="1195" t="n"/>
      <c r="P75" s="1194" t="n"/>
      <c r="Q75" s="1196" t="n"/>
      <c r="R75" s="1197" t="n"/>
      <c r="S75" s="1198" t="n"/>
      <c r="T75" s="1198" t="n"/>
      <c r="U75" s="374" t="n"/>
      <c r="V75" s="2002" t="n"/>
      <c r="W75" s="2002" t="n"/>
      <c r="X75" s="468" t="n"/>
      <c r="Y75" s="1070" t="n"/>
      <c r="Z75" s="57" t="n"/>
      <c r="AA75" s="57" t="n"/>
      <c r="AB75" s="57" t="n"/>
      <c r="AC75" s="57" t="n"/>
      <c r="AD75" s="1243" t="n"/>
      <c r="AE75" s="1244" t="n"/>
      <c r="AF75" s="1245" t="n"/>
      <c r="AG75" s="1246" t="n"/>
      <c r="AH75" s="1247" t="n"/>
      <c r="AI75" s="1248" t="n"/>
      <c r="AJ75" s="7" t="n"/>
      <c r="AK75" s="7" t="n"/>
      <c r="AL75" s="7" t="n"/>
      <c r="AM75" s="7" t="n"/>
      <c r="AN75" s="7" t="n"/>
      <c r="AO75" s="7" t="n"/>
      <c r="AP75" s="7" t="n"/>
      <c r="AQ75" s="7" t="n"/>
      <c r="AR75" s="7" t="n"/>
      <c r="AS75" s="7" t="n"/>
      <c r="AT75" s="7" t="n"/>
      <c r="AU75" s="7" t="n"/>
      <c r="AV75" s="7" t="n"/>
      <c r="AW75" s="7" t="n"/>
      <c r="AX75" s="7" t="n"/>
      <c r="AY75" s="7" t="n"/>
      <c r="AZ75" s="7" t="n"/>
      <c r="BA75" s="7" t="n"/>
      <c r="BB75" s="7" t="n"/>
      <c r="BC75" s="7" t="n"/>
      <c r="BD75" s="7" t="n"/>
      <c r="BE75" s="7" t="n"/>
      <c r="BF75" s="7" t="n"/>
      <c r="BG75" s="7" t="n"/>
      <c r="BH75" s="7" t="n"/>
      <c r="BI75" s="7" t="n"/>
      <c r="BJ75" s="7" t="n"/>
      <c r="BK75" s="7" t="n"/>
      <c r="BL75" s="7" t="n"/>
      <c r="BM75" s="7" t="n"/>
      <c r="BN75" s="7" t="n"/>
      <c r="BO75" s="7" t="n"/>
      <c r="BP75" s="7" t="n"/>
      <c r="BQ75" s="7" t="n"/>
      <c r="BR75" s="7" t="n"/>
      <c r="BS75" s="7" t="n"/>
      <c r="BT75" s="7" t="n"/>
      <c r="BU75" s="7" t="n"/>
      <c r="BV75" s="7" t="n"/>
      <c r="BW75" s="7" t="n"/>
      <c r="BX75" s="7" t="n"/>
      <c r="BY75" s="7" t="n"/>
      <c r="BZ75" s="7" t="n"/>
      <c r="CA75" s="7" t="n"/>
      <c r="CB75" s="7" t="n"/>
      <c r="CC75" s="7" t="n"/>
      <c r="CD75" s="7" t="n"/>
      <c r="CE75" s="7" t="n"/>
      <c r="CF75" s="7" t="n"/>
      <c r="CG75" s="7" t="n"/>
      <c r="CH75" s="7" t="n"/>
      <c r="CI75" s="7" t="n"/>
      <c r="CJ75" s="7" t="n"/>
      <c r="CK75" s="7" t="n"/>
      <c r="CL75" s="7" t="n"/>
      <c r="CM75" s="7" t="n"/>
      <c r="CN75" s="7" t="n"/>
      <c r="CO75" s="7" t="n"/>
      <c r="CP75" s="7" t="n"/>
      <c r="CQ75" s="7" t="n"/>
      <c r="CR75" s="7" t="n"/>
      <c r="CS75" s="7" t="n"/>
    </row>
    <row r="76" ht="21" customHeight="1">
      <c r="D76" s="364" t="n"/>
      <c r="E76" s="364" t="n"/>
      <c r="F76" s="365" t="n"/>
      <c r="G76" s="364" t="n"/>
      <c r="H76" s="365" t="n"/>
      <c r="I76" s="365" t="n"/>
      <c r="J76" s="364" t="n"/>
      <c r="K76" s="364" t="n"/>
      <c r="L76" s="364" t="n"/>
      <c r="M76" s="364" t="n"/>
      <c r="N76" s="366" t="n"/>
      <c r="O76" s="599" t="n"/>
      <c r="P76" s="366" t="n"/>
      <c r="Q76" s="366" t="n"/>
      <c r="R76" s="405" t="n"/>
      <c r="S76" s="406" t="n"/>
      <c r="T76" s="406" t="n"/>
      <c r="U76" s="369" t="n"/>
      <c r="V76" s="467" t="n"/>
      <c r="W76" s="471" t="n"/>
      <c r="X76" s="58" t="n"/>
      <c r="Y76" s="1082" t="n"/>
      <c r="AD76" s="1226" t="n"/>
      <c r="AE76" s="1227" t="n"/>
      <c r="AG76" s="552" t="n"/>
      <c r="AI76" s="552" t="n"/>
    </row>
    <row r="77" ht="47" customHeight="1">
      <c r="D77" s="399" t="inlineStr">
        <is>
          <t>Questionnaire 
PARENT FAVORISÉ (PFA)</t>
        </is>
      </c>
      <c r="E77" s="587" t="n"/>
      <c r="F77" s="587" t="n"/>
      <c r="G77" s="587" t="n"/>
      <c r="H77" s="587" t="n"/>
      <c r="I77" s="587" t="n"/>
      <c r="J77" s="587" t="n"/>
      <c r="K77" s="587" t="n"/>
      <c r="L77" s="587" t="n"/>
      <c r="M77" s="587" t="n"/>
      <c r="N77" s="587" t="n"/>
      <c r="O77" s="587" t="n"/>
      <c r="P77" s="587" t="n"/>
      <c r="Q77" s="587" t="n"/>
      <c r="R77" s="587" t="n"/>
      <c r="S77" s="587" t="n"/>
      <c r="T77" s="587" t="n"/>
      <c r="U77" s="587" t="n"/>
      <c r="V77" s="467" t="n"/>
      <c r="W77" s="471" t="n"/>
      <c r="X77" s="58" t="n"/>
      <c r="Y77" s="1082" t="n"/>
      <c r="AD77" s="552" t="n"/>
      <c r="AG77" s="552" t="n"/>
      <c r="AI77" s="552" t="n"/>
    </row>
    <row r="78" ht="73" customHeight="1" thickBot="1">
      <c r="B78" s="1807" t="inlineStr">
        <is>
          <t>Condition ajoutée :
S'active si B11&lt;=2</t>
        </is>
      </c>
      <c r="D78" s="399" t="n">
        <v>4</v>
      </c>
      <c r="E78" s="142" t="inlineStr">
        <is>
          <t>PFA00</t>
        </is>
      </c>
      <c r="F78" s="587" t="inlineStr">
        <is>
          <t xml:space="preserve">Dans quelle mesure l'autre parent (coparent) accepte de faire des compromis afin d'assurer une bonne entente de garde? </t>
        </is>
      </c>
      <c r="G78" s="587" t="inlineStr">
        <is>
          <t>Dans quelle mesure cet énoncé s'applique à votre situation? L'autre parent (coparent) devait faire des compromis pour assurer une bonne entente de garde.</t>
        </is>
      </c>
      <c r="H78" s="587" t="n"/>
      <c r="I78" s="587" t="n"/>
      <c r="J78" s="587" t="n"/>
      <c r="K78" s="237" t="n">
        <v>4</v>
      </c>
      <c r="L78" s="962" t="n">
        <v>1</v>
      </c>
      <c r="M78" s="962" t="n"/>
      <c r="N78" s="956" t="inlineStr">
        <is>
          <t>E1B</t>
        </is>
      </c>
      <c r="O78" s="2059" t="inlineStr">
        <is>
          <t>Toujours / Souvent / Régulièrement / Occasionnellement / Rarement / Jamais / S.O.</t>
        </is>
      </c>
      <c r="P78" s="956" t="n"/>
      <c r="Q78" s="956" t="n"/>
      <c r="R78" s="956" t="n">
        <v>0</v>
      </c>
      <c r="S78" s="956" t="n">
        <v>1</v>
      </c>
      <c r="T78" s="956" t="n">
        <v>0</v>
      </c>
      <c r="U78" s="956" t="n"/>
      <c r="V78" s="467" t="n"/>
      <c r="W78" s="471" t="n"/>
      <c r="X78" s="58" t="n">
        <v>1</v>
      </c>
      <c r="Y78" s="1082" t="n"/>
      <c r="AD78" s="552" t="n"/>
      <c r="AG78" s="552" t="n"/>
      <c r="AI78" s="552" t="n"/>
    </row>
    <row r="79" ht="52" customFormat="1" customHeight="1" s="7">
      <c r="D79" s="399" t="n">
        <v>1</v>
      </c>
      <c r="E79" s="142" t="inlineStr">
        <is>
          <t>PFA01</t>
        </is>
      </c>
      <c r="F79" s="587" t="inlineStr">
        <is>
          <t>Comment qualifieriez-vous la relation et le degré de complicité (ou alliance) entre votre enfant et l'autre parent, aujourd'hui?</t>
        </is>
      </c>
      <c r="G79" s="587" t="inlineStr">
        <is>
          <t>Comment qualifieriez-vous (retrospectivement) la relation et le degré de complicité (ou alliance) entre votre enfant et l'autre parent?</t>
        </is>
      </c>
      <c r="H79" s="400" t="n"/>
      <c r="I79" s="1129" t="n"/>
      <c r="J79" s="401" t="inlineStr">
        <is>
          <t>ATTN : différentiel</t>
        </is>
      </c>
      <c r="K79" s="402" t="n"/>
      <c r="L79" s="633" t="n">
        <v>1</v>
      </c>
      <c r="M79" s="962" t="n"/>
      <c r="N79" s="954" t="inlineStr">
        <is>
          <t xml:space="preserve">1 à 10 </t>
        </is>
      </c>
      <c r="O79" s="952" t="inlineStr">
        <is>
          <t>Aucune (1) à Excellente (10)</t>
        </is>
      </c>
      <c r="P79" s="403">
        <f>Test_Bible!P161</f>
        <v/>
      </c>
      <c r="Q79" s="403">
        <f>Test_Bible!Q161</f>
        <v/>
      </c>
      <c r="R79" s="675" t="inlineStr">
        <is>
          <t>n/a</t>
        </is>
      </c>
      <c r="S79" s="676" t="inlineStr">
        <is>
          <t>n/a</t>
        </is>
      </c>
      <c r="T79" s="1615" t="inlineStr">
        <is>
          <t>n/a</t>
        </is>
      </c>
      <c r="U79" s="786" t="inlineStr">
        <is>
          <t>A:Alliance</t>
        </is>
      </c>
      <c r="V79" s="2002" t="n"/>
      <c r="W79" s="471" t="n"/>
      <c r="X79" s="2002" t="n"/>
      <c r="Y79" s="1070" t="n"/>
      <c r="Z79" s="57" t="n"/>
      <c r="AA79" s="57" t="n"/>
      <c r="AB79" s="57" t="n"/>
      <c r="AC79" s="57" t="n"/>
      <c r="AD79" s="1221" t="n"/>
      <c r="AE79" s="1222" t="n"/>
      <c r="AF79" s="1222" t="n"/>
      <c r="AG79" s="1221" t="n"/>
      <c r="AH79" s="1053" t="n"/>
      <c r="AI79" s="1055" t="n"/>
    </row>
    <row r="80" ht="51" customHeight="1">
      <c r="D80" s="399" t="n">
        <v>2</v>
      </c>
      <c r="E80" s="142" t="inlineStr">
        <is>
          <t>PFA02</t>
        </is>
      </c>
      <c r="F80" s="587" t="inlineStr">
        <is>
          <t>Selon vous, dans quelle mesure l'autre parent entretien (aujourd'hui) une relation fusionnelle avec votre enfant?</t>
        </is>
      </c>
      <c r="G80" s="587" t="inlineStr">
        <is>
          <t>Selon vous, dans quelle mesure l'autre parent entretenait une relation fusionnelle avec votre enfant ?</t>
        </is>
      </c>
      <c r="H80" s="262" t="n"/>
      <c r="I80" s="1130" t="n"/>
      <c r="J80" s="133" t="inlineStr">
        <is>
          <t>ATTN : différentiel (= &gt; 5)</t>
        </is>
      </c>
      <c r="K80" s="228" t="n">
        <v>6</v>
      </c>
      <c r="L80" s="634" t="n">
        <v>1</v>
      </c>
      <c r="M80" s="963" t="n"/>
      <c r="N80" s="137" t="inlineStr">
        <is>
          <t xml:space="preserve">1 à 10 </t>
        </is>
      </c>
      <c r="O80" s="952" t="inlineStr">
        <is>
          <t>Aucune (1) à Excellente (10)</t>
        </is>
      </c>
      <c r="P80" s="346">
        <f>Test_Bible!P162</f>
        <v/>
      </c>
      <c r="Q80" s="346">
        <f>Test_Bible!Q162</f>
        <v/>
      </c>
      <c r="R80" s="675" t="inlineStr">
        <is>
          <t>n/a</t>
        </is>
      </c>
      <c r="S80" s="676" t="inlineStr">
        <is>
          <t>n/a</t>
        </is>
      </c>
      <c r="T80" s="1615" t="inlineStr">
        <is>
          <t>n/a</t>
        </is>
      </c>
      <c r="U80" s="749" t="inlineStr">
        <is>
          <t>A:Alliance</t>
        </is>
      </c>
      <c r="V80" s="2002" t="n"/>
      <c r="W80" s="471" t="n"/>
      <c r="Y80" s="1082" t="n"/>
      <c r="AD80" s="552" t="inlineStr">
        <is>
          <t>🔶</t>
        </is>
      </c>
      <c r="AE80" s="1224" t="inlineStr">
        <is>
          <t xml:space="preserve">définir relation fusionnelle + Mise en garde d'une relation fusionelle non intentionnelle … patience et bienveillance de mise 
(ex.: Frédéric J + Nancy N) + recommandation médiation  </t>
        </is>
      </c>
      <c r="AF80" s="1224" t="n"/>
      <c r="AG80" s="552" t="inlineStr">
        <is>
          <t>🔴</t>
        </is>
      </c>
      <c r="AH80" s="1053" t="n"/>
      <c r="AI80" s="1054" t="inlineStr">
        <is>
          <t xml:space="preserve">"peut mener à un isolement et un retrait social pouvant être préjudiciable" </t>
        </is>
      </c>
    </row>
    <row r="81" ht="54" customHeight="1">
      <c r="B81" s="124" t="inlineStr">
        <is>
          <t>sq1 (s'active si PFA02&gt;=condition)</t>
        </is>
      </c>
      <c r="D81" s="399" t="n">
        <v>3</v>
      </c>
      <c r="E81" s="143" t="inlineStr">
        <is>
          <t>PFA02a</t>
        </is>
      </c>
      <c r="F81" s="302" t="inlineStr">
        <is>
          <t>Diriez-vous que la relation fusionnelle entre votre enfant et l'autre parent est consciente (intentionnelle) ou inconsciente?</t>
        </is>
      </c>
      <c r="G81" s="302" t="inlineStr">
        <is>
          <t>Diriez-vous que la relation fusionnelle entre votre enfant et l'autre parent était consciente (intentionnelle) ou inconsciente?</t>
        </is>
      </c>
      <c r="H81" s="257" t="n"/>
      <c r="I81" s="1131" t="n"/>
      <c r="J81" s="133" t="inlineStr">
        <is>
          <t xml:space="preserve">sq1 </t>
        </is>
      </c>
      <c r="K81" s="228" t="n"/>
      <c r="L81" s="634" t="n">
        <v>1</v>
      </c>
      <c r="M81" s="963" t="n"/>
      <c r="N81" s="136" t="inlineStr">
        <is>
          <t>échelle à deux pôles</t>
        </is>
      </c>
      <c r="O81" s="956" t="n"/>
      <c r="P81" s="338" t="n"/>
      <c r="Q81" s="338" t="n"/>
      <c r="R81" s="675" t="inlineStr">
        <is>
          <t>n/a</t>
        </is>
      </c>
      <c r="S81" s="676" t="inlineStr">
        <is>
          <t>n/a</t>
        </is>
      </c>
      <c r="T81" s="1615" t="inlineStr">
        <is>
          <t>n/a</t>
        </is>
      </c>
      <c r="U81" s="749" t="inlineStr">
        <is>
          <t>A:Alliance</t>
        </is>
      </c>
      <c r="V81" s="2002" t="n"/>
      <c r="W81" s="471" t="n"/>
      <c r="Y81" s="1082" t="n"/>
      <c r="AD81" s="552" t="n"/>
      <c r="AE81" s="1224" t="n"/>
      <c r="AF81" s="1224" t="n"/>
      <c r="AG81" s="552" t="inlineStr">
        <is>
          <t>🔴</t>
        </is>
      </c>
      <c r="AH81" s="291" t="n"/>
      <c r="AI81" s="1990" t="inlineStr">
        <is>
          <t xml:space="preserve">Selon les réponses fournies / Les réponses du questionnaire semble indiquer que l'autre parent (votre coparent) entretient consciemment une relation fusionelle avec votre enfant /  relation fusionnelle = parentification = désir d'eclusion possible ou 
</t>
        </is>
      </c>
    </row>
    <row r="82" ht="65" customFormat="1" customHeight="1" s="7">
      <c r="C82" s="935" t="inlineStr">
        <is>
          <t>intensité 2 si âge (B06) &gt;= 10 ans;
Intensité 3 si âge (B06) &lt; 10 ans</t>
        </is>
      </c>
      <c r="D82" s="399" t="n">
        <v>5</v>
      </c>
      <c r="E82" s="209" t="inlineStr">
        <is>
          <t>PFA03</t>
        </is>
      </c>
      <c r="F82" s="587" t="inlineStr">
        <is>
          <t>Selon vous, dans quelle mesure l’autre parent demande à votre enfant de garder des secrets et de vous cacher des choses?</t>
        </is>
      </c>
      <c r="G82" s="587" t="inlineStr">
        <is>
          <t>Selon vous, dans quelle mesure l’autre parent demandait à votre enfant de garder des secrets et de vous cacher des choses?</t>
        </is>
      </c>
      <c r="H82" s="262" t="n"/>
      <c r="I82" s="1130" t="n"/>
      <c r="J82" s="218" t="n"/>
      <c r="K82" s="237" t="n"/>
      <c r="L82" s="635" t="n">
        <v>2</v>
      </c>
      <c r="M82" s="627" t="n">
        <v>3</v>
      </c>
      <c r="N82" s="966" t="inlineStr">
        <is>
          <t>E1A</t>
        </is>
      </c>
      <c r="O82" s="2059" t="inlineStr">
        <is>
          <t xml:space="preserve">Jamais / Rarement / Occasionnellement / Régulièrement / Souvent / Toujours / S.O. </t>
        </is>
      </c>
      <c r="P82" s="347">
        <f>Test_Bible!P166</f>
        <v/>
      </c>
      <c r="Q82" s="347">
        <f>Test_Bible!Q166</f>
        <v/>
      </c>
      <c r="R82" s="386" t="n">
        <v>0</v>
      </c>
      <c r="S82" s="387" t="n">
        <v>0</v>
      </c>
      <c r="T82" s="388" t="n">
        <v>1</v>
      </c>
      <c r="U82" s="749" t="inlineStr">
        <is>
          <t>A:Alliance</t>
        </is>
      </c>
      <c r="V82" s="6" t="n">
        <v>1</v>
      </c>
      <c r="W82" s="471" t="n"/>
      <c r="X82" s="459" t="n"/>
      <c r="Y82" s="1070" t="n"/>
      <c r="Z82" s="57" t="n"/>
      <c r="AA82" s="57" t="n"/>
      <c r="AB82" s="57" t="n"/>
      <c r="AC82" s="57" t="n"/>
      <c r="AD82" s="552" t="inlineStr">
        <is>
          <t>🔶</t>
        </is>
      </c>
      <c r="AE82" s="1224" t="inlineStr">
        <is>
          <t xml:space="preserve">notion conflit de loyauté 
notion de base ?? Sur les 
impacts sur un enfant de garder des secrets / importance d'intervenir pour soulager l'enfant de la pression / ne pas culpabiliser et ne pas presser l'enfant de ne pas </t>
        </is>
      </c>
      <c r="AF82" s="1224" t="n"/>
      <c r="AG82" s="552" t="inlineStr">
        <is>
          <t>🔴</t>
        </is>
      </c>
      <c r="AH82" s="1053" t="n"/>
      <c r="AI82" s="1054" t="inlineStr">
        <is>
          <t xml:space="preserve">VOIR équivalent ENFANT : impact sur un enfant de garder des secrets / importance d'intervenir pour soulager l'enfant de la pression / ne pas culpabiliser et ne pas presser l'enfant de ne pas </t>
        </is>
      </c>
    </row>
    <row r="83" ht="68" customFormat="1" customHeight="1" s="7">
      <c r="D83" s="399" t="n">
        <v>6</v>
      </c>
      <c r="E83" s="209" t="inlineStr">
        <is>
          <t>PFA04</t>
        </is>
      </c>
      <c r="F83" s="587" t="inlineStr">
        <is>
          <t xml:space="preserve">Quelle est la probabilité de l'énoncé suivant? L’autre parent laisse entendre à votre enfant que vous avez abandonné la famille. </t>
        </is>
      </c>
      <c r="G83" s="587" t="inlineStr">
        <is>
          <t xml:space="preserve">Quelle est la probabilité de l'énoncé suivant? L’autre parent laissait entendre à votre enfant que vous aviez abandonné la famille. </t>
        </is>
      </c>
      <c r="H83" s="262" t="n"/>
      <c r="I83" s="1130" t="n"/>
      <c r="J83" s="218" t="n"/>
      <c r="K83" s="237" t="n">
        <v>5</v>
      </c>
      <c r="L83" s="636" t="n">
        <v>1</v>
      </c>
      <c r="M83" s="609" t="n"/>
      <c r="N83" s="966" t="inlineStr">
        <is>
          <t>E4A</t>
        </is>
      </c>
      <c r="O83" s="597" t="inlineStr">
        <is>
          <t>Nulle / Très faible / Faible / Moyenne / Élevé / Très élevé / S.O.</t>
        </is>
      </c>
      <c r="P83" s="347">
        <f>Test_Bible!P167</f>
        <v/>
      </c>
      <c r="Q83" s="347">
        <f>Test_Bible!Q167</f>
        <v/>
      </c>
      <c r="R83" s="386" t="n">
        <v>0</v>
      </c>
      <c r="S83" s="387" t="n">
        <v>1</v>
      </c>
      <c r="T83" s="388" t="n">
        <v>0</v>
      </c>
      <c r="U83" s="787" t="inlineStr">
        <is>
          <t>B:Altération/dévoiement de la réalité</t>
        </is>
      </c>
      <c r="V83" s="2002" t="n"/>
      <c r="W83" s="1280" t="n">
        <v>1</v>
      </c>
      <c r="X83" s="59" t="n"/>
      <c r="Y83" s="1070" t="n"/>
      <c r="Z83" s="57" t="n"/>
      <c r="AA83" s="57" t="n"/>
      <c r="AB83" s="57" t="n"/>
      <c r="AC83" s="57" t="n"/>
      <c r="AD83" s="552" t="n"/>
      <c r="AE83" s="1224" t="n"/>
      <c r="AF83" s="1224" t="n"/>
      <c r="AG83" s="552" t="inlineStr">
        <is>
          <t>🔴</t>
        </is>
      </c>
      <c r="AH83" s="1053" t="n"/>
      <c r="AI83" s="1224" t="inlineStr">
        <is>
          <t xml:space="preserve">importance de sécuriser l'enfant </t>
        </is>
      </c>
    </row>
    <row r="84" ht="68" customFormat="1" customHeight="1" s="7">
      <c r="B84" s="124" t="inlineStr">
        <is>
          <t>sq1 (s'active si PFA04&gt;=condition)</t>
        </is>
      </c>
      <c r="D84" s="399" t="n">
        <v>7</v>
      </c>
      <c r="E84" s="143" t="inlineStr">
        <is>
          <t>PFA04a</t>
        </is>
      </c>
      <c r="F84" s="302" t="inlineStr">
        <is>
          <t>Quelle est la probabilité de l'énoncé suivant? L’autre parent laisse entendre à votre enfant que vous ne l’aimez pas vraiment.</t>
        </is>
      </c>
      <c r="G84" s="302" t="inlineStr">
        <is>
          <t>Quelle est la probabilité de l'énoncé suivant? L’autre parent laissait entendre à votre enfant que vous ne l’aimiez pas vraiment.</t>
        </is>
      </c>
      <c r="H84" s="257" t="n"/>
      <c r="I84" s="257" t="n"/>
      <c r="J84" s="257" t="n"/>
      <c r="K84" s="257" t="n"/>
      <c r="L84" s="635" t="n">
        <v>2</v>
      </c>
      <c r="M84" s="624" t="n"/>
      <c r="N84" s="966" t="inlineStr">
        <is>
          <t>E4A</t>
        </is>
      </c>
      <c r="O84" s="597" t="inlineStr">
        <is>
          <t>Nulle / Très faible / Faible / Moyenne / Élevé / Très élevé / S.O.</t>
        </is>
      </c>
      <c r="P84" s="347">
        <f>Test_Bible!P169</f>
        <v/>
      </c>
      <c r="Q84" s="347">
        <f>Test_Bible!Q169</f>
        <v/>
      </c>
      <c r="R84" s="386" t="n">
        <v>0</v>
      </c>
      <c r="S84" s="387" t="n">
        <v>1</v>
      </c>
      <c r="T84" s="388" t="n">
        <v>0</v>
      </c>
      <c r="U84" s="787" t="inlineStr">
        <is>
          <t>B:Altération/dévoiement de la réalité</t>
        </is>
      </c>
      <c r="V84" s="2002" t="n"/>
      <c r="W84" s="1280" t="n">
        <v>1</v>
      </c>
      <c r="X84" s="59" t="n"/>
      <c r="Y84" s="1070" t="n"/>
      <c r="Z84" s="57" t="n"/>
      <c r="AA84" s="57" t="n"/>
      <c r="AB84" s="57" t="n"/>
      <c r="AC84" s="57" t="n"/>
      <c r="AD84" s="552" t="n"/>
      <c r="AE84" s="1224" t="n"/>
      <c r="AF84" s="1224" t="n"/>
      <c r="AG84" s="552" t="inlineStr">
        <is>
          <t>🔴</t>
        </is>
      </c>
      <c r="AH84" s="1053" t="n"/>
      <c r="AI84" s="1224" t="inlineStr">
        <is>
          <t xml:space="preserve">importance de sécuriser l'enfant </t>
        </is>
      </c>
    </row>
    <row r="85" ht="71" customFormat="1" customHeight="1" s="7">
      <c r="D85" s="399" t="n">
        <v>8</v>
      </c>
      <c r="E85" s="209" t="inlineStr">
        <is>
          <t>PFA05</t>
        </is>
      </c>
      <c r="F85" s="587" t="inlineStr">
        <is>
          <t>Quelle est la probabilité de l'énoncé suivant? L’autre parent laisse entendre à votre enfant que vous souffrez d’une maladie mentale ou que vous êtes instable psychologiquement.</t>
        </is>
      </c>
      <c r="G85" s="587" t="inlineStr">
        <is>
          <t>Quelle est la probabilité de l'énoncé suivant? L’autre parent laissait entendre à votre enfant que vous souffriez d’une maladie mentale ou que vous êtiez instable psychologiquement.</t>
        </is>
      </c>
      <c r="H85" s="262" t="n"/>
      <c r="I85" s="1130" t="n"/>
      <c r="J85" s="218" t="n"/>
      <c r="K85" s="237" t="n">
        <v>4</v>
      </c>
      <c r="L85" s="637" t="n">
        <v>1</v>
      </c>
      <c r="M85" s="625" t="n"/>
      <c r="N85" s="966" t="inlineStr">
        <is>
          <t>E4A</t>
        </is>
      </c>
      <c r="O85" s="597" t="inlineStr">
        <is>
          <t>Nulle / Très faible / Faible / Moyenne / Élevé / Très élevé / S.O.</t>
        </is>
      </c>
      <c r="P85" s="347">
        <f>Test_Bible!P169</f>
        <v/>
      </c>
      <c r="Q85" s="347">
        <f>Test_Bible!Q169</f>
        <v/>
      </c>
      <c r="R85" s="386" t="n">
        <v>0</v>
      </c>
      <c r="S85" s="387" t="n">
        <v>1</v>
      </c>
      <c r="T85" s="388" t="n">
        <v>0</v>
      </c>
      <c r="U85" s="787" t="inlineStr">
        <is>
          <t>B:Altération/dévoiement de la réalité</t>
        </is>
      </c>
      <c r="V85" s="2002" t="n"/>
      <c r="W85" s="1280" t="n">
        <v>1</v>
      </c>
      <c r="X85" s="59" t="n"/>
      <c r="Y85" s="1070" t="n"/>
      <c r="Z85" s="57" t="n"/>
      <c r="AA85" s="57" t="n"/>
      <c r="AB85" s="57" t="n"/>
      <c r="AC85" s="57" t="n"/>
      <c r="AD85" s="552" t="n"/>
      <c r="AE85" s="1224" t="n"/>
      <c r="AF85" s="1224" t="n"/>
      <c r="AG85" s="552" t="inlineStr">
        <is>
          <t>🔴</t>
        </is>
      </c>
      <c r="AH85" s="291" t="n"/>
      <c r="AI85" s="1249" t="inlineStr">
        <is>
          <t xml:space="preserve">exposer ce que ça veut dire / impact sur l'enfant / importance de sécuriser l'enfant 
importantce d'intervenir ou non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row>
    <row r="86" ht="56" customFormat="1" customHeight="1" s="7">
      <c r="B86" s="124" t="inlineStr">
        <is>
          <t>sq1 (s'active si PFA05&gt;=condition)</t>
        </is>
      </c>
      <c r="D86" s="399" t="n">
        <v>9</v>
      </c>
      <c r="E86" s="145" t="inlineStr">
        <is>
          <t>PFA05a</t>
        </is>
      </c>
      <c r="F86" s="302" t="inlineStr">
        <is>
          <t>Quelle est la probabilité de l'énoncé? L'autre parent laisse entendre à votre enfant qu’il ou elle n’est pas en sécurité avec vous.</t>
        </is>
      </c>
      <c r="G86" s="302" t="inlineStr">
        <is>
          <t>Quelle est la probabilité de l'énoncé? L'autre parent laissait entendre à votre enfant qu’il ou elle n’était pas en sécurité avec vous.</t>
        </is>
      </c>
      <c r="H86" s="257" t="n"/>
      <c r="I86" s="1131" t="n"/>
      <c r="J86" s="217" t="inlineStr">
        <is>
          <t>sq1</t>
        </is>
      </c>
      <c r="K86" s="236" t="n"/>
      <c r="L86" s="635" t="n">
        <v>2</v>
      </c>
      <c r="M86" s="624" t="n"/>
      <c r="N86" s="966" t="inlineStr">
        <is>
          <t>E4A</t>
        </is>
      </c>
      <c r="O86" s="597" t="inlineStr">
        <is>
          <t>Nulle / Très faible / Faible / Moyenne / Élevé / Très élevé / S.O.</t>
        </is>
      </c>
      <c r="P86" s="347">
        <f>Test_Bible!P170</f>
        <v/>
      </c>
      <c r="Q86" s="347">
        <f>Test_Bible!Q170</f>
        <v/>
      </c>
      <c r="R86" s="386" t="n">
        <v>0</v>
      </c>
      <c r="S86" s="387" t="n">
        <v>1</v>
      </c>
      <c r="T86" s="388" t="n">
        <v>0</v>
      </c>
      <c r="U86" s="787" t="inlineStr">
        <is>
          <t>B:Altération/dévoiement de la réalité</t>
        </is>
      </c>
      <c r="V86" s="2002" t="n"/>
      <c r="W86" s="1280" t="n">
        <v>1</v>
      </c>
      <c r="X86" s="59" t="n"/>
      <c r="Y86" s="1070" t="n"/>
      <c r="Z86" s="57" t="n"/>
      <c r="AA86" s="57" t="n"/>
      <c r="AB86" s="57" t="n"/>
      <c r="AC86" s="57" t="n"/>
      <c r="AD86" s="552" t="n"/>
      <c r="AE86" s="1224" t="n"/>
      <c r="AF86" s="1222" t="n"/>
      <c r="AG86" s="552" t="inlineStr">
        <is>
          <t>🔴</t>
        </is>
      </c>
      <c r="AH86" s="1053" t="n"/>
      <c r="AI86" s="1250" t="inlineStr">
        <is>
          <t>"exposer ce que ça veut dire / impact sur l'enfant / importance de sécuriser l'enfant 
importantce d'intervenir ou non 
notion d'apaisement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row>
    <row r="87" ht="61" customFormat="1" customHeight="1" s="7">
      <c r="D87" s="399" t="n">
        <v>10</v>
      </c>
      <c r="E87" s="209" t="inlineStr">
        <is>
          <t>PFA06</t>
        </is>
      </c>
      <c r="F87" s="587" t="inlineStr">
        <is>
          <t>Dans quelle mesure diriez-vous que l'autre parent modifie certains faits (historiques) concernant votre passé à son avantage ou à votre désavantage?</t>
        </is>
      </c>
      <c r="G87" s="587" t="inlineStr">
        <is>
          <t>Dans quelle mesure diriez-vous que l'autre parent modifiait certains faits (historiques) concernant votre passé à son avantage ou à votre désavantage?</t>
        </is>
      </c>
      <c r="H87" s="262" t="n"/>
      <c r="I87" s="1130" t="n"/>
      <c r="J87" s="219" t="n"/>
      <c r="K87" s="238" t="n">
        <v>4</v>
      </c>
      <c r="L87" s="638" t="n">
        <v>2</v>
      </c>
      <c r="M87" s="626" t="n"/>
      <c r="N87" s="966" t="inlineStr">
        <is>
          <t>E4A</t>
        </is>
      </c>
      <c r="O87" s="597" t="inlineStr">
        <is>
          <t>Nulle / Très faible / Faible / Moyenne / Élevé / Très élevé / S.O.</t>
        </is>
      </c>
      <c r="P87" s="347">
        <f>Test_Bible!P171</f>
        <v/>
      </c>
      <c r="Q87" s="347">
        <f>Test_Bible!Q171</f>
        <v/>
      </c>
      <c r="R87" s="386" t="n">
        <v>0</v>
      </c>
      <c r="S87" s="387" t="n">
        <v>0.5</v>
      </c>
      <c r="T87" s="388" t="n">
        <v>0.5</v>
      </c>
      <c r="U87" s="787" t="inlineStr">
        <is>
          <t>B:Altération/dévoiement de la réalité</t>
        </is>
      </c>
      <c r="V87" s="2002" t="n"/>
      <c r="W87" s="1280" t="n">
        <v>1</v>
      </c>
      <c r="X87" s="59" t="n"/>
      <c r="Y87" s="1070" t="n"/>
      <c r="Z87" s="57" t="n"/>
      <c r="AA87" s="57" t="n"/>
      <c r="AB87" s="57" t="n"/>
      <c r="AC87" s="57" t="n"/>
      <c r="AD87" s="552" t="n"/>
      <c r="AE87" s="1224" t="n"/>
      <c r="AF87" s="1224" t="n"/>
      <c r="AG87" s="1056" t="inlineStr">
        <is>
          <t>🔴 ATTN : déf. AP : relation avant vs après</t>
        </is>
      </c>
      <c r="AH87" s="291" t="n"/>
      <c r="AI87" s="1224" t="inlineStr">
        <is>
          <t xml:space="preserve">info : manipulation / comprtements aliénants </t>
        </is>
      </c>
    </row>
    <row r="88" ht="64" customFormat="1" customHeight="1" s="7">
      <c r="B88" s="124" t="inlineStr">
        <is>
          <t>sq1 (s'active si PFA06&gt;=condition)</t>
        </is>
      </c>
      <c r="D88" s="399" t="n">
        <v>11</v>
      </c>
      <c r="E88" s="145" t="inlineStr">
        <is>
          <t>PFA06a</t>
        </is>
      </c>
      <c r="F88" s="302" t="inlineStr">
        <is>
          <t>Dans quelle mesure l'autre parent déforme volontairement les souvenirs de votre enfant (ex.: souvenirs heureux de la petite enfance vus aujourd'hui négativement)?</t>
        </is>
      </c>
      <c r="G88" s="302" t="inlineStr">
        <is>
          <t>Dans quelle mesure cet énoncé s'applique à votre situation? L'autre parent déformait les souvenirs de votre enfant (ex.: souvenirs heureux de la petite enfance vus aujourd'hui négativement).</t>
        </is>
      </c>
      <c r="H88" s="257" t="n"/>
      <c r="I88" s="1131" t="n"/>
      <c r="J88" s="217" t="inlineStr">
        <is>
          <t>sq1</t>
        </is>
      </c>
      <c r="K88" s="236" t="n"/>
      <c r="L88" s="639" t="n">
        <v>3</v>
      </c>
      <c r="M88" s="627" t="n"/>
      <c r="N88" s="966" t="inlineStr">
        <is>
          <t>E4A</t>
        </is>
      </c>
      <c r="O88" s="597" t="inlineStr">
        <is>
          <t>Nulle / Très faible / Faible / Moyenne / Élevé / Très élevé / S.O.</t>
        </is>
      </c>
      <c r="P88" s="347">
        <f>Test_Bible!P172</f>
        <v/>
      </c>
      <c r="Q88" s="347">
        <f>Test_Bible!Q172</f>
        <v/>
      </c>
      <c r="R88" s="386" t="n">
        <v>0</v>
      </c>
      <c r="S88" s="387" t="n">
        <v>1</v>
      </c>
      <c r="T88" s="388" t="n">
        <v>0</v>
      </c>
      <c r="U88" s="787" t="inlineStr">
        <is>
          <t>B:Altération/dévoiement de la réalité</t>
        </is>
      </c>
      <c r="V88" s="2002" t="n"/>
      <c r="W88" s="1280" t="n">
        <v>1</v>
      </c>
      <c r="X88" s="459" t="n"/>
      <c r="Y88" s="1070" t="n"/>
      <c r="Z88" s="57" t="n"/>
      <c r="AA88" s="57" t="n"/>
      <c r="AB88" s="57" t="n"/>
      <c r="AC88" s="57" t="n"/>
      <c r="AD88" s="1221" t="n"/>
      <c r="AE88" s="1222" t="n"/>
      <c r="AF88" s="1222" t="n"/>
      <c r="AG88" s="1221" t="n"/>
      <c r="AH88" s="1053" t="n"/>
      <c r="AI88" s="1055" t="n"/>
    </row>
    <row r="89" ht="87" customHeight="1">
      <c r="D89" s="399" t="n">
        <v>12</v>
      </c>
      <c r="E89" s="209" t="inlineStr">
        <is>
          <t>PFA07</t>
        </is>
      </c>
      <c r="F89" s="587" t="inlineStr">
        <is>
          <t xml:space="preserve">Quelle est la probabilité de l'énoncé suivant ?  L’autre parent culpabilise votre enfant de sa relation ou de son amour pour vous? </t>
        </is>
      </c>
      <c r="G89" s="587" t="inlineStr">
        <is>
          <t xml:space="preserve">Quelle est la probabilité de l'énoncé suivant ?  L’autre parent culpabilisait votre enfant de sa relation ou de son amour pour vous? </t>
        </is>
      </c>
      <c r="H89" s="262" t="n"/>
      <c r="I89" s="1130" t="n"/>
      <c r="J89" s="179" t="n"/>
      <c r="K89" s="239" t="n">
        <v>2</v>
      </c>
      <c r="L89" s="640" t="n">
        <v>1</v>
      </c>
      <c r="M89" s="593" t="n"/>
      <c r="N89" s="961" t="inlineStr">
        <is>
          <t>E4A</t>
        </is>
      </c>
      <c r="O89" s="597" t="inlineStr">
        <is>
          <t>Nulle / Très faible / Faible / Moyenne / Élevé / Très élevé / S.O.</t>
        </is>
      </c>
      <c r="P89" s="347">
        <f>Test_Bible!P173</f>
        <v/>
      </c>
      <c r="Q89" s="347">
        <f>Test_Bible!Q173</f>
        <v/>
      </c>
      <c r="R89" s="386" t="n">
        <v>0.5</v>
      </c>
      <c r="S89" s="387" t="n">
        <v>0.5</v>
      </c>
      <c r="T89" s="388" t="n">
        <v>0</v>
      </c>
      <c r="U89" s="740" t="inlineStr">
        <is>
          <t>C: Chantage affectif, loyauté, manipulation</t>
        </is>
      </c>
      <c r="V89" s="2002" t="n"/>
      <c r="W89" s="471" t="n"/>
      <c r="X89" s="1281" t="n">
        <v>1</v>
      </c>
      <c r="Y89" s="1082" t="n"/>
      <c r="AD89" s="552" t="n"/>
      <c r="AE89" s="1224" t="n"/>
      <c r="AF89" s="1224" t="n"/>
      <c r="AG89" s="552" t="inlineStr">
        <is>
          <t>🔴</t>
        </is>
      </c>
      <c r="AH89" s="1224" t="n"/>
      <c r="AI89" s="1224" t="inlineStr">
        <is>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is>
      </c>
    </row>
    <row r="90" ht="58" customFormat="1" customHeight="1" s="7">
      <c r="B90" s="124" t="inlineStr">
        <is>
          <t>sq1 (s'active si PFA07&gt;=condition)</t>
        </is>
      </c>
      <c r="D90" s="399" t="n">
        <v>13</v>
      </c>
      <c r="E90" s="145" t="inlineStr">
        <is>
          <t>PFA07a</t>
        </is>
      </c>
      <c r="F90" s="302" t="inlineStr">
        <is>
          <t xml:space="preserve">Arrive-t-il que l’autre parent boude votre enfant ou se fâche lorsqu'il est temps de rentrer chez vous (à votre tour de garde)? </t>
        </is>
      </c>
      <c r="G90" s="302" t="inlineStr">
        <is>
          <t xml:space="preserve">Arrivait-il que l’autre parent boude votre enfant ou se fâche lorsqu'il était temps de rentrer chez vous (à votre tour de garde)? </t>
        </is>
      </c>
      <c r="H90" s="257" t="n"/>
      <c r="I90" s="1131" t="n"/>
      <c r="J90" s="217" t="inlineStr">
        <is>
          <t>sq1</t>
        </is>
      </c>
      <c r="K90" s="236" t="n">
        <v>2</v>
      </c>
      <c r="L90" s="635" t="n">
        <v>2</v>
      </c>
      <c r="M90" s="624" t="n"/>
      <c r="N90" s="967" t="inlineStr">
        <is>
          <t>E1A</t>
        </is>
      </c>
      <c r="O90" s="2059" t="inlineStr">
        <is>
          <t xml:space="preserve">Jamais / Rarement / Occasionnellement / Régulièrement / Souvent / Toujours / S.O. </t>
        </is>
      </c>
      <c r="P90" s="347">
        <f>Test_Bible!P174</f>
        <v/>
      </c>
      <c r="Q90" s="347">
        <f>Test_Bible!Q174</f>
        <v/>
      </c>
      <c r="R90" s="386" t="n">
        <v>1</v>
      </c>
      <c r="S90" s="387" t="n">
        <v>0</v>
      </c>
      <c r="T90" s="388" t="n">
        <v>0</v>
      </c>
      <c r="U90" s="740" t="inlineStr">
        <is>
          <t>C: Chantage affectif, loyauté, manipulation</t>
        </is>
      </c>
      <c r="V90" s="2002" t="n"/>
      <c r="W90" s="471" t="n"/>
      <c r="X90" s="1281" t="n">
        <v>1</v>
      </c>
      <c r="Y90" s="1070" t="n"/>
      <c r="Z90" s="57" t="n"/>
      <c r="AA90" s="57" t="n"/>
      <c r="AB90" s="57" t="n"/>
      <c r="AC90" s="57" t="n"/>
      <c r="AD90" s="552" t="n"/>
      <c r="AE90" s="1224" t="n"/>
      <c r="AF90" s="1224" t="n"/>
      <c r="AG90" s="552" t="inlineStr">
        <is>
          <t>🔴</t>
        </is>
      </c>
      <c r="AH90" s="1224" t="n"/>
      <c r="AI90" s="1224" t="inlineStr">
        <is>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is>
      </c>
    </row>
    <row r="91" ht="63" customFormat="1" customHeight="1" s="7">
      <c r="B91" s="124" t="inlineStr">
        <is>
          <t>sq2 (s'active si PFA07a&gt;=condition)</t>
        </is>
      </c>
      <c r="D91" s="399" t="n">
        <v>14</v>
      </c>
      <c r="E91" s="145" t="inlineStr">
        <is>
          <t>PFA07a1</t>
        </is>
      </c>
      <c r="F91" s="302" t="inlineStr">
        <is>
          <t xml:space="preserve">Arrive-t-il à l’autre parent de se fâcher contre votre enfant lorsqu'il ou elle exprime de l'affection pour vous ? </t>
        </is>
      </c>
      <c r="G91" s="302" t="inlineStr">
        <is>
          <t xml:space="preserve">Arrivait-il à l’autre parent de se fâcher contre votre enfant lorsqu'il ou elle exprimait de l'affection pour vous? </t>
        </is>
      </c>
      <c r="H91" s="257" t="n"/>
      <c r="I91" s="1131" t="n"/>
      <c r="J91" s="217" t="inlineStr">
        <is>
          <t>sq2</t>
        </is>
      </c>
      <c r="K91" s="236" t="n"/>
      <c r="L91" s="639" t="n">
        <v>3</v>
      </c>
      <c r="M91" s="627" t="n"/>
      <c r="N91" s="967" t="inlineStr">
        <is>
          <t>E1A</t>
        </is>
      </c>
      <c r="O91" s="2059" t="inlineStr">
        <is>
          <t xml:space="preserve">Jamais / Rarement / Occasionnellement / Régulièrement / Souvent / Toujours / S.O. </t>
        </is>
      </c>
      <c r="P91" s="347">
        <f>Test_Bible!P175</f>
        <v/>
      </c>
      <c r="Q91" s="347">
        <f>Test_Bible!Q175</f>
        <v/>
      </c>
      <c r="R91" s="386" t="n">
        <v>0.5</v>
      </c>
      <c r="S91" s="387" t="n">
        <v>0.5</v>
      </c>
      <c r="T91" s="388" t="n">
        <v>0</v>
      </c>
      <c r="U91" s="740" t="inlineStr">
        <is>
          <t>C: Chantage affectif, loyauté, manipulation</t>
        </is>
      </c>
      <c r="V91" s="2002" t="n"/>
      <c r="W91" s="471" t="n"/>
      <c r="X91" s="1281" t="n">
        <v>1</v>
      </c>
      <c r="Y91" s="1070" t="n"/>
      <c r="Z91" s="57" t="n"/>
      <c r="AA91" s="57" t="n"/>
      <c r="AB91" s="57" t="n"/>
      <c r="AC91" s="57" t="n"/>
      <c r="AD91" s="552" t="n"/>
      <c r="AE91" s="1224" t="n"/>
      <c r="AF91" s="1224" t="n"/>
      <c r="AG91" s="552" t="inlineStr">
        <is>
          <t>🔴</t>
        </is>
      </c>
      <c r="AH91" s="1224" t="n"/>
      <c r="AI91" s="1224" t="inlineStr">
        <is>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is>
      </c>
    </row>
    <row r="92" ht="51" customFormat="1" customHeight="1" s="7">
      <c r="D92" s="399" t="n">
        <v>15</v>
      </c>
      <c r="E92" s="209" t="inlineStr">
        <is>
          <t>PFA09</t>
        </is>
      </c>
      <c r="F92" s="587" t="inlineStr">
        <is>
          <t>Arrive-t-il que l'autre parent vous accable de reproches par courriel ou texto au retour des enfants (après un séjour chez vous) ?</t>
        </is>
      </c>
      <c r="G92" s="587" t="inlineStr">
        <is>
          <t>Arrivait-il que l'autre parent vous accable de reproches par courriel ou texto au retour des enfants (après un séjour chez vous)?</t>
        </is>
      </c>
      <c r="H92" s="262" t="n"/>
      <c r="I92" s="1130" t="n"/>
      <c r="J92" s="218" t="n"/>
      <c r="K92" s="237" t="n">
        <v>4</v>
      </c>
      <c r="L92" s="636" t="n">
        <v>1</v>
      </c>
      <c r="M92" s="609" t="n"/>
      <c r="N92" s="961" t="inlineStr">
        <is>
          <t>E1A</t>
        </is>
      </c>
      <c r="O92" s="2059" t="inlineStr">
        <is>
          <t xml:space="preserve">Jamais / Rarement / Occasionnellement / Régulièrement / Souvent / Toujours / S.O. </t>
        </is>
      </c>
      <c r="P92" s="347">
        <f>Test_Bible!P176</f>
        <v/>
      </c>
      <c r="Q92" s="347">
        <f>Test_Bible!Q176</f>
        <v/>
      </c>
      <c r="R92" s="386" t="n">
        <v>0</v>
      </c>
      <c r="S92" s="387" t="n">
        <v>0</v>
      </c>
      <c r="T92" s="388" t="n">
        <v>1</v>
      </c>
      <c r="U92" s="740" t="inlineStr">
        <is>
          <t>C: Chantage affectif, loyauté, manipulation</t>
        </is>
      </c>
      <c r="V92" s="2002" t="n"/>
      <c r="W92" s="471" t="n"/>
      <c r="X92" s="1281" t="n">
        <v>1</v>
      </c>
      <c r="Y92" s="1070" t="n"/>
      <c r="Z92" s="57" t="n"/>
      <c r="AA92" s="57" t="n"/>
      <c r="AB92" s="57" t="n"/>
      <c r="AC92" s="57" t="n"/>
      <c r="AD92" s="1221" t="n"/>
      <c r="AE92" s="1222" t="n"/>
      <c r="AF92" s="1222" t="n"/>
      <c r="AG92" s="552" t="inlineStr">
        <is>
          <t>🔴</t>
        </is>
      </c>
      <c r="AH92" s="291" t="n"/>
      <c r="AI92" s="291" t="inlineStr">
        <is>
          <t xml:space="preserve">Ne pas tomber dans le piège de l'escalade. Apprendre la contre manipulation ou communication non violente.  </t>
        </is>
      </c>
    </row>
    <row r="93" ht="68" customFormat="1" customHeight="1" s="7">
      <c r="B93" s="124" t="inlineStr">
        <is>
          <t>sq1 (s'active si PFA09&gt;=condition)</t>
        </is>
      </c>
      <c r="D93" s="399" t="n">
        <v>16</v>
      </c>
      <c r="E93" s="145" t="inlineStr">
        <is>
          <t>PFA09a</t>
        </is>
      </c>
      <c r="F93" s="586" t="inlineStr">
        <is>
          <t>Dans quelle mesure l'autre parent fait ou a déjà fait des menaces (claires ou voilées) de vous enlever les enfants?</t>
        </is>
      </c>
      <c r="G93" s="586" t="inlineStr">
        <is>
          <t>Dans quelle mesure l'autre parent faisait ou avait déjà fait des menaces (claires ou voilées) de vous enlever les enfants?</t>
        </is>
      </c>
      <c r="H93" s="263" t="n"/>
      <c r="I93" s="1132" t="n"/>
      <c r="J93" s="217" t="inlineStr">
        <is>
          <t>sq1</t>
        </is>
      </c>
      <c r="K93" s="236" t="n"/>
      <c r="L93" s="641" t="n">
        <v>2</v>
      </c>
      <c r="M93" s="608" t="n"/>
      <c r="N93" s="961" t="inlineStr">
        <is>
          <t>E1A</t>
        </is>
      </c>
      <c r="O93" s="2059" t="inlineStr">
        <is>
          <t xml:space="preserve">Jamais / Rarement / Occasionnellement / Régulièrement / Souvent / Toujours / S.O. </t>
        </is>
      </c>
      <c r="P93" s="347">
        <f>Test_Bible!P177</f>
        <v/>
      </c>
      <c r="Q93" s="347">
        <f>Test_Bible!Q177</f>
        <v/>
      </c>
      <c r="R93" s="386" t="n">
        <v>1</v>
      </c>
      <c r="S93" s="387" t="n">
        <v>0</v>
      </c>
      <c r="T93" s="388" t="n">
        <v>0</v>
      </c>
      <c r="U93" s="788" t="inlineStr">
        <is>
          <t>C: Chantage affectif et manipulation</t>
        </is>
      </c>
      <c r="V93" s="2002" t="n"/>
      <c r="W93" s="471" t="n"/>
      <c r="X93" s="1281" t="n">
        <v>1</v>
      </c>
      <c r="Y93" s="1070" t="n"/>
      <c r="Z93" s="57" t="n"/>
      <c r="AA93" s="57" t="n"/>
      <c r="AB93" s="57" t="n"/>
      <c r="AC93" s="57" t="n"/>
      <c r="AD93" s="1221" t="n"/>
      <c r="AE93" s="1222" t="n"/>
      <c r="AF93" s="1222" t="n"/>
      <c r="AG93" s="1221" t="n"/>
      <c r="AH93" s="1053" t="n"/>
      <c r="AI93" s="1055" t="n"/>
    </row>
    <row r="94" ht="52" customFormat="1" customHeight="1" s="7">
      <c r="A94" s="313" t="n"/>
      <c r="B94" s="313" t="n"/>
      <c r="D94" s="399" t="n">
        <v>17</v>
      </c>
      <c r="E94" s="209" t="inlineStr">
        <is>
          <t>PFA10</t>
        </is>
      </c>
      <c r="F94" s="587" t="inlineStr">
        <is>
          <t>Dans quelle mesure l’autre parent vous ignore lorsqu’il ou elle vous croise à l’école, lors des changements de garde ou lors d'événements sportifs?</t>
        </is>
      </c>
      <c r="G94" s="587" t="inlineStr">
        <is>
          <t>Arrivait-il à l’autre parent de vous ignorer lorsqu’il ou elle vous croisait à l’école, ou lors des changements de garde ou d'événements sportifs?</t>
        </is>
      </c>
      <c r="H94" s="264" t="n"/>
      <c r="I94" s="1133" t="n"/>
      <c r="J94" s="218" t="n"/>
      <c r="K94" s="237" t="n"/>
      <c r="L94" s="636" t="n">
        <v>1</v>
      </c>
      <c r="M94" s="609" t="n"/>
      <c r="N94" s="961" t="inlineStr">
        <is>
          <t>E1A</t>
        </is>
      </c>
      <c r="O94" s="2059" t="inlineStr">
        <is>
          <t xml:space="preserve">Jamais / Rarement / Occasionnellement / Régulièrement / Souvent / Toujours / S.O. </t>
        </is>
      </c>
      <c r="P94" s="347">
        <f>Test_Bible!P178</f>
        <v/>
      </c>
      <c r="Q94" s="347">
        <f>Test_Bible!Q178</f>
        <v/>
      </c>
      <c r="R94" s="386" t="n">
        <v>1</v>
      </c>
      <c r="S94" s="387" t="n">
        <v>0</v>
      </c>
      <c r="T94" s="388" t="n">
        <v>0</v>
      </c>
      <c r="U94" s="740" t="inlineStr">
        <is>
          <t>C: Chantage affectif, loyauté, manipulation</t>
        </is>
      </c>
      <c r="V94" s="2002" t="n"/>
      <c r="W94" s="471" t="n"/>
      <c r="X94" s="1281" t="n">
        <v>1</v>
      </c>
      <c r="Y94" s="1070" t="n"/>
      <c r="Z94" s="57" t="n"/>
      <c r="AA94" s="57" t="n"/>
      <c r="AB94" s="57" t="n"/>
      <c r="AC94" s="57" t="n"/>
      <c r="AD94" s="1221" t="n"/>
      <c r="AE94" s="1222" t="n"/>
      <c r="AF94" s="1222" t="n"/>
      <c r="AG94" s="1221" t="n"/>
      <c r="AH94" s="1053" t="n"/>
      <c r="AI94" s="1055" t="n"/>
    </row>
    <row r="95" ht="91" customFormat="1" customHeight="1" s="7">
      <c r="C95" s="935" t="inlineStr">
        <is>
          <t>intensité 2 si âge (B06) &gt;= 11 ans;
Intensité 3 si âge (B06) &lt; 11 ans</t>
        </is>
      </c>
      <c r="D95" s="399" t="n">
        <v>18</v>
      </c>
      <c r="E95" s="209" t="inlineStr">
        <is>
          <t>PFA11</t>
        </is>
      </c>
      <c r="F95" s="587" t="inlineStr">
        <is>
          <t>L'autre parent est d'avis que votre enfant est assez mature pour choisir où et avec qui il veut vivre ?</t>
        </is>
      </c>
      <c r="G95" s="587" t="inlineStr">
        <is>
          <t>L'autre parent était d'avis que votre enfant était assez mature pour choisir où et avec qui il voulait vivre ?</t>
        </is>
      </c>
      <c r="H95" s="262" t="n"/>
      <c r="I95" s="1130" t="n"/>
      <c r="J95" s="218" t="inlineStr">
        <is>
          <t>&gt;=3</t>
        </is>
      </c>
      <c r="K95" s="237" t="n">
        <v>4</v>
      </c>
      <c r="L95" s="608" t="n">
        <v>2</v>
      </c>
      <c r="M95" s="607" t="n">
        <v>3</v>
      </c>
      <c r="N95" s="961" t="inlineStr">
        <is>
          <t>E3A</t>
        </is>
      </c>
      <c r="O95" s="597" t="inlineStr">
        <is>
          <t>Pas du tout d’accord / Pas d’accord / Ni d’accord, ni pas d’accord / Partiellement d’accord / D’accord / Tout à fait d’accord / S.O.</t>
        </is>
      </c>
      <c r="P95" s="348">
        <f>Test_Bible!P194</f>
        <v/>
      </c>
      <c r="Q95" s="348">
        <f>Test_Bible!Q194</f>
        <v/>
      </c>
      <c r="R95" s="386" t="n">
        <v>0</v>
      </c>
      <c r="S95" s="387" t="n">
        <v>0.5</v>
      </c>
      <c r="T95" s="388" t="n">
        <v>0.5</v>
      </c>
      <c r="U95" s="792" t="inlineStr">
        <is>
          <t>H: Rôle actif, Réponse au CC, r</t>
        </is>
      </c>
      <c r="V95" s="2002" t="n"/>
      <c r="W95" s="471" t="n"/>
      <c r="X95" s="59" t="n"/>
      <c r="Y95" s="1070" t="n"/>
      <c r="Z95" s="57" t="n"/>
      <c r="AA95" s="57" t="n"/>
      <c r="AB95" s="57" t="n"/>
      <c r="AC95" s="1282" t="n">
        <v>1</v>
      </c>
      <c r="AD95" s="1221" t="n"/>
      <c r="AE95" s="1222" t="n"/>
      <c r="AF95" s="1222" t="n"/>
      <c r="AG95" s="1221" t="n"/>
      <c r="AH95" s="1053" t="n"/>
      <c r="AI95" s="1055" t="n"/>
    </row>
    <row r="96" ht="62" customFormat="1" customHeight="1" s="7">
      <c r="B96" s="124" t="inlineStr">
        <is>
          <t>sq1 (s'active si PFA11&gt;=condition)</t>
        </is>
      </c>
      <c r="D96" s="399" t="n">
        <v>19</v>
      </c>
      <c r="E96" s="145" t="inlineStr">
        <is>
          <t>PFA11a</t>
        </is>
      </c>
      <c r="F96" s="302" t="inlineStr">
        <is>
          <t>Dans quelle mesure cet énoncé s'applique à votre situation ? L'autre parent vous demande de respecter les désirs et choix de votre enfant.</t>
        </is>
      </c>
      <c r="G96" s="302" t="inlineStr">
        <is>
          <t>Dans quelle mesure cet énoncé s'applique-t-il selon vous? L'autre parent vous demandait de respecter les désirs et choix de votre enfant.</t>
        </is>
      </c>
      <c r="H96" s="257" t="n"/>
      <c r="I96" s="1131" t="n"/>
      <c r="J96" s="217" t="inlineStr">
        <is>
          <t>sq1</t>
        </is>
      </c>
      <c r="K96" s="236" t="n"/>
      <c r="L96" s="607" t="n">
        <v>3</v>
      </c>
      <c r="M96" s="607" t="n"/>
      <c r="N96" s="961" t="inlineStr">
        <is>
          <t>E3A</t>
        </is>
      </c>
      <c r="O96" s="597" t="inlineStr">
        <is>
          <t>Pas du tout d’accord / Pas d’accord / Ni d’accord, ni pas d’accord / Partiellement d’accord / D’accord / Tout à fait d’accord / S.O.</t>
        </is>
      </c>
      <c r="P96" s="348">
        <f>Test_Bible!P195</f>
        <v/>
      </c>
      <c r="Q96" s="348">
        <f>Test_Bible!Q195</f>
        <v/>
      </c>
      <c r="R96" s="386" t="n">
        <v>0</v>
      </c>
      <c r="S96" s="387" t="n">
        <v>0</v>
      </c>
      <c r="T96" s="388" t="n">
        <v>1</v>
      </c>
      <c r="U96" s="792" t="inlineStr">
        <is>
          <t>H: Rôle actif, Réponse au CC, r</t>
        </is>
      </c>
      <c r="V96" s="2002" t="n"/>
      <c r="W96" s="471" t="n"/>
      <c r="X96" s="459" t="n"/>
      <c r="Y96" s="1070" t="n"/>
      <c r="Z96" s="57" t="n"/>
      <c r="AA96" s="57" t="n"/>
      <c r="AB96" s="57" t="n"/>
      <c r="AC96" s="1282" t="n">
        <v>1</v>
      </c>
      <c r="AD96" s="1221" t="n"/>
      <c r="AE96" s="1222" t="n"/>
      <c r="AF96" s="1222" t="n"/>
      <c r="AG96" s="1221" t="n"/>
      <c r="AH96" s="1053" t="n"/>
      <c r="AI96" s="1055" t="n"/>
    </row>
    <row r="97" ht="51" customFormat="1" customHeight="1" s="7">
      <c r="D97" s="399" t="n">
        <v>20</v>
      </c>
      <c r="E97" s="209" t="inlineStr">
        <is>
          <t>PFA12</t>
        </is>
      </c>
      <c r="F97" s="587" t="inlineStr">
        <is>
          <t>Selon vous, dans quelle mesure l'autre parent questionne votre enfant à son retour de garde sur les activités qu'il a fait alors qu'il était chez vous?</t>
        </is>
      </c>
      <c r="G97" s="587" t="inlineStr">
        <is>
          <t>Dans quelle mesure cet énoncé s'applique-t-il selon vous? L'autre parent questionnait votre enfant à son retour de garde sur les activités qu'il a fait alors qu'il était chez vous.</t>
        </is>
      </c>
      <c r="H97" s="264" t="n"/>
      <c r="I97" s="1133" t="n"/>
      <c r="J97" s="218" t="n"/>
      <c r="K97" s="237" t="n"/>
      <c r="L97" s="636" t="n">
        <v>1</v>
      </c>
      <c r="M97" s="609" t="n"/>
      <c r="N97" s="961" t="inlineStr">
        <is>
          <t>E1A</t>
        </is>
      </c>
      <c r="O97" s="2059" t="inlineStr">
        <is>
          <t xml:space="preserve">Jamais / Rarement / Occasionnellement / Régulièrement / Souvent / Toujours / S.O. </t>
        </is>
      </c>
      <c r="P97" s="347">
        <f>Test_Bible!P181</f>
        <v/>
      </c>
      <c r="Q97" s="347">
        <f>Test_Bible!Q181</f>
        <v/>
      </c>
      <c r="R97" s="386" t="n">
        <v>0</v>
      </c>
      <c r="S97" s="387" t="n">
        <v>0</v>
      </c>
      <c r="T97" s="388" t="n">
        <v>1</v>
      </c>
      <c r="U97" s="740" t="inlineStr">
        <is>
          <t>C: Chantage affectif, loyauté, manipulation</t>
        </is>
      </c>
      <c r="V97" s="2002" t="n"/>
      <c r="W97" s="471" t="n"/>
      <c r="X97" s="459" t="n">
        <v>1</v>
      </c>
      <c r="Y97" s="1070" t="n"/>
      <c r="Z97" s="57" t="n"/>
      <c r="AA97" s="57" t="n"/>
      <c r="AB97" s="57" t="n"/>
      <c r="AC97" s="57" t="n"/>
      <c r="AD97" s="552" t="inlineStr">
        <is>
          <t>🔶</t>
        </is>
      </c>
      <c r="AE97" s="1224" t="inlineStr">
        <is>
          <t xml:space="preserve">pression sur l'enfant </t>
        </is>
      </c>
      <c r="AF97" s="1224" t="n"/>
      <c r="AG97" s="1221" t="n"/>
      <c r="AH97" s="1053" t="n"/>
      <c r="AI97" s="1055" t="n"/>
    </row>
    <row r="98" ht="40" customFormat="1" customHeight="1" s="7">
      <c r="D98" s="399" t="n">
        <v>21</v>
      </c>
      <c r="E98" s="209" t="inlineStr">
        <is>
          <t>PFA13</t>
        </is>
      </c>
      <c r="F98" s="587" t="inlineStr">
        <is>
          <t>Arrive-t-il que l’autre parent vous dénigre en la présence de votre enfant?</t>
        </is>
      </c>
      <c r="G98" s="587" t="inlineStr">
        <is>
          <t>Arrivait-il que l’autre parent vous dénigre en la présence de votre enfant ?</t>
        </is>
      </c>
      <c r="H98" s="264" t="n"/>
      <c r="I98" s="1133" t="n"/>
      <c r="J98" s="220" t="inlineStr">
        <is>
          <t>DIFF |  &gt;=3</t>
        </is>
      </c>
      <c r="K98" s="237" t="n">
        <v>4</v>
      </c>
      <c r="L98" s="642" t="n">
        <v>1</v>
      </c>
      <c r="M98" s="628" t="n"/>
      <c r="N98" s="961" t="inlineStr">
        <is>
          <t>E1A</t>
        </is>
      </c>
      <c r="O98" s="2059" t="inlineStr">
        <is>
          <t xml:space="preserve">Jamais / Rarement / Occasionnellement / Régulièrement / Souvent / Toujours / S.O. </t>
        </is>
      </c>
      <c r="P98" s="347">
        <f>Test_Bible!P182</f>
        <v/>
      </c>
      <c r="Q98" s="347">
        <f>Test_Bible!Q182</f>
        <v/>
      </c>
      <c r="R98" s="386" t="n">
        <v>0</v>
      </c>
      <c r="S98" s="387" t="n">
        <v>0</v>
      </c>
      <c r="T98" s="388" t="n">
        <v>1</v>
      </c>
      <c r="U98" s="789" t="inlineStr">
        <is>
          <t>D: Dénigrement</t>
        </is>
      </c>
      <c r="V98" s="2002" t="n"/>
      <c r="W98" s="471" t="n"/>
      <c r="X98" s="59" t="n"/>
      <c r="Y98" s="1070" t="n">
        <v>1</v>
      </c>
      <c r="Z98" s="57" t="n"/>
      <c r="AA98" s="57" t="n"/>
      <c r="AB98" s="57" t="n"/>
      <c r="AC98" s="57" t="n"/>
      <c r="AD98" s="552" t="inlineStr">
        <is>
          <t>🔶</t>
        </is>
      </c>
      <c r="AE98" s="1217" t="n"/>
      <c r="AF98" s="1217" t="n"/>
      <c r="AG98" s="552" t="inlineStr">
        <is>
          <t>🔴</t>
        </is>
      </c>
      <c r="AH98" s="295" t="n"/>
      <c r="AI98" s="552" t="n"/>
    </row>
    <row r="99" ht="55" customFormat="1" customHeight="1" s="7">
      <c r="B99" s="124" t="inlineStr">
        <is>
          <t>sq1 (s'active si PFA13&gt;=condition)</t>
        </is>
      </c>
      <c r="D99" s="399" t="n">
        <v>22</v>
      </c>
      <c r="E99" s="145" t="inlineStr">
        <is>
          <t>PFA13a</t>
        </is>
      </c>
      <c r="F99" s="586" t="inlineStr">
        <is>
          <t>Dans quelle mesure l'autre parent vous renvoie une image négative de vous-même en tant que parent, ridiculise vos décisions ou vous insulte?</t>
        </is>
      </c>
      <c r="G99" s="586" t="inlineStr">
        <is>
          <t>Dans quelle mesure cet énoncé s'applique-t-il selon vous? L'autre parent vous renvoyait une image négative de vous-même en tant que parent, ridiculisait vos décisions ou vous insultait?</t>
        </is>
      </c>
      <c r="H99" s="263" t="n"/>
      <c r="I99" s="1132" t="n"/>
      <c r="J99" s="217" t="inlineStr">
        <is>
          <t>sq1</t>
        </is>
      </c>
      <c r="K99" s="236" t="n"/>
      <c r="L99" s="643" t="n">
        <v>3</v>
      </c>
      <c r="M99" s="607" t="n"/>
      <c r="N99" s="961" t="inlineStr">
        <is>
          <t>E1A</t>
        </is>
      </c>
      <c r="O99" s="2059" t="inlineStr">
        <is>
          <t xml:space="preserve">Jamais / Rarement / Occasionnellement / Régulièrement / Souvent / Toujours / S.O. </t>
        </is>
      </c>
      <c r="P99" s="347">
        <f>Test_Bible!P183</f>
        <v/>
      </c>
      <c r="Q99" s="347">
        <f>Test_Bible!Q183</f>
        <v/>
      </c>
      <c r="R99" s="386" t="n">
        <v>0</v>
      </c>
      <c r="S99" s="387" t="n">
        <v>1</v>
      </c>
      <c r="T99" s="388" t="n">
        <v>0</v>
      </c>
      <c r="U99" s="788" t="inlineStr">
        <is>
          <t>D: Dénigrement</t>
        </is>
      </c>
      <c r="V99" s="2002" t="n"/>
      <c r="W99" s="471" t="n"/>
      <c r="X99" s="59" t="n"/>
      <c r="Y99" s="1070" t="n">
        <v>1</v>
      </c>
      <c r="Z99" s="57" t="n"/>
      <c r="AA99" s="57" t="n"/>
      <c r="AB99" s="57" t="n"/>
      <c r="AC99" s="57" t="n"/>
      <c r="AD99" s="1221" t="n"/>
      <c r="AE99" s="1222" t="n"/>
      <c r="AF99" s="1222" t="n"/>
      <c r="AG99" s="1221" t="n"/>
      <c r="AH99" s="1053" t="n"/>
      <c r="AI99" s="1055" t="n"/>
    </row>
    <row r="100" ht="54" customFormat="1" customHeight="1" s="7">
      <c r="A100" s="801" t="inlineStr">
        <is>
          <t>s'active que si PFA09a=0</t>
        </is>
      </c>
      <c r="B100" s="124" t="inlineStr">
        <is>
          <t>sq1 (s'active si PFA13&gt;=condition)</t>
        </is>
      </c>
      <c r="D100" s="399" t="n">
        <v>23</v>
      </c>
      <c r="E100" s="145" t="inlineStr">
        <is>
          <t>PFA13b</t>
        </is>
      </c>
      <c r="F100" s="586" t="inlineStr">
        <is>
          <t>Dans quelle mesure l'autre parent fait ou a déjà fait des menaces (claires ou voilées) de vous enlever les enfants?</t>
        </is>
      </c>
      <c r="G100" s="586" t="inlineStr">
        <is>
          <t>Dans quelle mesure l'autre parent faisait ou avait déjà fait des menaces (claires ou voilées) de vous enlever les enfants?</t>
        </is>
      </c>
      <c r="H100" s="263" t="n"/>
      <c r="I100" s="1132" t="n"/>
      <c r="J100" s="124" t="inlineStr">
        <is>
          <t>sq1</t>
        </is>
      </c>
      <c r="K100" s="236" t="n"/>
      <c r="L100" s="643" t="n">
        <v>3</v>
      </c>
      <c r="M100" s="607" t="n"/>
      <c r="N100" s="961" t="inlineStr">
        <is>
          <t>E1A</t>
        </is>
      </c>
      <c r="O100" s="2059" t="inlineStr">
        <is>
          <t xml:space="preserve">Jamais / Rarement / Occasionnellement / Régulièrement / Souvent / Toujours / S.O. </t>
        </is>
      </c>
      <c r="P100" s="347">
        <f>Test_Bible!P184</f>
        <v/>
      </c>
      <c r="Q100" s="347">
        <f>Test_Bible!Q184</f>
        <v/>
      </c>
      <c r="R100" s="386" t="n">
        <v>1</v>
      </c>
      <c r="S100" s="387" t="n">
        <v>0</v>
      </c>
      <c r="T100" s="388" t="n">
        <v>0</v>
      </c>
      <c r="U100" s="788" t="inlineStr">
        <is>
          <t>D: Dénigrement</t>
        </is>
      </c>
      <c r="V100" s="2002" t="n"/>
      <c r="W100" s="471" t="n"/>
      <c r="X100" s="59" t="n"/>
      <c r="Y100" s="1070" t="n">
        <v>1</v>
      </c>
      <c r="Z100" s="57" t="n"/>
      <c r="AA100" s="57" t="n"/>
      <c r="AB100" s="57" t="n"/>
      <c r="AC100" s="57" t="n"/>
      <c r="AD100" s="1221" t="n"/>
      <c r="AE100" s="1222" t="n"/>
      <c r="AF100" s="1222" t="n"/>
      <c r="AG100" s="1056" t="inlineStr">
        <is>
          <t>🔴 ATTN : déf. AP</t>
        </is>
      </c>
      <c r="AH100" s="1053" t="n"/>
      <c r="AI100" s="1055" t="n"/>
    </row>
    <row r="101" ht="58" customFormat="1" customHeight="1" s="7">
      <c r="B101" s="124" t="inlineStr">
        <is>
          <t>sq1 (s'active si PFA13&gt;=condition)</t>
        </is>
      </c>
      <c r="D101" s="399" t="n">
        <v>24</v>
      </c>
      <c r="E101" s="145" t="inlineStr">
        <is>
          <t>PFA13c</t>
        </is>
      </c>
      <c r="F101" s="586" t="inlineStr">
        <is>
          <t>Dans quelle mesure l'autre parent présente aux autres une vision négative de vos comportements ou de votre santé mentale et compétences parentales.</t>
        </is>
      </c>
      <c r="G101" s="586" t="inlineStr">
        <is>
          <t>Dans quelle mesure l'autre parent présentait aux autres une vision négative de vos comportements ou de votre santé mentale et compétences parentales?</t>
        </is>
      </c>
      <c r="H101" s="263" t="n"/>
      <c r="I101" s="1132" t="n"/>
      <c r="J101" s="217" t="inlineStr">
        <is>
          <t>sq1</t>
        </is>
      </c>
      <c r="K101" s="236" t="n"/>
      <c r="L101" s="641" t="n">
        <v>2</v>
      </c>
      <c r="M101" s="608" t="n"/>
      <c r="N101" s="961" t="inlineStr">
        <is>
          <t>E1A</t>
        </is>
      </c>
      <c r="O101" s="2059" t="inlineStr">
        <is>
          <t xml:space="preserve">Jamais / Rarement / Occasionnellement / Régulièrement / Souvent / Toujours / S.O. </t>
        </is>
      </c>
      <c r="P101" s="347">
        <f>Test_Bible!P185</f>
        <v/>
      </c>
      <c r="Q101" s="347">
        <f>Test_Bible!Q185</f>
        <v/>
      </c>
      <c r="R101" s="386" t="n">
        <v>1</v>
      </c>
      <c r="S101" s="387" t="n">
        <v>0</v>
      </c>
      <c r="T101" s="388" t="n">
        <v>0</v>
      </c>
      <c r="U101" s="788" t="inlineStr">
        <is>
          <t>D: Dénigrement</t>
        </is>
      </c>
      <c r="V101" s="2002" t="n"/>
      <c r="W101" s="471" t="n"/>
      <c r="X101" s="59" t="n"/>
      <c r="Y101" s="1070" t="n">
        <v>1</v>
      </c>
      <c r="Z101" s="57" t="n"/>
      <c r="AA101" s="57" t="n"/>
      <c r="AB101" s="57" t="n"/>
      <c r="AC101" s="57" t="n"/>
      <c r="AD101" s="1221" t="n"/>
      <c r="AE101" s="1222" t="n"/>
      <c r="AF101" s="1222" t="n"/>
      <c r="AG101" s="1221" t="n"/>
      <c r="AH101" s="1053" t="n"/>
      <c r="AI101" s="1055" t="n"/>
    </row>
    <row r="102" ht="70" customFormat="1" customHeight="1" s="7">
      <c r="A102" s="801" t="inlineStr">
        <is>
          <t>s'active si PCR a NC (B07 n'égale pas "célibataire")</t>
        </is>
      </c>
      <c r="D102" s="399" t="n">
        <v>25</v>
      </c>
      <c r="E102" s="142" t="inlineStr">
        <is>
          <t>PFA14</t>
        </is>
      </c>
      <c r="F102" s="587" t="inlineStr">
        <is>
          <t xml:space="preserve">Arrive-t-il que l’autre parent dénigre ouvertement votre nouvelle famille devant votre enfant? (dénigrement du nouveau ou nouvelle conjoint·e et/ou enfant(s) né(s) d’une nouvelle union) </t>
        </is>
      </c>
      <c r="G102" s="587" t="inlineStr">
        <is>
          <t xml:space="preserve">Arrivait-il que l’autre parent dénigre ouvertement votre nouvelle famille devant votre enfant? (dénigrement du nouveau ou nouvelle conjoint·e et/ou enfant(s) né(s) d’une nouvelle union) </t>
        </is>
      </c>
      <c r="H102" s="264" t="n"/>
      <c r="I102" s="1133" t="n"/>
      <c r="J102" s="218" t="n"/>
      <c r="K102" s="237" t="n"/>
      <c r="L102" s="636" t="n">
        <v>1</v>
      </c>
      <c r="M102" s="609" t="n"/>
      <c r="N102" s="961" t="inlineStr">
        <is>
          <t>E1A</t>
        </is>
      </c>
      <c r="O102" s="2059" t="inlineStr">
        <is>
          <t xml:space="preserve">Jamais / Rarement / Occasionnellement / Régulièrement / Souvent / Toujours / S.O. </t>
        </is>
      </c>
      <c r="P102" s="347">
        <f>Test_Bible!P186</f>
        <v/>
      </c>
      <c r="Q102" s="347">
        <f>Test_Bible!Q186</f>
        <v/>
      </c>
      <c r="R102" s="386" t="n">
        <v>0</v>
      </c>
      <c r="S102" s="387" t="n">
        <v>0</v>
      </c>
      <c r="T102" s="388" t="n">
        <v>1</v>
      </c>
      <c r="U102" s="789" t="inlineStr">
        <is>
          <t>D: Dénigrement</t>
        </is>
      </c>
      <c r="V102" s="2002" t="n"/>
      <c r="W102" s="471" t="n"/>
      <c r="X102" s="59" t="n"/>
      <c r="Y102" s="1070" t="n">
        <v>1</v>
      </c>
      <c r="Z102" s="57" t="n"/>
      <c r="AA102" s="57" t="n"/>
      <c r="AB102" s="57" t="n"/>
      <c r="AC102" s="57" t="n"/>
      <c r="AD102" s="552" t="inlineStr">
        <is>
          <t>🔶</t>
        </is>
      </c>
      <c r="AE102" s="1224" t="inlineStr">
        <is>
          <t xml:space="preserve">i = contre manipulation ou communication non violente 
ex.: photo dans le sac avec photo (NCFA) disant que c'est la vraie famille … importance de communiquer l'info à l'autre parent et accueillir la famille NCFA tout en revalorisant sa propre famille 
pour le i = mise en situation : imaginons le cas suivant : (ex photo sac) et la réponse adéquate  </t>
        </is>
      </c>
      <c r="AF102" s="1224" t="n"/>
      <c r="AG102" s="552" t="inlineStr">
        <is>
          <t>🔴</t>
        </is>
      </c>
      <c r="AH102" s="1053" t="n"/>
      <c r="AI102" s="1055" t="n"/>
    </row>
    <row r="103" ht="66" customFormat="1" customHeight="1" s="7">
      <c r="A103" s="801" t="inlineStr">
        <is>
          <t>s'active si PFA a NC (B08 n'égale pas "célibataire")</t>
        </is>
      </c>
      <c r="D103" s="399" t="n">
        <v>26</v>
      </c>
      <c r="E103" s="142" t="inlineStr">
        <is>
          <t>PFA15</t>
        </is>
      </c>
      <c r="F103" s="587" t="inlineStr">
        <is>
          <t xml:space="preserve">Dans quelle mesure diriez-vous que l'autre parent laisse entendre qu'il ou elle représente la "vraie" famille de votre enfant? </t>
        </is>
      </c>
      <c r="G103" s="587" t="inlineStr">
        <is>
          <t xml:space="preserve">Dans quelle mesure diriez-vous que l'autre parent laissait entendre qu'il ou elle représentait la "vraie" famille de votre enfant? </t>
        </is>
      </c>
      <c r="H103" s="262" t="n"/>
      <c r="I103" s="1130" t="n"/>
      <c r="J103" s="218" t="inlineStr">
        <is>
          <t>&gt;=3</t>
        </is>
      </c>
      <c r="K103" s="237" t="n">
        <v>4</v>
      </c>
      <c r="L103" s="635" t="n">
        <v>2</v>
      </c>
      <c r="M103" s="624" t="n"/>
      <c r="N103" s="961" t="inlineStr">
        <is>
          <t>E1A</t>
        </is>
      </c>
      <c r="O103" s="2059" t="inlineStr">
        <is>
          <t xml:space="preserve">Jamais / Rarement / Occasionnellement / Régulièrement / Souvent / Toujours / S.O. </t>
        </is>
      </c>
      <c r="P103" s="347">
        <f>Test_Bible!P187</f>
        <v/>
      </c>
      <c r="Q103" s="347">
        <f>Test_Bible!Q187</f>
        <v/>
      </c>
      <c r="R103" s="386" t="n">
        <v>0</v>
      </c>
      <c r="S103" s="387" t="n">
        <v>1</v>
      </c>
      <c r="T103" s="388" t="n">
        <v>0</v>
      </c>
      <c r="U103" s="789" t="inlineStr">
        <is>
          <t>D: Dénigrement</t>
        </is>
      </c>
      <c r="V103" s="2002" t="n"/>
      <c r="W103" s="471" t="n"/>
      <c r="X103" s="59" t="n"/>
      <c r="Y103" s="1070" t="n">
        <v>1</v>
      </c>
      <c r="Z103" s="57" t="n"/>
      <c r="AA103" s="57" t="n"/>
      <c r="AB103" s="57" t="n"/>
      <c r="AC103" s="57" t="n"/>
      <c r="AD103" s="1221" t="n"/>
      <c r="AE103" s="1222" t="n"/>
      <c r="AF103" s="1222" t="n"/>
      <c r="AG103" s="1221" t="n"/>
      <c r="AH103" s="1053" t="n"/>
      <c r="AI103" s="1055" t="n"/>
    </row>
    <row r="104" ht="55" customFormat="1" customHeight="1" s="7">
      <c r="A104" s="801" t="inlineStr">
        <is>
          <t>s'active si PFA a NC (B08 n'égale pas "célibataire")</t>
        </is>
      </c>
      <c r="B104" s="124" t="inlineStr">
        <is>
          <t>sq1 (s'active si PFA15&gt;=condition)</t>
        </is>
      </c>
      <c r="D104" s="399" t="n">
        <v>27</v>
      </c>
      <c r="E104" s="145" t="inlineStr">
        <is>
          <t>PFA15a</t>
        </is>
      </c>
      <c r="F104" s="588" t="inlineStr">
        <is>
          <t>Dans quelle mesure diriez-vous que l'autre parent demande à ce que votre enfant appelle le nouveau ou nouvelle conjoint·e maman ou papa ?</t>
        </is>
      </c>
      <c r="G104" s="302" t="inlineStr">
        <is>
          <t>Dans quelle mesure diriez-vous que l'autre parent demandait à ce que votre enfant appelle le nouveau ou nouvelle conjoint·e maman ou papa ?</t>
        </is>
      </c>
      <c r="H104" s="265" t="n"/>
      <c r="I104" s="1134" t="n"/>
      <c r="J104" s="217" t="inlineStr">
        <is>
          <t>sq1</t>
        </is>
      </c>
      <c r="K104" s="236" t="n"/>
      <c r="L104" s="639" t="n">
        <v>3</v>
      </c>
      <c r="M104" s="964" t="n"/>
      <c r="N104" s="615" t="inlineStr">
        <is>
          <t>E3A</t>
        </is>
      </c>
      <c r="O104" s="965" t="inlineStr">
        <is>
          <t>Pas du tout d’accord / Pas d’accord /  Ni d’accord, ni pas d’accord /  Partiellement d’accord / D’accord / Tout à fait d’accord / S.O.</t>
        </is>
      </c>
      <c r="P104" s="347">
        <f>Test_Bible!P188</f>
        <v/>
      </c>
      <c r="Q104" s="347">
        <f>Test_Bible!Q188</f>
        <v/>
      </c>
      <c r="R104" s="386" t="n">
        <v>0</v>
      </c>
      <c r="S104" s="387" t="n">
        <v>0.5</v>
      </c>
      <c r="T104" s="388" t="n">
        <v>0.5</v>
      </c>
      <c r="U104" s="789" t="inlineStr">
        <is>
          <t>D: Dénigrement</t>
        </is>
      </c>
      <c r="V104" s="2002" t="n"/>
      <c r="W104" s="471" t="n"/>
      <c r="X104" s="459" t="n"/>
      <c r="Y104" s="1070" t="n">
        <v>1</v>
      </c>
      <c r="Z104" s="57" t="n"/>
      <c r="AA104" s="57" t="n"/>
      <c r="AB104" s="57" t="n"/>
      <c r="AC104" s="57" t="n"/>
      <c r="AD104" s="1221" t="n"/>
      <c r="AE104" s="1222" t="n"/>
      <c r="AF104" s="1222" t="n"/>
      <c r="AG104" s="1221" t="n"/>
      <c r="AH104" s="1053" t="n"/>
      <c r="AI104" s="1055" t="n"/>
    </row>
    <row r="105" ht="62" customFormat="1" customHeight="1" s="7">
      <c r="D105" s="399" t="n">
        <v>28</v>
      </c>
      <c r="E105" s="209" t="inlineStr">
        <is>
          <t>PFA16</t>
        </is>
      </c>
      <c r="F105" s="587" t="inlineStr">
        <is>
          <t>Évaluez la fréquence de l'énoncé : l'autre parent vous impose des changements d’horaires sans vous consulter au préalable et sans votre autorisation.</t>
        </is>
      </c>
      <c r="G105" s="587" t="inlineStr">
        <is>
          <t>Évaluez la fréquence de l'énoncé : l'autre parent vous imposait des changements d’horaires sans vous consulter au préalable et sans votre autorisation.</t>
        </is>
      </c>
      <c r="H105" s="262" t="n"/>
      <c r="I105" s="1130" t="n"/>
      <c r="J105" s="218" t="inlineStr">
        <is>
          <t>&gt;=2</t>
        </is>
      </c>
      <c r="K105" s="237" t="n">
        <v>2</v>
      </c>
      <c r="L105" s="608" t="n">
        <v>2</v>
      </c>
      <c r="M105" s="608" t="n"/>
      <c r="N105" s="961" t="inlineStr">
        <is>
          <t>E1A</t>
        </is>
      </c>
      <c r="O105" s="2059" t="inlineStr">
        <is>
          <t xml:space="preserve">Jamais / Rarement / Occasionnellement / Régulièrement / Souvent / Toujours / S.O. </t>
        </is>
      </c>
      <c r="P105" s="347">
        <f>Test_Bible!P189</f>
        <v/>
      </c>
      <c r="Q105" s="347">
        <f>Test_Bible!Q189</f>
        <v/>
      </c>
      <c r="R105" s="386" t="n">
        <v>1</v>
      </c>
      <c r="S105" s="387" t="n">
        <v>0</v>
      </c>
      <c r="T105" s="388" t="n">
        <v>0</v>
      </c>
      <c r="U105" s="790" t="inlineStr">
        <is>
          <t>E: Interférence temps et/ou communication</t>
        </is>
      </c>
      <c r="V105" s="2002" t="n"/>
      <c r="W105" s="471" t="n"/>
      <c r="X105" s="59" t="n"/>
      <c r="Y105" s="1070" t="n"/>
      <c r="Z105" s="1282" t="n">
        <v>1</v>
      </c>
      <c r="AA105" s="57" t="n"/>
      <c r="AB105" s="57" t="n"/>
      <c r="AC105" s="57" t="n"/>
      <c r="AD105" s="552" t="inlineStr">
        <is>
          <t>🔶</t>
        </is>
      </c>
      <c r="AE105" s="1217" t="n"/>
      <c r="AF105" s="1217" t="n"/>
      <c r="AG105" s="552" t="inlineStr">
        <is>
          <t>🔴</t>
        </is>
      </c>
      <c r="AH105" s="295" t="n"/>
      <c r="AI105" s="552" t="n"/>
    </row>
    <row r="106" ht="52" customFormat="1" customHeight="1" s="7">
      <c r="B106" s="124" t="inlineStr">
        <is>
          <t>sq1 (s'active si PFA16&gt;=condition)</t>
        </is>
      </c>
      <c r="D106" s="399" t="n">
        <v>29</v>
      </c>
      <c r="E106" s="145" t="inlineStr">
        <is>
          <t>PFA16a</t>
        </is>
      </c>
      <c r="F106" s="302" t="inlineStr">
        <is>
          <t xml:space="preserve">Évaluez l'intensité et la fréquence de l'énoncé : l'autre parent ramène votre enfant à la maison à l'heure qui lui convient (sans respecter l'entente initiale).    </t>
        </is>
      </c>
      <c r="G106" s="302" t="inlineStr">
        <is>
          <t xml:space="preserve">Évaluez l'intensité et la fréquence de l'énoncé : l'autre parent ramènait votre enfant à la maison à l'heure qui lui convenait (sans respecter l'entente initiale).    </t>
        </is>
      </c>
      <c r="H106" s="266" t="n"/>
      <c r="I106" s="1135" t="n"/>
      <c r="J106" s="217" t="inlineStr">
        <is>
          <t>sq1</t>
        </is>
      </c>
      <c r="K106" s="236" t="n"/>
      <c r="L106" s="608" t="n">
        <v>2</v>
      </c>
      <c r="M106" s="608" t="n"/>
      <c r="N106" s="961" t="inlineStr">
        <is>
          <t>E1A</t>
        </is>
      </c>
      <c r="O106" s="2059" t="inlineStr">
        <is>
          <t xml:space="preserve">Jamais / Rarement / Occasionnellement / Régulièrement / Souvent / Toujours / S.O. </t>
        </is>
      </c>
      <c r="P106" s="347">
        <f>Test_Bible!P190</f>
        <v/>
      </c>
      <c r="Q106" s="347">
        <f>Test_Bible!Q190</f>
        <v/>
      </c>
      <c r="R106" s="386" t="n">
        <v>1</v>
      </c>
      <c r="S106" s="387" t="n">
        <v>0</v>
      </c>
      <c r="T106" s="388" t="n">
        <v>0</v>
      </c>
      <c r="U106" s="790" t="inlineStr">
        <is>
          <t>E: Interférence temps et/ou communication</t>
        </is>
      </c>
      <c r="V106" s="2002" t="n"/>
      <c r="W106" s="471" t="n"/>
      <c r="X106" s="59" t="n"/>
      <c r="Y106" s="1070" t="n"/>
      <c r="Z106" s="1282" t="n">
        <v>1</v>
      </c>
      <c r="AA106" s="57" t="n"/>
      <c r="AB106" s="57" t="n"/>
      <c r="AC106" s="57" t="n"/>
      <c r="AD106" s="1221" t="n"/>
      <c r="AE106" s="1222" t="n"/>
      <c r="AF106" s="1222" t="n"/>
      <c r="AG106" s="1221" t="n"/>
      <c r="AH106" s="1053" t="n"/>
      <c r="AI106" s="1055" t="n"/>
    </row>
    <row r="107" ht="58" customFormat="1" customHeight="1" s="7">
      <c r="B107" s="124" t="inlineStr">
        <is>
          <t>sq1 (s'active si PFA16&gt;=condition)</t>
        </is>
      </c>
      <c r="D107" s="399" t="n">
        <v>30</v>
      </c>
      <c r="E107" s="145" t="inlineStr">
        <is>
          <t>PFA16b</t>
        </is>
      </c>
      <c r="F107" s="302" t="inlineStr">
        <is>
          <t xml:space="preserve">Évaluez la fréquence de l'énoncé : l’autre parent organise et propose des activités à votre enfant sur votre temps de garde. </t>
        </is>
      </c>
      <c r="G107" s="302" t="inlineStr">
        <is>
          <t xml:space="preserve">Évaluez la fréquence de l'énoncé : l’autre parent organisait et proposait des activités à votre enfant sur votre temps de garde. </t>
        </is>
      </c>
      <c r="H107" s="267" t="n"/>
      <c r="I107" s="1136" t="n"/>
      <c r="J107" s="217" t="inlineStr">
        <is>
          <t>sq1</t>
        </is>
      </c>
      <c r="K107" s="236" t="n">
        <v>4</v>
      </c>
      <c r="L107" s="608" t="n">
        <v>2</v>
      </c>
      <c r="M107" s="608" t="n"/>
      <c r="N107" s="961" t="inlineStr">
        <is>
          <t>E1A</t>
        </is>
      </c>
      <c r="O107" s="2059" t="inlineStr">
        <is>
          <t xml:space="preserve">Jamais / Rarement / Occasionnellement / Régulièrement / Souvent / Toujours / S.O. </t>
        </is>
      </c>
      <c r="P107" s="347">
        <f>Test_Bible!P191</f>
        <v/>
      </c>
      <c r="Q107" s="347">
        <f>Test_Bible!Q191</f>
        <v/>
      </c>
      <c r="R107" s="386" t="n">
        <v>1</v>
      </c>
      <c r="S107" s="387" t="n">
        <v>0</v>
      </c>
      <c r="T107" s="388" t="n">
        <v>0</v>
      </c>
      <c r="U107" s="790" t="inlineStr">
        <is>
          <t>E: Interférence temps et/ou communication</t>
        </is>
      </c>
      <c r="V107" s="2002" t="n"/>
      <c r="W107" s="471" t="n"/>
      <c r="X107" s="59" t="n"/>
      <c r="Y107" s="1070" t="n"/>
      <c r="Z107" s="1282" t="n">
        <v>1</v>
      </c>
      <c r="AA107" s="57" t="n"/>
      <c r="AB107" s="57" t="n"/>
      <c r="AC107" s="57" t="n"/>
      <c r="AD107" s="1221" t="n"/>
      <c r="AE107" s="1222" t="n"/>
      <c r="AF107" s="1222" t="n"/>
      <c r="AG107" s="1221" t="n"/>
      <c r="AH107" s="1053" t="n"/>
      <c r="AI107" s="1055" t="n"/>
    </row>
    <row r="108" ht="60" customFormat="1" customHeight="1" s="7">
      <c r="B108" s="124" t="inlineStr">
        <is>
          <t>sq2 (s'active si PFA07b&gt;=condition)</t>
        </is>
      </c>
      <c r="D108" s="399" t="n">
        <v>31</v>
      </c>
      <c r="E108" s="145" t="inlineStr">
        <is>
          <t>PFA16b1</t>
        </is>
      </c>
      <c r="F108" s="302" t="inlineStr">
        <is>
          <t xml:space="preserve">Arrive-t-il que l’autre parent organise des activités amusantes, voire irrésistibles à votre enfant alors que c’est votre week-end ou votre semaine avec votre enfant? </t>
        </is>
      </c>
      <c r="G108" s="302" t="inlineStr">
        <is>
          <t xml:space="preserve">Arrivait-il que l’autre parent organise des activités amusantes, voire irrésistibles à votre enfant alors que c’était votre week-end ou votre semaine avec votre enfant? </t>
        </is>
      </c>
      <c r="H108" s="266" t="n"/>
      <c r="I108" s="1135" t="n"/>
      <c r="J108" s="217" t="inlineStr">
        <is>
          <t>sq2</t>
        </is>
      </c>
      <c r="K108" s="236" t="n"/>
      <c r="L108" s="607" t="n">
        <v>3</v>
      </c>
      <c r="M108" s="607" t="n"/>
      <c r="N108" s="961" t="inlineStr">
        <is>
          <t>E1A</t>
        </is>
      </c>
      <c r="O108" s="2059" t="inlineStr">
        <is>
          <t xml:space="preserve">Jamais / Rarement / Occasionnellement / Régulièrement / Souvent / Toujours / S.O. </t>
        </is>
      </c>
      <c r="P108" s="347">
        <f>Test_Bible!P192</f>
        <v/>
      </c>
      <c r="Q108" s="347">
        <f>Test_Bible!Q192</f>
        <v/>
      </c>
      <c r="R108" s="386" t="n">
        <v>1</v>
      </c>
      <c r="S108" s="387" t="n">
        <v>0</v>
      </c>
      <c r="T108" s="388" t="n">
        <v>0</v>
      </c>
      <c r="U108" s="790" t="inlineStr">
        <is>
          <t>E: Interférence temps et/ou communication</t>
        </is>
      </c>
      <c r="V108" s="2002" t="n"/>
      <c r="W108" s="471" t="n"/>
      <c r="X108" s="59" t="n"/>
      <c r="Y108" s="1070" t="n"/>
      <c r="Z108" s="1282" t="n">
        <v>1</v>
      </c>
      <c r="AA108" s="57" t="n"/>
      <c r="AB108" s="57" t="n"/>
      <c r="AC108" s="57" t="n"/>
      <c r="AD108" s="1221" t="n"/>
      <c r="AE108" s="1222" t="n"/>
      <c r="AF108" s="1222" t="n"/>
      <c r="AG108" s="1221" t="n"/>
      <c r="AH108" s="1053" t="n"/>
      <c r="AI108" s="1055" t="n"/>
    </row>
    <row r="109" ht="57" customFormat="1" customHeight="1" s="7">
      <c r="D109" s="399" t="n">
        <v>32</v>
      </c>
      <c r="E109" s="209" t="inlineStr">
        <is>
          <t>PFA17</t>
        </is>
      </c>
      <c r="F109" s="587" t="inlineStr">
        <is>
          <t xml:space="preserve">Évaluez la fréquence de l'énoncé : l’autre parent se présente à la sortie des classes, au service de garde ou à la garderie sur votre temps de garde. </t>
        </is>
      </c>
      <c r="G109" s="587" t="inlineStr">
        <is>
          <t xml:space="preserve">Évaluez la fréquence de l'énoncé : l’autre parent se présentait à la sortie des classes, au service de garde ou à la garderie sur votre temps de garde. </t>
        </is>
      </c>
      <c r="H109" s="262" t="n"/>
      <c r="I109" s="1130" t="n"/>
      <c r="J109" s="218" t="n"/>
      <c r="K109" s="237" t="n"/>
      <c r="L109" s="593" t="n">
        <v>1</v>
      </c>
      <c r="M109" s="593" t="n"/>
      <c r="N109" s="961" t="inlineStr">
        <is>
          <t>E1A</t>
        </is>
      </c>
      <c r="O109" s="2059" t="inlineStr">
        <is>
          <t xml:space="preserve">Jamais / Rarement / Occasionnellement / Régulièrement / Souvent / Toujours / S.O. </t>
        </is>
      </c>
      <c r="P109" s="347">
        <f>Test_Bible!P193</f>
        <v/>
      </c>
      <c r="Q109" s="347">
        <f>Test_Bible!Q193</f>
        <v/>
      </c>
      <c r="R109" s="386" t="n">
        <v>1</v>
      </c>
      <c r="S109" s="387" t="n">
        <v>0</v>
      </c>
      <c r="T109" s="388" t="n">
        <v>0</v>
      </c>
      <c r="U109" s="790" t="inlineStr">
        <is>
          <t>E: Interférence temps et/ou communication</t>
        </is>
      </c>
      <c r="V109" s="2002" t="n"/>
      <c r="W109" s="471" t="n"/>
      <c r="X109" s="59" t="n"/>
      <c r="Y109" s="1070" t="n"/>
      <c r="Z109" s="1282" t="n">
        <v>1</v>
      </c>
      <c r="AA109" s="57" t="n"/>
      <c r="AB109" s="57" t="n"/>
      <c r="AC109" s="57" t="n"/>
      <c r="AD109" s="552" t="inlineStr">
        <is>
          <t>🔶</t>
        </is>
      </c>
      <c r="AE109" s="1217" t="n"/>
      <c r="AF109" s="1217" t="n"/>
      <c r="AG109" s="1221" t="n"/>
      <c r="AH109" s="1053" t="n"/>
      <c r="AI109" s="1055" t="n"/>
    </row>
    <row r="110" ht="78" customFormat="1" customHeight="1" s="7">
      <c r="C110" s="939" t="inlineStr">
        <is>
          <t>Intensité 3 si fréquence &gt;= 2 ET si (Temps de séparation (B04) &gt; 2 ans OU âge (B06) &gt;=8 ans), sinon Intensité 1</t>
        </is>
      </c>
      <c r="D110" s="399" t="n">
        <v>33</v>
      </c>
      <c r="E110" s="209" t="inlineStr">
        <is>
          <t>PFA18</t>
        </is>
      </c>
      <c r="F110" s="1687" t="inlineStr">
        <is>
          <t xml:space="preserve">Évaluez la fréquence et l'intensité de l'énoncé : l’autre parent impose sa présence en appelant (ou en textant) votre enfant durant votre temps de garde. </t>
        </is>
      </c>
      <c r="G110" s="587" t="inlineStr">
        <is>
          <t xml:space="preserve">Évaluez la fréquence et l'intensité de l'énoncé : l’autre parent imposait sa présence en appelant (ou en textant) régulièrement votre enfant durant votre temps de garde. </t>
        </is>
      </c>
      <c r="H110" s="262" t="n"/>
      <c r="I110" s="1130" t="n"/>
      <c r="J110" s="218" t="n"/>
      <c r="K110" s="237" t="n">
        <v>2</v>
      </c>
      <c r="L110" s="593" t="n">
        <v>1</v>
      </c>
      <c r="M110" s="1074" t="n">
        <v>3</v>
      </c>
      <c r="N110" s="961" t="inlineStr">
        <is>
          <t>E5A</t>
        </is>
      </c>
      <c r="O110" s="597" t="inlineStr">
        <is>
          <t>Au besoin / 1 x semaine / 3 x semaine / + de 5 x semaine / tous les jours / +sieurs x par jour / S.O.</t>
        </is>
      </c>
      <c r="P110" s="347">
        <f>Test_Bible!P194</f>
        <v/>
      </c>
      <c r="Q110" s="347">
        <f>Test_Bible!Q194</f>
        <v/>
      </c>
      <c r="R110" s="386" t="n">
        <v>1</v>
      </c>
      <c r="S110" s="387" t="n">
        <v>0</v>
      </c>
      <c r="T110" s="388" t="n">
        <v>0</v>
      </c>
      <c r="U110" s="790" t="inlineStr">
        <is>
          <t>E: Interférence temps et/ou communication</t>
        </is>
      </c>
      <c r="V110" s="2002" t="n"/>
      <c r="W110" s="471" t="n"/>
      <c r="X110" s="59" t="n"/>
      <c r="Y110" s="1070" t="n"/>
      <c r="Z110" s="1282" t="n">
        <v>1</v>
      </c>
      <c r="AA110" s="57" t="n"/>
      <c r="AB110" s="57" t="n"/>
      <c r="AC110" s="57" t="n"/>
      <c r="AD110" s="1221" t="n"/>
      <c r="AE110" s="1222" t="n"/>
      <c r="AF110" s="1222" t="n"/>
      <c r="AG110" s="1221" t="n"/>
      <c r="AH110" s="1053" t="n"/>
      <c r="AI110" s="1055" t="n"/>
    </row>
    <row r="111" ht="57" customFormat="1" customHeight="1" s="7">
      <c r="C111" s="991" t="inlineStr">
        <is>
          <t>échelle à modifier</t>
        </is>
      </c>
      <c r="D111" s="399" t="n">
        <v>34</v>
      </c>
      <c r="E111" s="209" t="inlineStr">
        <is>
          <t>PFA19</t>
        </is>
      </c>
      <c r="F111" s="587" t="inlineStr">
        <is>
          <t xml:space="preserve">Dans quelle mesure l'autre parent vous communique les informations médicales, scolaires ou liées aux activités sociales ou sportives de votre enfant? </t>
        </is>
      </c>
      <c r="G111" s="814" t="inlineStr">
        <is>
          <t xml:space="preserve">Dans quelle mesure l'autre parent vous communiquait les informations médicales, scolaires ou liées aux activités sociales ou sportives de votre enfant? </t>
        </is>
      </c>
      <c r="H111" s="262" t="n"/>
      <c r="I111" s="1130" t="n"/>
      <c r="J111" s="218" t="n"/>
      <c r="K111" s="237" t="n">
        <v>4</v>
      </c>
      <c r="L111" s="608" t="n">
        <v>2</v>
      </c>
      <c r="M111" s="608" t="n"/>
      <c r="N111" s="961" t="inlineStr">
        <is>
          <t>E1B</t>
        </is>
      </c>
      <c r="O111" s="2059" t="inlineStr">
        <is>
          <t>Toujours / Souvent / Régulièrement / Occasionnellement / Rarement / Jamais / S.O.</t>
        </is>
      </c>
      <c r="P111" s="347">
        <f>Test_Bible!P195</f>
        <v/>
      </c>
      <c r="Q111" s="347">
        <f>Test_Bible!Q195</f>
        <v/>
      </c>
      <c r="R111" s="386" t="n">
        <v>1</v>
      </c>
      <c r="S111" s="387" t="n">
        <v>0</v>
      </c>
      <c r="T111" s="388" t="n">
        <v>0</v>
      </c>
      <c r="U111" s="790" t="inlineStr">
        <is>
          <t>E: Interférence temps et/ou communication</t>
        </is>
      </c>
      <c r="V111" s="2002" t="n"/>
      <c r="W111" s="471" t="n"/>
      <c r="X111" s="59" t="n"/>
      <c r="Y111" s="1070" t="n"/>
      <c r="Z111" s="1282" t="n">
        <v>1</v>
      </c>
      <c r="AA111" s="57" t="n"/>
      <c r="AB111" s="57" t="n"/>
      <c r="AC111" s="57" t="n"/>
      <c r="AD111" s="1221" t="n"/>
      <c r="AE111" s="1222" t="n"/>
      <c r="AF111" s="1222" t="n"/>
      <c r="AG111" s="1221" t="n"/>
      <c r="AH111" s="1053" t="n"/>
      <c r="AI111" s="1055" t="n"/>
    </row>
    <row r="112" ht="80" customFormat="1" customHeight="1" s="7">
      <c r="B112" s="124" t="inlineStr">
        <is>
          <t>sq1 (s'active si PFA19&gt;=condition)</t>
        </is>
      </c>
      <c r="D112" s="399" t="n">
        <v>35</v>
      </c>
      <c r="E112" s="145" t="inlineStr">
        <is>
          <t>PFA19a</t>
        </is>
      </c>
      <c r="F112" s="1687" t="inlineStr">
        <is>
          <t>Dans quelle mesure diriez-vous que l'autre parent incite (directement ou indirectement) les personnes gravitant autour de votre enfant (prof., éducateur, médecin, entraîneur, etc.) de vous cacher de l'information?</t>
        </is>
      </c>
      <c r="G112" s="799" t="inlineStr">
        <is>
          <t>Dans quelle mesure diriez-vous que l'autre parent interdisait aux personnes gravitant autour de votre enfant (professeurs, éducateurs, medecins, entraîneurs, etc.) de vous communiquer de l'information à son sujet?</t>
        </is>
      </c>
      <c r="H112" s="266" t="n"/>
      <c r="I112" s="1135" t="n"/>
      <c r="J112" s="217" t="inlineStr">
        <is>
          <t>sq1</t>
        </is>
      </c>
      <c r="K112" s="236" t="n"/>
      <c r="L112" s="607" t="n">
        <v>3</v>
      </c>
      <c r="M112" s="607" t="n"/>
      <c r="N112" s="961" t="inlineStr">
        <is>
          <t>E1A</t>
        </is>
      </c>
      <c r="O112" s="2059" t="inlineStr">
        <is>
          <t xml:space="preserve">Jamais / Rarement / Occasionnellement / Régulièrement / Souvent / Toujours / S.O. </t>
        </is>
      </c>
      <c r="P112" s="347">
        <f>Test_Bible!P196</f>
        <v/>
      </c>
      <c r="Q112" s="347">
        <f>Test_Bible!Q196</f>
        <v/>
      </c>
      <c r="R112" s="386" t="n">
        <v>1</v>
      </c>
      <c r="S112" s="387" t="n">
        <v>0</v>
      </c>
      <c r="T112" s="388" t="n">
        <v>0</v>
      </c>
      <c r="U112" s="790" t="inlineStr">
        <is>
          <t>E: Interférence temps et/ou communication</t>
        </is>
      </c>
      <c r="V112" s="2002" t="n"/>
      <c r="W112" s="471" t="n"/>
      <c r="X112" s="59" t="n"/>
      <c r="Y112" s="1070" t="n"/>
      <c r="Z112" s="1282" t="n">
        <v>1</v>
      </c>
      <c r="AA112" s="57" t="n"/>
      <c r="AB112" s="57" t="n"/>
      <c r="AC112" s="57" t="n"/>
      <c r="AD112" s="1221" t="n"/>
      <c r="AE112" s="1222" t="n"/>
      <c r="AF112" s="1222" t="n"/>
      <c r="AG112" s="1221" t="n"/>
      <c r="AH112" s="1053" t="n"/>
      <c r="AI112" s="1055" t="n"/>
    </row>
    <row r="113" ht="78" customFormat="1" customHeight="1" s="7">
      <c r="D113" s="399" t="n">
        <v>36</v>
      </c>
      <c r="E113" s="209" t="inlineStr">
        <is>
          <t>PFA20</t>
        </is>
      </c>
      <c r="F113" s="587" t="inlineStr">
        <is>
          <t>Dans quelle mesure cet énoncé s'applique-t-il selon vous? Il est facile de communiquer avec votre enfant lorsqu’il est chez l’autre parent?</t>
        </is>
      </c>
      <c r="G113" s="814" t="inlineStr">
        <is>
          <t>Dans quelle mesure était-il facile de communiquer avec votre enfant lorsqu’il était chez l’autre parent?</t>
        </is>
      </c>
      <c r="H113" s="262" t="n"/>
      <c r="I113" s="1130" t="n"/>
      <c r="J113" s="218" t="inlineStr">
        <is>
          <t>&gt;=3</t>
        </is>
      </c>
      <c r="K113" s="237" t="n">
        <v>4</v>
      </c>
      <c r="L113" s="593" t="n">
        <v>1</v>
      </c>
      <c r="M113" s="593" t="n"/>
      <c r="N113" s="961" t="inlineStr">
        <is>
          <t>E3B</t>
        </is>
      </c>
      <c r="O113" s="597" t="inlineStr">
        <is>
          <t>Tout à fait d’accord / D'accord / Partiellement d'accord / Ni d'accord, ni pas d'accord / Pas d'accord / Pas du tout d'accord / S.O.</t>
        </is>
      </c>
      <c r="P113" s="347">
        <f>Test_Bible!P197</f>
        <v/>
      </c>
      <c r="Q113" s="347">
        <f>Test_Bible!Q197</f>
        <v/>
      </c>
      <c r="R113" s="386" t="n">
        <v>1</v>
      </c>
      <c r="S113" s="387" t="n">
        <v>0</v>
      </c>
      <c r="T113" s="388" t="n">
        <v>0</v>
      </c>
      <c r="U113" s="790" t="inlineStr">
        <is>
          <t>E: Interférence temps et/ou communication</t>
        </is>
      </c>
      <c r="V113" s="2002" t="n"/>
      <c r="W113" s="471" t="n"/>
      <c r="X113" s="59" t="n"/>
      <c r="Y113" s="1070" t="n"/>
      <c r="Z113" s="1282" t="n">
        <v>1</v>
      </c>
      <c r="AA113" s="57" t="n"/>
      <c r="AB113" s="57" t="n"/>
      <c r="AC113" s="57" t="n"/>
      <c r="AD113" s="552" t="inlineStr">
        <is>
          <t>🔶</t>
        </is>
      </c>
      <c r="AE113" s="1224" t="inlineStr">
        <is>
          <t>"Apprendre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c r="AF113" s="1222" t="n"/>
      <c r="AG113" s="552" t="inlineStr">
        <is>
          <t>🔴</t>
        </is>
      </c>
      <c r="AH113" s="1053" t="n"/>
      <c r="AI113" s="1224" t="inlineStr">
        <is>
          <t>"Apprendre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row>
    <row r="114" ht="63" customFormat="1" customHeight="1" s="7">
      <c r="B114" s="124" t="inlineStr">
        <is>
          <t>sq1 (s'active si PFA20&gt;=condition)</t>
        </is>
      </c>
      <c r="D114" s="399" t="n">
        <v>37</v>
      </c>
      <c r="E114" s="145" t="inlineStr">
        <is>
          <t>PFA20a</t>
        </is>
      </c>
      <c r="F114" s="302" t="inlineStr">
        <is>
          <t>Dans quelle mesure diriez-vous que l'autre parent contrôle, écoute ou écourte vos conversations téléphoniques avec votre enfant (lorsque chez l’autre parent)?</t>
        </is>
      </c>
      <c r="G114" s="799" t="inlineStr">
        <is>
          <t>Dans quelle mesure diriez-vous que l'autre parent contrôlait, écoutait ou écourtait vos conversations téléphoniques avec votre enfant (lorsque chez l’autre parent)?</t>
        </is>
      </c>
      <c r="H114" s="266" t="n"/>
      <c r="I114" s="1135" t="n"/>
      <c r="J114" s="217" t="inlineStr">
        <is>
          <t>sq1</t>
        </is>
      </c>
      <c r="K114" s="236" t="n">
        <v>4</v>
      </c>
      <c r="L114" s="608" t="n">
        <v>2</v>
      </c>
      <c r="M114" s="608" t="n"/>
      <c r="N114" s="961" t="inlineStr">
        <is>
          <t>E1A</t>
        </is>
      </c>
      <c r="O114" s="2059" t="inlineStr">
        <is>
          <t xml:space="preserve">Jamais / Rarement / Occasionnellement / Régulièrement / Souvent / Toujours / S.O. </t>
        </is>
      </c>
      <c r="P114" s="347">
        <f>Test_Bible!P198</f>
        <v/>
      </c>
      <c r="Q114" s="347">
        <f>Test_Bible!Q198</f>
        <v/>
      </c>
      <c r="R114" s="386" t="n">
        <v>1</v>
      </c>
      <c r="S114" s="387" t="n">
        <v>0</v>
      </c>
      <c r="T114" s="388" t="n">
        <v>0</v>
      </c>
      <c r="U114" s="790" t="inlineStr">
        <is>
          <t>E: Interférence temps et/ou communication</t>
        </is>
      </c>
      <c r="V114" s="2002" t="n"/>
      <c r="W114" s="471" t="n"/>
      <c r="X114" s="459" t="n"/>
      <c r="Y114" s="1070" t="n"/>
      <c r="Z114" s="1282" t="n">
        <v>1</v>
      </c>
      <c r="AA114" s="57" t="n"/>
      <c r="AB114" s="57" t="n"/>
      <c r="AC114" s="57" t="n"/>
      <c r="AD114" s="1221" t="n"/>
      <c r="AE114" s="1222" t="n"/>
      <c r="AF114" s="1222" t="n"/>
      <c r="AG114" s="1221" t="n"/>
      <c r="AH114" s="1053" t="n"/>
      <c r="AI114" s="1055" t="n"/>
    </row>
    <row r="115" ht="63" customFormat="1" customHeight="1" s="7">
      <c r="B115" s="124" t="inlineStr">
        <is>
          <t>sq1 (s'active si PFA20&gt;=condition)</t>
        </is>
      </c>
      <c r="C115" s="2066" t="n"/>
      <c r="D115" s="399" t="n">
        <v>39</v>
      </c>
      <c r="E115" s="145" t="inlineStr">
        <is>
          <t>PFA20a1</t>
        </is>
      </c>
      <c r="F115" s="586" t="inlineStr">
        <is>
          <t>Arrive-t-il que l'autre parent vous accable de questions ou de reproches (harcèle) par téléphone ou par courriel?</t>
        </is>
      </c>
      <c r="G115" s="1073" t="inlineStr">
        <is>
          <t>Arrivait-il que l'autre parent vous accable de questions ou de reproches (harcèle) par téléphone ou par courriel?</t>
        </is>
      </c>
      <c r="H115" s="263" t="n"/>
      <c r="I115" s="1132" t="n"/>
      <c r="J115" s="124" t="n"/>
      <c r="K115" s="236" t="n">
        <v>4</v>
      </c>
      <c r="L115" s="607" t="n">
        <v>3</v>
      </c>
      <c r="M115" s="607" t="n"/>
      <c r="N115" s="961" t="inlineStr">
        <is>
          <t>E1A</t>
        </is>
      </c>
      <c r="O115" s="2059" t="inlineStr">
        <is>
          <t xml:space="preserve">Jamais / Rarement / Occasionnellement / Régulièrement / Souvent / Toujours / S.O. </t>
        </is>
      </c>
      <c r="P115" s="347">
        <f>Test_Bible!P199</f>
        <v/>
      </c>
      <c r="Q115" s="347">
        <f>Test_Bible!Q199</f>
        <v/>
      </c>
      <c r="R115" s="386" t="n">
        <v>0.5</v>
      </c>
      <c r="S115" s="387" t="n">
        <v>0</v>
      </c>
      <c r="T115" s="386" t="n">
        <v>0.5</v>
      </c>
      <c r="U115" s="788" t="inlineStr">
        <is>
          <t>D: Dénigrement</t>
        </is>
      </c>
      <c r="V115" s="2002" t="n"/>
      <c r="W115" s="471" t="n"/>
      <c r="X115" s="459" t="n"/>
      <c r="Y115" s="1070" t="n">
        <v>1</v>
      </c>
      <c r="Z115" s="57" t="n"/>
      <c r="AA115" s="57" t="n"/>
      <c r="AB115" s="57" t="n"/>
      <c r="AC115" s="57" t="n"/>
      <c r="AD115" s="1221" t="n"/>
      <c r="AE115" s="1222" t="n"/>
      <c r="AF115" s="1222" t="n"/>
      <c r="AG115" s="552" t="n"/>
      <c r="AH115" s="295" t="n"/>
      <c r="AI115" s="1055" t="n"/>
    </row>
    <row r="116" ht="63" customFormat="1" customHeight="1" s="7">
      <c r="B116" s="124" t="inlineStr">
        <is>
          <t>sq1 (s'active si PFA20&gt;=condition)</t>
        </is>
      </c>
      <c r="D116" s="399" t="n">
        <v>38</v>
      </c>
      <c r="E116" s="145" t="inlineStr">
        <is>
          <t>PFA20a1a</t>
        </is>
      </c>
      <c r="F116" s="586" t="inlineStr">
        <is>
          <t>Arrive-t-il que l'autre parent se présente à votre domicile sans s'annoncer ou sans invitation?</t>
        </is>
      </c>
      <c r="G116" s="1073" t="inlineStr">
        <is>
          <t>Arrivait-il que l'autre parent se présente à votre domicile sans s'annoncer ou sans invitation?</t>
        </is>
      </c>
      <c r="H116" s="263" t="n"/>
      <c r="I116" s="1132" t="n"/>
      <c r="J116" s="124" t="inlineStr">
        <is>
          <t>sq1</t>
        </is>
      </c>
      <c r="K116" s="236" t="n"/>
      <c r="L116" s="607" t="n">
        <v>3</v>
      </c>
      <c r="M116" s="607" t="n"/>
      <c r="N116" s="961" t="inlineStr">
        <is>
          <t>E1A</t>
        </is>
      </c>
      <c r="O116" s="2059" t="inlineStr">
        <is>
          <t xml:space="preserve">Jamais / Rarement / Occasionnellement / Régulièrement / Souvent / Toujours / S.O. </t>
        </is>
      </c>
      <c r="P116" s="347">
        <f>Test_Bible!P200</f>
        <v/>
      </c>
      <c r="Q116" s="347">
        <f>Test_Bible!Q200</f>
        <v/>
      </c>
      <c r="R116" s="386" t="n">
        <v>1</v>
      </c>
      <c r="S116" s="387" t="n">
        <v>0</v>
      </c>
      <c r="T116" s="388" t="n">
        <v>0</v>
      </c>
      <c r="U116" s="788" t="inlineStr">
        <is>
          <t>E: Interférence temps et/ou communication</t>
        </is>
      </c>
      <c r="V116" s="2002" t="n"/>
      <c r="W116" s="471" t="n"/>
      <c r="X116" s="459" t="n"/>
      <c r="Y116" s="1070" t="n"/>
      <c r="Z116" s="1282" t="n">
        <v>1</v>
      </c>
      <c r="AA116" s="57" t="n"/>
      <c r="AB116" s="57" t="n"/>
      <c r="AC116" s="57" t="n"/>
      <c r="AD116" s="1221" t="n"/>
      <c r="AE116" s="1222" t="n"/>
      <c r="AF116" s="1222" t="n"/>
      <c r="AG116" s="552" t="inlineStr">
        <is>
          <t>🔴</t>
        </is>
      </c>
      <c r="AH116" s="295" t="n"/>
      <c r="AI116" s="1055" t="n"/>
    </row>
    <row r="117" ht="72" customHeight="1">
      <c r="D117" s="399" t="n">
        <v>40</v>
      </c>
      <c r="E117" s="209" t="inlineStr">
        <is>
          <t>PFA21</t>
        </is>
      </c>
      <c r="F117" s="587" t="inlineStr">
        <is>
          <t xml:space="preserve">Dans quelle mesure diriez-vous que l'autre parent vous considère comme étant son égal·e sur le plan parental? </t>
        </is>
      </c>
      <c r="G117" s="814" t="inlineStr">
        <is>
          <t xml:space="preserve">Dans quelle mesure diriez-vous que l'autre parent vous considérait comme étant son égal·e sur le plan parental? </t>
        </is>
      </c>
      <c r="H117" s="262" t="n"/>
      <c r="I117" s="262" t="n"/>
      <c r="J117" s="262" t="n"/>
      <c r="K117" s="237" t="n"/>
      <c r="L117" s="593" t="n">
        <v>1</v>
      </c>
      <c r="M117" s="593" t="n"/>
      <c r="N117" s="961" t="inlineStr">
        <is>
          <t>E3B</t>
        </is>
      </c>
      <c r="O117" s="597" t="inlineStr">
        <is>
          <t>Tout à fait d’accord / D'accord / Partiellement d'accord / Ni d'accord, ni pas d'accord / Pas d'accord / Pas du tout d'accord / S.O.</t>
        </is>
      </c>
      <c r="P117" s="345">
        <f>Test_Bible!P201</f>
        <v/>
      </c>
      <c r="Q117" s="345">
        <f>Test_Bible!Q201</f>
        <v/>
      </c>
      <c r="R117" s="386" t="n">
        <v>0.5</v>
      </c>
      <c r="S117" s="387" t="n">
        <v>0.5</v>
      </c>
      <c r="T117" s="388" t="n">
        <v>0</v>
      </c>
      <c r="U117" s="791" t="inlineStr">
        <is>
          <t>F: Interférence lien affectif ou symbolique</t>
        </is>
      </c>
      <c r="V117" s="2002" t="n"/>
      <c r="W117" s="471" t="n"/>
      <c r="Y117" s="1082" t="n"/>
      <c r="AA117" s="1279" t="n">
        <v>1</v>
      </c>
      <c r="AD117" s="552" t="inlineStr">
        <is>
          <t>🔶</t>
        </is>
      </c>
      <c r="AE117" s="1224" t="inlineStr">
        <is>
          <t xml:space="preserve">Exemple cas Jean-Philippe, AP annoncée
dénigrement manifeste de son apport parental + dénigrement de la nouvelle conjointe aussi (jalousie)   </t>
        </is>
      </c>
      <c r="AF117" s="1224" t="n"/>
      <c r="AG117" s="552" t="inlineStr">
        <is>
          <t>🔴</t>
        </is>
      </c>
      <c r="AH117" s="291" t="n"/>
      <c r="AI117" s="291" t="inlineStr">
        <is>
          <t>Si le parent rejeté a une valeur parentale faible, cela est-il la source de l'exclusion. Qu'est-ce qui le pousse à faire cela? Laisse peu de place au PCR dans la vie de l'enfant. Comprendre ce qui se cache derrière?</t>
        </is>
      </c>
    </row>
    <row r="118" ht="72" customHeight="1">
      <c r="B118" s="1807" t="inlineStr">
        <is>
          <t>SQ devient Q. Identifiant modifié. Condition retirée</t>
        </is>
      </c>
      <c r="D118" s="399" t="n">
        <v>41</v>
      </c>
      <c r="E118" s="209" t="inlineStr">
        <is>
          <t>PFA40</t>
        </is>
      </c>
      <c r="F118" s="587" t="inlineStr">
        <is>
          <t>Dans quelle mesure cet énoncé s'applique-t-il selon vous? L'autre parent sent qu’il est en compétition avec vous pour l’amour de votre enfant?</t>
        </is>
      </c>
      <c r="G118" s="814" t="inlineStr">
        <is>
          <t>Dans quelle mesure cet énoncé s'applique-t-il selon vous? L'autre parent sentait qu’il était en compétition avec vous pour l’amour de votre enfant?</t>
        </is>
      </c>
      <c r="H118" s="262" t="n"/>
      <c r="I118" s="262" t="n"/>
      <c r="J118" s="262" t="inlineStr">
        <is>
          <t>sq1</t>
        </is>
      </c>
      <c r="K118" s="237" t="n"/>
      <c r="L118" s="608" t="n">
        <v>2</v>
      </c>
      <c r="M118" s="608" t="n"/>
      <c r="N118" s="961" t="inlineStr">
        <is>
          <t>E3A</t>
        </is>
      </c>
      <c r="O118" s="1854" t="inlineStr">
        <is>
          <t>Pas du tout d’accord / Pas d’accord / Ni d’accord, ni pas d’accord / Partiellement d’accord / D’accord / Tout à fait d’accord / S.O.</t>
        </is>
      </c>
      <c r="P118" s="345">
        <f>Test_Bible!P202</f>
        <v/>
      </c>
      <c r="Q118" s="345">
        <f>Test_Bible!Q202</f>
        <v/>
      </c>
      <c r="R118" s="386" t="n">
        <v>0</v>
      </c>
      <c r="S118" s="387" t="n">
        <v>1</v>
      </c>
      <c r="T118" s="388" t="n">
        <v>0</v>
      </c>
      <c r="U118" s="791" t="inlineStr">
        <is>
          <t>F: Interférence lien affectif ou symbolique</t>
        </is>
      </c>
      <c r="V118" s="2002" t="n"/>
      <c r="W118" s="471" t="n"/>
      <c r="Y118" s="1082" t="n"/>
      <c r="AA118" s="1279" t="n">
        <v>1</v>
      </c>
      <c r="AD118" s="552" t="inlineStr">
        <is>
          <t>🔶</t>
        </is>
      </c>
      <c r="AE118" s="1224" t="inlineStr">
        <is>
          <t xml:space="preserve">relation fusionnelle NON intentionnelle ?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t>
        </is>
      </c>
      <c r="AG118" s="552" t="inlineStr">
        <is>
          <t>🔴</t>
        </is>
      </c>
      <c r="AH118" s="1053" t="n"/>
      <c r="AI118" s="1055" t="n"/>
    </row>
    <row r="119" ht="73" customHeight="1">
      <c r="D119" s="399" t="n">
        <v>42</v>
      </c>
      <c r="E119" s="209" t="inlineStr">
        <is>
          <t>PFA22</t>
        </is>
      </c>
      <c r="F119" s="1687" t="inlineStr">
        <is>
          <t>Quelle est la probabilité de l'énoncé suivant? L'autre parent estime que les exigences de la coparentalité (logistique horaire, transport, compromis vacances, etc.) nuit à sa qualité de vie.</t>
        </is>
      </c>
      <c r="G119" s="814" t="inlineStr">
        <is>
          <t>Dans quelle mesure cet énoncé s'applique-t-il selon vous? L'autre parent estimait que les exigences de la coparentalité (logistique horaire, transport, compromis vacances, etc.) nuisait à sa qualité de vie.</t>
        </is>
      </c>
      <c r="H119" s="262" t="n"/>
      <c r="I119" s="1130" t="n"/>
      <c r="J119" s="179" t="n"/>
      <c r="K119" s="239" t="n"/>
      <c r="L119" s="593" t="n">
        <v>1</v>
      </c>
      <c r="M119" s="593" t="n"/>
      <c r="N119" s="961" t="inlineStr">
        <is>
          <t>E3A</t>
        </is>
      </c>
      <c r="O119" s="2059" t="inlineStr">
        <is>
          <t>Nulle / Très faible / Faible / Moyenne / Élevé / Très élevé / S.O.</t>
        </is>
      </c>
      <c r="P119" s="345">
        <f>Test_Bible!P203</f>
        <v/>
      </c>
      <c r="Q119" s="345">
        <f>Test_Bible!Q203</f>
        <v/>
      </c>
      <c r="R119" s="386" t="n">
        <v>0.5</v>
      </c>
      <c r="S119" s="387" t="n">
        <v>0.5</v>
      </c>
      <c r="T119" s="388" t="n">
        <v>0</v>
      </c>
      <c r="U119" s="791" t="inlineStr">
        <is>
          <t>F: Interférence lien affectif ou symbolique</t>
        </is>
      </c>
      <c r="V119" s="2002" t="n"/>
      <c r="W119" s="471" t="n"/>
      <c r="Y119" s="1082" t="n"/>
      <c r="AA119" s="1279" t="n">
        <v>1</v>
      </c>
      <c r="AD119" s="1221" t="n"/>
      <c r="AE119" s="1222" t="n"/>
      <c r="AF119" s="1222" t="n"/>
      <c r="AG119" s="1221" t="n"/>
      <c r="AH119" s="1053" t="n"/>
      <c r="AI119" s="1054" t="inlineStr">
        <is>
          <t>Réf.: La coparentalité avec votre ex toxique : Comment protéger vos enfants</t>
        </is>
      </c>
    </row>
    <row r="120" ht="64" customHeight="1">
      <c r="D120" s="399" t="n">
        <v>43</v>
      </c>
      <c r="E120" s="209" t="inlineStr">
        <is>
          <t>PFA23</t>
        </is>
      </c>
      <c r="F120" s="587" t="inlineStr">
        <is>
          <t>Dans quelle mesure diriez-vous que l'identité et la valeur sociale de l'autre parent passe par sa paternité ou sa maternité?</t>
        </is>
      </c>
      <c r="G120" s="814" t="inlineStr">
        <is>
          <t>Dans quelle mesure diriez-vous que l'identité et la valeur sociale de l'autre parent passait par sa paternité ou sa maternité?</t>
        </is>
      </c>
      <c r="H120" s="262" t="n"/>
      <c r="I120" s="1130" t="n"/>
      <c r="J120" s="179" t="n"/>
      <c r="K120" s="239" t="n"/>
      <c r="L120" s="593" t="n">
        <v>1</v>
      </c>
      <c r="M120" s="593" t="n"/>
      <c r="N120" s="961" t="inlineStr">
        <is>
          <t>E3A</t>
        </is>
      </c>
      <c r="O120" s="597" t="inlineStr">
        <is>
          <t>Pas du tout d’accord / Pas d’accord / Ni d’accord, ni pas d’accord / Partiellement d’accord / D’accord / Tout à fait d’accord / S.O.</t>
        </is>
      </c>
      <c r="P120" s="345">
        <f>Test_Bible!P204</f>
        <v/>
      </c>
      <c r="Q120" s="345">
        <f>Test_Bible!Q204</f>
        <v/>
      </c>
      <c r="R120" s="386" t="n">
        <v>0</v>
      </c>
      <c r="S120" s="387" t="n">
        <v>1</v>
      </c>
      <c r="T120" s="388" t="n">
        <v>0</v>
      </c>
      <c r="U120" s="791" t="inlineStr">
        <is>
          <t>F: Interférence lien affectif ou symbolique</t>
        </is>
      </c>
      <c r="V120" s="2002" t="n"/>
      <c r="W120" s="471" t="n"/>
      <c r="Y120" s="1082" t="n"/>
      <c r="AA120" s="1279" t="n">
        <v>1</v>
      </c>
      <c r="AD120" s="552" t="inlineStr">
        <is>
          <t>🔶</t>
        </is>
      </c>
      <c r="AG120" s="552" t="inlineStr">
        <is>
          <t>🔴</t>
        </is>
      </c>
      <c r="AH120" s="1053" t="n"/>
      <c r="AI120" s="1055" t="n"/>
    </row>
    <row r="121" ht="64" customHeight="1">
      <c r="D121" s="399" t="n">
        <v>44</v>
      </c>
      <c r="E121" s="1850" t="inlineStr">
        <is>
          <t>PFA23a</t>
        </is>
      </c>
      <c r="F121" s="1851" t="inlineStr">
        <is>
          <t xml:space="preserve">Quelle est la probabilité de l'énoncé suivant? L'autre parent </t>
        </is>
      </c>
      <c r="G121" s="799" t="n"/>
      <c r="H121" s="257" t="n"/>
      <c r="I121" s="1131" t="n"/>
      <c r="J121" s="124" t="n"/>
      <c r="K121" s="227" t="n"/>
      <c r="L121" s="608" t="n">
        <v>2</v>
      </c>
      <c r="M121" s="593" t="n"/>
      <c r="N121" s="961" t="n"/>
      <c r="O121" s="597" t="n"/>
      <c r="P121" s="345" t="n"/>
      <c r="Q121" s="345" t="n"/>
      <c r="R121" s="386" t="n"/>
      <c r="S121" s="387" t="n"/>
      <c r="T121" s="388" t="n"/>
      <c r="U121" s="791" t="n"/>
      <c r="V121" s="2002" t="n"/>
      <c r="W121" s="471" t="n"/>
      <c r="Y121" s="1082" t="n"/>
      <c r="AA121" s="1279" t="n"/>
      <c r="AD121" s="552" t="n"/>
      <c r="AG121" s="552" t="n"/>
      <c r="AH121" s="1053" t="n"/>
      <c r="AI121" s="1055" t="n"/>
    </row>
    <row r="122" ht="86" customHeight="1">
      <c r="C122" s="939" t="inlineStr">
        <is>
          <t>Intensité 3 = (si fréquence &gt;= 4 ET si Temps de séparation &gt; 2 ans), sinon Intensité 2</t>
        </is>
      </c>
      <c r="D122" s="399" t="n">
        <v>45</v>
      </c>
      <c r="E122" s="209" t="inlineStr">
        <is>
          <t>PFA24</t>
        </is>
      </c>
      <c r="F122" s="587" t="inlineStr">
        <is>
          <t>Quelle est la probabilité de l'énoncé : depuis la séparation, l’autre parent cherche à vous blesser ou à se venger parce que vous avez brisé ou abandonné la famille ?</t>
        </is>
      </c>
      <c r="G122" s="814" t="inlineStr">
        <is>
          <t>Quelle est la probabilité de l'énoncé : l’autre parent cherchait à vous blesser ou à se venger parce que vous aviez brisé ou abandonné la famille?</t>
        </is>
      </c>
      <c r="H122" s="262" t="n"/>
      <c r="I122" s="1130" t="n"/>
      <c r="J122" s="179" t="n"/>
      <c r="K122" s="239" t="n">
        <v>4</v>
      </c>
      <c r="L122" s="608" t="n">
        <v>2</v>
      </c>
      <c r="M122" s="607" t="n">
        <v>3</v>
      </c>
      <c r="N122" s="961" t="inlineStr">
        <is>
          <t>E4A</t>
        </is>
      </c>
      <c r="O122" s="2059" t="inlineStr">
        <is>
          <t>Nulle / Très faible / Faible / Moyenne / Élevé / Très élevé / S.O.</t>
        </is>
      </c>
      <c r="P122" s="345">
        <f>Test_Bible!P206</f>
        <v/>
      </c>
      <c r="Q122" s="345">
        <f>Test_Bible!Q206</f>
        <v/>
      </c>
      <c r="R122" s="386" t="n">
        <v>1</v>
      </c>
      <c r="S122" s="387" t="n">
        <v>0</v>
      </c>
      <c r="T122" s="388" t="n">
        <v>0</v>
      </c>
      <c r="U122" s="791" t="inlineStr">
        <is>
          <t>F: Interférence lien affectif ou symbolique</t>
        </is>
      </c>
      <c r="V122" s="2002" t="n"/>
      <c r="W122" s="471" t="n"/>
      <c r="Y122" s="1082" t="n"/>
      <c r="AA122" s="1279" t="n">
        <v>1</v>
      </c>
      <c r="AD122" s="552" t="inlineStr">
        <is>
          <t>🔶</t>
        </is>
      </c>
      <c r="AG122" s="552" t="inlineStr">
        <is>
          <t>🔴</t>
        </is>
      </c>
      <c r="AH122" s="1053" t="n"/>
      <c r="AI122" s="1055" t="n"/>
    </row>
    <row r="123" ht="80" customFormat="1" customHeight="1" s="7">
      <c r="C123" s="939" t="inlineStr">
        <is>
          <t>L'intensité augmente si la SQ s'ouvre et est égale à "Nouveau"</t>
        </is>
      </c>
      <c r="D123" s="399" t="n">
        <v>46</v>
      </c>
      <c r="E123" s="209" t="inlineStr">
        <is>
          <t>PFA25</t>
        </is>
      </c>
      <c r="F123" s="587" t="inlineStr">
        <is>
          <t>Dans quelle mesure l'autre parent vous appelle par votre prénom devant votre enfant (plutôt que maman ou papa)?</t>
        </is>
      </c>
      <c r="G123" s="814" t="inlineStr">
        <is>
          <t>Dans quelle mesure l'autre parent vous appelait par votre prénom devant votre enfant (plutôt que maman ou papa)?</t>
        </is>
      </c>
      <c r="H123" s="262" t="n"/>
      <c r="I123" s="1130" t="n"/>
      <c r="J123" s="218" t="inlineStr">
        <is>
          <t>&gt;=3</t>
        </is>
      </c>
      <c r="K123" s="239" t="n">
        <v>2</v>
      </c>
      <c r="L123" s="593" t="n">
        <v>1</v>
      </c>
      <c r="M123" s="608" t="n">
        <v>2</v>
      </c>
      <c r="N123" s="961" t="inlineStr">
        <is>
          <t>E1A</t>
        </is>
      </c>
      <c r="O123" s="2059" t="inlineStr">
        <is>
          <t xml:space="preserve">Jamais / Rarement / Occasionnellement / Régulièrement / Souvent / Toujours / S.O. </t>
        </is>
      </c>
      <c r="P123" s="345">
        <f>Test_Bible!P207</f>
        <v/>
      </c>
      <c r="Q123" s="345">
        <f>Test_Bible!Q207</f>
        <v/>
      </c>
      <c r="R123" s="386" t="n">
        <v>0.5</v>
      </c>
      <c r="S123" s="387" t="n">
        <v>0.5</v>
      </c>
      <c r="T123" s="388" t="n">
        <v>0</v>
      </c>
      <c r="U123" s="791" t="inlineStr">
        <is>
          <t>F: Interférence lien affectif ou symbolique</t>
        </is>
      </c>
      <c r="V123" s="2002" t="n"/>
      <c r="W123" s="471" t="n"/>
      <c r="X123" s="59" t="n"/>
      <c r="Y123" s="1070" t="n"/>
      <c r="Z123" s="57" t="n"/>
      <c r="AA123" s="1279" t="n">
        <v>1</v>
      </c>
      <c r="AB123" s="57" t="n"/>
      <c r="AC123" s="57" t="n"/>
      <c r="AD123" s="1221" t="n"/>
      <c r="AE123" s="1222" t="n"/>
      <c r="AF123" s="1222" t="n"/>
      <c r="AG123" s="1221" t="n"/>
      <c r="AH123" s="1053" t="n"/>
      <c r="AI123" s="1055" t="n"/>
    </row>
    <row r="124" ht="84" customFormat="1" customHeight="1" s="7">
      <c r="B124" s="124" t="inlineStr">
        <is>
          <t>sq1 (s'active si PFA25&gt;=condition)</t>
        </is>
      </c>
      <c r="D124" s="399" t="n">
        <v>47</v>
      </c>
      <c r="E124" s="145" t="inlineStr">
        <is>
          <t>PFA25a</t>
        </is>
      </c>
      <c r="F124" s="302" t="inlineStr">
        <is>
          <t xml:space="preserve">Cette façon de s'adresser à vous devant votre enfant (prénom versus maman ou papa), est-elle habituelle ou est-ce nouveau depuis la séparation? </t>
        </is>
      </c>
      <c r="G124" s="555" t="inlineStr">
        <is>
          <t xml:space="preserve">Cette façon de s'adresser à vous devant votre enfant (prénom versus maman ou papa), était-elle habituelle ou était-ce nouveau depuis la séparation? </t>
        </is>
      </c>
      <c r="H124" s="308" t="inlineStr">
        <is>
          <t>- Normal / usuel
- Nouveau</t>
        </is>
      </c>
      <c r="I124" s="1137" t="n"/>
      <c r="J124" s="217" t="inlineStr">
        <is>
          <t>sq1</t>
        </is>
      </c>
      <c r="K124" s="236" t="n"/>
      <c r="L124" s="236" t="n"/>
      <c r="M124" s="236" t="n"/>
      <c r="N124" s="961" t="inlineStr">
        <is>
          <t>choix de réponses</t>
        </is>
      </c>
      <c r="O124" s="602" t="inlineStr">
        <is>
          <t>Usuel / Normal
Nouveau</t>
        </is>
      </c>
      <c r="P124" s="341" t="n"/>
      <c r="Q124" s="341" t="n"/>
      <c r="R124" s="675" t="inlineStr">
        <is>
          <t>n/a</t>
        </is>
      </c>
      <c r="S124" s="676" t="inlineStr">
        <is>
          <t>n/a</t>
        </is>
      </c>
      <c r="T124" s="1615" t="inlineStr">
        <is>
          <t>n/a</t>
        </is>
      </c>
      <c r="U124" s="791" t="inlineStr">
        <is>
          <t>F: Interférence lien affectif ou symbolique</t>
        </is>
      </c>
      <c r="V124" s="2002" t="n"/>
      <c r="W124" s="471" t="n"/>
      <c r="X124" s="59" t="n"/>
      <c r="Y124" s="1070" t="n"/>
      <c r="Z124" s="57" t="n"/>
      <c r="AA124" s="1279" t="n">
        <v>1</v>
      </c>
      <c r="AB124" s="57" t="n"/>
      <c r="AC124" s="57" t="n"/>
      <c r="AD124" s="1221" t="n"/>
      <c r="AE124" s="1222" t="n"/>
      <c r="AF124" s="1222" t="n"/>
      <c r="AG124" s="552" t="inlineStr">
        <is>
          <t>🔴</t>
        </is>
      </c>
      <c r="AH124" s="1053" t="n"/>
      <c r="AI124" s="1055" t="n"/>
    </row>
    <row r="125" ht="51" customFormat="1" customHeight="1" s="7">
      <c r="A125" s="801" t="inlineStr">
        <is>
          <t>s'active si PFA a NC (B08 n'égale pas "célibataire")</t>
        </is>
      </c>
      <c r="D125" s="399" t="n">
        <v>48</v>
      </c>
      <c r="E125" s="209" t="inlineStr">
        <is>
          <t>PFA26</t>
        </is>
      </c>
      <c r="F125" s="587" t="inlineStr">
        <is>
          <t>Dans quelle mesure cet énoncé s'applique-t-il selon vous? L’autre parent considère que son nouveau ou nouvelle conjoint·e est un meilleur parent que vous.</t>
        </is>
      </c>
      <c r="G125" s="428" t="inlineStr">
        <is>
          <t>Dans quelle mesure cet énoncé s'appliquait-il selon vous? L’autre parent considérait son nouveau ou nouvelle conjoint·e comme étant un meilleur parent que vous.</t>
        </is>
      </c>
      <c r="H125" s="262" t="n"/>
      <c r="I125" s="1130" t="n"/>
      <c r="J125" s="218" t="n"/>
      <c r="K125" s="237" t="n">
        <v>4</v>
      </c>
      <c r="L125" s="608" t="n">
        <v>2</v>
      </c>
      <c r="M125" s="608" t="n"/>
      <c r="N125" s="961" t="inlineStr">
        <is>
          <t>E4A</t>
        </is>
      </c>
      <c r="O125" s="597" t="inlineStr">
        <is>
          <t>Nulle / Très faible / Faible / Moyenne / Élevé / Très élevé / S.O.</t>
        </is>
      </c>
      <c r="P125" s="348">
        <f>Test_Bible!P212</f>
        <v/>
      </c>
      <c r="Q125" s="348">
        <f>Test_Bible!Q212</f>
        <v/>
      </c>
      <c r="R125" s="386" t="n">
        <v>0.5</v>
      </c>
      <c r="S125" s="387" t="n">
        <v>0.5</v>
      </c>
      <c r="T125" s="388" t="n">
        <v>0</v>
      </c>
      <c r="U125" s="791" t="inlineStr">
        <is>
          <t>F: Interférence lien affectif ou symbolique</t>
        </is>
      </c>
      <c r="V125" s="2002" t="n"/>
      <c r="W125" s="471" t="n"/>
      <c r="X125" s="59" t="n"/>
      <c r="Y125" s="1070" t="n"/>
      <c r="Z125" s="57" t="n"/>
      <c r="AA125" s="1279" t="n">
        <v>1</v>
      </c>
      <c r="AB125" s="57" t="n"/>
      <c r="AC125" s="57" t="n"/>
      <c r="AD125" s="1221" t="n"/>
      <c r="AE125" s="1222" t="n"/>
      <c r="AF125" s="1222" t="n"/>
      <c r="AG125" s="552" t="n"/>
      <c r="AH125" s="1053" t="n"/>
      <c r="AI125" s="1055" t="n"/>
    </row>
    <row r="126" ht="63" customFormat="1" customHeight="1" s="7">
      <c r="A126" s="1803" t="inlineStr">
        <is>
          <t>s'active que si B11(entente de garde non-respectée) &gt;=condition de B11</t>
        </is>
      </c>
      <c r="D126" s="399" t="n">
        <v>49</v>
      </c>
      <c r="E126" s="209" t="inlineStr">
        <is>
          <t>PFA27</t>
        </is>
      </c>
      <c r="F126" s="587" t="inlineStr">
        <is>
          <t>Dans quelle mesure diriez-vous que l’autre parent cherche à limiter les contacts entre votre enfant et votre famille élargie (cousin.es, oncles, tantes, grands-parents, etc.)?</t>
        </is>
      </c>
      <c r="G126" s="428" t="inlineStr">
        <is>
          <t>Dans quelle mesure diriez-vous que l’autre parent cherchait à limiter les contacts entre votre enfant et votre famille élargie (cousin.es, oncles, tantes, grands-parents, etc.)?</t>
        </is>
      </c>
      <c r="H126" s="262" t="n"/>
      <c r="I126" s="1130" t="n"/>
      <c r="J126" s="218" t="n"/>
      <c r="K126" s="237" t="n"/>
      <c r="L126" s="608" t="n">
        <v>2</v>
      </c>
      <c r="M126" s="608" t="n"/>
      <c r="N126" s="961" t="inlineStr">
        <is>
          <t>E1A</t>
        </is>
      </c>
      <c r="O126" s="2059" t="inlineStr">
        <is>
          <t xml:space="preserve">Jamais / Rarement / Occasionnellement / Régulièrement / Souvent / Toujours / S.O. </t>
        </is>
      </c>
      <c r="P126" s="348">
        <f>Test_Bible!P213</f>
        <v/>
      </c>
      <c r="Q126" s="348">
        <f>Test_Bible!Q213</f>
        <v/>
      </c>
      <c r="R126" s="386" t="n">
        <v>1</v>
      </c>
      <c r="S126" s="387" t="n">
        <v>0</v>
      </c>
      <c r="T126" s="388" t="n">
        <v>0</v>
      </c>
      <c r="U126" s="791" t="inlineStr">
        <is>
          <t>F: Interférence lien affectif ou symbolique</t>
        </is>
      </c>
      <c r="V126" s="2002" t="n"/>
      <c r="W126" s="471" t="n"/>
      <c r="X126" s="59" t="n"/>
      <c r="Y126" s="1070" t="n"/>
      <c r="Z126" s="57" t="n"/>
      <c r="AA126" s="1279" t="n">
        <v>1</v>
      </c>
      <c r="AB126" s="57" t="n"/>
      <c r="AC126" s="57" t="n"/>
      <c r="AD126" s="1221" t="n"/>
      <c r="AE126" s="1222" t="n"/>
      <c r="AF126" s="1222" t="n"/>
      <c r="AG126" s="1221" t="n"/>
      <c r="AH126" s="1053" t="n"/>
      <c r="AI126" s="1055" t="n"/>
    </row>
    <row r="127" ht="58" customFormat="1" customHeight="1" s="7">
      <c r="D127" s="399" t="n">
        <v>50</v>
      </c>
      <c r="E127" s="209" t="inlineStr">
        <is>
          <t>PFA28</t>
        </is>
      </c>
      <c r="F127" s="1687" t="inlineStr">
        <is>
          <t>Dans quelle mesure cet énoncé s'applique à votre situation ? L’autre parent permet à votre enfant d'apporter des objets (jouets ou cadeaux reçus) provenant de chez vous?</t>
        </is>
      </c>
      <c r="G127" s="428" t="inlineStr">
        <is>
          <t>Dans quelle mesure cet énoncé s'apliquait à votre situation? L’autre parent permettait à votre enfant d'apporter des objets (jouets ou objets symboliques) ou cadeaux reçus provenant de chez vous?</t>
        </is>
      </c>
      <c r="H127" s="262" t="n"/>
      <c r="I127" s="1130" t="n"/>
      <c r="J127" s="218" t="n"/>
      <c r="K127" s="237" t="n">
        <v>4</v>
      </c>
      <c r="L127" s="608" t="n">
        <v>2</v>
      </c>
      <c r="M127" s="608" t="n"/>
      <c r="N127" s="967" t="inlineStr">
        <is>
          <t>E1B</t>
        </is>
      </c>
      <c r="O127" s="2059" t="inlineStr">
        <is>
          <t>Toujours / Souvent / Régulièrement / Occasionnellement / Rarement / Jamais / S.O.</t>
        </is>
      </c>
      <c r="P127" s="348">
        <f>Test_Bible!P214</f>
        <v/>
      </c>
      <c r="Q127" s="348">
        <f>Test_Bible!Q214</f>
        <v/>
      </c>
      <c r="R127" s="386" t="n">
        <v>1</v>
      </c>
      <c r="S127" s="387" t="n">
        <v>0</v>
      </c>
      <c r="T127" s="388" t="n">
        <v>0</v>
      </c>
      <c r="U127" s="791" t="inlineStr">
        <is>
          <t>F: Interférence lien affectif ou symbolique</t>
        </is>
      </c>
      <c r="V127" s="2002" t="n"/>
      <c r="W127" s="471" t="n"/>
      <c r="X127" s="59" t="n"/>
      <c r="Y127" s="1070" t="n"/>
      <c r="Z127" s="57" t="n"/>
      <c r="AA127" s="1279" t="n">
        <v>1</v>
      </c>
      <c r="AB127" s="57" t="n"/>
      <c r="AC127" s="57" t="n"/>
      <c r="AD127" s="1221" t="n"/>
      <c r="AE127" s="1222" t="n"/>
      <c r="AF127" s="1222" t="n"/>
      <c r="AG127" s="1221" t="n"/>
      <c r="AH127" s="1053" t="n"/>
      <c r="AI127" s="1055" t="n"/>
    </row>
    <row r="128" ht="55" customFormat="1" customHeight="1" s="7">
      <c r="B128" s="124" t="inlineStr">
        <is>
          <t>sq1 (s'active si PFA28&gt;=condition)</t>
        </is>
      </c>
      <c r="D128" s="399" t="n">
        <v>51</v>
      </c>
      <c r="E128" s="145" t="inlineStr">
        <is>
          <t>PFA28a</t>
        </is>
      </c>
      <c r="F128" s="302" t="inlineStr">
        <is>
          <t>Dans quelle mesure diriez-vous que l’autre parent jette les cadeaux (anniveraire, Noël) ou proscrit les photographies de vous dans sa demeure ?</t>
        </is>
      </c>
      <c r="G128" s="555" t="inlineStr">
        <is>
          <t>Dans quelle mesure diriez-vous que l’autre parent jette les cadeaux (anniveraire, Noël) ou proscrit les photographies de vous dans sa demeure ?</t>
        </is>
      </c>
      <c r="H128" s="257" t="n"/>
      <c r="I128" s="1131" t="n"/>
      <c r="J128" s="217" t="inlineStr">
        <is>
          <t>sq1</t>
        </is>
      </c>
      <c r="K128" s="236" t="n"/>
      <c r="L128" s="607" t="n">
        <v>3</v>
      </c>
      <c r="M128" s="607" t="n"/>
      <c r="N128" s="961" t="inlineStr">
        <is>
          <t>E1A</t>
        </is>
      </c>
      <c r="O128" s="2059" t="inlineStr">
        <is>
          <t xml:space="preserve">Jamais / Rarement / Occasionnellement / Régulièrement / Souvent / Toujours / S.O. </t>
        </is>
      </c>
      <c r="P128" s="348">
        <f>Test_Bible!P215</f>
        <v/>
      </c>
      <c r="Q128" s="348">
        <f>Test_Bible!Q215</f>
        <v/>
      </c>
      <c r="R128" s="386" t="n">
        <v>0.5</v>
      </c>
      <c r="S128" s="387" t="n">
        <v>0.5</v>
      </c>
      <c r="T128" s="388" t="n">
        <v>0</v>
      </c>
      <c r="U128" s="791" t="inlineStr">
        <is>
          <t>F: Interférence lien affectif ou symbolique</t>
        </is>
      </c>
      <c r="V128" s="2002" t="n"/>
      <c r="W128" s="471" t="n"/>
      <c r="X128" s="59" t="n"/>
      <c r="Y128" s="1070" t="n"/>
      <c r="Z128" s="57" t="n"/>
      <c r="AA128" s="1279" t="n">
        <v>1</v>
      </c>
      <c r="AB128" s="57" t="n"/>
      <c r="AC128" s="57" t="n"/>
      <c r="AD128" s="552" t="inlineStr">
        <is>
          <t>🔶</t>
        </is>
      </c>
      <c r="AE128" s="1217" t="n"/>
      <c r="AF128" s="1217" t="n"/>
      <c r="AG128" s="552" t="inlineStr">
        <is>
          <t>🔴</t>
        </is>
      </c>
      <c r="AH128" s="1053" t="n"/>
      <c r="AI128" s="1055" t="n"/>
    </row>
    <row r="129" ht="68" customFormat="1" customHeight="1" s="7">
      <c r="A129" s="801" t="inlineStr">
        <is>
          <t>s'active que si B11(entente de garde non-respectée) &gt;=condition de B11</t>
        </is>
      </c>
      <c r="D129" s="399" t="n">
        <v>52</v>
      </c>
      <c r="E129" s="210" t="inlineStr">
        <is>
          <t>PFA39</t>
        </is>
      </c>
      <c r="F129" s="587" t="inlineStr">
        <is>
          <t>Dans quelle mesure diriez-vous que l'autre parent se dit impuissant et non responsable de la décision de votre enfant de ne plus respecter l'entente de garde ?</t>
        </is>
      </c>
      <c r="G129" s="559" t="inlineStr">
        <is>
          <t>Dans quelle mesure diriez-vous que l'autre parent se disait impuissant et non responsable de la décision de votre enfant de ne plus respecter l'entente de garde?</t>
        </is>
      </c>
      <c r="H129" s="268" t="n"/>
      <c r="I129" s="1138" t="n"/>
      <c r="J129" s="218" t="n"/>
      <c r="K129" s="237" t="n"/>
      <c r="L129" s="607" t="n">
        <v>3</v>
      </c>
      <c r="M129" s="607" t="n"/>
      <c r="N129" s="961" t="inlineStr">
        <is>
          <t>E3A</t>
        </is>
      </c>
      <c r="O129" s="597" t="inlineStr">
        <is>
          <t>Pas du tout d’accord / Pas d’accord / Ni d’accord, ni pas d’accord / Partiellement d’accord / D’accord / Tout à fait d’accord / S.O.</t>
        </is>
      </c>
      <c r="P129" s="348">
        <f>Test_Bible!P216</f>
        <v/>
      </c>
      <c r="Q129" s="348">
        <f>Test_Bible!Q216</f>
        <v/>
      </c>
      <c r="R129" s="359" t="n">
        <v>1</v>
      </c>
      <c r="S129" s="676" t="n">
        <v>0</v>
      </c>
      <c r="T129" s="677" t="n">
        <v>0</v>
      </c>
      <c r="U129" s="744" t="inlineStr">
        <is>
          <t>F: Interférence lien affectif ou symbolique</t>
        </is>
      </c>
      <c r="V129" s="2002" t="n"/>
      <c r="W129" s="471" t="n"/>
      <c r="X129" s="59" t="n"/>
      <c r="Y129" s="1070" t="n"/>
      <c r="Z129" s="57" t="n"/>
      <c r="AA129" s="1279" t="n">
        <v>1</v>
      </c>
      <c r="AB129" s="57" t="n"/>
      <c r="AC129" s="57" t="n"/>
      <c r="AD129" s="1230" t="inlineStr">
        <is>
          <t>🔶</t>
        </is>
      </c>
      <c r="AE129" s="1231" t="n"/>
      <c r="AF129" s="1231" t="n"/>
      <c r="AG129" s="552" t="inlineStr">
        <is>
          <t>🔴</t>
        </is>
      </c>
      <c r="AH129" s="1232" t="n"/>
      <c r="AI129" s="1233" t="n"/>
    </row>
    <row r="130" ht="58" customFormat="1" customHeight="1" s="7">
      <c r="D130" s="399" t="n">
        <v>53</v>
      </c>
      <c r="E130" s="210" t="inlineStr">
        <is>
          <t>PFA29</t>
        </is>
      </c>
      <c r="F130" s="587" t="inlineStr">
        <is>
          <t>Dans qelle mesure arrive-t-il à l'autre parent de prendre des décisions sans vous consulter ?</t>
        </is>
      </c>
      <c r="G130" s="559" t="inlineStr">
        <is>
          <t>Dans quelle mesure diriez-vous que l'autre parent se disait impuissant et non responsable de la décision de votre enfant de ne plus respecter l'entente de garde?</t>
        </is>
      </c>
      <c r="H130" s="268" t="n"/>
      <c r="I130" s="1138" t="n"/>
      <c r="J130" s="218" t="n"/>
      <c r="K130" s="237" t="n">
        <v>2</v>
      </c>
      <c r="L130" s="607" t="n">
        <v>3</v>
      </c>
      <c r="M130" s="607" t="n"/>
      <c r="N130" s="961" t="inlineStr">
        <is>
          <t>E1A</t>
        </is>
      </c>
      <c r="O130" s="2059" t="inlineStr">
        <is>
          <t xml:space="preserve">Jamais / Rarement / Occasionnellement / Régulièrement / Souvent / Toujours / S.O. </t>
        </is>
      </c>
      <c r="P130" s="348">
        <f>Test_Bible!P218</f>
        <v/>
      </c>
      <c r="Q130" s="348">
        <f>Test_Bible!Q218</f>
        <v/>
      </c>
      <c r="R130" s="359" t="n">
        <v>1</v>
      </c>
      <c r="S130" s="676" t="n">
        <v>0</v>
      </c>
      <c r="T130" s="677" t="n">
        <v>0</v>
      </c>
      <c r="U130" s="744" t="inlineStr">
        <is>
          <t>F: Interférence lien affectif ou symbolique</t>
        </is>
      </c>
      <c r="V130" s="2002" t="n"/>
      <c r="W130" s="471" t="n"/>
      <c r="X130" s="59" t="n"/>
      <c r="Y130" s="1070" t="n"/>
      <c r="Z130" s="57" t="n"/>
      <c r="AA130" s="1279" t="n">
        <v>1</v>
      </c>
      <c r="AB130" s="57" t="n"/>
      <c r="AC130" s="57" t="n"/>
      <c r="AD130" s="1230" t="inlineStr">
        <is>
          <t>🔶</t>
        </is>
      </c>
      <c r="AE130" s="1231" t="n"/>
      <c r="AF130" s="1231" t="n"/>
      <c r="AG130" s="552" t="inlineStr">
        <is>
          <t>🔴</t>
        </is>
      </c>
      <c r="AH130" s="1232" t="n"/>
      <c r="AI130" s="1233" t="n"/>
    </row>
    <row r="131" ht="149" customFormat="1" customHeight="1" s="7">
      <c r="B131" s="124" t="inlineStr">
        <is>
          <t>sq1 (s'active si PFA29&gt;=condition)</t>
        </is>
      </c>
      <c r="D131" s="399" t="n">
        <v>54</v>
      </c>
      <c r="E131" s="1076" t="inlineStr">
        <is>
          <t>PFA29a</t>
        </is>
      </c>
      <c r="F131" s="1078" t="inlineStr">
        <is>
          <t>Quelles décisions ont été prises sans votre consentement ou connaissance de votre part ?</t>
        </is>
      </c>
      <c r="G131" s="1079" t="inlineStr">
        <is>
          <t>Quelles décisions ont été prises sans votre consentement ou connaissance de votre part ?</t>
        </is>
      </c>
      <c r="H131" s="1075" t="inlineStr">
        <is>
          <t>Choix d'école et/ou inscription (primaire et secondaire)
Choix de club|programme sportif
Soins médicaux ou dentaires 
Déménagement (forçant un changement majeur ou autres)
Achat d'une valeur significative (auto, animal,…)
Décisions engendrant des coûts significatifs sans votre consentement préalable
Autre (spécifiez)</t>
        </is>
      </c>
      <c r="I131" s="1139" t="n"/>
      <c r="J131" s="168" t="inlineStr">
        <is>
          <t>sq1</t>
        </is>
      </c>
      <c r="K131" s="234" t="n"/>
      <c r="L131" s="629" t="n"/>
      <c r="M131" s="629" t="n"/>
      <c r="N131" s="961" t="inlineStr">
        <is>
          <t>choix multiple</t>
        </is>
      </c>
      <c r="O131" s="597" t="n"/>
      <c r="P131" s="342" t="n"/>
      <c r="Q131" s="342" t="n"/>
      <c r="R131" s="675" t="inlineStr">
        <is>
          <t>n/a</t>
        </is>
      </c>
      <c r="S131" s="676" t="inlineStr">
        <is>
          <t>n/a</t>
        </is>
      </c>
      <c r="T131" s="1615" t="inlineStr">
        <is>
          <t>n/a</t>
        </is>
      </c>
      <c r="U131" s="743" t="inlineStr">
        <is>
          <t>F: Interférence lien affectif ou symbolique</t>
        </is>
      </c>
      <c r="V131" s="2002" t="n"/>
      <c r="W131" s="471" t="n"/>
      <c r="X131" s="59" t="n"/>
      <c r="Y131" s="1070" t="n"/>
      <c r="Z131" s="57" t="n"/>
      <c r="AA131" s="1279" t="n">
        <v>1</v>
      </c>
      <c r="AB131" s="57" t="n"/>
      <c r="AC131" s="57" t="n"/>
      <c r="AD131" s="1234" t="inlineStr">
        <is>
          <t> </t>
        </is>
      </c>
      <c r="AE131" s="1225" t="n"/>
      <c r="AF131" s="1225" t="n"/>
      <c r="AG131" s="552" t="inlineStr">
        <is>
          <t>🔴</t>
        </is>
      </c>
      <c r="AH131" s="1236" t="n"/>
      <c r="AI131" s="1237" t="n"/>
    </row>
    <row r="132" ht="52" customFormat="1" customHeight="1" s="7">
      <c r="B132" s="124" t="inlineStr">
        <is>
          <t>sq1 (s'active si PFA29&gt;=condition)</t>
        </is>
      </c>
      <c r="D132" s="399" t="n">
        <v>55</v>
      </c>
      <c r="E132" s="1076" t="inlineStr">
        <is>
          <t>PFA29b</t>
        </is>
      </c>
      <c r="F132" s="1078" t="inlineStr">
        <is>
          <t xml:space="preserve">Avez-vous été déchu·e (totalement ou en partie) de votre autorité parentale ? </t>
        </is>
      </c>
      <c r="G132" s="1079" t="inlineStr">
        <is>
          <t xml:space="preserve">Étiez-vous déchu·e (totalement ou en partie) de votre autorité parentale ? </t>
        </is>
      </c>
      <c r="H132" s="1075" t="n"/>
      <c r="I132" s="1139" t="n"/>
      <c r="J132" s="168" t="inlineStr">
        <is>
          <t>sq1</t>
        </is>
      </c>
      <c r="K132" s="234" t="n"/>
      <c r="L132" s="629" t="n">
        <v>0</v>
      </c>
      <c r="M132" s="629" t="n"/>
      <c r="N132" s="961" t="inlineStr">
        <is>
          <t>O/N</t>
        </is>
      </c>
      <c r="O132" s="597" t="n"/>
      <c r="P132" s="340" t="n"/>
      <c r="Q132" s="340" t="n"/>
      <c r="R132" s="675" t="inlineStr">
        <is>
          <t>n/a</t>
        </is>
      </c>
      <c r="S132" s="676" t="inlineStr">
        <is>
          <t>n/a</t>
        </is>
      </c>
      <c r="T132" s="1615" t="inlineStr">
        <is>
          <t>n/a</t>
        </is>
      </c>
      <c r="U132" s="743" t="inlineStr">
        <is>
          <t>F: Interférence lien affectif ou symbolique</t>
        </is>
      </c>
      <c r="V132" s="2002" t="n"/>
      <c r="W132" s="471" t="n"/>
      <c r="X132" s="59" t="n"/>
      <c r="Y132" s="1070" t="n"/>
      <c r="Z132" s="57" t="n"/>
      <c r="AA132" s="1279" t="n">
        <v>1</v>
      </c>
      <c r="AB132" s="57" t="n"/>
      <c r="AC132" s="57" t="n"/>
      <c r="AD132" s="1230" t="inlineStr">
        <is>
          <t>🔶</t>
        </is>
      </c>
      <c r="AE132" s="1239" t="inlineStr">
        <is>
          <t xml:space="preserve">Notion : autorité parentale et déchéance parentale  * au Québec … est-ce partout pareil ? 
 </t>
        </is>
      </c>
      <c r="AF132" s="1251" t="inlineStr">
        <is>
          <t>référence Éducaloi : https://educaloi.qc.ca/capsules/lautorite-parentale/</t>
        </is>
      </c>
      <c r="AG132" s="552" t="inlineStr">
        <is>
          <t>🔴</t>
        </is>
      </c>
      <c r="AH132" s="1236" t="n"/>
      <c r="AI132" s="1237" t="n"/>
    </row>
    <row r="133" ht="70" customHeight="1">
      <c r="A133" s="1804" t="inlineStr">
        <is>
          <t>S'active si non-respect de la garde OU B12 = difficile +++</t>
        </is>
      </c>
      <c r="D133" s="399" t="n">
        <v>56</v>
      </c>
      <c r="E133" s="210" t="inlineStr">
        <is>
          <t>PFA30</t>
        </is>
      </c>
      <c r="F133" s="992" t="inlineStr">
        <is>
          <t>Dans quelle mesure diriez-vous que l’autre parent incite, consciemment ou inconsciemment, votre enfant à choisir entre ses deux parents?</t>
        </is>
      </c>
      <c r="G133" s="1080" t="inlineStr">
        <is>
          <t>Dans quelle mesure diriez-vous que l’autre parent forçait votre enfant à choisir entre ses deux parents?</t>
        </is>
      </c>
      <c r="H133" s="262" t="n"/>
      <c r="I133" s="1130" t="n"/>
      <c r="J133" s="218" t="n"/>
      <c r="K133" s="240" t="n">
        <v>4</v>
      </c>
      <c r="L133" s="607" t="n">
        <v>3</v>
      </c>
      <c r="M133" s="607" t="n"/>
      <c r="N133" s="961" t="n"/>
      <c r="O133" s="1606" t="inlineStr">
        <is>
          <t>Nulle / Très faible / Faible / Moyenne / Élevé / Très élevé / S.O.</t>
        </is>
      </c>
      <c r="P133" s="345">
        <f>Test_Bible!P230</f>
        <v/>
      </c>
      <c r="Q133" s="345">
        <f>Test_Bible!Q230</f>
        <v/>
      </c>
      <c r="R133" s="386" t="n">
        <v>0.5</v>
      </c>
      <c r="S133" s="387" t="n">
        <v>0.5</v>
      </c>
      <c r="T133" s="388" t="n">
        <v>0</v>
      </c>
      <c r="U133" s="791" t="inlineStr">
        <is>
          <t>F: Interférence lien affectif ou symbolique</t>
        </is>
      </c>
      <c r="V133" s="2002" t="n"/>
      <c r="W133" s="471" t="n"/>
      <c r="Y133" s="1082" t="n"/>
      <c r="AA133" s="1279" t="n">
        <v>1</v>
      </c>
      <c r="AD133" s="1221" t="n"/>
      <c r="AE133" s="1222" t="n"/>
      <c r="AF133" s="1222" t="n"/>
      <c r="AG133" s="1221" t="n"/>
      <c r="AH133" s="1053" t="n"/>
      <c r="AI133" s="1055" t="n"/>
    </row>
    <row r="134" ht="52" customHeight="1">
      <c r="B134" s="124" t="inlineStr">
        <is>
          <t>sq1 (s'active si PFA30&gt;=condition)</t>
        </is>
      </c>
      <c r="D134" s="399" t="n">
        <v>57</v>
      </c>
      <c r="E134" s="143" t="inlineStr">
        <is>
          <t>PFA30a</t>
        </is>
      </c>
      <c r="F134" s="992" t="inlineStr">
        <is>
          <t>Dans quelle mesure diriez-vous que l’autre parent cherche à vous exclure de la vie de votre enfant?</t>
        </is>
      </c>
      <c r="G134" s="799" t="inlineStr">
        <is>
          <t>Dans quelle mesure diriez-vous que l’autre parent cherchait à vous exclure de la vie de votre enfant?</t>
        </is>
      </c>
      <c r="H134" s="257" t="n"/>
      <c r="I134" s="1131" t="n"/>
      <c r="J134" s="124" t="inlineStr">
        <is>
          <t>sq1</t>
        </is>
      </c>
      <c r="K134" s="227" t="n">
        <v>4</v>
      </c>
      <c r="L134" s="607" t="n">
        <v>3</v>
      </c>
      <c r="M134" s="607" t="n"/>
      <c r="N134" s="961" t="n"/>
      <c r="O134" s="1606" t="inlineStr">
        <is>
          <t>Nulle / Très faible / Faible / Moyenne / Élevé / Très élevé / S.O.</t>
        </is>
      </c>
      <c r="P134" s="345">
        <f>Test_Bible!P231</f>
        <v/>
      </c>
      <c r="Q134" s="345">
        <f>Test_Bible!Q231</f>
        <v/>
      </c>
      <c r="R134" s="386" t="n">
        <v>0.5</v>
      </c>
      <c r="S134" s="387" t="n">
        <v>0.5</v>
      </c>
      <c r="T134" s="388" t="n">
        <v>0</v>
      </c>
      <c r="U134" s="791" t="inlineStr">
        <is>
          <t>F: Interférence lien affectif ou symbolique</t>
        </is>
      </c>
      <c r="V134" s="2002" t="n"/>
      <c r="W134" s="471" t="n"/>
      <c r="Y134" s="1082" t="n"/>
      <c r="AA134" s="1279" t="n">
        <v>1</v>
      </c>
      <c r="AD134" s="552" t="inlineStr">
        <is>
          <t>🔶</t>
        </is>
      </c>
      <c r="AG134" s="1056" t="inlineStr">
        <is>
          <t>🔴 ATTN : déf. AP</t>
        </is>
      </c>
      <c r="AI134" s="1990" t="inlineStr">
        <is>
          <t xml:space="preserve">Ce à quoi on peut s’attendre lorsque nous faisons face à un co-parent qui cherche l’exclusion parentale 
La coparentalité avec votre ex toxique : Comment protéger vos enfants (2020) 
Amy J.L. Baker, Paul R. Fine 
Après un divorce ou une séparation difficile, il arrive que la relation parents-enfants devienne tendue, à plus forte raison si votre ex est toxique. Si votre ex vous dénigre en leur présence, vous accuse d'être un mauvais parent ou tente de vous exclure de leur vie au profit de sa nouvelle flamme, il se peut que vos enfants soient désorientés, tiraillés, colériques, anxieux, voire dépressifs. Vous ne savez plus quoi faire et l'impuissance vous gagne? Ce livre peut vous aider. Par le biais d'outils et d'exercices simples, vous découvrirez comment éviter à vos enfants l'aliénation parentale, ainsi que les sentiments d'éloignement et d'exclusion. Vous apprendrez aussi les meilleures façons de les protéger des conflits de loyauté. La clé de votre réussite : faire preuve d'honnêteté et de confiance en eux. Certes, la coparentalité avec une personne toxique peut sembler un défi insurmontable, mais, en utilisant les méthodes appropriées, vous tisserez des liens encore plus forts avec votre famille. Un jour, vous finirez par récolter ce que vous avez semé. 
</t>
        </is>
      </c>
    </row>
    <row r="135" ht="54" customHeight="1">
      <c r="A135" s="801" t="inlineStr">
        <is>
          <t>s'active que si PFA09a ET PFA13b=0</t>
        </is>
      </c>
      <c r="B135" s="124" t="inlineStr">
        <is>
          <t>sq2 (s'active si PFA30a&gt;=condition)</t>
        </is>
      </c>
      <c r="D135" s="399" t="n">
        <v>58</v>
      </c>
      <c r="E135" s="143" t="inlineStr">
        <is>
          <t>PFA30a1</t>
        </is>
      </c>
      <c r="F135" s="1073" t="inlineStr">
        <is>
          <t>Dans quelle mesure l'autre parent fait ou a déjà fait des menaces (claires ou voilées) de vous enlever les enfants ?</t>
        </is>
      </c>
      <c r="G135" s="1073" t="inlineStr">
        <is>
          <t>Dans quelle mesure l'autre parent faisait ou avait déjà fait des menaces (claires ou voilées) de vous enlever les enfants?</t>
        </is>
      </c>
      <c r="H135" s="270" t="n"/>
      <c r="I135" s="1140" t="n"/>
      <c r="J135" s="124" t="inlineStr">
        <is>
          <t>sq2</t>
        </is>
      </c>
      <c r="K135" s="227" t="n"/>
      <c r="L135" s="607" t="n">
        <v>3</v>
      </c>
      <c r="M135" s="607" t="n"/>
      <c r="N135" s="961" t="n"/>
      <c r="O135" s="1606" t="inlineStr">
        <is>
          <t>Jamais / Rarement / Parfois / Régulièrement / Souvent / Toujours / S.O.</t>
        </is>
      </c>
      <c r="P135" s="345">
        <f>Test_Bible!P232</f>
        <v/>
      </c>
      <c r="Q135" s="345">
        <f>Test_Bible!Q232</f>
        <v/>
      </c>
      <c r="R135" s="386" t="n">
        <v>1</v>
      </c>
      <c r="S135" s="387" t="n">
        <v>0</v>
      </c>
      <c r="T135" s="388" t="n">
        <v>0</v>
      </c>
      <c r="U135" s="788" t="inlineStr">
        <is>
          <t>F: Interférence lien affectif ou symbolique</t>
        </is>
      </c>
      <c r="V135" s="2002" t="n"/>
      <c r="W135" s="471" t="n"/>
      <c r="Y135" s="1082" t="n"/>
      <c r="AA135" s="1279" t="n">
        <v>1</v>
      </c>
      <c r="AD135" s="1221" t="n"/>
      <c r="AE135" s="1222" t="n"/>
      <c r="AF135" s="1222" t="n"/>
      <c r="AG135" s="552" t="inlineStr">
        <is>
          <t>🔴</t>
        </is>
      </c>
      <c r="AH135" s="1053" t="n"/>
      <c r="AI135" s="1252" t="inlineStr">
        <is>
          <t xml:space="preserve">VC 
</t>
        </is>
      </c>
    </row>
    <row r="136" ht="161" customHeight="1">
      <c r="B136" s="124" t="inlineStr">
        <is>
          <t>sq2 (s'active si PFA30a&gt;=condition)</t>
        </is>
      </c>
      <c r="D136" s="399" t="n">
        <v>59</v>
      </c>
      <c r="E136" s="143" t="inlineStr">
        <is>
          <t>PFA30a2</t>
        </is>
      </c>
      <c r="F136" s="799" t="inlineStr">
        <is>
          <t>Quels sont les comportements ou attitudes qui vous laissent croire que l'autre parent cherche à vous exclure de la vie de votre enfant?</t>
        </is>
      </c>
      <c r="G136" s="799" t="inlineStr">
        <is>
          <t>Quels sont les comportements ou attitudes qui vous laissent croire que l'autre parent cherchait à vous exclure de la vie de votre enfant?</t>
        </is>
      </c>
      <c r="H136" s="309" t="inlineStr">
        <is>
          <t>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is>
      </c>
      <c r="I136" s="1121" t="n"/>
      <c r="J136" s="124" t="inlineStr">
        <is>
          <t>sq2</t>
        </is>
      </c>
      <c r="K136" s="227" t="n"/>
      <c r="L136" s="629" t="n">
        <v>0</v>
      </c>
      <c r="M136" s="629" t="n"/>
      <c r="N136" s="961" t="inlineStr">
        <is>
          <t>choix multiple</t>
        </is>
      </c>
      <c r="P136" s="338" t="n"/>
      <c r="Q136" s="338" t="n"/>
      <c r="R136" s="675" t="inlineStr">
        <is>
          <t>n/a</t>
        </is>
      </c>
      <c r="S136" s="676" t="inlineStr">
        <is>
          <t>n/a</t>
        </is>
      </c>
      <c r="T136" s="1615" t="inlineStr">
        <is>
          <t>n/a</t>
        </is>
      </c>
      <c r="U136" s="791" t="inlineStr">
        <is>
          <t>F: Interférence lien affectif ou symbolique</t>
        </is>
      </c>
      <c r="V136" s="2002" t="n"/>
      <c r="W136" s="471" t="n"/>
      <c r="X136" s="459" t="n"/>
      <c r="Y136" s="1070" t="n"/>
      <c r="AA136" s="1279" t="n">
        <v>1</v>
      </c>
      <c r="AD136" s="552" t="inlineStr">
        <is>
          <t>🔶</t>
        </is>
      </c>
      <c r="AE136" s="1253" t="inlineStr">
        <is>
          <t>info sur responsabilité de l'autre parent ? Ex.: ne peut prendre une décision unilatérale (ATTN est-ce partout pareil ? QC vs USA vs Europe)</t>
        </is>
      </c>
      <c r="AF136" s="1253" t="n"/>
      <c r="AG136" s="552" t="inlineStr">
        <is>
          <t>🔴</t>
        </is>
      </c>
      <c r="AH136" s="291" t="n"/>
      <c r="AI136" s="1990" t="inlineStr">
        <is>
          <t>Un commentaire pour / drapeau rouge pour chaque comportements ? 
'Changement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is>
      </c>
    </row>
    <row r="137" ht="68" customFormat="1" customHeight="1" s="7">
      <c r="A137" s="2066" t="n"/>
      <c r="C137" s="992" t="inlineStr">
        <is>
          <t>Q mère silencieuse sans sa SQ :
intensité 0 si fréquence Q&lt;=2</t>
        </is>
      </c>
      <c r="D137" s="399" t="n">
        <v>60</v>
      </c>
      <c r="E137" s="209" t="inlineStr">
        <is>
          <t>PFA31</t>
        </is>
      </c>
      <c r="F137" s="814" t="inlineStr">
        <is>
          <t>Dans quelle mesure diriez-vous que l'autre parent accepte ou vit bien avec la séparation (séparation de couple ou familiale)?</t>
        </is>
      </c>
      <c r="G137" s="814" t="inlineStr">
        <is>
          <t>Dans quelle mesure diriez-vous que l'autre parent acceptait ou vivait bien avec la séparation (séparation de couple ou familiale)?</t>
        </is>
      </c>
      <c r="H137" s="262" t="n"/>
      <c r="I137" s="1130" t="n"/>
      <c r="J137" s="218" t="inlineStr">
        <is>
          <t>&gt;=3</t>
        </is>
      </c>
      <c r="K137" s="237" t="n">
        <v>4</v>
      </c>
      <c r="L137" s="593" t="n">
        <v>1</v>
      </c>
      <c r="M137" s="593" t="n">
        <v>0</v>
      </c>
      <c r="N137" s="961" t="inlineStr">
        <is>
          <t>E3B</t>
        </is>
      </c>
      <c r="O137" s="597" t="inlineStr">
        <is>
          <t>Tout à fait d’accord / D'accord / Partiellement d'accord / Ni d'accord, ni pas d'accord / Pas d'accord / Pas du tout d'accord / S.O.</t>
        </is>
      </c>
      <c r="P137" s="348">
        <f>Test_Bible!P239</f>
        <v/>
      </c>
      <c r="Q137" s="348">
        <f>Test_Bible!Q239</f>
        <v/>
      </c>
      <c r="R137" s="386" t="n">
        <v>0</v>
      </c>
      <c r="S137" s="387" t="n">
        <v>0</v>
      </c>
      <c r="T137" s="388" t="n">
        <v>0</v>
      </c>
      <c r="U137" s="752" t="inlineStr">
        <is>
          <t>G: Parentification</t>
        </is>
      </c>
      <c r="V137" s="2002" t="n"/>
      <c r="W137" s="471" t="n"/>
      <c r="X137" s="59" t="n"/>
      <c r="Y137" s="1070" t="n"/>
      <c r="Z137" s="57" t="n"/>
      <c r="AA137" s="57" t="n"/>
      <c r="AB137" s="1282" t="n">
        <v>1</v>
      </c>
      <c r="AC137" s="57" t="n"/>
      <c r="AD137" s="1221" t="n"/>
      <c r="AE137" s="1222" t="n"/>
      <c r="AF137" s="1222" t="n"/>
      <c r="AG137" s="552" t="inlineStr">
        <is>
          <t>🔴</t>
        </is>
      </c>
      <c r="AH137" s="1053" t="n"/>
      <c r="AI137" s="1241" t="n"/>
    </row>
    <row r="138" ht="52" customFormat="1" customHeight="1" s="7">
      <c r="B138" s="124" t="inlineStr">
        <is>
          <t>sq1 (s'active si PFA31&gt;=condition)</t>
        </is>
      </c>
      <c r="D138" s="399" t="n">
        <v>61</v>
      </c>
      <c r="E138" s="145" t="inlineStr">
        <is>
          <t>PFA31a</t>
        </is>
      </c>
      <c r="F138" s="992" t="inlineStr">
        <is>
          <t>Dans quelle mesure diriez-vous que l’autre parent confie à votre enfant sa peine ou sa frustration concernant la séparation?</t>
        </is>
      </c>
      <c r="G138" s="799" t="inlineStr">
        <is>
          <t>Dans quelle mesure diriez-vous que l’autre parent confiait à votre enfant sa peine concernant la séparation?</t>
        </is>
      </c>
      <c r="H138" s="257" t="n"/>
      <c r="I138" s="1131" t="n"/>
      <c r="J138" s="217" t="inlineStr">
        <is>
          <t>sq1</t>
        </is>
      </c>
      <c r="K138" s="236" t="n">
        <v>4</v>
      </c>
      <c r="L138" s="608" t="n">
        <v>2</v>
      </c>
      <c r="M138" s="608" t="n"/>
      <c r="N138" s="961" t="inlineStr">
        <is>
          <t>E1A</t>
        </is>
      </c>
      <c r="O138" s="2059" t="inlineStr">
        <is>
          <t xml:space="preserve">Jamais / Rarement / Occasionnellement / Régulièrement / Souvent / Toujours / S.O. </t>
        </is>
      </c>
      <c r="P138" s="348">
        <f>Test_Bible!P240</f>
        <v/>
      </c>
      <c r="Q138" s="348">
        <f>Test_Bible!Q240</f>
        <v/>
      </c>
      <c r="R138" s="386" t="n">
        <v>0</v>
      </c>
      <c r="S138" s="387" t="n">
        <v>1</v>
      </c>
      <c r="T138" s="388" t="n">
        <v>0</v>
      </c>
      <c r="U138" s="752" t="inlineStr">
        <is>
          <t>G: Parentification</t>
        </is>
      </c>
      <c r="V138" s="2002" t="n"/>
      <c r="W138" s="471" t="n"/>
      <c r="X138" s="59" t="n"/>
      <c r="Y138" s="1070" t="n"/>
      <c r="Z138" s="57" t="n"/>
      <c r="AA138" s="57" t="n"/>
      <c r="AB138" s="1282" t="n">
        <v>1</v>
      </c>
      <c r="AC138" s="57" t="n"/>
      <c r="AD138" s="552" t="inlineStr">
        <is>
          <t>🔶</t>
        </is>
      </c>
      <c r="AE138" s="1224" t="inlineStr">
        <is>
          <t>notion de parentification + 
recommandation médiation / coordonateur/trice parental.e</t>
        </is>
      </c>
      <c r="AF138" s="1224" t="n"/>
      <c r="AG138" s="552" t="inlineStr">
        <is>
          <t>🔴</t>
        </is>
      </c>
      <c r="AH138" s="1053" t="n"/>
      <c r="AI138"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39" ht="60" customFormat="1" customHeight="1" s="7">
      <c r="B139" s="124" t="inlineStr">
        <is>
          <t>sq2 (s'active si PFA31a&gt;=condition)</t>
        </is>
      </c>
      <c r="D139" s="399" t="n">
        <v>62</v>
      </c>
      <c r="E139" s="145" t="inlineStr">
        <is>
          <t>PFA31a1</t>
        </is>
      </c>
      <c r="F139" s="799" t="inlineStr">
        <is>
          <t>Dans quelle mesure diriez-vous que l'autre parent se confie à votre enfant sur des sujets qui vous sont personnels ou concernent votre passé (intime)?</t>
        </is>
      </c>
      <c r="G139" s="799" t="inlineStr">
        <is>
          <t>Dans quelle mesure diriez-vous que l'autre parent se confiait à votre enfant sur des sujets qui vous étaient personnels ou concernent votre passé (intime)?</t>
        </is>
      </c>
      <c r="H139" s="257" t="n"/>
      <c r="I139" s="1131" t="n"/>
      <c r="J139" s="217" t="inlineStr">
        <is>
          <t>sq2</t>
        </is>
      </c>
      <c r="K139" s="236" t="n"/>
      <c r="L139" s="608" t="n">
        <v>2</v>
      </c>
      <c r="M139" s="608" t="n"/>
      <c r="N139" s="961" t="inlineStr">
        <is>
          <t>E1A</t>
        </is>
      </c>
      <c r="O139" s="2059" t="inlineStr">
        <is>
          <t xml:space="preserve">Jamais / Rarement / Occasionnellement / Régulièrement / Souvent / Toujours / S.O. </t>
        </is>
      </c>
      <c r="P139" s="348">
        <f>Test_Bible!P241</f>
        <v/>
      </c>
      <c r="Q139" s="348">
        <f>Test_Bible!Q241</f>
        <v/>
      </c>
      <c r="R139" s="386" t="n">
        <v>0</v>
      </c>
      <c r="S139" s="387" t="n">
        <v>0.5</v>
      </c>
      <c r="T139" s="388" t="n">
        <v>0.5</v>
      </c>
      <c r="U139" s="752" t="inlineStr">
        <is>
          <t>G: Parentification</t>
        </is>
      </c>
      <c r="V139" s="2002" t="n"/>
      <c r="W139" s="471" t="n"/>
      <c r="X139" s="59" t="n"/>
      <c r="Y139" s="1070" t="n"/>
      <c r="Z139" s="57" t="n"/>
      <c r="AA139" s="57" t="n"/>
      <c r="AB139" s="1282" t="n">
        <v>1</v>
      </c>
      <c r="AC139" s="57" t="n"/>
      <c r="AD139" s="552" t="n"/>
      <c r="AE139" s="1217" t="n"/>
      <c r="AF139" s="1217" t="n"/>
      <c r="AG139" s="552" t="inlineStr">
        <is>
          <t>🔴</t>
        </is>
      </c>
      <c r="AH139" s="1053" t="n"/>
      <c r="AI139"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40" ht="52" customFormat="1" customHeight="1" s="7">
      <c r="D140" s="399" t="n">
        <v>63</v>
      </c>
      <c r="E140" s="209" t="inlineStr">
        <is>
          <t>PFA32</t>
        </is>
      </c>
      <c r="F140" s="814" t="inlineStr">
        <is>
          <t xml:space="preserve">Dans quelle mesure cet énoncé s'applique-t-il à votre situation? L'autre parent fait lire vos échanges et communications (textos, messenger, courriels) à votre enfant. </t>
        </is>
      </c>
      <c r="G140" s="814" t="inlineStr">
        <is>
          <t xml:space="preserve">Dans quelle mesure cet énoncé s'applique à votre situation? L'autre parent faisait lire vos échanges et communications (textos, messenger, courriels) à votre enfant. </t>
        </is>
      </c>
      <c r="H140" s="262" t="n"/>
      <c r="I140" s="1130" t="n"/>
      <c r="J140" s="218" t="n"/>
      <c r="K140" s="237" t="n"/>
      <c r="L140" s="608" t="n">
        <v>2</v>
      </c>
      <c r="M140" s="608" t="n"/>
      <c r="N140" s="961" t="n"/>
      <c r="O140" s="1759" t="inlineStr">
        <is>
          <t xml:space="preserve">Jamais / Rarement / Occasionnellement / Régulièrement / Très souvent / Toujours / S.O. </t>
        </is>
      </c>
      <c r="P140" s="348">
        <f>Test_Bible!P242</f>
        <v/>
      </c>
      <c r="Q140" s="348">
        <f>Test_Bible!Q242</f>
        <v/>
      </c>
      <c r="R140" s="386" t="n">
        <v>1</v>
      </c>
      <c r="S140" s="387" t="n">
        <v>0</v>
      </c>
      <c r="T140" s="388" t="n">
        <v>0</v>
      </c>
      <c r="U140" s="752" t="inlineStr">
        <is>
          <t>G: Parentification</t>
        </is>
      </c>
      <c r="V140" s="2002" t="n"/>
      <c r="W140" s="471" t="n"/>
      <c r="X140" s="459" t="n"/>
      <c r="Y140" s="1070" t="n"/>
      <c r="Z140" s="57" t="n"/>
      <c r="AA140" s="57" t="n"/>
      <c r="AB140" s="1282" t="n">
        <v>1</v>
      </c>
      <c r="AC140" s="57" t="n"/>
      <c r="AD140" s="1221" t="n"/>
      <c r="AE140" s="1222" t="n"/>
      <c r="AF140" s="1222" t="n"/>
      <c r="AG140" s="552" t="inlineStr">
        <is>
          <t>🔴</t>
        </is>
      </c>
      <c r="AH140" s="1053" t="n"/>
      <c r="AI140"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41" ht="65" customFormat="1" customHeight="1" s="7">
      <c r="A141" s="801" t="inlineStr">
        <is>
          <t>s'active si PCR a NC (B07 n'égale pas "célibataire")</t>
        </is>
      </c>
      <c r="D141" s="399" t="n">
        <v>64</v>
      </c>
      <c r="E141" s="209" t="inlineStr">
        <is>
          <t>PFA33</t>
        </is>
      </c>
      <c r="F141" s="814" t="inlineStr">
        <is>
          <t>Dans quelle mesure diriez-vous que l'autre parent encourage ou entretient un discours dénigrant ou haineux à l’égard de votre nouveau ou nouvelle conjoint·e?</t>
        </is>
      </c>
      <c r="G141" s="814" t="inlineStr">
        <is>
          <t>Dans quelle mesure diriez-vous que l'autre parent encourageait ou entretenait un discours dénigrant ou haineux à l’égard de votre nouveau ou nouvelle conjoint·e?</t>
        </is>
      </c>
      <c r="H141" s="262" t="n"/>
      <c r="I141" s="1141" t="n"/>
      <c r="J141" s="460" t="n"/>
      <c r="K141" s="237" t="n"/>
      <c r="L141" s="608" t="n">
        <v>2</v>
      </c>
      <c r="M141" s="608" t="n"/>
      <c r="N141" s="961" t="n"/>
      <c r="O141" s="1759" t="inlineStr">
        <is>
          <t xml:space="preserve">Jamais / Rarement / Occasionnellement / Régulièrement / Très souvent / Toujours / S.O. </t>
        </is>
      </c>
      <c r="P141" s="348">
        <f>Test_Bible!P243</f>
        <v/>
      </c>
      <c r="Q141" s="348">
        <f>Test_Bible!Q243</f>
        <v/>
      </c>
      <c r="R141" s="386" t="n">
        <v>0</v>
      </c>
      <c r="S141" s="387" t="n">
        <v>0</v>
      </c>
      <c r="T141" s="388" t="n">
        <v>1</v>
      </c>
      <c r="U141" s="792" t="inlineStr">
        <is>
          <t>H: Rôle actif, Réponse au CC, r</t>
        </is>
      </c>
      <c r="V141" s="2002" t="n"/>
      <c r="W141" s="471" t="n"/>
      <c r="X141" s="59" t="n"/>
      <c r="Y141" s="1070" t="n"/>
      <c r="Z141" s="57" t="n"/>
      <c r="AA141" s="57" t="n"/>
      <c r="AB141" s="57" t="n"/>
      <c r="AC141" s="1282" t="n">
        <v>1</v>
      </c>
      <c r="AD141" s="552" t="n"/>
      <c r="AE141" s="1217" t="n"/>
      <c r="AF141" s="1217" t="n"/>
      <c r="AG141" s="1221" t="n"/>
      <c r="AH141" s="1053" t="n"/>
      <c r="AI141" s="1055" t="n"/>
    </row>
    <row r="142" ht="100" customFormat="1" customHeight="1" s="7">
      <c r="C142" s="939" t="inlineStr">
        <is>
          <t>Intensité 3 si fréquence &gt;= 2 ET si (Temps de séparation (B04) &gt; 2 ans OU âge (B06) &gt;=8 ans), sinon Intensité 2</t>
        </is>
      </c>
      <c r="D142" s="399" t="n">
        <v>65</v>
      </c>
      <c r="E142" s="209" t="inlineStr">
        <is>
          <t>PFA34</t>
        </is>
      </c>
      <c r="F142" s="814" t="inlineStr">
        <is>
          <t>Dans quelle mesure diriez-vous que l'autre parent  refuse de vous parler et demande à votre enfant de faire les messages et autres demandes entourant la logistique familiale?</t>
        </is>
      </c>
      <c r="G142" s="814" t="inlineStr">
        <is>
          <t>Dans quelle mesure diriez-vous que l'autre parent  refusait de vous parler et demandait à votre enfant de faire les messages et autres demandes entourant la logistique familiale?</t>
        </is>
      </c>
      <c r="H142" s="262" t="n"/>
      <c r="I142" s="1130" t="n"/>
      <c r="J142" s="218" t="n"/>
      <c r="K142" s="237" t="n">
        <v>2</v>
      </c>
      <c r="L142" s="608" t="n">
        <v>2</v>
      </c>
      <c r="M142" s="607" t="n">
        <v>3</v>
      </c>
      <c r="N142" s="961" t="n"/>
      <c r="O142" s="1759" t="inlineStr">
        <is>
          <t xml:space="preserve">Jamais / Rarement / Occasionnellement / Régulièrement / Très souvent / Toujours / S.O. </t>
        </is>
      </c>
      <c r="P142" s="348">
        <f>Test_Bible!P244</f>
        <v/>
      </c>
      <c r="Q142" s="348">
        <f>Test_Bible!Q244</f>
        <v/>
      </c>
      <c r="R142" s="386" t="n">
        <v>0</v>
      </c>
      <c r="S142" s="387" t="n">
        <v>0</v>
      </c>
      <c r="T142" s="388" t="n">
        <v>1</v>
      </c>
      <c r="U142" s="792" t="inlineStr">
        <is>
          <t>H: Rôle actif, Réponse au CC, r</t>
        </is>
      </c>
      <c r="V142" s="2002" t="n"/>
      <c r="W142" s="471" t="n"/>
      <c r="X142" s="59" t="n"/>
      <c r="Y142" s="1070" t="n"/>
      <c r="Z142" s="57" t="n"/>
      <c r="AA142" s="57" t="n"/>
      <c r="AB142" s="57" t="n"/>
      <c r="AC142" s="1282" t="n">
        <v>1</v>
      </c>
      <c r="AD142" s="1221" t="n"/>
      <c r="AE142" s="1222" t="n"/>
      <c r="AF142" s="1222" t="n"/>
      <c r="AG142" s="1221" t="n"/>
      <c r="AH142" s="1053" t="n"/>
      <c r="AI142" s="1055" t="n"/>
    </row>
    <row r="143" ht="68" customFormat="1" customHeight="1" s="7">
      <c r="A143" s="801" t="inlineStr">
        <is>
          <t>s'active que si B11(entente de garde non-respectée) &gt;=condition de B11</t>
        </is>
      </c>
      <c r="D143" s="399" t="n">
        <v>66</v>
      </c>
      <c r="E143" s="209" t="inlineStr">
        <is>
          <t>PFA35</t>
        </is>
      </c>
      <c r="F143" s="992" t="inlineStr">
        <is>
          <t>Dans quelle mesure cet énoncé s'applique-t-il à votre situation? L’autre parent laisse à votre enfant le droit de respecter ou non l'entente de garde et votre temps (tour) de garde.</t>
        </is>
      </c>
      <c r="G143" s="814" t="inlineStr">
        <is>
          <t>Dans quelle mesure l’autre parent laissait à votre enfant le droit de choisir de respecter ou non l'entente de garde et votre temps (tour) de garde?</t>
        </is>
      </c>
      <c r="H143" s="262" t="n"/>
      <c r="I143" s="1141" t="n"/>
      <c r="J143" s="460" t="n"/>
      <c r="K143" s="237" t="n"/>
      <c r="L143" s="607" t="n">
        <v>3</v>
      </c>
      <c r="M143" s="607" t="n"/>
      <c r="N143" s="961" t="n"/>
      <c r="O143" s="1606" t="inlineStr">
        <is>
          <t>Nulle / Très faible / Faible / Moyenne / Élevé / Très élevé / S.O.</t>
        </is>
      </c>
      <c r="P143" s="348">
        <f>Test_Bible!P245</f>
        <v/>
      </c>
      <c r="Q143" s="348">
        <f>Test_Bible!Q245</f>
        <v/>
      </c>
      <c r="R143" s="386" t="n">
        <v>0.5</v>
      </c>
      <c r="S143" s="387" t="n">
        <v>0.5</v>
      </c>
      <c r="T143" s="388" t="n">
        <v>0</v>
      </c>
      <c r="U143" s="792" t="inlineStr">
        <is>
          <t>H: Rôle actif, Réponse au CC, r</t>
        </is>
      </c>
      <c r="V143" s="2002" t="n"/>
      <c r="W143" s="471" t="n"/>
      <c r="X143" s="59" t="n"/>
      <c r="Y143" s="1070" t="n"/>
      <c r="Z143" s="57" t="n"/>
      <c r="AA143" s="57" t="n"/>
      <c r="AB143" s="57" t="n"/>
      <c r="AC143" s="1282" t="n">
        <v>1</v>
      </c>
      <c r="AD143" s="1221" t="n"/>
      <c r="AE143" s="1222" t="n"/>
      <c r="AF143" s="1222" t="n"/>
      <c r="AG143" s="1221" t="n"/>
      <c r="AH143" s="1053" t="n"/>
      <c r="AI143" s="1055" t="n"/>
    </row>
    <row r="144" ht="120" customFormat="1" customHeight="1" s="7">
      <c r="A144" s="801" t="inlineStr">
        <is>
          <t>s'active que si B11(entente de garde non-respectée) &gt;=condition de B11</t>
        </is>
      </c>
      <c r="D144" s="399" t="n">
        <v>67</v>
      </c>
      <c r="E144" s="209" t="inlineStr">
        <is>
          <t>PFA36</t>
        </is>
      </c>
      <c r="F144" s="992" t="inlineStr">
        <is>
          <t>Dans quelle mesure cet énoncé s'applique-t-il à votre situation? L’autre parent demande à votre enfant de choisir avec quel parent il veut vivre.</t>
        </is>
      </c>
      <c r="G144" s="814" t="inlineStr">
        <is>
          <t>Dans quelle mesure diriez-vous que l'autre parent demandait à votre enfant de choisir avec quel parent il voulait vivre?</t>
        </is>
      </c>
      <c r="H144" s="264" t="n"/>
      <c r="I144" s="1133" t="n"/>
      <c r="J144" s="218" t="n"/>
      <c r="K144" s="237" t="n"/>
      <c r="L144" s="639" t="n">
        <v>3</v>
      </c>
      <c r="M144" s="627" t="n"/>
      <c r="N144" s="961" t="n"/>
      <c r="O144" s="1606" t="inlineStr">
        <is>
          <t>Nulle / Très faible / Faible / Moyenne / Élevé / Très élevé / S.O.</t>
        </is>
      </c>
      <c r="P144" s="347">
        <f>Test_Bible!P230</f>
        <v/>
      </c>
      <c r="Q144" s="347">
        <f>Test_Bible!Q230</f>
        <v/>
      </c>
      <c r="R144" s="386" t="n">
        <v>0</v>
      </c>
      <c r="S144" s="387" t="n">
        <v>0.5</v>
      </c>
      <c r="T144" s="388" t="n">
        <v>0.5</v>
      </c>
      <c r="U144" s="740" t="inlineStr">
        <is>
          <t>C: Chantage affectif, loyauté, manipulation</t>
        </is>
      </c>
      <c r="V144" s="2002" t="n"/>
      <c r="W144" s="471" t="n"/>
      <c r="X144" s="1283" t="n">
        <v>1</v>
      </c>
      <c r="Y144" s="1070" t="n"/>
      <c r="Z144" s="57" t="n"/>
      <c r="AA144" s="57" t="n"/>
      <c r="AB144" s="57" t="n"/>
      <c r="AC144" s="57" t="n"/>
      <c r="AD144" s="552" t="n"/>
      <c r="AE144" s="1224" t="n"/>
      <c r="AF144" s="1224" t="n"/>
      <c r="AG144" s="552" t="inlineStr">
        <is>
          <t>🔴</t>
        </is>
      </c>
      <c r="AH144" s="1053" t="n"/>
      <c r="AI144" s="1224" t="inlineStr">
        <is>
          <t xml:space="preserve">place l'enfant de facto dans un CL
point de départ de la sépararion / si l'enfant est appelé à choisir,  danger pour la rupture de lien ou de contact </t>
        </is>
      </c>
    </row>
    <row r="145" ht="176" customHeight="1">
      <c r="A145" s="801" t="inlineStr">
        <is>
          <t>s'active que si B11(entente de garde non-respectée) &gt;=condition de B11</t>
        </is>
      </c>
      <c r="D145" s="399" t="n">
        <v>68</v>
      </c>
      <c r="E145" s="142" t="inlineStr">
        <is>
          <t>PFA38</t>
        </is>
      </c>
      <c r="F145" s="1081" t="inlineStr">
        <is>
          <t xml:space="preserve">Selon vous, quels sont les enjeux les plus importants pour l'autre parent au niveau de la garde des enfants? 
</t>
        </is>
      </c>
      <c r="G145" s="814" t="inlineStr">
        <is>
          <t xml:space="preserve">Selon vous, quels étaient les enjeux les plus importants pour l'autre parent au niveau de la garde des enfants? 
</t>
        </is>
      </c>
      <c r="H145" s="422" t="inlineStr">
        <is>
          <t>- Pension alimentaire (enjeux financiers) 
- Souhaite refaire sa vie / nouvelle vie et vous êtes de trop
- Ne veut pas faire de compromis sur la logistique familiale ou le temps passé avec les enfants 
- Souhaite vous blesser et se venger en vous retirant les enfants
- S'approprie les enfants (désir de garde exclusive)
- Aucun
- Autre (spécifiez)</t>
        </is>
      </c>
      <c r="I145" s="1142" t="n"/>
      <c r="J145" s="460" t="n"/>
      <c r="K145" s="209" t="n"/>
      <c r="L145" s="1990" t="n"/>
      <c r="M145" s="1990" t="n"/>
      <c r="N145" s="961" t="inlineStr">
        <is>
          <t>choix multiple</t>
        </is>
      </c>
      <c r="O145" s="602" t="inlineStr">
        <is>
          <t>-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exclisive)</t>
        </is>
      </c>
      <c r="P145" s="360" t="n"/>
      <c r="Q145" s="360" t="n"/>
      <c r="R145" s="675" t="inlineStr">
        <is>
          <t>n/a</t>
        </is>
      </c>
      <c r="S145" s="676" t="inlineStr">
        <is>
          <t>n/a</t>
        </is>
      </c>
      <c r="T145" s="1615" t="inlineStr">
        <is>
          <t>n/a</t>
        </is>
      </c>
      <c r="U145" s="793" t="inlineStr">
        <is>
          <t>N / A</t>
        </is>
      </c>
      <c r="V145" s="2002" t="n"/>
      <c r="W145" s="471" t="n"/>
      <c r="Y145" s="1082" t="n"/>
      <c r="AD145" s="552" t="inlineStr">
        <is>
          <t>🔶</t>
        </is>
      </c>
      <c r="AG145" s="552" t="inlineStr">
        <is>
          <t>🔴</t>
        </is>
      </c>
      <c r="AH145" s="291" t="n"/>
      <c r="AI145" s="291" t="inlineStr">
        <is>
          <t xml:space="preserve">Un commentaire pour / drapeau rouge pour chaque comportements ? 
- Pension alimentaire (appât du gain ou cupidité)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is>
      </c>
    </row>
    <row r="146" ht="37" customFormat="1" customHeight="1" s="132">
      <c r="A146" s="7" t="n"/>
      <c r="B146" s="7" t="n"/>
      <c r="C146" s="7" t="n"/>
      <c r="D146" s="239" t="n"/>
      <c r="E146" s="1083" t="n"/>
      <c r="F146" s="1084" t="n"/>
      <c r="G146" s="1085" t="n"/>
      <c r="H146" s="1086" t="n"/>
      <c r="I146" s="1086" t="n"/>
      <c r="J146" s="1087" t="n"/>
      <c r="K146" s="1087" t="n"/>
      <c r="L146" s="1087" t="n"/>
      <c r="M146" s="1087" t="n"/>
      <c r="N146" s="1088" t="n"/>
      <c r="O146" s="1089" t="n"/>
      <c r="P146" s="1088" t="n"/>
      <c r="Q146" s="1090">
        <f>SUM(Q79:Q145)</f>
        <v/>
      </c>
      <c r="R146" s="1091" t="inlineStr">
        <is>
          <t>C</t>
        </is>
      </c>
      <c r="S146" s="1092" t="inlineStr">
        <is>
          <t>E</t>
        </is>
      </c>
      <c r="T146" s="1092" t="inlineStr">
        <is>
          <t>V</t>
        </is>
      </c>
      <c r="U146" s="1093" t="n"/>
      <c r="V146" s="2002" t="n"/>
      <c r="W146" s="2002" t="n"/>
      <c r="X146" s="468" t="n"/>
      <c r="Y146" s="1070" t="n"/>
      <c r="Z146" s="57" t="n"/>
      <c r="AA146" s="57" t="n"/>
      <c r="AB146" s="57" t="n"/>
      <c r="AC146" s="57" t="n"/>
      <c r="AD146" s="1254" t="n"/>
      <c r="AE146" s="1245" t="n"/>
      <c r="AF146" s="1245" t="n"/>
      <c r="AG146" s="1246" t="n"/>
      <c r="AH146" s="1247" t="n"/>
      <c r="AI146" s="1248" t="n"/>
      <c r="AJ146" s="7" t="n"/>
      <c r="AK146" s="7" t="n"/>
      <c r="AL146" s="7" t="n"/>
      <c r="AM146" s="7" t="n"/>
      <c r="AN146" s="7" t="n"/>
      <c r="AO146" s="7" t="n"/>
      <c r="AP146" s="7" t="n"/>
      <c r="AQ146" s="7" t="n"/>
      <c r="AR146" s="7" t="n"/>
      <c r="AS146" s="7" t="n"/>
      <c r="AT146" s="7" t="n"/>
      <c r="AU146" s="7" t="n"/>
      <c r="AV146" s="7" t="n"/>
      <c r="AW146" s="7" t="n"/>
      <c r="AX146" s="7" t="n"/>
      <c r="AY146" s="7" t="n"/>
      <c r="AZ146" s="7" t="n"/>
      <c r="BA146" s="7" t="n"/>
      <c r="BB146" s="7" t="n"/>
      <c r="BC146" s="7" t="n"/>
      <c r="BD146" s="7" t="n"/>
      <c r="BE146" s="7" t="n"/>
      <c r="BF146" s="7" t="n"/>
      <c r="BG146" s="7" t="n"/>
      <c r="BH146" s="7" t="n"/>
      <c r="BI146" s="7" t="n"/>
      <c r="BJ146" s="7" t="n"/>
      <c r="BK146" s="7" t="n"/>
      <c r="BL146" s="7" t="n"/>
      <c r="BM146" s="7" t="n"/>
      <c r="BN146" s="7" t="n"/>
      <c r="BO146" s="7" t="n"/>
      <c r="BP146" s="7" t="n"/>
      <c r="BQ146" s="7" t="n"/>
      <c r="BR146" s="7" t="n"/>
      <c r="BS146" s="7" t="n"/>
      <c r="BT146" s="7" t="n"/>
      <c r="BU146" s="7" t="n"/>
      <c r="BV146" s="7" t="n"/>
      <c r="BW146" s="7" t="n"/>
      <c r="BX146" s="7" t="n"/>
      <c r="BY146" s="7" t="n"/>
      <c r="BZ146" s="7" t="n"/>
      <c r="CA146" s="7" t="n"/>
      <c r="CB146" s="7" t="n"/>
      <c r="CC146" s="7" t="n"/>
      <c r="CD146" s="7" t="n"/>
      <c r="CE146" s="7" t="n"/>
      <c r="CF146" s="7" t="n"/>
      <c r="CG146" s="7" t="n"/>
      <c r="CH146" s="7" t="n"/>
      <c r="CI146" s="7" t="n"/>
      <c r="CJ146" s="7" t="n"/>
      <c r="CK146" s="7" t="n"/>
      <c r="CL146" s="7" t="n"/>
      <c r="CM146" s="7" t="n"/>
      <c r="CN146" s="7" t="n"/>
      <c r="CO146" s="7" t="n"/>
      <c r="CP146" s="7" t="n"/>
      <c r="CQ146" s="7" t="n"/>
      <c r="CR146" s="7" t="n"/>
      <c r="CS146" s="7" t="n"/>
    </row>
    <row r="147" ht="40" customHeight="1" thickBot="1">
      <c r="A147" s="74" t="n"/>
      <c r="B147" s="74" t="n"/>
      <c r="C147" s="74" t="n"/>
      <c r="D147" s="1094" t="n"/>
      <c r="E147" s="364" t="n"/>
      <c r="F147" s="365" t="n"/>
      <c r="G147" s="364" t="n"/>
      <c r="H147" s="1095" t="n"/>
      <c r="I147" s="1143" t="n"/>
      <c r="J147" s="1096" t="n"/>
      <c r="K147" s="1097" t="n"/>
      <c r="L147" s="1098" t="n"/>
      <c r="M147" s="1099" t="n"/>
      <c r="N147" s="366" t="n"/>
      <c r="O147" s="1100" t="n"/>
      <c r="P147" s="1101" t="n"/>
      <c r="Q147" s="1101" t="n"/>
      <c r="R147" s="1102" t="n"/>
      <c r="S147" s="1103" t="n"/>
      <c r="T147" s="1104" t="n"/>
      <c r="U147" s="369" t="n"/>
      <c r="V147" s="466" t="n"/>
      <c r="W147" s="466" t="n"/>
      <c r="X147" s="2089" t="n"/>
      <c r="Y147" s="1082" t="n"/>
      <c r="AD147" s="1255" t="n"/>
      <c r="AE147" s="1256" t="n"/>
      <c r="AF147" s="1222" t="n"/>
      <c r="AG147" s="552" t="n"/>
      <c r="AI147" s="552" t="n"/>
    </row>
    <row r="148" ht="40" customHeight="1">
      <c r="D148" s="176" t="inlineStr">
        <is>
          <t>Questionnaire
ENFANT</t>
        </is>
      </c>
      <c r="E148" s="423" t="n"/>
      <c r="F148" s="589" t="n"/>
      <c r="G148" s="560" t="n"/>
      <c r="H148" s="424" t="n"/>
      <c r="I148" s="1144" t="n"/>
      <c r="J148" s="425" t="n"/>
      <c r="K148" s="426" t="n"/>
      <c r="L148" s="613" t="n"/>
      <c r="M148" s="630" t="n"/>
      <c r="N148" s="969" t="n"/>
      <c r="O148" s="603" t="n"/>
      <c r="P148" s="427" t="n"/>
      <c r="Q148" s="427" t="n"/>
      <c r="R148" s="376" t="n"/>
      <c r="S148" s="379" t="n"/>
      <c r="T148" s="380" t="n"/>
      <c r="U148" s="747" t="n"/>
      <c r="V148" s="467" t="n"/>
      <c r="W148" s="467" t="n"/>
      <c r="X148" s="58" t="n"/>
      <c r="Y148" s="1082" t="n"/>
      <c r="AD148" s="1257" t="n"/>
      <c r="AE148" s="1258" t="n"/>
      <c r="AF148" s="1258" t="n"/>
      <c r="AG148" s="1257" t="n"/>
      <c r="AH148" s="1259" t="n"/>
      <c r="AI148" s="1260" t="n"/>
    </row>
    <row r="149" ht="45" customHeight="1">
      <c r="D149" s="1583" t="n">
        <v>1</v>
      </c>
      <c r="E149" s="193" t="inlineStr">
        <is>
          <t>E01</t>
        </is>
      </c>
      <c r="F149" s="101" t="inlineStr">
        <is>
          <t>Comment qualifieriez-vous votre relation (harmonie) et votre degré de complicité avec votre enfant aujourd’hui?</t>
        </is>
      </c>
      <c r="G149" s="1105" t="inlineStr">
        <is>
          <t>Comment qualifieriez-vous votre relation (harmonie) et votre degré de complicité avec votre enfant?</t>
        </is>
      </c>
      <c r="H149" s="271" t="n"/>
      <c r="I149" s="1145" t="n"/>
      <c r="J149" s="133" t="inlineStr">
        <is>
          <t>ATTN : différentiel</t>
        </is>
      </c>
      <c r="K149" s="228" t="n"/>
      <c r="L149" s="614" t="n">
        <v>1</v>
      </c>
      <c r="M149" s="614" t="n"/>
      <c r="N149" s="961" t="inlineStr">
        <is>
          <t>1 à 10</t>
        </is>
      </c>
      <c r="O149" s="952" t="inlineStr">
        <is>
          <t>Aucune (1) à Excellente (10)</t>
        </is>
      </c>
      <c r="P149" s="349">
        <f>Test_Bible!P259</f>
        <v/>
      </c>
      <c r="Q149" s="349">
        <f>Test_Bible!Q259</f>
        <v/>
      </c>
      <c r="R149" s="675" t="inlineStr">
        <is>
          <t>n/a</t>
        </is>
      </c>
      <c r="S149" s="676" t="inlineStr">
        <is>
          <t>n/a</t>
        </is>
      </c>
      <c r="T149" s="1615" t="inlineStr">
        <is>
          <t>n/a</t>
        </is>
      </c>
      <c r="U149" s="748" t="inlineStr">
        <is>
          <t>A:Alliance</t>
        </is>
      </c>
      <c r="V149" s="2002" t="n"/>
      <c r="W149" s="471" t="n"/>
      <c r="X149" s="468" t="n"/>
      <c r="Y149" s="1082" t="n"/>
      <c r="AD149" s="1234" t="inlineStr">
        <is>
          <t> </t>
        </is>
      </c>
      <c r="AE149" s="1235" t="n"/>
      <c r="AF149" s="1235" t="n"/>
      <c r="AG149" s="1234" t="inlineStr">
        <is>
          <t> </t>
        </is>
      </c>
      <c r="AH149" s="1236" t="n"/>
      <c r="AI149" s="1237" t="n"/>
    </row>
    <row r="150" ht="49" customHeight="1">
      <c r="D150" s="1583" t="n">
        <v>2</v>
      </c>
      <c r="E150" s="314" t="inlineStr">
        <is>
          <t>E02</t>
        </is>
      </c>
      <c r="F150" s="101" t="inlineStr">
        <is>
          <t>Dans quelle mesure diriez-vous que votre enfant idéalise (aujourd'hui) l’autre parent?</t>
        </is>
      </c>
      <c r="G150" s="1106" t="inlineStr">
        <is>
          <t>Dans quelle mesure diriez-vous que votre enfant idéalisait l’autre parent?</t>
        </is>
      </c>
      <c r="H150" s="272" t="n"/>
      <c r="I150" s="1146" t="n"/>
      <c r="J150" s="133" t="inlineStr">
        <is>
          <t>ATTN : différentiel &gt;=5</t>
        </is>
      </c>
      <c r="K150" s="228" t="n">
        <v>6</v>
      </c>
      <c r="L150" s="614" t="n">
        <v>1</v>
      </c>
      <c r="M150" s="614" t="n"/>
      <c r="N150" s="961" t="inlineStr">
        <is>
          <t>1 à 10</t>
        </is>
      </c>
      <c r="O150" s="952" t="inlineStr">
        <is>
          <t>Aucune (1) à Excellente (10)</t>
        </is>
      </c>
      <c r="P150" s="349">
        <f>Test_Bible!P260</f>
        <v/>
      </c>
      <c r="Q150" s="349">
        <f>Test_Bible!Q260</f>
        <v/>
      </c>
      <c r="R150" s="675" t="inlineStr">
        <is>
          <t>n/a</t>
        </is>
      </c>
      <c r="S150" s="676" t="inlineStr">
        <is>
          <t>n/a</t>
        </is>
      </c>
      <c r="T150" s="1615" t="inlineStr">
        <is>
          <t>n/a</t>
        </is>
      </c>
      <c r="U150" s="749" t="inlineStr">
        <is>
          <t>A:Alliance</t>
        </is>
      </c>
      <c r="V150" s="2002" t="n"/>
      <c r="W150" s="471" t="n"/>
      <c r="Y150" s="1082" t="n"/>
      <c r="AD150" s="552" t="inlineStr">
        <is>
          <t>🔶</t>
        </is>
      </c>
      <c r="AG150" s="1221" t="n"/>
      <c r="AH150" s="1053" t="n"/>
      <c r="AI150" s="1055" t="n"/>
    </row>
    <row r="151" ht="58" customHeight="1">
      <c r="B151" s="124" t="inlineStr">
        <is>
          <t>sq1 (s'active si E02&gt;=condition)</t>
        </is>
      </c>
      <c r="D151" s="1583" t="n">
        <v>3</v>
      </c>
      <c r="E151" s="195" t="inlineStr">
        <is>
          <t>E02a</t>
        </is>
      </c>
      <c r="F151" s="302" t="inlineStr">
        <is>
          <t>Dans quelle mesure diriez-vous que la relation entre votre enfant et l'autre parent est fusionnelle?</t>
        </is>
      </c>
      <c r="G151" s="1107" t="inlineStr">
        <is>
          <t>Dans quelle mesure diriez-vous que la relation entre votre enfant et l'autre parent était fusionnelle?</t>
        </is>
      </c>
      <c r="H151" s="269" t="n"/>
      <c r="I151" s="1147" t="n"/>
      <c r="J151" s="172" t="inlineStr">
        <is>
          <t>Diff | sq1</t>
        </is>
      </c>
      <c r="K151" s="243" t="n"/>
      <c r="L151" s="614" t="n">
        <v>1</v>
      </c>
      <c r="M151" s="614" t="n"/>
      <c r="N151" s="961" t="inlineStr">
        <is>
          <t>1 à 10</t>
        </is>
      </c>
      <c r="O151" s="952" t="inlineStr">
        <is>
          <t>Aucune (1) à Excellente (10)</t>
        </is>
      </c>
      <c r="P151" s="349">
        <f>Test_Bible!P261</f>
        <v/>
      </c>
      <c r="Q151" s="349">
        <f>Test_Bible!Q261</f>
        <v/>
      </c>
      <c r="R151" s="675" t="inlineStr">
        <is>
          <t>n/a</t>
        </is>
      </c>
      <c r="S151" s="676" t="inlineStr">
        <is>
          <t>n/a</t>
        </is>
      </c>
      <c r="T151" s="1615" t="inlineStr">
        <is>
          <t>n/a</t>
        </is>
      </c>
      <c r="U151" s="750" t="inlineStr">
        <is>
          <t>A:Alliance</t>
        </is>
      </c>
      <c r="V151" s="2002" t="n"/>
      <c r="W151" s="471" t="n"/>
      <c r="X151" s="468" t="n"/>
      <c r="Y151" s="1082" t="n"/>
      <c r="AD151" s="1230" t="inlineStr">
        <is>
          <t>🔶</t>
        </is>
      </c>
      <c r="AE151" s="1239" t="inlineStr">
        <is>
          <t>"définir relation fusionnelle + Mise en garde d'une relation fusionelle non intentionnelle … patience et bienveillance de mise 
(ex.: Frédéric J + Nancy N) + recommandation médiation  "</t>
        </is>
      </c>
      <c r="AF151" s="1231" t="n"/>
      <c r="AG151" s="1234" t="inlineStr">
        <is>
          <t> </t>
        </is>
      </c>
      <c r="AH151" s="1236" t="n"/>
      <c r="AI151" s="1237" t="n"/>
    </row>
    <row r="152" ht="70" customHeight="1">
      <c r="D152" s="1583" t="n">
        <v>4</v>
      </c>
      <c r="E152" s="194" t="inlineStr">
        <is>
          <t>E03</t>
        </is>
      </c>
      <c r="F152" s="101" t="inlineStr">
        <is>
          <t>Dans quelle mesure cet énoncé s'applique à votre situation? Votre enfant garde des secrets et vous cache de l'information concernant sa relation avec l'autre parent.</t>
        </is>
      </c>
      <c r="G152" s="1105" t="inlineStr">
        <is>
          <t>Dans quelle mesure cet énoncé s'applique à votre situation? Votre enfant gardait des secrets et vous cachait de l'information concernant sa relation avec l'autre parent.</t>
        </is>
      </c>
      <c r="H152" s="273" t="n"/>
      <c r="I152" s="1148" t="n"/>
      <c r="J152" s="148" t="inlineStr">
        <is>
          <t>&gt;=3</t>
        </is>
      </c>
      <c r="K152" s="241" t="n">
        <v>4</v>
      </c>
      <c r="L152" s="593" t="n">
        <v>1</v>
      </c>
      <c r="M152" s="593" t="n"/>
      <c r="N152" s="961" t="inlineStr">
        <is>
          <t>E3A</t>
        </is>
      </c>
      <c r="O152" s="2059" t="inlineStr">
        <is>
          <t xml:space="preserve">Jamais / Rarement / Occasionnellement / Régulièrement / Souvent / Toujours / S.O. </t>
        </is>
      </c>
      <c r="P152" s="350">
        <f>Test_Bible!P263</f>
        <v/>
      </c>
      <c r="Q152" s="350">
        <f>Test_Bible!Q263</f>
        <v/>
      </c>
      <c r="R152" s="359" t="n">
        <v>0.5</v>
      </c>
      <c r="S152" s="676" t="n">
        <v>0.5</v>
      </c>
      <c r="T152" s="677" t="n">
        <v>0</v>
      </c>
      <c r="U152" s="750" t="inlineStr">
        <is>
          <t>A:Alliance</t>
        </is>
      </c>
      <c r="V152" s="6" t="n">
        <v>1</v>
      </c>
      <c r="W152" s="471" t="n"/>
      <c r="X152" s="468" t="n"/>
      <c r="Y152" s="1082" t="n"/>
      <c r="AD152" s="552" t="inlineStr">
        <is>
          <t>🔶</t>
        </is>
      </c>
      <c r="AE152" s="1224" t="inlineStr">
        <is>
          <t xml:space="preserve">notion conflit de loyauté + il est possible pour certains enfants de choisir de ne pas révéler instinctivement ce qui se passe chez l'autre parent pour ne pas être exposer à un "interrogaoire" ou encore pour ne pas décevoir ou peiner son parent lorsqu'il lui révèle, par exemple, qu'il a eu du plaisir en compagnie de l'autre parent ou en son absence. 
impact sur un enfant de garder des secrets / importance d'intervenir pour soulager l'enfant de la pression / ne pas culpabiliser et ne pas presser l'enfant de ne pas 
ATTN à l'âge, un enfant en bas âge (petite enfance) qui est appelé à se réguler de la sorte ou à protéger son ou ses parents de tels informations se trouve certainement en conflit de loyauté. </t>
        </is>
      </c>
      <c r="AF152" s="1224" t="n"/>
      <c r="AG152" s="1230" t="inlineStr">
        <is>
          <t>🔴</t>
        </is>
      </c>
      <c r="AH152" s="1232" t="n"/>
      <c r="AI152" s="1233" t="n"/>
    </row>
    <row r="153" ht="69" customHeight="1">
      <c r="B153" s="124" t="inlineStr">
        <is>
          <t>sq1 (s'active si E03&gt;=condition)</t>
        </is>
      </c>
      <c r="D153" s="1583" t="n">
        <v>5</v>
      </c>
      <c r="E153" s="195" t="inlineStr">
        <is>
          <t>E03a</t>
        </is>
      </c>
      <c r="F153" s="302" t="inlineStr">
        <is>
          <t xml:space="preserve">Dans quelle mesure cet énoncé s'applique à votre situation? Votre enfant a reçu l’ordre de ne pas vous raconter ce qui se passe chez l’autre parent. </t>
        </is>
      </c>
      <c r="G153" s="1107" t="inlineStr">
        <is>
          <t xml:space="preserve">Dans quelle mesure cet énoncé s'applique à votre situation? Votre enfant avait reçu l’ordre de ne pas vous raconter ce qui se passe chez l’autre parent. </t>
        </is>
      </c>
      <c r="H153" s="274" t="n"/>
      <c r="I153" s="1149" t="n"/>
      <c r="J153" s="149" t="inlineStr">
        <is>
          <t>sq1</t>
        </is>
      </c>
      <c r="K153" s="242" t="n"/>
      <c r="L153" s="608" t="n">
        <v>2</v>
      </c>
      <c r="M153" s="608" t="n"/>
      <c r="N153" s="961" t="n"/>
      <c r="O153" s="1606" t="inlineStr">
        <is>
          <t>Nulle / Très faible / Faible / Moyenne / Élevé / Très élevé / S.O.</t>
        </is>
      </c>
      <c r="P153" s="350">
        <f>Test_Bible!P264</f>
        <v/>
      </c>
      <c r="Q153" s="350">
        <f>Test_Bible!Q264</f>
        <v/>
      </c>
      <c r="R153" s="359" t="n">
        <v>0.5</v>
      </c>
      <c r="S153" s="676" t="n">
        <v>0.5</v>
      </c>
      <c r="T153" s="677" t="n">
        <v>0</v>
      </c>
      <c r="U153" s="750" t="inlineStr">
        <is>
          <t>A:Alliance</t>
        </is>
      </c>
      <c r="V153" s="6" t="n">
        <v>1</v>
      </c>
      <c r="W153" s="471" t="n"/>
      <c r="X153" s="468" t="n"/>
      <c r="Y153" s="1082" t="n"/>
      <c r="AD153" s="1234" t="inlineStr">
        <is>
          <t> </t>
        </is>
      </c>
      <c r="AE153" s="1235" t="n"/>
      <c r="AF153" s="1235" t="n"/>
      <c r="AG153" s="1234" t="inlineStr">
        <is>
          <t> </t>
        </is>
      </c>
      <c r="AH153" s="1236" t="n"/>
      <c r="AI153" s="1237" t="n"/>
    </row>
    <row r="154" ht="68" customHeight="1">
      <c r="A154" s="1804" t="inlineStr">
        <is>
          <t>S'active si B12a = conflit +++</t>
        </is>
      </c>
      <c r="D154" s="1583" t="n">
        <v>6</v>
      </c>
      <c r="E154" s="194" t="inlineStr">
        <is>
          <t>E04</t>
        </is>
      </c>
      <c r="F154" s="101" t="inlineStr">
        <is>
          <t xml:space="preserve">Dans quelle mesure êtes-vous d'accord avec l'énoncé suivant ? Votre enfant défend systématiquement l'autre parent, quoi que vous fassiez, quoi que vous disiez. </t>
        </is>
      </c>
      <c r="G154" s="1105" t="inlineStr">
        <is>
          <t xml:space="preserve">Dans quelle mesure êtes-vous d'accord avec l'énoncé suivant? Votre enfant défendait systématiquement l'autre parent, quoi que vous fassiez, quoi que vous disiez. </t>
        </is>
      </c>
      <c r="H154" s="273" t="n"/>
      <c r="I154" s="1148" t="n"/>
      <c r="J154" s="148" t="inlineStr">
        <is>
          <t>&gt;=3</t>
        </is>
      </c>
      <c r="K154" s="241" t="n">
        <v>4</v>
      </c>
      <c r="L154" s="608" t="n">
        <v>2</v>
      </c>
      <c r="M154" s="608" t="n"/>
      <c r="N154" s="961" t="inlineStr">
        <is>
          <t>E3A</t>
        </is>
      </c>
      <c r="O154" s="597" t="inlineStr">
        <is>
          <t>Pas du tout d’accord / Pas d’accord / Ni d’accord, ni pas d’accord / Partiellement d’accord / D’accord / Tout à fait d’accord / S.O.</t>
        </is>
      </c>
      <c r="P154" s="350">
        <f>Test_Bible!P265</f>
        <v/>
      </c>
      <c r="Q154" s="350">
        <f>Test_Bible!Q265</f>
        <v/>
      </c>
      <c r="R154" s="359" t="n">
        <v>0.5</v>
      </c>
      <c r="S154" s="676" t="n">
        <v>0.5</v>
      </c>
      <c r="T154" s="677" t="n">
        <v>0</v>
      </c>
      <c r="U154" s="750" t="inlineStr">
        <is>
          <t>A:Alliance</t>
        </is>
      </c>
      <c r="V154" s="6" t="n">
        <v>1</v>
      </c>
      <c r="W154" s="471" t="n"/>
      <c r="X154" s="468" t="n"/>
      <c r="Y154" s="1082" t="n"/>
      <c r="AD154" s="1234" t="inlineStr">
        <is>
          <t> </t>
        </is>
      </c>
      <c r="AE154" s="1235" t="n"/>
      <c r="AF154" s="1235" t="n"/>
      <c r="AG154" s="1234" t="inlineStr">
        <is>
          <t> </t>
        </is>
      </c>
      <c r="AH154" s="1236" t="n"/>
      <c r="AI154" s="1237" t="n"/>
    </row>
    <row r="155" ht="82" customHeight="1">
      <c r="B155" s="124" t="inlineStr">
        <is>
          <t>sq1 (s'active si E04&gt;=condition)</t>
        </is>
      </c>
      <c r="D155" s="1583" t="n">
        <v>7</v>
      </c>
      <c r="E155" s="195" t="inlineStr">
        <is>
          <t>E04a</t>
        </is>
      </c>
      <c r="F155" s="302" t="inlineStr">
        <is>
          <t>Dans quelle mesure êtes-vous d'accord avec l'énoncé suivant? Aux yeux de votre enfant, tout ce que fait l'autre parent est bien, voire parfait, et tout ce que vous faites est mauvais ou sujet à critiques.</t>
        </is>
      </c>
      <c r="G155" s="1107" t="inlineStr">
        <is>
          <t>Dans quelle mesure êtes-vous d'accord avec l'énoncé suivant? Aux yeux de votre enfant, tout ce que faisait l'autre parent était bien, voire parfait, et tout ce que vous faisiez était mauvais ou sujet à critiques.</t>
        </is>
      </c>
      <c r="H155" s="269" t="n"/>
      <c r="I155" s="1147" t="n"/>
      <c r="J155" s="149" t="inlineStr">
        <is>
          <t>sq1</t>
        </is>
      </c>
      <c r="K155" s="242" t="n"/>
      <c r="L155" s="607" t="n">
        <v>3</v>
      </c>
      <c r="M155" s="607" t="n"/>
      <c r="N155" s="961" t="inlineStr">
        <is>
          <t>E3A</t>
        </is>
      </c>
      <c r="O155" s="597" t="inlineStr">
        <is>
          <t>Pas du tout d’accord / Pas d’accord / Ni d’accord, ni pas d’accord / Partiellement d’accord / D’accord / Tout à fait d’accord / S.O.</t>
        </is>
      </c>
      <c r="P155" s="350">
        <f>Test_Bible!P266</f>
        <v/>
      </c>
      <c r="Q155" s="350">
        <f>Test_Bible!Q266</f>
        <v/>
      </c>
      <c r="R155" s="359" t="n">
        <v>0</v>
      </c>
      <c r="S155" s="676" t="n">
        <v>1</v>
      </c>
      <c r="T155" s="677" t="n">
        <v>0</v>
      </c>
      <c r="U155" s="750" t="inlineStr">
        <is>
          <t>A:Alliance</t>
        </is>
      </c>
      <c r="V155" s="6" t="n">
        <v>1</v>
      </c>
      <c r="W155" s="471" t="n"/>
      <c r="X155" s="468" t="n"/>
      <c r="Y155" s="1082" t="n"/>
      <c r="AD155" s="1234" t="inlineStr">
        <is>
          <t> </t>
        </is>
      </c>
      <c r="AE155" s="1235" t="n"/>
      <c r="AF155" s="1235" t="n"/>
      <c r="AG155" s="1234" t="inlineStr">
        <is>
          <t> </t>
        </is>
      </c>
      <c r="AH155" s="1236" t="n"/>
      <c r="AI155" s="1237" t="n"/>
    </row>
    <row r="156" ht="69" customHeight="1">
      <c r="D156" s="1583" t="n">
        <v>8</v>
      </c>
      <c r="E156" s="194" t="inlineStr">
        <is>
          <t>E05</t>
        </is>
      </c>
      <c r="F156" s="101" t="inlineStr">
        <is>
          <t>Dans quelle mesure diriez-vous que votre enfant emprunte des paroles ou des expressions à l’autre parent pour exprimer sa pensée?</t>
        </is>
      </c>
      <c r="G156" s="1105" t="inlineStr">
        <is>
          <t>Dans quelle mesure diriez-vous que votre enfant s’exprimait avec des expressions ou des paroles empruntées à l’autre parent?</t>
        </is>
      </c>
      <c r="H156" s="275" t="n"/>
      <c r="I156" s="1150" t="n"/>
      <c r="J156" s="148" t="inlineStr">
        <is>
          <t>&gt;=3</t>
        </is>
      </c>
      <c r="K156" s="241" t="n">
        <v>4</v>
      </c>
      <c r="L156" s="608" t="n">
        <v>2</v>
      </c>
      <c r="M156" s="608" t="n"/>
      <c r="N156" s="961" t="inlineStr">
        <is>
          <t>E1A</t>
        </is>
      </c>
      <c r="O156" s="2059" t="inlineStr">
        <is>
          <t xml:space="preserve">Jamais / Rarement / Occasionnellement / Régulièrement / Souvent / Toujours / S.O. </t>
        </is>
      </c>
      <c r="P156" s="350">
        <f>Test_Bible!P267</f>
        <v/>
      </c>
      <c r="Q156" s="350">
        <f>Test_Bible!Q267</f>
        <v/>
      </c>
      <c r="R156" s="359" t="n">
        <v>0</v>
      </c>
      <c r="S156" s="676" t="n">
        <v>0</v>
      </c>
      <c r="T156" s="677" t="n">
        <v>1</v>
      </c>
      <c r="U156" s="750" t="inlineStr">
        <is>
          <t>A:Alliance</t>
        </is>
      </c>
      <c r="V156" s="6" t="n">
        <v>1</v>
      </c>
      <c r="W156" s="471" t="n"/>
      <c r="Y156" s="1082" t="n"/>
      <c r="AD156" s="1234" t="inlineStr">
        <is>
          <t> </t>
        </is>
      </c>
      <c r="AE156" s="1235" t="n"/>
      <c r="AF156" s="1235" t="n"/>
      <c r="AG156" s="1234" t="inlineStr">
        <is>
          <t> </t>
        </is>
      </c>
      <c r="AH156" s="1236" t="n"/>
      <c r="AI156" s="1237" t="n"/>
    </row>
    <row r="157" ht="105" customHeight="1">
      <c r="B157" s="124" t="inlineStr">
        <is>
          <t>sq1 (s'active si E05&gt;=condition)</t>
        </is>
      </c>
      <c r="D157" s="1583" t="n">
        <v>9</v>
      </c>
      <c r="E157" s="195" t="inlineStr">
        <is>
          <t>E05a</t>
        </is>
      </c>
      <c r="F157" s="302" t="inlineStr">
        <is>
          <t xml:space="preserve">Dans quels contextes ou à quelles occasions cela se produit-il ?
</t>
        </is>
      </c>
      <c r="G157" s="1077" t="inlineStr">
        <is>
          <t xml:space="preserve">Dans quels contextes ou à quelles occasions cela se produisait-il ?
</t>
        </is>
      </c>
      <c r="H157" s="533" t="inlineStr">
        <is>
          <t xml:space="preserve">- Au retour d'un séjour (garde) de l'autre parent
- Lorsque l'enfant est en présence de l'autre parent
- Lorsque mon enfant cherche à me convaincre de passer plus de temps chez l'autre parent 
- Lorsque mon enfant me fait des reproches 
 </t>
        </is>
      </c>
      <c r="I157" s="1163" t="inlineStr">
        <is>
          <t xml:space="preserve">- Au retour d'un séjour (garde) de l'autre parent
- Lorsque l'enfant était en présence de l'autre parent.
- Lorsque mon enfant cherchait à me convaincre de passer plus de temps chez l'autre parent. 
- Lorsque mon enfant me faisait des reproches. 
 </t>
        </is>
      </c>
      <c r="J157" s="149" t="inlineStr">
        <is>
          <t>sq1</t>
        </is>
      </c>
      <c r="K157" s="242" t="n"/>
      <c r="L157" s="608" t="n"/>
      <c r="M157" s="608" t="n"/>
      <c r="N157" s="961" t="inlineStr">
        <is>
          <t>Choix multiples+E1A</t>
        </is>
      </c>
      <c r="O157" s="602" t="inlineStr">
        <is>
          <t>- Au retour d'un séjour (garde) de l'autre parent
- Lorsque l'enfant est en présence de l'autre parent
- Lorsque mon enfant cherche à me convaincre de passer plus de temps chez l'autre parent 
- Lprsque mon enfant me fait des reproches</t>
        </is>
      </c>
      <c r="P157" s="339" t="n"/>
      <c r="Q157" s="339" t="n"/>
      <c r="R157" s="675" t="inlineStr">
        <is>
          <t>n/a</t>
        </is>
      </c>
      <c r="S157" s="676" t="inlineStr">
        <is>
          <t>n/a</t>
        </is>
      </c>
      <c r="T157" s="1615" t="inlineStr">
        <is>
          <t>n/a</t>
        </is>
      </c>
      <c r="U157" s="750" t="inlineStr">
        <is>
          <t>A:Alliance</t>
        </is>
      </c>
      <c r="V157" s="6" t="n">
        <v>1</v>
      </c>
      <c r="W157" s="471" t="n"/>
      <c r="X157" s="459" t="n"/>
      <c r="Y157" s="1070" t="n"/>
      <c r="AD157" s="1234" t="inlineStr">
        <is>
          <t> </t>
        </is>
      </c>
      <c r="AE157" s="1235" t="n"/>
      <c r="AF157" s="1235" t="n"/>
      <c r="AG157" s="1234" t="inlineStr">
        <is>
          <t> </t>
        </is>
      </c>
      <c r="AH157" s="1236" t="n"/>
      <c r="AI157" s="1237" t="n"/>
    </row>
    <row r="158" ht="91" customHeight="1">
      <c r="A158" s="1804" t="inlineStr">
        <is>
          <t>S'active si B12a = conflit +++</t>
        </is>
      </c>
      <c r="C158" s="935" t="inlineStr">
        <is>
          <t>intensité 1 si temps de séparation (B06) &lt; 2 ans;
Intensité 1 si temps de séparation (B06) &gt; 2 ans;</t>
        </is>
      </c>
      <c r="D158" s="1583" t="n">
        <v>10</v>
      </c>
      <c r="E158" s="194" t="inlineStr">
        <is>
          <t>E06</t>
        </is>
      </c>
      <c r="F158" s="1687" t="inlineStr">
        <is>
          <t>Dans quelle mesure diriez-vous que votre enfant vous accuse ou vous reproche d'avoir trompé ou abandonné la famille ?</t>
        </is>
      </c>
      <c r="G158" s="1105" t="inlineStr">
        <is>
          <t>Dans quelle mesure diriez-vous que votre enfant vous accusait ou vous reprochait d'avoir abandonné la famille?</t>
        </is>
      </c>
      <c r="H158" s="275" t="n"/>
      <c r="I158" s="1150" t="n"/>
      <c r="J158" s="148" t="inlineStr">
        <is>
          <t>&gt;=3</t>
        </is>
      </c>
      <c r="K158" s="241" t="n">
        <v>4</v>
      </c>
      <c r="L158" s="593" t="n">
        <v>1</v>
      </c>
      <c r="M158" s="632" t="n">
        <v>2</v>
      </c>
      <c r="N158" s="961" t="inlineStr">
        <is>
          <t>E1A</t>
        </is>
      </c>
      <c r="O158" s="2059" t="inlineStr">
        <is>
          <t xml:space="preserve">Jamais / Rarement / Occasionnellement / Régulièrement / Très souvent / Toujours / S.O. </t>
        </is>
      </c>
      <c r="P158" s="350">
        <f>Test_Bible!P273</f>
        <v/>
      </c>
      <c r="Q158" s="350">
        <f>Test_Bible!Q273</f>
        <v/>
      </c>
      <c r="R158" s="359" t="n">
        <v>0</v>
      </c>
      <c r="S158" s="1614" t="n">
        <v>0.5</v>
      </c>
      <c r="T158" s="1615" t="n">
        <v>0.5</v>
      </c>
      <c r="U158" s="751" t="inlineStr">
        <is>
          <t>B:Altération/dévoiement de la réalité</t>
        </is>
      </c>
      <c r="V158" s="2002" t="n"/>
      <c r="W158" s="1280" t="n">
        <v>1</v>
      </c>
      <c r="X158" s="468" t="n"/>
      <c r="Y158" s="1082" t="n"/>
      <c r="AD158" s="1230" t="inlineStr">
        <is>
          <t>🔶</t>
        </is>
      </c>
      <c r="AE158" s="1239" t="inlineStr">
        <is>
          <t xml:space="preserve">Note : 
Je crois qu'on peut se permettre de faire un peu d'éducation, ici.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t>
        </is>
      </c>
      <c r="AF158" s="1239" t="n"/>
      <c r="AG158" s="1230" t="inlineStr">
        <is>
          <t>🔴</t>
        </is>
      </c>
      <c r="AH158" s="1232" t="n"/>
      <c r="AI158" s="1239" t="inlineStr">
        <is>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59" ht="74" customHeight="1">
      <c r="B159" s="124" t="inlineStr">
        <is>
          <t>sq1 (s'active si E06&gt;=condition) OU b11c4=1</t>
        </is>
      </c>
      <c r="D159" s="1583" t="n">
        <v>11</v>
      </c>
      <c r="E159" s="195" t="inlineStr">
        <is>
          <t>E06a</t>
        </is>
      </c>
      <c r="F159" s="302" t="inlineStr">
        <is>
          <t>Évaluez la fréquence ou l'intensité de l'énoncé : votre enfant croit que vous souffrez d’une maladie mentale ou que vous êtes instable psychologiquement.</t>
        </is>
      </c>
      <c r="G159" s="1107" t="inlineStr">
        <is>
          <t>Évaluez la fréquence ou l'intensité de l'énoncé : votre enfant croyait que vous souffriez d’une maladie mentale ou que vous étiez instable psychologiquement.</t>
        </is>
      </c>
      <c r="H159" s="269" t="n"/>
      <c r="I159" s="1147" t="n"/>
      <c r="J159" s="149" t="inlineStr">
        <is>
          <t>sq1</t>
        </is>
      </c>
      <c r="K159" s="242" t="n">
        <v>4</v>
      </c>
      <c r="L159" s="607" t="n">
        <v>3</v>
      </c>
      <c r="M159" s="607" t="n"/>
      <c r="N159" s="961" t="inlineStr">
        <is>
          <t>E4A</t>
        </is>
      </c>
      <c r="O159" s="597" t="inlineStr">
        <is>
          <t>Nulle / Très faible / Faible / Moyenne / Élevé / Très élevé / S.O.</t>
        </is>
      </c>
      <c r="P159" s="350">
        <f>Test_Bible!P274</f>
        <v/>
      </c>
      <c r="Q159" s="350">
        <f>Test_Bible!Q274</f>
        <v/>
      </c>
      <c r="R159" s="359" t="n">
        <v>0</v>
      </c>
      <c r="S159" s="676" t="n">
        <v>1</v>
      </c>
      <c r="T159" s="677" t="n">
        <v>0</v>
      </c>
      <c r="U159" s="751" t="inlineStr">
        <is>
          <t>B:Altération/dévoiement de la réalité</t>
        </is>
      </c>
      <c r="V159" s="2002" t="n"/>
      <c r="W159" s="1280" t="n">
        <v>1</v>
      </c>
      <c r="X159" s="468" t="n"/>
      <c r="Y159" s="1082" t="n"/>
      <c r="AD159" s="1230" t="inlineStr">
        <is>
          <t>🔶</t>
        </is>
      </c>
      <c r="AE159" s="1261" t="inlineStr">
        <is>
          <t xml:space="preserve">Idem ? Texte adapté pour la maladie mentale / instabilité psychologique ? </t>
        </is>
      </c>
      <c r="AF159" s="1231" t="n"/>
      <c r="AG159" s="1230" t="inlineStr">
        <is>
          <t>🔴</t>
        </is>
      </c>
      <c r="AH159" s="1232" t="n"/>
      <c r="AI159" s="1239" t="inlineStr">
        <is>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60" ht="65" customHeight="1">
      <c r="B160" s="124" t="inlineStr">
        <is>
          <t>sq2 (s'active si E06a&gt;=condition)</t>
        </is>
      </c>
      <c r="D160" s="1583" t="n">
        <v>12</v>
      </c>
      <c r="E160" s="195" t="inlineStr">
        <is>
          <t>E06a1</t>
        </is>
      </c>
      <c r="F160" s="302" t="inlineStr">
        <is>
          <t>Évaluez la fréquence ou l'intensité de l'énoncé : votre enfant vous reproche ou vous accuse d'être dangereux.se ou de présenter un danger pour sa sécurité.</t>
        </is>
      </c>
      <c r="G160" s="1107" t="inlineStr">
        <is>
          <t>Évaluez la fréquence ou l'intensité de l'énoncé : votre enfant vous reprochait ou vous accusait d'être dangereux.se ou de présenter un danger pour sa sécurité.</t>
        </is>
      </c>
      <c r="H160" s="269" t="n"/>
      <c r="I160" s="1147" t="n"/>
      <c r="J160" s="149" t="inlineStr">
        <is>
          <t>sq2</t>
        </is>
      </c>
      <c r="K160" s="242" t="n"/>
      <c r="L160" s="607" t="n">
        <v>3</v>
      </c>
      <c r="M160" s="607" t="n"/>
      <c r="N160" s="961" t="inlineStr">
        <is>
          <t>E4A</t>
        </is>
      </c>
      <c r="O160" s="597" t="inlineStr">
        <is>
          <t>Nulle / Très faible / Faible / Moyenne / Élevé / Très élevé / S.O.</t>
        </is>
      </c>
      <c r="P160" s="350">
        <f>Test_Bible!P275</f>
        <v/>
      </c>
      <c r="Q160" s="350">
        <f>Test_Bible!Q275</f>
        <v/>
      </c>
      <c r="R160" s="359" t="n">
        <v>0</v>
      </c>
      <c r="S160" s="1614" t="n">
        <v>0.5</v>
      </c>
      <c r="T160" s="1615" t="n">
        <v>0.5</v>
      </c>
      <c r="U160" s="751" t="inlineStr">
        <is>
          <t>B:Altération/dévoiement de la réalité</t>
        </is>
      </c>
      <c r="V160" s="2002" t="n"/>
      <c r="W160" s="1280" t="n">
        <v>1</v>
      </c>
      <c r="X160" s="459" t="n"/>
      <c r="Y160" s="1070" t="n"/>
      <c r="AD160" s="1230" t="inlineStr">
        <is>
          <t>🔶</t>
        </is>
      </c>
      <c r="AE160" s="1261" t="inlineStr">
        <is>
          <t xml:space="preserve">Idem ? Texte adapté pour la dangerosité ? </t>
        </is>
      </c>
      <c r="AF160" s="1235" t="n"/>
      <c r="AG160" s="1230" t="inlineStr">
        <is>
          <t>🔴</t>
        </is>
      </c>
      <c r="AH160" s="1232" t="n"/>
      <c r="AI160" s="1239" t="inlineStr">
        <is>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61" ht="63" customHeight="1">
      <c r="D161" s="1583" t="n">
        <v>13</v>
      </c>
      <c r="E161" s="194" t="inlineStr">
        <is>
          <t>E07</t>
        </is>
      </c>
      <c r="F161" s="101" t="inlineStr">
        <is>
          <t>Dans quelle mesure cet énoncé s'applique à votre situation? Votre enfant se sent coupable de passer du temps avec vous car cela indispose, contrarie ou fait de la peine à l'autre parent.</t>
        </is>
      </c>
      <c r="G161" s="1105" t="inlineStr">
        <is>
          <t>Dans quelle mesure cet énoncé s'applique à votre situation? Votre enfant se sentait coupable de passer du temps avec vous car cela indisposait, contrariait ou faisait de la peine à l'autre parent.</t>
        </is>
      </c>
      <c r="H161" s="275" t="n"/>
      <c r="I161" s="1150" t="n"/>
      <c r="J161" s="150" t="inlineStr">
        <is>
          <t> </t>
        </is>
      </c>
      <c r="K161" s="244" t="n"/>
      <c r="L161" s="593" t="n">
        <v>1</v>
      </c>
      <c r="M161" s="593" t="n"/>
      <c r="N161" s="961" t="inlineStr">
        <is>
          <t>E3A</t>
        </is>
      </c>
      <c r="O161" s="597" t="inlineStr">
        <is>
          <t>Pas du tout d’accord / Pas d’accord / Ni d’accord, ni pas d’accord / Partiellement d’accord / D’accord / Tout à fait d’accord / S.O.</t>
        </is>
      </c>
      <c r="P161" s="350">
        <f>Test_Bible!P276</f>
        <v/>
      </c>
      <c r="Q161" s="350">
        <f>Test_Bible!Q276</f>
        <v/>
      </c>
      <c r="R161" s="359" t="n">
        <v>0</v>
      </c>
      <c r="S161" s="676" t="n">
        <v>1</v>
      </c>
      <c r="T161" s="1615" t="n">
        <v>0</v>
      </c>
      <c r="U161" s="740" t="inlineStr">
        <is>
          <t>C: Chantage affectif, loyauté, manipulation</t>
        </is>
      </c>
      <c r="V161" s="2002" t="n"/>
      <c r="W161" s="471" t="n"/>
      <c r="X161" s="1284" t="n">
        <v>1</v>
      </c>
      <c r="Y161" s="1082" t="n"/>
      <c r="AD161" s="1230" t="inlineStr">
        <is>
          <t>🔶</t>
        </is>
      </c>
      <c r="AE161" s="1239" t="inlineStr">
        <is>
          <t>Notion de conflit de loyauté et de parentification. 
Il est important de rassurer un enfant et l'amner à retrouver sa "position" d'enfant et non de "parent de son parent". 
https://www.psychologies.com/Famille/Relations-familiales/Parents/Articles-et-Dossiers/Parentification-de-l-enfant-ces-parents-qui-inversent-les-roles</t>
        </is>
      </c>
      <c r="AF161" s="1239" t="n"/>
      <c r="AG161" s="1230" t="inlineStr">
        <is>
          <t>🔴</t>
        </is>
      </c>
      <c r="AH161" s="1232" t="n"/>
      <c r="AI161" s="1262" t="inlineStr">
        <is>
          <t xml:space="preserve">Selon le degré … notion de CL + parentification volontaire ou involontaire ?  
Iván Boszormenyi-Nagy et Geraldine M. Sparks, dans leur ouvrage Invisible loyalties (Routledge)
https://www.psychologies.com/Famille/Relations-familiales/Parents/Articles-et-Dossiers/Parentification-de-l-enfant-ces-parents-qui-inversent-les-roles
</t>
        </is>
      </c>
    </row>
    <row r="162" ht="71" customHeight="1">
      <c r="A162" s="1804" t="inlineStr">
        <is>
          <t>S'active si non-respect de la garde OU B12a = anxiété de séparation  ++++</t>
        </is>
      </c>
      <c r="B162" s="1901" t="n"/>
      <c r="D162" s="1583" t="n">
        <v>14</v>
      </c>
      <c r="E162" s="194" t="inlineStr">
        <is>
          <t>E09</t>
        </is>
      </c>
      <c r="F162" s="992" t="inlineStr">
        <is>
          <t xml:space="preserve">Dans quelle mesure cet énoncé s'applique à votre situation? Votre enfant vous tient responsable de la peine (détresse) ou frustration de son autre parent. </t>
        </is>
      </c>
      <c r="G162" s="213" t="inlineStr">
        <is>
          <t xml:space="preserve">Dans quelle mesure cet énoncé s'applique à votre situation? Votre enfant vous tenait responsable de la peine (détresse) de son autre parent. </t>
        </is>
      </c>
      <c r="H162" s="275" t="n"/>
      <c r="I162" s="1150" t="n"/>
      <c r="J162" s="150" t="inlineStr">
        <is>
          <t> </t>
        </is>
      </c>
      <c r="K162" s="244" t="n"/>
      <c r="L162" s="593" t="n">
        <v>1</v>
      </c>
      <c r="M162" s="593" t="n"/>
      <c r="N162" s="961" t="inlineStr">
        <is>
          <t>E6</t>
        </is>
      </c>
      <c r="O162" s="2059" t="inlineStr">
        <is>
          <t>Pas du tout / Très peu / Peu / Régulièrement /  Beaucoup / Trop / S.O.</t>
        </is>
      </c>
      <c r="P162" s="350">
        <f>Test_Bible!P277</f>
        <v/>
      </c>
      <c r="Q162" s="350">
        <f>Test_Bible!Q277</f>
        <v/>
      </c>
      <c r="R162" s="359" t="n">
        <v>0</v>
      </c>
      <c r="S162" s="1614" t="n">
        <v>0.5</v>
      </c>
      <c r="T162" s="1615" t="n">
        <v>0.5</v>
      </c>
      <c r="U162" s="740" t="inlineStr">
        <is>
          <t>C: Chantage affectif, loyauté, manipulation</t>
        </is>
      </c>
      <c r="V162" s="2002" t="n"/>
      <c r="W162" s="471" t="n"/>
      <c r="X162" s="1284" t="n">
        <v>1</v>
      </c>
      <c r="Y162" s="1082" t="n"/>
      <c r="AD162" s="1234" t="inlineStr">
        <is>
          <t> </t>
        </is>
      </c>
      <c r="AE162" s="1235" t="n"/>
      <c r="AF162" s="1235" t="n"/>
      <c r="AG162" s="1234" t="inlineStr">
        <is>
          <t> </t>
        </is>
      </c>
      <c r="AH162" s="1236" t="n"/>
      <c r="AI162" s="13" t="inlineStr">
        <is>
          <t>Conseils / Principe de base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63" ht="55" customHeight="1">
      <c r="D163" s="1583" t="n">
        <v>15</v>
      </c>
      <c r="E163" s="194" t="inlineStr">
        <is>
          <t>E10</t>
        </is>
      </c>
      <c r="F163" s="801" t="inlineStr">
        <is>
          <t>Dans quelle mesure cet énoncé s'applique à votre situation? Votre enfant cherche à vous convaincre des qualités de l’autre parent.</t>
        </is>
      </c>
      <c r="G163" s="213" t="inlineStr">
        <is>
          <t>Dans quelle mesure cet énoncé s'applique à votre situation? Votre enfant cherchait à vous convaincre des qualités de l’autre parent.</t>
        </is>
      </c>
      <c r="H163" s="275" t="n"/>
      <c r="I163" s="1150" t="n"/>
      <c r="J163" s="150" t="inlineStr">
        <is>
          <t> </t>
        </is>
      </c>
      <c r="K163" s="244" t="n"/>
      <c r="L163" s="608" t="n">
        <v>2</v>
      </c>
      <c r="M163" s="608" t="n"/>
      <c r="N163" s="961" t="inlineStr">
        <is>
          <t>E1A</t>
        </is>
      </c>
      <c r="O163" s="2059" t="inlineStr">
        <is>
          <t xml:space="preserve">Jamais / Rarement / Occasionnellement / Régulièrement / Souvent / Toujours / S.O. </t>
        </is>
      </c>
      <c r="P163" s="350">
        <f>Test_Bible!P278</f>
        <v/>
      </c>
      <c r="Q163" s="350">
        <f>Test_Bible!Q278</f>
        <v/>
      </c>
      <c r="R163" s="359" t="n">
        <v>0</v>
      </c>
      <c r="S163" s="1614" t="n">
        <v>0.5</v>
      </c>
      <c r="T163" s="1615" t="n">
        <v>0.5</v>
      </c>
      <c r="U163" s="740" t="inlineStr">
        <is>
          <t>C: Chantage affectif, loyauté, manipulation</t>
        </is>
      </c>
      <c r="V163" s="2002" t="n"/>
      <c r="W163" s="471" t="n"/>
      <c r="X163" s="1284" t="n">
        <v>1</v>
      </c>
      <c r="Y163" s="1082" t="n"/>
      <c r="AD163" s="1230" t="inlineStr">
        <is>
          <t>🔶</t>
        </is>
      </c>
      <c r="AE163" s="1239" t="inlineStr">
        <is>
          <t xml:space="preserve">Principe de base ? 
Un enfant qui cherche à convaincre son parent des qualités de son autre parent est un enfant qui demande indirectement que vous lui donniez le droit d'aimer son parent malgré ses imperfections.  
nous vous invitons à vous référer à la méthode ADR 
</t>
        </is>
      </c>
      <c r="AF163" s="1239" t="n"/>
      <c r="AG163" s="1230" t="inlineStr">
        <is>
          <t>🔴</t>
        </is>
      </c>
      <c r="AH163" s="1236" t="n"/>
      <c r="AI163" s="1240" t="inlineStr">
        <is>
          <t>"Conflit de loyauté apparent. Il est important de rassurer un enfant 
Un enfant qui cherche à convaincre son parent des qualités de son autre parent est un enfant qui demande indirectement que vous lui donniez le droit d'aimer son parent malgré ses imperfections.  
* indique peut-être que le PCR nourrit le conflit de loyauté ?
(ici = important pour les recommandations car c’est évident que l’enfant croit que vous êtes contre l'autre parent et pour soulager un enfant = toute les interventions devraient être pour l’enfant pas contre l'autre parent "</t>
        </is>
      </c>
    </row>
    <row r="164" ht="85" customHeight="1">
      <c r="C164" s="935" t="inlineStr">
        <is>
          <t>intensité 2 si âge (B06) &gt;= 8 ans;
Intensité 3 si âge (B06) &lt; 8 ans</t>
        </is>
      </c>
      <c r="D164" s="1583" t="n">
        <v>16</v>
      </c>
      <c r="E164" s="200" t="inlineStr">
        <is>
          <t>E11</t>
        </is>
      </c>
      <c r="F164" s="801" t="inlineStr">
        <is>
          <t>Dans quelle mesure votre enfant vous ignore lorsqu’il ou elle est en compagnie de l'autre parent et qu'il vous croise à l’école, lors d'événements sportifs, etc. ?</t>
        </is>
      </c>
      <c r="G164" s="213" t="inlineStr">
        <is>
          <t>Dans quelle mesure votre enfant vous ignorait lorsqu’il ou elle était en compagnie de l'autre parent et qu'il vous croisait à l’école, lors d'événements sportifs, etc. ?</t>
        </is>
      </c>
      <c r="H164" s="275" t="n"/>
      <c r="I164" s="1150" t="n"/>
      <c r="J164" s="150" t="inlineStr">
        <is>
          <t> </t>
        </is>
      </c>
      <c r="K164" s="244" t="n"/>
      <c r="L164" s="608" t="n">
        <v>2</v>
      </c>
      <c r="M164" s="607" t="n">
        <v>3</v>
      </c>
      <c r="N164" s="961" t="inlineStr">
        <is>
          <t>E1A</t>
        </is>
      </c>
      <c r="O164" s="2059" t="inlineStr">
        <is>
          <t xml:space="preserve">Jamais / Rarement / Occasionnellement / Régulièrement / Souvent / Toujours / S.O. </t>
        </is>
      </c>
      <c r="P164" s="350">
        <f>Test_Bible!P279</f>
        <v/>
      </c>
      <c r="Q164" s="350">
        <f>Test_Bible!Q279</f>
        <v/>
      </c>
      <c r="R164" s="359" t="n">
        <v>1</v>
      </c>
      <c r="S164" s="1614" t="n">
        <v>0</v>
      </c>
      <c r="T164" s="1615" t="n">
        <v>0</v>
      </c>
      <c r="U164" s="740" t="inlineStr">
        <is>
          <t>C: Chantage affectif, loyauté, manipulation</t>
        </is>
      </c>
      <c r="V164" s="2002" t="n"/>
      <c r="W164" s="471" t="n"/>
      <c r="X164" s="1284" t="n">
        <v>1</v>
      </c>
      <c r="Y164" s="1070" t="n"/>
      <c r="AD164" s="1234" t="inlineStr">
        <is>
          <t> </t>
        </is>
      </c>
      <c r="AE164" s="1235" t="n"/>
      <c r="AF164" s="1235" t="n"/>
      <c r="AG164" s="1234" t="inlineStr">
        <is>
          <t> </t>
        </is>
      </c>
      <c r="AH164" s="1236" t="n"/>
      <c r="AI164" s="1237" t="n"/>
    </row>
    <row r="165" ht="64" customHeight="1">
      <c r="A165" s="1804" t="inlineStr">
        <is>
          <t>S'active si B12 = relation difficile +++</t>
        </is>
      </c>
      <c r="C165" s="935" t="inlineStr">
        <is>
          <t>intensité 2 si âge (B06) &gt;= 10 ans;
Intensité 3 si âge (B06) &lt; 10 ans</t>
        </is>
      </c>
      <c r="D165" s="1583" t="n">
        <v>17</v>
      </c>
      <c r="E165" s="200" t="inlineStr">
        <is>
          <t>E12</t>
        </is>
      </c>
      <c r="F165" s="801" t="inlineStr">
        <is>
          <t>Arrive-t-il que votre enfant dénigre vos compétences parentales devant l’autre parent ?</t>
        </is>
      </c>
      <c r="G165" s="213" t="inlineStr">
        <is>
          <t>Arrivait-il à votre enfant de dénigrer vos compétences parentales devant l’autre parent ?</t>
        </is>
      </c>
      <c r="H165" s="275" t="n"/>
      <c r="I165" s="1150" t="n"/>
      <c r="J165" s="150" t="inlineStr">
        <is>
          <t> </t>
        </is>
      </c>
      <c r="K165" s="244" t="n"/>
      <c r="L165" s="608" t="n">
        <v>2</v>
      </c>
      <c r="M165" s="607" t="n">
        <v>3</v>
      </c>
      <c r="N165" s="961" t="inlineStr">
        <is>
          <t>E1A</t>
        </is>
      </c>
      <c r="O165" s="2059" t="inlineStr">
        <is>
          <t xml:space="preserve">Jamais / Rarement / Occasionnellement / Régulièrement / Souvent / Toujours / S.O. </t>
        </is>
      </c>
      <c r="P165" s="350">
        <f>Test_Bible!P280</f>
        <v/>
      </c>
      <c r="Q165" s="350">
        <f>Test_Bible!Q280</f>
        <v/>
      </c>
      <c r="R165" s="675" t="n">
        <v>0</v>
      </c>
      <c r="S165" s="1614" t="n">
        <v>0</v>
      </c>
      <c r="T165" s="677" t="n">
        <v>1</v>
      </c>
      <c r="U165" s="741" t="inlineStr">
        <is>
          <t>D: Dénigrement</t>
        </is>
      </c>
      <c r="V165" s="2002" t="n"/>
      <c r="W165" s="471" t="n"/>
      <c r="X165" s="468" t="n"/>
      <c r="Y165" s="1082" t="n">
        <v>1</v>
      </c>
      <c r="AD165" s="1234" t="inlineStr">
        <is>
          <t> </t>
        </is>
      </c>
      <c r="AE165" s="1235" t="n"/>
      <c r="AF165" s="1235" t="n"/>
      <c r="AG165" s="1234" t="inlineStr">
        <is>
          <t> </t>
        </is>
      </c>
      <c r="AH165" s="1236" t="n"/>
      <c r="AI165" s="1237" t="n"/>
    </row>
    <row r="166" ht="58" customHeight="1">
      <c r="A166" s="801" t="inlineStr">
        <is>
          <t>s'active si PCR a NC (B07 n'égale pas "célibataire")</t>
        </is>
      </c>
      <c r="D166" s="1583" t="n">
        <v>18</v>
      </c>
      <c r="E166" s="200" t="inlineStr">
        <is>
          <t>E13</t>
        </is>
      </c>
      <c r="F166" s="801" t="inlineStr">
        <is>
          <t xml:space="preserve">Dans quelle mesure cet énoncé s'applique à votre situation? Votre enfant dénigre votre nouvelle famille (nouveau conjoint + enfant(s) né(s) d’une nouvelle union). </t>
        </is>
      </c>
      <c r="G166" s="213" t="inlineStr">
        <is>
          <t xml:space="preserve">Dans quelle mesure cet énoncé s'applique à votre situation? Votre enfant dénigrait ouvertement votre nouvelle famille (nouveau conjoint + enfant(s) né(s) d’une nouvelle union). </t>
        </is>
      </c>
      <c r="H166" s="275" t="n"/>
      <c r="I166" s="1150" t="n"/>
      <c r="J166" s="150" t="inlineStr">
        <is>
          <t> </t>
        </is>
      </c>
      <c r="K166" s="244" t="n"/>
      <c r="L166" s="608" t="n">
        <v>2</v>
      </c>
      <c r="M166" s="608" t="n"/>
      <c r="N166" s="961" t="inlineStr">
        <is>
          <t>E1A</t>
        </is>
      </c>
      <c r="O166" s="2059" t="inlineStr">
        <is>
          <t xml:space="preserve">Jamais / Rarement / Occasionnellement / Régulièrement / Souvent / Toujours / S.O. </t>
        </is>
      </c>
      <c r="P166" s="350">
        <f>Test_Bible!P281</f>
        <v/>
      </c>
      <c r="Q166" s="350">
        <f>Test_Bible!Q281</f>
        <v/>
      </c>
      <c r="R166" s="675" t="n">
        <v>0</v>
      </c>
      <c r="S166" s="1614" t="n">
        <v>0</v>
      </c>
      <c r="T166" s="677" t="n">
        <v>1</v>
      </c>
      <c r="U166" s="741" t="inlineStr">
        <is>
          <t>D: Dénigrement</t>
        </is>
      </c>
      <c r="V166" s="2002" t="n"/>
      <c r="W166" s="471" t="n"/>
      <c r="X166" s="468" t="n"/>
      <c r="Y166" s="1082" t="n">
        <v>1</v>
      </c>
      <c r="AD166" s="1234" t="inlineStr">
        <is>
          <t> </t>
        </is>
      </c>
      <c r="AE166" s="1235" t="n"/>
      <c r="AF166" s="1235" t="n"/>
      <c r="AG166" s="1234" t="inlineStr">
        <is>
          <t> </t>
        </is>
      </c>
      <c r="AH166" s="1236" t="n"/>
      <c r="AI166" s="1237" t="n"/>
    </row>
    <row r="167" ht="83" customHeight="1">
      <c r="A167" s="801" t="inlineStr">
        <is>
          <t>s'active si PFAa NC (B08 n'égale pas "célibataire")</t>
        </is>
      </c>
      <c r="D167" s="1583" t="n">
        <v>19</v>
      </c>
      <c r="E167" s="200" t="inlineStr">
        <is>
          <t>E14</t>
        </is>
      </c>
      <c r="F167" s="801" t="inlineStr">
        <is>
          <t>Dans quelle mesure votre enfant laisse-t-il ou elle entendre que sa "vraie" famille est avec l’autre parent ?</t>
        </is>
      </c>
      <c r="G167" s="213" t="inlineStr">
        <is>
          <t>Dans quelle mesure votre enfant laissait entendre que sa "vraie" famille était avec l’autre parent ?</t>
        </is>
      </c>
      <c r="H167" s="275" t="n"/>
      <c r="I167" s="1150" t="n"/>
      <c r="J167" s="150" t="inlineStr">
        <is>
          <t> </t>
        </is>
      </c>
      <c r="K167" s="244" t="n">
        <v>4</v>
      </c>
      <c r="L167" s="608" t="n">
        <v>2</v>
      </c>
      <c r="M167" s="608" t="n"/>
      <c r="N167" s="961" t="inlineStr">
        <is>
          <t>E3A</t>
        </is>
      </c>
      <c r="O167" s="597" t="inlineStr">
        <is>
          <t>Pas du tout d’accord / Pas d’accord / Ni d’accord, ni pas d’accord / Partiellement d’accord / D’accord / Tout à fait d’accord / S.O.</t>
        </is>
      </c>
      <c r="P167" s="350">
        <f>Test_Bible!P282</f>
        <v/>
      </c>
      <c r="Q167" s="350">
        <f>Test_Bible!Q282</f>
        <v/>
      </c>
      <c r="R167" s="675" t="n">
        <v>0</v>
      </c>
      <c r="S167" s="676" t="n">
        <v>1</v>
      </c>
      <c r="T167" s="1615" t="n">
        <v>0</v>
      </c>
      <c r="U167" s="741" t="inlineStr">
        <is>
          <t>D: Dénigrement</t>
        </is>
      </c>
      <c r="V167" s="2002" t="n"/>
      <c r="W167" s="471" t="n"/>
      <c r="X167" s="468" t="n"/>
      <c r="Y167" s="1082" t="n">
        <v>1</v>
      </c>
      <c r="AD167" s="1230" t="inlineStr">
        <is>
          <t>🔶</t>
        </is>
      </c>
      <c r="AE167" s="1239" t="inlineStr">
        <is>
          <t xml:space="preserve">Si cette idée vient de l'autre parent, il faut faire attention au CL 
Ouvrir un dialogue, discussion franche avec l'enfant / mobilisation / impliquer l'enfant dans la recherche de solutions </t>
        </is>
      </c>
      <c r="AF167" s="1239" t="n"/>
      <c r="AG167" s="1234" t="inlineStr">
        <is>
          <t> </t>
        </is>
      </c>
      <c r="AH167" s="1236" t="n"/>
      <c r="AI167" s="1237" t="n"/>
    </row>
    <row r="168" ht="83" customHeight="1">
      <c r="B168" s="124" t="inlineStr">
        <is>
          <t>sq1 (s'active si E14&gt;=condition)</t>
        </is>
      </c>
      <c r="D168" s="1583" t="n">
        <v>20</v>
      </c>
      <c r="E168" s="200" t="inlineStr">
        <is>
          <t>E14a</t>
        </is>
      </c>
      <c r="F168" s="799" t="inlineStr">
        <is>
          <t xml:space="preserve">Dans quelle mesure diriez-vous que pour votre enfant, la nouvelle famille de l'autre parent (famille recomposée ou non) a plus de valeur que la vôtre? </t>
        </is>
      </c>
      <c r="G168" s="798" t="inlineStr">
        <is>
          <t xml:space="preserve">Dans quelle mesure diriez-vous que pour votre enfant, la nouvelle famille de l'autre parent (famille recomposée ou non) avait plus de valeur que la vôtre? </t>
        </is>
      </c>
      <c r="H168" s="277" t="n"/>
      <c r="I168" s="1151" t="n"/>
      <c r="J168" s="174" t="inlineStr">
        <is>
          <t>sq1</t>
        </is>
      </c>
      <c r="K168" s="199" t="n"/>
      <c r="L168" s="607" t="n">
        <v>3</v>
      </c>
      <c r="M168" s="607" t="n"/>
      <c r="N168" s="961" t="inlineStr">
        <is>
          <t>E3A</t>
        </is>
      </c>
      <c r="O168" s="597" t="inlineStr">
        <is>
          <t>Pas du tout d’accord / Pas d’accord / Ni d’accord, ni pas d’accord / Partiellement d’accord / D’accord / Tout à fait d’accord / S.O.</t>
        </is>
      </c>
      <c r="P168" s="350">
        <f>Test_Bible!P283</f>
        <v/>
      </c>
      <c r="Q168" s="350">
        <f>Test_Bible!Q283</f>
        <v/>
      </c>
      <c r="R168" s="675" t="n">
        <v>0</v>
      </c>
      <c r="S168" s="676" t="n">
        <v>1</v>
      </c>
      <c r="T168" s="1615" t="n">
        <v>0</v>
      </c>
      <c r="U168" s="741" t="inlineStr">
        <is>
          <t>D: Dénigrement</t>
        </is>
      </c>
      <c r="V168" s="2002" t="n"/>
      <c r="W168" s="471" t="n"/>
      <c r="X168" s="468" t="n"/>
      <c r="Y168" s="1082" t="n">
        <v>1</v>
      </c>
      <c r="AD168" s="1234" t="n"/>
      <c r="AE168" s="1235" t="n"/>
      <c r="AF168" s="1235" t="n"/>
      <c r="AG168" s="1234" t="n"/>
      <c r="AH168" s="1236" t="n"/>
      <c r="AI168" s="1237" t="n"/>
    </row>
    <row r="169" ht="65" customHeight="1">
      <c r="D169" s="1583" t="inlineStr">
        <is>
          <t>Mettre plus tard (E27 prend la place)</t>
        </is>
      </c>
      <c r="E169" s="194" t="inlineStr">
        <is>
          <t>E15</t>
        </is>
      </c>
      <c r="F169" s="801" t="inlineStr">
        <is>
          <t>Évaluez l'intensité et la fréquence de l'énoncé : il arrive à votre enfant d'être agressif envers vous à son retour d'un séjour chez l'autre parent.</t>
        </is>
      </c>
      <c r="G169" s="213" t="inlineStr">
        <is>
          <t>Évaluez l'intensité et la fréquence de l'énoncé : il arrivait à votre enfant d'être agressif envers vous à son retour d'un séjour chez l'autre parent.</t>
        </is>
      </c>
      <c r="H169" s="275" t="n"/>
      <c r="I169" s="1150" t="n"/>
      <c r="J169" s="150" t="inlineStr">
        <is>
          <t>&gt;=3</t>
        </is>
      </c>
      <c r="K169" s="244" t="n">
        <v>4</v>
      </c>
      <c r="L169" s="608" t="n">
        <v>2</v>
      </c>
      <c r="M169" s="608" t="n"/>
      <c r="N169" s="961" t="inlineStr">
        <is>
          <t>E4A</t>
        </is>
      </c>
      <c r="O169" s="597" t="inlineStr">
        <is>
          <t>Nulle / Très faible / Faible / Moyenne / Élevé / Très élevé / S.O.</t>
        </is>
      </c>
      <c r="P169" s="350">
        <f>Test_Bible!P284</f>
        <v/>
      </c>
      <c r="Q169" s="350">
        <f>Test_Bible!Q284</f>
        <v/>
      </c>
      <c r="R169" s="675" t="n">
        <v>0</v>
      </c>
      <c r="S169" s="1614" t="n">
        <v>1</v>
      </c>
      <c r="T169" s="1615" t="n">
        <v>0</v>
      </c>
      <c r="U169" s="741" t="inlineStr">
        <is>
          <t>D: Dénigrement</t>
        </is>
      </c>
      <c r="V169" s="2002" t="n"/>
      <c r="W169" s="471" t="n"/>
      <c r="X169" s="468" t="n"/>
      <c r="Y169" s="1082" t="n">
        <v>1</v>
      </c>
      <c r="AD169" s="1234" t="inlineStr">
        <is>
          <t> </t>
        </is>
      </c>
      <c r="AE169" s="1235" t="n"/>
      <c r="AF169" s="1235" t="n"/>
      <c r="AG169" s="1234" t="inlineStr">
        <is>
          <t> </t>
        </is>
      </c>
      <c r="AH169" s="1236" t="n"/>
      <c r="AI169" s="1237" t="n"/>
    </row>
    <row r="170" ht="71" customHeight="1">
      <c r="B170" s="124" t="inlineStr">
        <is>
          <t>sq1 (s'active si E15&gt;=condition)</t>
        </is>
      </c>
      <c r="D170" s="1583" t="inlineStr">
        <is>
          <t>Mettre plus tard (E27 prend la place)</t>
        </is>
      </c>
      <c r="E170" s="195" t="inlineStr">
        <is>
          <t>E15a</t>
        </is>
      </c>
      <c r="F170" s="799" t="inlineStr">
        <is>
          <t>Évaluez la fréquence et/ou l'intensité de l'énoncé : votre enfant vous accuse de mentir, de voler de l’argent à son autre parent ou d'être responsable de son appauvrissement.</t>
        </is>
      </c>
      <c r="G170" s="1164" t="inlineStr">
        <is>
          <t>Évaluez la fréquence et/ou l'intensité de l'énoncé : votre enfant vous accusait de voler de l’argent à son autre parent ou d'être responsable de son apauvrissement.</t>
        </is>
      </c>
      <c r="H170" s="269" t="n"/>
      <c r="I170" s="1147" t="n"/>
      <c r="J170" s="152" t="inlineStr">
        <is>
          <t>sq1</t>
        </is>
      </c>
      <c r="K170" s="235" t="n"/>
      <c r="L170" s="593" t="n">
        <v>1</v>
      </c>
      <c r="M170" s="593" t="n"/>
      <c r="N170" s="961" t="inlineStr">
        <is>
          <t>E4A</t>
        </is>
      </c>
      <c r="O170" s="597" t="inlineStr">
        <is>
          <t>Nulle / Très faible / Faible / Moyenne / Élevé / Très élevé / S.O.</t>
        </is>
      </c>
      <c r="P170" s="350">
        <f>Test_Bible!P285</f>
        <v/>
      </c>
      <c r="Q170" s="350">
        <f>Test_Bible!Q285</f>
        <v/>
      </c>
      <c r="R170" s="675" t="n">
        <v>0</v>
      </c>
      <c r="S170" s="1614" t="n">
        <v>0</v>
      </c>
      <c r="T170" s="677" t="n">
        <v>1</v>
      </c>
      <c r="U170" s="741" t="inlineStr">
        <is>
          <t>D: Dénigrement</t>
        </is>
      </c>
      <c r="V170" s="2002" t="n"/>
      <c r="W170" s="471" t="n"/>
      <c r="X170" s="459" t="n"/>
      <c r="Y170" s="1082" t="n">
        <v>1</v>
      </c>
      <c r="AD170" s="1230" t="inlineStr">
        <is>
          <t>🔶</t>
        </is>
      </c>
      <c r="AE170" s="1239" t="inlineStr">
        <is>
          <t xml:space="preserve">Méthode ADR </t>
        </is>
      </c>
      <c r="AF170" s="1239" t="n"/>
      <c r="AG170" s="1230" t="inlineStr">
        <is>
          <t>🔴</t>
        </is>
      </c>
      <c r="AH170" s="1232" t="n"/>
      <c r="AI170" s="1233" t="n"/>
    </row>
    <row r="171" ht="67" customHeight="1">
      <c r="C171" s="1805" t="inlineStr">
        <is>
          <t>intensité 2 si âge (B06) &gt;= 12 ans;
Intensité 3 si âge (B06) &lt; 12 ans</t>
        </is>
      </c>
      <c r="D171" s="1583" t="n">
        <v>23</v>
      </c>
      <c r="E171" s="194" t="inlineStr">
        <is>
          <t>E16</t>
        </is>
      </c>
      <c r="F171" s="992" t="inlineStr">
        <is>
          <t>Dans quelle mesure votre enfant demande à modifier les horaires de garde et de visite?</t>
        </is>
      </c>
      <c r="G171" s="213" t="inlineStr">
        <is>
          <t>Dans quelle mesure arrivait-il à votre enfant de demander à changer les horaires de garde et de visite à la faveur de l'autre parent?</t>
        </is>
      </c>
      <c r="H171" s="275" t="n"/>
      <c r="I171" s="1150" t="n"/>
      <c r="J171" s="150" t="inlineStr">
        <is>
          <t>&gt;=3</t>
        </is>
      </c>
      <c r="K171" s="244" t="n">
        <v>2</v>
      </c>
      <c r="L171" s="608" t="n">
        <v>0</v>
      </c>
      <c r="M171" s="632" t="n"/>
      <c r="N171" s="961" t="inlineStr">
        <is>
          <t>E1A</t>
        </is>
      </c>
      <c r="O171" s="2059" t="inlineStr">
        <is>
          <t xml:space="preserve">Jamais / Rarement / Occasionnellement / Régulièrement / Souvent / Toujours / S.O. </t>
        </is>
      </c>
      <c r="P171" s="350">
        <f>Test_Bible!P286</f>
        <v/>
      </c>
      <c r="Q171" s="350">
        <f>Test_Bible!Q286</f>
        <v/>
      </c>
      <c r="R171" s="675" t="n">
        <v>0.5</v>
      </c>
      <c r="S171" s="1614" t="n">
        <v>0</v>
      </c>
      <c r="T171" s="1615" t="n">
        <v>0.5</v>
      </c>
      <c r="U171" s="742" t="inlineStr">
        <is>
          <t>E: Interférence temps et/ou communication</t>
        </is>
      </c>
      <c r="V171" s="2002" t="n"/>
      <c r="W171" s="471" t="n"/>
      <c r="X171" s="468" t="n"/>
      <c r="Y171" s="1082" t="n"/>
      <c r="Z171" s="1279" t="n">
        <v>1</v>
      </c>
      <c r="AD171" s="1234" t="inlineStr">
        <is>
          <t> </t>
        </is>
      </c>
      <c r="AE171" s="1235" t="n"/>
      <c r="AF171" s="1235" t="n"/>
      <c r="AG171" s="1234" t="inlineStr">
        <is>
          <t> </t>
        </is>
      </c>
      <c r="AH171" s="1236" t="n"/>
      <c r="AI171" s="1237" t="n"/>
    </row>
    <row r="172" ht="72" customHeight="1">
      <c r="A172" s="1824" t="inlineStr">
        <is>
          <t>AJOUTÉ</t>
        </is>
      </c>
      <c r="B172" s="1057" t="n"/>
      <c r="C172" s="992" t="n"/>
      <c r="D172" s="1769" t="n"/>
      <c r="E172" s="1770" t="inlineStr">
        <is>
          <t>E16a</t>
        </is>
      </c>
      <c r="F172" s="992" t="inlineStr">
        <is>
          <t>Dans quel contexte votre enfant demande à changer les horaires de garde et de visite chez l'un et l'autre des parents?</t>
        </is>
      </c>
      <c r="G172" s="1771" t="n"/>
      <c r="H172" s="1772" t="n"/>
      <c r="I172" s="1773" t="n"/>
      <c r="J172" s="1774" t="n"/>
      <c r="K172" s="1801" t="inlineStr">
        <is>
          <t>À la faveur de l'autre parent, fait ouvrir les sous-quesitons</t>
        </is>
      </c>
      <c r="L172" s="1056" t="n"/>
      <c r="M172" s="1056" t="n"/>
      <c r="N172" s="1800" t="inlineStr">
        <is>
          <t>Choix multiples+E1A</t>
        </is>
      </c>
      <c r="O172" s="1687" t="inlineStr">
        <is>
          <t>N'a pas l'âge de choisir(Autres choix à définir), Selon les occasions, Majoritairement à ma faveur (parent répondant), Majoritairement à la faveur de l'autre parent(coparent)</t>
        </is>
      </c>
      <c r="P172" s="1775" t="n"/>
      <c r="Q172" s="1775" t="n"/>
      <c r="R172" s="1776" t="n"/>
      <c r="S172" s="1777" t="n"/>
      <c r="T172" s="1778" t="n"/>
      <c r="U172" s="1779" t="n"/>
      <c r="V172" s="1780" t="n"/>
      <c r="W172" s="1780" t="n"/>
      <c r="X172" s="1781" t="n"/>
      <c r="Y172" s="1782" t="n"/>
      <c r="Z172" s="1783" t="n"/>
      <c r="AA172" s="1784" t="n"/>
      <c r="AB172" s="1784" t="n"/>
      <c r="AC172" s="1784" t="n"/>
      <c r="AD172" s="1785" t="n"/>
      <c r="AE172" s="1786" t="n"/>
      <c r="AF172" s="1786" t="n"/>
      <c r="AG172" s="1785" t="n"/>
      <c r="AH172" s="1236" t="n"/>
      <c r="AI172" s="1237" t="n"/>
    </row>
    <row r="173" ht="75" customHeight="1">
      <c r="B173" s="124" t="inlineStr">
        <is>
          <t>sq1 (s'active si E16a = à la faveur du coparent)</t>
        </is>
      </c>
      <c r="C173" s="1806" t="inlineStr">
        <is>
          <t>intensité 2 si âge (B06) &gt;= 10 ans;
Intensité 3 si âge (B06) &lt; 10 ans</t>
        </is>
      </c>
      <c r="D173" s="1583" t="n">
        <v>24</v>
      </c>
      <c r="E173" s="195" t="inlineStr">
        <is>
          <t>E16a1</t>
        </is>
      </c>
      <c r="F173" s="799" t="inlineStr">
        <is>
          <t>Dans quelle mesure votre enfant impose des changements d’horaires et de visite à la faveur de l'autre parent sans vous consulter au préalable et sans votre autorisation ?</t>
        </is>
      </c>
      <c r="G173" s="1164" t="inlineStr">
        <is>
          <t>Dans quelle mesure arrivait-il à votre enfant d'imposer des changements d’horaires et de visite à la faveur de l'autre parent sans vous consulter au préalable et sans votre autorisation?</t>
        </is>
      </c>
      <c r="H173" s="269" t="n"/>
      <c r="I173" s="1147" t="n"/>
      <c r="J173" s="152" t="inlineStr">
        <is>
          <t>sq1</t>
        </is>
      </c>
      <c r="K173" s="235" t="n"/>
      <c r="L173" s="608" t="n">
        <v>2</v>
      </c>
      <c r="M173" s="607" t="n">
        <v>3</v>
      </c>
      <c r="N173" s="961" t="inlineStr">
        <is>
          <t>E1A</t>
        </is>
      </c>
      <c r="O173" s="2059" t="inlineStr">
        <is>
          <t xml:space="preserve">Jamais / Rarement / Occasionnellement / Régulièrement / Très souvent / Toujours / S.O. </t>
        </is>
      </c>
      <c r="P173" s="350">
        <f>Test_Bible!P291</f>
        <v/>
      </c>
      <c r="Q173" s="350">
        <f>Test_Bible!Q291</f>
        <v/>
      </c>
      <c r="R173" s="675" t="n">
        <v>1</v>
      </c>
      <c r="S173" s="1614" t="n">
        <v>0</v>
      </c>
      <c r="T173" s="1615" t="n">
        <v>0</v>
      </c>
      <c r="U173" s="742" t="inlineStr">
        <is>
          <t>E: Interférence temps et/ou communication</t>
        </is>
      </c>
      <c r="V173" s="2002" t="n"/>
      <c r="W173" s="471" t="n"/>
      <c r="X173" s="468" t="n"/>
      <c r="Y173" s="1082" t="n"/>
      <c r="Z173" s="1279" t="n">
        <v>1</v>
      </c>
      <c r="AD173" s="1234" t="inlineStr">
        <is>
          <t> </t>
        </is>
      </c>
      <c r="AE173" s="1235" t="n"/>
      <c r="AF173" s="1235" t="n"/>
      <c r="AG173" s="1234" t="inlineStr">
        <is>
          <t> </t>
        </is>
      </c>
      <c r="AH173" s="1236" t="n"/>
      <c r="AI173" s="1237" t="n"/>
    </row>
    <row r="174" ht="88" customHeight="1">
      <c r="B174" s="124" t="inlineStr">
        <is>
          <t>sq1 (s'active si E16a = à la faveur du coparent)</t>
        </is>
      </c>
      <c r="D174" s="1583" t="n">
        <v>25</v>
      </c>
      <c r="E174" s="195" t="inlineStr">
        <is>
          <t>E16a2</t>
        </is>
      </c>
      <c r="F174" s="799" t="inlineStr">
        <is>
          <t>Arrive-t-il à votre enfant de changer d’idée concernant une activité prévue à l’horaire avec vous? D’abord enthousiaste, il trouve (subitement / dernières minutes) des excuses pour ne pas participer à l’activité?</t>
        </is>
      </c>
      <c r="G174" s="1164" t="inlineStr">
        <is>
          <t>Arrivait-il à votre enfant de changer d’idée concernant une activité prévue à l’horaire avec vous? D’abord enthousiaste, il trouvait (subitement / dernières minutes) des excuses pour ne pas participer à l’activité?</t>
        </is>
      </c>
      <c r="H174" s="269" t="n"/>
      <c r="I174" s="1147" t="n"/>
      <c r="J174" s="152" t="inlineStr">
        <is>
          <t>sq1</t>
        </is>
      </c>
      <c r="K174" s="235" t="n"/>
      <c r="L174" s="607" t="n">
        <v>3</v>
      </c>
      <c r="M174" s="607" t="n"/>
      <c r="N174" s="961" t="inlineStr">
        <is>
          <t>E1A</t>
        </is>
      </c>
      <c r="O174" s="2059" t="inlineStr">
        <is>
          <t xml:space="preserve">Jamais / Rarement / Occasionnellement / Régulièrement / Très souvent / Toujours / S.O. </t>
        </is>
      </c>
      <c r="P174" s="350">
        <f>Test_Bible!P292</f>
        <v/>
      </c>
      <c r="Q174" s="350">
        <f>Test_Bible!Q292</f>
        <v/>
      </c>
      <c r="R174" s="675" t="n">
        <v>1</v>
      </c>
      <c r="S174" s="1614" t="n">
        <v>0</v>
      </c>
      <c r="T174" s="1615" t="n">
        <v>0</v>
      </c>
      <c r="U174" s="742" t="inlineStr">
        <is>
          <t>E: Interférence temps et/ou communication</t>
        </is>
      </c>
      <c r="V174" s="2002" t="n"/>
      <c r="W174" s="471" t="n"/>
      <c r="X174" s="468" t="n"/>
      <c r="Y174" s="1082" t="n"/>
      <c r="Z174" s="1279" t="n">
        <v>1</v>
      </c>
      <c r="AD174" s="1234" t="inlineStr">
        <is>
          <t> </t>
        </is>
      </c>
      <c r="AE174" s="1235" t="n"/>
      <c r="AF174" s="1235" t="n"/>
      <c r="AG174" s="1234" t="inlineStr">
        <is>
          <t> </t>
        </is>
      </c>
      <c r="AH174" s="1236" t="n"/>
      <c r="AI174" s="1237" t="n"/>
    </row>
    <row r="175" ht="73" customHeight="1">
      <c r="B175" s="124" t="inlineStr">
        <is>
          <t>sq1 (s'active si E16a = à la faveur du coparent)</t>
        </is>
      </c>
      <c r="C175" s="935" t="inlineStr">
        <is>
          <t>intensité 2 si âge (B06) &gt;= 10 ans;
Intensité 3 si âge (B06) &lt; 10 ans</t>
        </is>
      </c>
      <c r="D175" s="1583" t="n">
        <v>26</v>
      </c>
      <c r="E175" s="195" t="inlineStr">
        <is>
          <t>E16a3</t>
        </is>
      </c>
      <c r="F175" s="799" t="inlineStr">
        <is>
          <t>Évaluez l'intensité et/ou la fréquence de l'énoncé : votre enfant subit une pression pour passer plus de temps chez l'autre parent.</t>
        </is>
      </c>
      <c r="G175" s="1164" t="inlineStr">
        <is>
          <t>Évaluez l'intensité et/ou la fréquence de l'énoncé : votre enfant subissait une pression pour passer plus de temps chez l'autre parent.</t>
        </is>
      </c>
      <c r="H175" s="269" t="n"/>
      <c r="I175" s="1147" t="n"/>
      <c r="J175" s="152" t="inlineStr">
        <is>
          <t>sq1</t>
        </is>
      </c>
      <c r="K175" s="235" t="n"/>
      <c r="L175" s="608" t="n">
        <v>2</v>
      </c>
      <c r="M175" s="607" t="n">
        <v>3</v>
      </c>
      <c r="N175" s="961" t="inlineStr">
        <is>
          <t>E4A</t>
        </is>
      </c>
      <c r="O175" s="597" t="inlineStr">
        <is>
          <t>Nulle / Très faible / Faible / Moyenne / Élevé / Très élevé / S.O.</t>
        </is>
      </c>
      <c r="P175" s="350">
        <f>Test_Bible!P293</f>
        <v/>
      </c>
      <c r="Q175" s="350">
        <f>Test_Bible!Q293</f>
        <v/>
      </c>
      <c r="R175" s="675" t="n">
        <v>0.5</v>
      </c>
      <c r="S175" s="1614" t="n">
        <v>0.5</v>
      </c>
      <c r="T175" s="1615" t="n">
        <v>0</v>
      </c>
      <c r="U175" s="742" t="inlineStr">
        <is>
          <t>E: Interférence temps et/ou communication</t>
        </is>
      </c>
      <c r="V175" s="2002" t="n"/>
      <c r="W175" s="471" t="n"/>
      <c r="X175" s="468" t="n"/>
      <c r="Y175" s="1082" t="n"/>
      <c r="Z175" s="1279" t="n">
        <v>1</v>
      </c>
      <c r="AD175" s="1234" t="inlineStr">
        <is>
          <t> </t>
        </is>
      </c>
      <c r="AE175" s="1235" t="n"/>
      <c r="AF175" s="1235" t="n"/>
      <c r="AG175" s="1234" t="inlineStr">
        <is>
          <t> </t>
        </is>
      </c>
      <c r="AH175" s="1236" t="n"/>
      <c r="AI175" s="1237" t="n"/>
    </row>
    <row r="176" ht="77" customHeight="1">
      <c r="D176" s="1583" t="n">
        <v>27</v>
      </c>
      <c r="E176" s="194" t="inlineStr">
        <is>
          <t>E18</t>
        </is>
      </c>
      <c r="F176" s="801" t="inlineStr">
        <is>
          <t xml:space="preserve">Dans quelle mesure cet énoncé s'applique à votre situation? Votre enfant répond à vos messages (texto, messenger, instagram, etc.) lorsqu’il est chez l’autre parent. </t>
        </is>
      </c>
      <c r="G176" s="213" t="inlineStr">
        <is>
          <t xml:space="preserve">Dans quelle mesure cet énoncé s'applique à votre situation? Votre enfant ne répondait pas à vos messages (texto, messenger, instagram, etc.) lorsqu’il était chez l’autre parent. </t>
        </is>
      </c>
      <c r="H176" s="276" t="n"/>
      <c r="I176" s="213" t="n"/>
      <c r="J176" s="213" t="n"/>
      <c r="K176" s="245" t="n"/>
      <c r="L176" s="608" t="n">
        <v>2</v>
      </c>
      <c r="M176" s="608" t="n"/>
      <c r="N176" s="961" t="inlineStr">
        <is>
          <t>E1A</t>
        </is>
      </c>
      <c r="O176" s="2059" t="inlineStr">
        <is>
          <t>Toujours / Souvent / Régulièrement / Occasionnellement / Rarement / Jamais / S.O.</t>
        </is>
      </c>
      <c r="P176" s="350">
        <f>Test_Bible!P294</f>
        <v/>
      </c>
      <c r="Q176" s="350">
        <f>Test_Bible!Q294</f>
        <v/>
      </c>
      <c r="R176" s="675" t="n">
        <v>1</v>
      </c>
      <c r="S176" s="1614" t="n">
        <v>0</v>
      </c>
      <c r="T176" s="1615" t="n">
        <v>0</v>
      </c>
      <c r="U176" s="742" t="inlineStr">
        <is>
          <t>E: Interférence temps et/ou communication</t>
        </is>
      </c>
      <c r="V176" s="2002" t="n"/>
      <c r="W176" s="471" t="n"/>
      <c r="X176" s="459" t="n"/>
      <c r="Y176" s="1070" t="n"/>
      <c r="Z176" s="1279" t="n">
        <v>1</v>
      </c>
      <c r="AD176" s="1230" t="inlineStr">
        <is>
          <t>🔶</t>
        </is>
      </c>
      <c r="AE176" s="1263" t="inlineStr">
        <is>
          <t xml:space="preserve">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c r="AF176" s="1235" t="n"/>
      <c r="AG176" s="1234" t="inlineStr">
        <is>
          <t> </t>
        </is>
      </c>
      <c r="AH176" s="1236" t="n"/>
      <c r="AI176" s="1263" t="inlineStr">
        <is>
          <t xml:space="preserve">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row>
    <row r="177" ht="74" customHeight="1">
      <c r="A177" s="801" t="inlineStr">
        <is>
          <t>s'active si PFAa NC (B08 n'égale pas "célibataire")</t>
        </is>
      </c>
      <c r="B177" s="2073" t="n"/>
      <c r="C177" s="13" t="n"/>
      <c r="D177" s="1583" t="n">
        <v>28</v>
      </c>
      <c r="E177" s="194" t="inlineStr">
        <is>
          <t>E20</t>
        </is>
      </c>
      <c r="F177" s="801" t="inlineStr">
        <is>
          <t>Dans quelle mesure cet énoncé s'applique à votre situation? Votre enfant considère le nouveau conjoint ou à la nouvelle conjointe comme son père ou sa mère.</t>
        </is>
      </c>
      <c r="G177" s="213" t="inlineStr">
        <is>
          <t>Dans quelle mesure cet énoncé s'applique à votre situation? Votre enfant considèrait le nouveau conjoint ou à la nouvelle conjointe comme son père ou sa mère.</t>
        </is>
      </c>
      <c r="H177" s="276" t="n"/>
      <c r="I177" s="213" t="n"/>
      <c r="J177" s="561" t="n"/>
      <c r="K177" s="244" t="n"/>
      <c r="L177" s="608" t="n">
        <v>2</v>
      </c>
      <c r="M177" s="608" t="n"/>
      <c r="N177" s="961" t="n"/>
      <c r="O177" s="1606" t="inlineStr">
        <is>
          <t>Nulle / Très faible / Faible / Moyenne / Élevé / Très élevé / S.O.</t>
        </is>
      </c>
      <c r="P177" s="350">
        <f>Test_Bible!P295</f>
        <v/>
      </c>
      <c r="Q177" s="350">
        <f>Test_Bible!Q295</f>
        <v/>
      </c>
      <c r="R177" s="675" t="n">
        <v>0.5</v>
      </c>
      <c r="S177" s="1614" t="n">
        <v>0.5</v>
      </c>
      <c r="T177" s="1615" t="n">
        <v>0</v>
      </c>
      <c r="U177" s="743" t="inlineStr">
        <is>
          <t>F: Interférence lien affectif ou symbolique</t>
        </is>
      </c>
      <c r="V177" s="2002" t="n"/>
      <c r="W177" s="471" t="n"/>
      <c r="X177" s="468" t="n"/>
      <c r="Y177" s="1082" t="n"/>
      <c r="AA177" s="1279" t="n">
        <v>1</v>
      </c>
      <c r="AD177" s="1230" t="inlineStr">
        <is>
          <t>🔶</t>
        </is>
      </c>
      <c r="AE177" s="1239" t="inlineStr">
        <is>
          <t xml:space="preserve">??? 
Important pour un enfant que les frontières soient claires et que la valeur symbolique soit respectée  </t>
        </is>
      </c>
      <c r="AF177" s="1239" t="n"/>
      <c r="AG177" s="1230" t="inlineStr">
        <is>
          <t>🔴</t>
        </is>
      </c>
      <c r="AH177" s="1232" t="n"/>
      <c r="AI177" s="1233" t="n"/>
    </row>
    <row r="178" ht="74" customHeight="1">
      <c r="A178" s="1824" t="inlineStr">
        <is>
          <t>AJOUTÉ</t>
        </is>
      </c>
      <c r="B178" s="2073" t="n"/>
      <c r="C178" s="13" t="n"/>
      <c r="D178" s="1583" t="n"/>
      <c r="E178" s="1787" t="inlineStr">
        <is>
          <t>E20a</t>
        </is>
      </c>
      <c r="F178" s="1788" t="inlineStr">
        <is>
          <t>Dans quelle mesure la présence du nouveau.elle conjoint.e apporte-t-elle chez l'enfant une confusion au niveau des rôles parentaux ?</t>
        </is>
      </c>
      <c r="G178" s="1789" t="n"/>
      <c r="H178" s="1790" t="n"/>
      <c r="I178" s="1789" t="n"/>
      <c r="J178" s="1791" t="n"/>
      <c r="K178" s="1792" t="n"/>
      <c r="L178" s="1793" t="n">
        <v>3</v>
      </c>
      <c r="M178" s="1793" t="n"/>
      <c r="N178" s="1794" t="n"/>
      <c r="O178" s="1606" t="inlineStr">
        <is>
          <t>Nulle / Très faible / Faible / Moyenne / Élevé / Très élevé / S.O.</t>
        </is>
      </c>
      <c r="P178" s="350">
        <f>Test_Bible!P296</f>
        <v/>
      </c>
      <c r="Q178" s="350">
        <f>Test_Bible!Q296</f>
        <v/>
      </c>
      <c r="R178" s="675" t="n">
        <v>0.5</v>
      </c>
      <c r="S178" s="1614" t="n">
        <v>0.5</v>
      </c>
      <c r="T178" s="1615" t="n">
        <v>0</v>
      </c>
      <c r="U178" s="743" t="inlineStr">
        <is>
          <t>F: Interférence lien affectif ou symbolique</t>
        </is>
      </c>
      <c r="V178" s="2002" t="n"/>
      <c r="W178" s="471" t="n"/>
      <c r="X178" s="468" t="n"/>
      <c r="Y178" s="1082" t="n"/>
      <c r="AA178" s="1279" t="n">
        <v>1</v>
      </c>
      <c r="AD178" s="1230" t="n"/>
      <c r="AE178" s="1239" t="n"/>
      <c r="AF178" s="1239" t="n"/>
      <c r="AG178" s="1230" t="n"/>
      <c r="AH178" s="1232" t="n"/>
      <c r="AI178" s="1233" t="n"/>
    </row>
    <row r="179" ht="66" customHeight="1">
      <c r="D179" s="1583" t="n">
        <v>29</v>
      </c>
      <c r="E179" s="194" t="inlineStr">
        <is>
          <t>E21</t>
        </is>
      </c>
      <c r="F179" s="801" t="inlineStr">
        <is>
          <t>Êtes-vous d'accord ou pas d'accord avec l'énoncé suivant? Les jouets et les vêtements de votre enfant se promène d’une maison à l’autre simplement.</t>
        </is>
      </c>
      <c r="G179" s="213" t="inlineStr">
        <is>
          <t>Êtes-vous d'accord ou pas d'accord avec l'énoncé suivant? Les jouets et les vêtements de votre enfant se promènaient d’une maison à l’autre simplement.</t>
        </is>
      </c>
      <c r="H179" s="275" t="n"/>
      <c r="I179" s="1150" t="n"/>
      <c r="J179" s="150" t="inlineStr">
        <is>
          <t> </t>
        </is>
      </c>
      <c r="K179" s="244" t="n">
        <v>4</v>
      </c>
      <c r="L179" s="593" t="n">
        <v>1</v>
      </c>
      <c r="M179" s="593" t="n"/>
      <c r="N179" s="961" t="inlineStr">
        <is>
          <t>E3B</t>
        </is>
      </c>
      <c r="O179" s="597" t="inlineStr">
        <is>
          <t>Tout à fait d’accord / D'accord / Partiellement d'accord / Ni d'accord, ni pas d'accord / Pas d'accord / Pas du tout d'accord / S.O.</t>
        </is>
      </c>
      <c r="P179" s="350">
        <f>Test_Bible!P297</f>
        <v/>
      </c>
      <c r="Q179" s="350">
        <f>Test_Bible!Q297</f>
        <v/>
      </c>
      <c r="R179" s="377" t="n">
        <v>1</v>
      </c>
      <c r="S179" s="1614" t="n">
        <v>0</v>
      </c>
      <c r="T179" s="1615" t="n">
        <v>0</v>
      </c>
      <c r="U179" s="743" t="inlineStr">
        <is>
          <t>F: Interférence lien affectif ou symbolique</t>
        </is>
      </c>
      <c r="V179" s="2002" t="n"/>
      <c r="W179" s="471" t="n"/>
      <c r="X179" s="468" t="n"/>
      <c r="Y179" s="1082" t="n"/>
      <c r="AA179" s="1279" t="n">
        <v>1</v>
      </c>
      <c r="AD179" s="1230" t="inlineStr">
        <is>
          <t>🔶</t>
        </is>
      </c>
      <c r="AE179" s="1239" t="inlineStr">
        <is>
          <t xml:space="preserve">???
On veut pas faire la morale … mais devrait-on informer sur le stress que cela impose à l'enfant, ce refus de la preésence de l'autre parent ?  </t>
        </is>
      </c>
      <c r="AF179" s="1239" t="n"/>
      <c r="AG179" s="1234" t="inlineStr">
        <is>
          <t> </t>
        </is>
      </c>
      <c r="AH179" s="1236" t="n"/>
      <c r="AI179" s="1237" t="n"/>
    </row>
    <row r="180" ht="66" customHeight="1">
      <c r="B180" s="124" t="inlineStr">
        <is>
          <t>sq1 (s'active si E21&gt;=condition)</t>
        </is>
      </c>
      <c r="D180" s="1583" t="n">
        <v>30</v>
      </c>
      <c r="E180" s="196" t="inlineStr">
        <is>
          <t>E21a</t>
        </is>
      </c>
      <c r="F180" s="799" t="inlineStr">
        <is>
          <t>Dans quelle mesure cet énoncé s'applique à votre situation? L'autre parent refuse que votre enfant apporte des objets qui proviennent de votre demeure ou de votre milieu.</t>
        </is>
      </c>
      <c r="G180" s="798" t="inlineStr">
        <is>
          <t>Dans quelle mesure cet énoncé s'applique à votre situation? L'autre parent refusait que votre enfant apporte des objets qui proviennent de votre demeure ou de votre milieu.</t>
        </is>
      </c>
      <c r="H180" s="277" t="n"/>
      <c r="I180" s="1151" t="n"/>
      <c r="J180" s="174" t="inlineStr">
        <is>
          <t> </t>
        </is>
      </c>
      <c r="K180" s="199" t="n"/>
      <c r="L180" s="608" t="n">
        <v>2</v>
      </c>
      <c r="M180" s="608" t="n"/>
      <c r="N180" s="961" t="inlineStr">
        <is>
          <t>E1A</t>
        </is>
      </c>
      <c r="O180" s="2059" t="inlineStr">
        <is>
          <t xml:space="preserve">Jamais / Rarement / Occasionnellement / Régulièrement / Souvent / Toujours / S.O. </t>
        </is>
      </c>
      <c r="P180" s="350">
        <f>Test_Bible!P298</f>
        <v/>
      </c>
      <c r="Q180" s="350">
        <f>Test_Bible!Q298</f>
        <v/>
      </c>
      <c r="R180" s="377" t="n">
        <v>0.5</v>
      </c>
      <c r="S180" s="385" t="n">
        <v>0.5</v>
      </c>
      <c r="T180" s="1615" t="n">
        <v>0</v>
      </c>
      <c r="U180" s="743" t="inlineStr">
        <is>
          <t>F: Interférence lien affectif ou symbolique</t>
        </is>
      </c>
      <c r="V180" s="2002" t="n"/>
      <c r="W180" s="471" t="n"/>
      <c r="X180" s="459" t="n"/>
      <c r="Y180" s="1070" t="n"/>
      <c r="AA180" s="1279" t="n">
        <v>1</v>
      </c>
      <c r="AD180" s="1234" t="inlineStr">
        <is>
          <t> </t>
        </is>
      </c>
      <c r="AE180" s="1235" t="n"/>
      <c r="AF180" s="1235" t="n"/>
      <c r="AG180" s="1234" t="inlineStr">
        <is>
          <t> </t>
        </is>
      </c>
      <c r="AH180" s="1236" t="n"/>
      <c r="AI180" s="1237" t="n"/>
    </row>
    <row r="181" ht="72" customHeight="1">
      <c r="D181" s="1583" t="n">
        <v>31</v>
      </c>
      <c r="E181" s="194" t="inlineStr">
        <is>
          <t>E22</t>
        </is>
      </c>
      <c r="F181" s="801" t="inlineStr">
        <is>
          <t>Dans quelle mesure diriez-vous que votre enfant connait des informations personnelles ou intimes de vous dont vous n'avez jamais discuté avec lui?</t>
        </is>
      </c>
      <c r="G181" s="213" t="inlineStr">
        <is>
          <t>Dans quelle mesure diriez-vous que votre enfant connaissait des informations personnelles ou intimes de vous dont vous n'aviez jamais discuté avec lui?</t>
        </is>
      </c>
      <c r="H181" s="275" t="n"/>
      <c r="I181" s="1150" t="n"/>
      <c r="J181" s="150" t="inlineStr">
        <is>
          <t> </t>
        </is>
      </c>
      <c r="K181" s="244" t="n">
        <v>2</v>
      </c>
      <c r="L181" s="608" t="n">
        <v>2</v>
      </c>
      <c r="M181" s="608" t="n"/>
      <c r="N181" s="961" t="inlineStr">
        <is>
          <t>E6</t>
        </is>
      </c>
      <c r="O181" s="1687" t="inlineStr">
        <is>
          <t>ATTN : à changer Pas du tout / Très peu / Peu / Régulièrement /  Beaucoup / Trop / S.O.</t>
        </is>
      </c>
      <c r="P181" s="350">
        <f>Test_Bible!P299</f>
        <v/>
      </c>
      <c r="Q181" s="350">
        <f>Test_Bible!Q299</f>
        <v/>
      </c>
      <c r="R181" s="675" t="n">
        <v>0</v>
      </c>
      <c r="S181" s="1614" t="n">
        <v>0.5</v>
      </c>
      <c r="T181" s="1615" t="n">
        <v>0.5</v>
      </c>
      <c r="U181" s="743" t="inlineStr">
        <is>
          <t>F: Interférence lien affectif ou symbolique</t>
        </is>
      </c>
      <c r="V181" s="2002" t="n"/>
      <c r="W181" s="471" t="n"/>
      <c r="X181" s="468" t="n"/>
      <c r="Y181" s="1082" t="n"/>
      <c r="AA181" s="1279" t="n">
        <v>1</v>
      </c>
      <c r="AD181" s="1234" t="inlineStr">
        <is>
          <t> </t>
        </is>
      </c>
      <c r="AE181" s="1235" t="n"/>
      <c r="AF181" s="1235" t="n"/>
      <c r="AG181" s="1234" t="inlineStr">
        <is>
          <t> </t>
        </is>
      </c>
      <c r="AH181" s="1236" t="n"/>
      <c r="AI181"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2" ht="74" customHeight="1">
      <c r="B182" s="124" t="inlineStr">
        <is>
          <t>sq1 (s'active si E22&gt;=condition)</t>
        </is>
      </c>
      <c r="D182" s="1583" t="n">
        <v>32</v>
      </c>
      <c r="E182" s="195" t="inlineStr">
        <is>
          <t>E22a</t>
        </is>
      </c>
      <c r="F182" s="799" t="inlineStr">
        <is>
          <t>Dans quelle mesure cet énoncé s'applique à votre situation? Les souvenirs de votre enfant commencent à être déformés (ex.: souvenirs heureux de la petite enfance vus aujourd'hui négativement).</t>
        </is>
      </c>
      <c r="G182" s="1164" t="inlineStr">
        <is>
          <t>Dans quelle mesure cet énoncé s'applique à votre situation? Les souvenirs de votre enfant vous semblaient être déformés (ex.: souvenirs heureux de la petite enfance vus aujourd'hui négativement).</t>
        </is>
      </c>
      <c r="H182" s="269" t="n"/>
      <c r="I182" s="1147" t="n"/>
      <c r="J182" s="152" t="inlineStr">
        <is>
          <t>sq1</t>
        </is>
      </c>
      <c r="K182" s="235" t="n"/>
      <c r="L182" s="607" t="n">
        <v>3</v>
      </c>
      <c r="M182" s="607" t="n"/>
      <c r="N182" s="961" t="inlineStr">
        <is>
          <t>E3A</t>
        </is>
      </c>
      <c r="O182" s="597" t="inlineStr">
        <is>
          <t>Tout à fait en désaccord / En désaccord /  Partiellement en désaccord /  Partiellement d’accord / D’accord / Tout à fait d’accord / S.O.</t>
        </is>
      </c>
      <c r="P182" s="350">
        <f>Test_Bible!P300</f>
        <v/>
      </c>
      <c r="Q182" s="350">
        <f>Test_Bible!Q300</f>
        <v/>
      </c>
      <c r="R182" s="675" t="n">
        <v>0</v>
      </c>
      <c r="S182" s="1614" t="n">
        <v>1</v>
      </c>
      <c r="T182" s="1615" t="n">
        <v>0</v>
      </c>
      <c r="U182" s="743" t="inlineStr">
        <is>
          <t>F: Interférence lien affectif ou symbolique</t>
        </is>
      </c>
      <c r="V182" s="2002" t="n"/>
      <c r="W182" s="471" t="n"/>
      <c r="X182" s="459" t="n"/>
      <c r="Y182" s="1070" t="n"/>
      <c r="AA182" s="1279" t="n">
        <v>1</v>
      </c>
      <c r="AD182" s="1234" t="inlineStr">
        <is>
          <t> </t>
        </is>
      </c>
      <c r="AE182" s="1235" t="n"/>
      <c r="AF182" s="1235" t="n"/>
      <c r="AG182" s="1230" t="inlineStr">
        <is>
          <t>🔴</t>
        </is>
      </c>
      <c r="AH182" s="1239" t="n"/>
      <c r="AI182" s="1239" t="inlineStr">
        <is>
          <t xml:space="preserve">Interférence sur le lien symbolique qui  vous unit à votre enfant. </t>
        </is>
      </c>
    </row>
    <row r="183" ht="100" customHeight="1">
      <c r="C183" s="935" t="inlineStr">
        <is>
          <t>intensité 1 si âge (B06) &gt;= 8 ans;
Intensité 2 si âge (B06) &lt; 8ans</t>
        </is>
      </c>
      <c r="D183" s="1583" t="n">
        <v>33</v>
      </c>
      <c r="E183" s="194" t="inlineStr">
        <is>
          <t>E17</t>
        </is>
      </c>
      <c r="F183" s="801" t="inlineStr">
        <is>
          <t>Dans quelle mesure cet énoncé s'applique à votre situation? Votre enfant tient le rôle de messager et a la responsabilité de vous communiquer les informations concernant la logistique familiale (ex. : horaires école et activités sportives, gestion lunch, vêtements, etc.).</t>
        </is>
      </c>
      <c r="G183" s="213" t="inlineStr">
        <is>
          <t>Dans quelle mesure cet énoncé s'applique à votre situation? Votre enfant tenait le rôle de messager et avait la responsabilité de vous communiquer les informations concernant la logistique familiale (ex. : horaires école et activités sportives, gestion lunch, vêtements, etc.).</t>
        </is>
      </c>
      <c r="H183" s="276" t="n"/>
      <c r="I183" s="213" t="n"/>
      <c r="J183" s="222" t="inlineStr">
        <is>
          <t> </t>
        </is>
      </c>
      <c r="K183" s="245" t="n"/>
      <c r="L183" s="593" t="n">
        <v>1</v>
      </c>
      <c r="M183" s="608" t="n">
        <v>2</v>
      </c>
      <c r="N183" s="961" t="inlineStr">
        <is>
          <t>E3A</t>
        </is>
      </c>
      <c r="O183" s="597" t="inlineStr">
        <is>
          <t>Tout à fait en désaccord / En désaccord /  Partiellement en désaccord /  Partiellement d’accord / D’accord / Tout à fait d’accord / S.O.</t>
        </is>
      </c>
      <c r="P183" s="350">
        <f>Test_Bible!P301</f>
        <v/>
      </c>
      <c r="Q183" s="350">
        <f>Test_Bible!Q301</f>
        <v/>
      </c>
      <c r="R183" s="675" t="n">
        <v>1</v>
      </c>
      <c r="S183" s="1614" t="n">
        <v>0</v>
      </c>
      <c r="T183" s="1615" t="n">
        <v>0</v>
      </c>
      <c r="U183" s="745" t="inlineStr">
        <is>
          <t>G: Parentification</t>
        </is>
      </c>
      <c r="V183" s="2002" t="n"/>
      <c r="W183" s="471" t="n"/>
      <c r="X183" s="468" t="n"/>
      <c r="Y183" s="1082" t="n"/>
      <c r="AB183" s="1279" t="n">
        <v>1</v>
      </c>
      <c r="AD183" s="1234" t="inlineStr">
        <is>
          <t> </t>
        </is>
      </c>
      <c r="AE183" s="1235" t="n"/>
      <c r="AF183" s="1235" t="n"/>
      <c r="AG183" s="1234" t="inlineStr">
        <is>
          <t> </t>
        </is>
      </c>
      <c r="AH183" s="1236" t="n"/>
      <c r="AI183" s="1237" t="n"/>
    </row>
    <row r="184" ht="72" customHeight="1">
      <c r="D184" s="1583" t="n">
        <v>34</v>
      </c>
      <c r="E184" s="194" t="inlineStr">
        <is>
          <t>E23</t>
        </is>
      </c>
      <c r="F184" s="992" t="inlineStr">
        <is>
          <t>Dans quelle mesure diriez-vous que votre enfant se sent responsable du bonheur de l’autre parent et/ou sent le besoin de le protéger ?</t>
        </is>
      </c>
      <c r="G184" s="213" t="inlineStr">
        <is>
          <t>Dans quelle mesure êtes-vous d'accord avec l'énoncé suivant ? Votre enfant se sentait responsable du bonheur de l’autre parent et/ou sentait le besoin de le protéger.</t>
        </is>
      </c>
      <c r="H184" s="275" t="n"/>
      <c r="I184" s="1150" t="n"/>
      <c r="J184" s="150" t="inlineStr">
        <is>
          <t> </t>
        </is>
      </c>
      <c r="K184" s="244" t="n"/>
      <c r="L184" s="593" t="n">
        <v>1</v>
      </c>
      <c r="M184" s="593" t="n"/>
      <c r="N184" s="961" t="n"/>
      <c r="O184" s="1606" t="inlineStr">
        <is>
          <t>Nulle / Très faible / Faible / Moyenne / Élevé / Très élevé / S.O.</t>
        </is>
      </c>
      <c r="P184" s="350">
        <f>Test_Bible!P302</f>
        <v/>
      </c>
      <c r="Q184" s="350">
        <f>Test_Bible!Q302</f>
        <v/>
      </c>
      <c r="R184" s="675" t="n">
        <v>0</v>
      </c>
      <c r="S184" s="1614" t="n">
        <v>1</v>
      </c>
      <c r="T184" s="1615" t="n">
        <v>0</v>
      </c>
      <c r="U184" s="745" t="inlineStr">
        <is>
          <t>G: Parentification</t>
        </is>
      </c>
      <c r="V184" s="2002" t="n"/>
      <c r="W184" s="471" t="n"/>
      <c r="X184" s="468" t="n"/>
      <c r="Y184" s="1082" t="n"/>
      <c r="AB184" s="1279" t="n">
        <v>1</v>
      </c>
      <c r="AD184" s="1230" t="inlineStr">
        <is>
          <t>🔶</t>
        </is>
      </c>
      <c r="AE184" s="1231" t="inlineStr">
        <is>
          <t xml:space="preserve">parentification /  </t>
        </is>
      </c>
      <c r="AF184" s="1231" t="n"/>
      <c r="AG184" s="1234" t="inlineStr">
        <is>
          <t> </t>
        </is>
      </c>
      <c r="AH184" s="1236" t="n"/>
      <c r="AI184"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5" ht="68" customHeight="1">
      <c r="A185" s="1803" t="inlineStr">
        <is>
          <t>s'active que si B11(entente de garde non-respectée) &gt;=4;OU PCR01a(4+) OU PCR02 (4+)</t>
        </is>
      </c>
      <c r="D185" s="1583" t="n">
        <v>35</v>
      </c>
      <c r="E185" s="194" t="inlineStr">
        <is>
          <t>E24</t>
        </is>
      </c>
      <c r="F185" s="801" t="inlineStr">
        <is>
          <t>Dans quelle mesure êtes-vous d'accord avec l'énoncé suivant? L'autre parent (coparent) a informé votre enfant du contexte financier, juridique et autres associé au conflit vous opposant.</t>
        </is>
      </c>
      <c r="G185" s="213" t="inlineStr">
        <is>
          <t>Dans quelle mesure êtes-vous d'accord avec l'énoncé suivant? L'autre parent (coparent) avait  informé votre enfant du contexte juridique, financier et autres associé au conflit vous opposant.</t>
        </is>
      </c>
      <c r="H185" s="275" t="n"/>
      <c r="I185" s="1150" t="n"/>
      <c r="J185" s="150" t="inlineStr">
        <is>
          <t> </t>
        </is>
      </c>
      <c r="K185" s="244" t="n"/>
      <c r="L185" s="608" t="n">
        <v>2</v>
      </c>
      <c r="M185" s="608" t="n"/>
      <c r="N185" s="961" t="inlineStr">
        <is>
          <t>E3A</t>
        </is>
      </c>
      <c r="O185" s="597" t="inlineStr">
        <is>
          <t>Tout à fait en désaccord / En désaccord /  Partiellement en désaccord /  Partiellement d’accord / D’accord / Tout à fait d’accord / S.O.</t>
        </is>
      </c>
      <c r="P185" s="350">
        <f>Test_Bible!P303</f>
        <v/>
      </c>
      <c r="Q185" s="350">
        <f>Test_Bible!Q303</f>
        <v/>
      </c>
      <c r="R185" s="675" t="n">
        <v>1</v>
      </c>
      <c r="S185" s="1614" t="n">
        <v>0</v>
      </c>
      <c r="T185" s="1615" t="n">
        <v>0</v>
      </c>
      <c r="U185" s="745" t="inlineStr">
        <is>
          <t>G: Parentification</t>
        </is>
      </c>
      <c r="V185" s="2002" t="n"/>
      <c r="W185" s="471" t="n"/>
      <c r="X185" s="468" t="n"/>
      <c r="Y185" s="1082" t="n"/>
      <c r="AB185" s="1279" t="n">
        <v>1</v>
      </c>
      <c r="AD185" s="1234" t="inlineStr">
        <is>
          <t> </t>
        </is>
      </c>
      <c r="AE185" s="1235" t="n"/>
      <c r="AF185" s="1235" t="n"/>
      <c r="AG185" s="1234" t="inlineStr">
        <is>
          <t> </t>
        </is>
      </c>
      <c r="AH185" s="1236" t="n"/>
      <c r="AI185"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6" ht="54" customHeight="1">
      <c r="D186" s="1583" t="n">
        <v>36</v>
      </c>
      <c r="E186" s="200" t="inlineStr">
        <is>
          <t>E25</t>
        </is>
      </c>
      <c r="F186" s="801" t="inlineStr">
        <is>
          <t>Dans quelle mesure diriez-vous que votre enfant sent le besoin de protéger l’autre parent ou de défendre ses intérêts?</t>
        </is>
      </c>
      <c r="G186" s="800" t="inlineStr">
        <is>
          <t>Dans quelle mesure diriez-vous que votre enfant sentait le besoin de protéger l’autre parent ou de défendre ses intérêts?</t>
        </is>
      </c>
      <c r="H186" s="272" t="n"/>
      <c r="I186" s="1146" t="n"/>
      <c r="J186" s="202" t="n"/>
      <c r="K186" s="246" t="n"/>
      <c r="L186" s="608" t="n">
        <v>2</v>
      </c>
      <c r="M186" s="608" t="n"/>
      <c r="N186" s="961" t="inlineStr">
        <is>
          <t>E4A</t>
        </is>
      </c>
      <c r="O186" s="597" t="inlineStr">
        <is>
          <t>Nulle / Très faible / Faible / Moyenne / Élevé / Très élevé / S.O.</t>
        </is>
      </c>
      <c r="P186" s="350">
        <f>Test_Bible!P304</f>
        <v/>
      </c>
      <c r="Q186" s="350">
        <f>Test_Bible!Q304</f>
        <v/>
      </c>
      <c r="R186" s="386" t="n">
        <v>0.5</v>
      </c>
      <c r="S186" s="387" t="n">
        <v>0.5</v>
      </c>
      <c r="T186" s="1615" t="n">
        <v>0</v>
      </c>
      <c r="U186" s="752" t="inlineStr">
        <is>
          <t>G: Parentification</t>
        </is>
      </c>
      <c r="V186" s="2002" t="n"/>
      <c r="W186" s="471" t="n"/>
      <c r="X186" s="459" t="n"/>
      <c r="Y186" s="1070" t="n"/>
      <c r="AB186" s="1279" t="n">
        <v>1</v>
      </c>
      <c r="AD186" s="1230" t="inlineStr">
        <is>
          <t>🔶</t>
        </is>
      </c>
      <c r="AE186" s="1224" t="inlineStr">
        <is>
          <t xml:space="preserve">idem q-E23 </t>
        </is>
      </c>
      <c r="AF186" s="1224" t="n"/>
      <c r="AG186" s="1221" t="n"/>
      <c r="AH186" s="1053" t="n"/>
      <c r="AI186"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7" ht="52" customHeight="1">
      <c r="D187" s="1583" t="n">
        <v>37</v>
      </c>
      <c r="E187" s="194" t="inlineStr">
        <is>
          <t>E26</t>
        </is>
      </c>
      <c r="F187" s="801" t="inlineStr">
        <is>
          <t xml:space="preserve">Dans quelle mesure diriez-vous que le comportement et/ou l'attitude de votre enfant change en présence de l’autre parent ? </t>
        </is>
      </c>
      <c r="G187" s="213" t="inlineStr">
        <is>
          <t xml:space="preserve">Dans quelle mesure diriez-vous que le comportement et/ou l'attitude de votre enfant changeait en présence de l’autre parent ? </t>
        </is>
      </c>
      <c r="H187" s="275" t="n"/>
      <c r="I187" s="1150" t="n"/>
      <c r="J187" s="150" t="inlineStr">
        <is>
          <t> </t>
        </is>
      </c>
      <c r="K187" s="244" t="n"/>
      <c r="L187" s="608" t="n">
        <v>2</v>
      </c>
      <c r="M187" s="608" t="n"/>
      <c r="N187" s="961" t="inlineStr">
        <is>
          <t>E4A</t>
        </is>
      </c>
      <c r="O187" s="597" t="inlineStr">
        <is>
          <t>Nulle / Très faible / Faible / Moyenne / Élevé / Très élevé / S.O.</t>
        </is>
      </c>
      <c r="P187" s="350">
        <f>Test_Bible!P305</f>
        <v/>
      </c>
      <c r="Q187" s="350">
        <f>Test_Bible!Q305</f>
        <v/>
      </c>
      <c r="R187" s="675" t="n">
        <v>0.5</v>
      </c>
      <c r="S187" s="1614" t="n">
        <v>0.5</v>
      </c>
      <c r="T187" s="1615" t="n">
        <v>0</v>
      </c>
      <c r="U187" s="753" t="inlineStr">
        <is>
          <t>H: Rôle actif, Réponse au CC, r</t>
        </is>
      </c>
      <c r="V187" s="2002" t="n"/>
      <c r="W187" s="471" t="n"/>
      <c r="X187" s="468" t="n"/>
      <c r="Y187" s="1082" t="n"/>
      <c r="AC187" s="1279" t="n">
        <v>1</v>
      </c>
      <c r="AD187" s="1234" t="inlineStr">
        <is>
          <t> </t>
        </is>
      </c>
      <c r="AE187" s="1235" t="n"/>
      <c r="AF187" s="1235" t="n"/>
      <c r="AG187" s="1234" t="inlineStr">
        <is>
          <t> </t>
        </is>
      </c>
      <c r="AH187" s="1236" t="n"/>
      <c r="AI187" s="1237" t="n"/>
    </row>
    <row r="188" ht="54" customHeight="1">
      <c r="D188" s="1583" t="inlineStr">
        <is>
          <t>Prend la position de E15</t>
        </is>
      </c>
      <c r="E188" s="194" t="inlineStr">
        <is>
          <t>E27</t>
        </is>
      </c>
      <c r="F188" s="801" t="inlineStr">
        <is>
          <t>Dans quelle mesure notez-vous un changement au niveau du comportement de votre enfant à son retour de garde?</t>
        </is>
      </c>
      <c r="G188" s="213" t="inlineStr">
        <is>
          <t>Dans quelle mesure notiez-vous un changement au niveau du comportement de votre enfant à son retour de garde?</t>
        </is>
      </c>
      <c r="H188" s="275" t="n"/>
      <c r="I188" s="1150" t="n"/>
      <c r="J188" s="150" t="inlineStr">
        <is>
          <t>&gt;=3</t>
        </is>
      </c>
      <c r="K188" s="244" t="n">
        <v>4</v>
      </c>
      <c r="L188" s="608" t="n">
        <v>2</v>
      </c>
      <c r="M188" s="608" t="n"/>
      <c r="N188" s="961" t="inlineStr">
        <is>
          <t>E1A</t>
        </is>
      </c>
      <c r="O188" s="2059" t="inlineStr">
        <is>
          <t xml:space="preserve">Jamais / Rarement / Occasionnellement / Régulièrement / Souvent / Toujours / S.O. </t>
        </is>
      </c>
      <c r="P188" s="350">
        <f>Test_Bible!P306</f>
        <v/>
      </c>
      <c r="Q188" s="350">
        <f>Test_Bible!Q306</f>
        <v/>
      </c>
      <c r="R188" s="675" t="n">
        <v>1</v>
      </c>
      <c r="S188" s="1614" t="n">
        <v>0</v>
      </c>
      <c r="T188" s="1615" t="n">
        <v>0</v>
      </c>
      <c r="U188" s="753" t="inlineStr">
        <is>
          <t>H: Rôle actif, Réponse au CC, r</t>
        </is>
      </c>
      <c r="V188" s="2002" t="n"/>
      <c r="W188" s="471" t="n"/>
      <c r="X188" s="468" t="n"/>
      <c r="Y188" s="1082" t="n"/>
      <c r="AC188" s="1279" t="n">
        <v>1</v>
      </c>
      <c r="AD188" s="1230" t="inlineStr">
        <is>
          <t>🔶</t>
        </is>
      </c>
      <c r="AE188" s="1239" t="inlineStr">
        <is>
          <t xml:space="preserve">point d'info visible sur fréquence =+3 </t>
        </is>
      </c>
      <c r="AF188" s="1239" t="n"/>
      <c r="AG188" s="1234" t="inlineStr">
        <is>
          <t> </t>
        </is>
      </c>
      <c r="AH188" s="1236" t="n"/>
      <c r="AI188" s="1237" t="n"/>
    </row>
    <row r="189" ht="57" customHeight="1">
      <c r="B189" s="124" t="inlineStr">
        <is>
          <t>sq1 (s'active si E27&gt;=condition)</t>
        </is>
      </c>
      <c r="D189" s="1583" t="inlineStr">
        <is>
          <t>Prend la position de E15</t>
        </is>
      </c>
      <c r="E189" s="195" t="inlineStr">
        <is>
          <t>E27a</t>
        </is>
      </c>
      <c r="F189" s="799" t="inlineStr">
        <is>
          <t>De manière générale, au retour d'un séjour chez l'autre parent, votre enfant vous paraît :</t>
        </is>
      </c>
      <c r="G189" s="1164" t="inlineStr">
        <is>
          <t>De manière générale, au retour d'un séjour chez l'autre parent, votre enfant vous paraissait :</t>
        </is>
      </c>
      <c r="H189" s="261" t="inlineStr">
        <is>
          <t>calme (0)/ neutre(0) / enjoué.e(0) / taciturne(1) / anxieux(1) / agressif (1). - ON/OFF</t>
        </is>
      </c>
      <c r="I189" s="1147" t="n"/>
      <c r="J189" s="152" t="inlineStr">
        <is>
          <t>sq1</t>
        </is>
      </c>
      <c r="K189" s="235" t="n"/>
      <c r="L189" s="235" t="n">
        <v>0</v>
      </c>
      <c r="M189" s="558" t="n"/>
      <c r="N189" s="961" t="inlineStr">
        <is>
          <t>choix
multiples</t>
        </is>
      </c>
      <c r="O189" s="597" t="n"/>
      <c r="P189" s="344" t="n"/>
      <c r="Q189" s="344" t="n"/>
      <c r="R189" s="675" t="inlineStr">
        <is>
          <t>n/a</t>
        </is>
      </c>
      <c r="S189" s="676" t="inlineStr">
        <is>
          <t>n/a</t>
        </is>
      </c>
      <c r="T189" s="1615" t="inlineStr">
        <is>
          <t>n/a</t>
        </is>
      </c>
      <c r="U189" s="753" t="inlineStr">
        <is>
          <t>H: Rôle actif, Réponse au CC, r</t>
        </is>
      </c>
      <c r="V189" s="2002" t="n"/>
      <c r="W189" s="471" t="n"/>
      <c r="X189" s="468" t="n"/>
      <c r="Y189" s="1082" t="n"/>
      <c r="AC189" s="1279" t="n">
        <v>1</v>
      </c>
      <c r="AD189" s="1230" t="n"/>
      <c r="AE189" s="1235" t="n"/>
      <c r="AF189" s="1235" t="n"/>
      <c r="AG189" s="1230" t="n"/>
      <c r="AH189" s="1236" t="n"/>
      <c r="AI189" s="1237" t="n"/>
    </row>
    <row r="190" ht="68" customHeight="1">
      <c r="B190" s="1804" t="inlineStr">
        <is>
          <t>sq1 (s'active si E27a = taciturne à agressif)</t>
        </is>
      </c>
      <c r="D190" s="1583" t="inlineStr">
        <is>
          <t>Prend la position de E15</t>
        </is>
      </c>
      <c r="E190" s="195" t="inlineStr">
        <is>
          <t>E27a1</t>
        </is>
      </c>
      <c r="F190" s="799" t="inlineStr">
        <is>
          <t>Évaluez la fréquence et l'intensité de l'énoncé : au retour d’un séjour chez l’autre parent, votre enfant vous questionne sur vos décisions présentes ou passsées ou vous accable de reproches?</t>
        </is>
      </c>
      <c r="G190" s="1164" t="inlineStr">
        <is>
          <t>Évaluez la fréquence et l'intensité de l'énoncé : au retour d’un séjour chez l’autre parent, votre enfant vous questionnait sur vos décisions présentes ou passsées ou vous accablait de reproches?</t>
        </is>
      </c>
      <c r="H190" s="269" t="n"/>
      <c r="I190" s="1147" t="n"/>
      <c r="J190" s="152" t="inlineStr">
        <is>
          <t>sq1</t>
        </is>
      </c>
      <c r="K190" s="235" t="n"/>
      <c r="L190" s="608" t="n">
        <v>3</v>
      </c>
      <c r="M190" s="608" t="n"/>
      <c r="N190" s="961" t="inlineStr">
        <is>
          <t>E1A</t>
        </is>
      </c>
      <c r="O190" s="2059" t="inlineStr">
        <is>
          <t xml:space="preserve">Jamais / Rarement / Occasionnellement / Régulièrement / Souvent / Toujours / S.O. </t>
        </is>
      </c>
      <c r="P190" s="350">
        <f>Test_Bible!P314</f>
        <v/>
      </c>
      <c r="Q190" s="350">
        <f>Test_Bible!Q314</f>
        <v/>
      </c>
      <c r="R190" s="675" t="n">
        <v>0</v>
      </c>
      <c r="S190" s="1614" t="n">
        <v>0.5</v>
      </c>
      <c r="T190" s="1615" t="n">
        <v>0.5</v>
      </c>
      <c r="U190" s="753" t="inlineStr">
        <is>
          <t>H: Rôle actif, Réponse au CC, r</t>
        </is>
      </c>
      <c r="V190" s="2002" t="n"/>
      <c r="W190" s="471" t="n"/>
      <c r="X190" s="468" t="n"/>
      <c r="Y190" s="474" t="n"/>
      <c r="Z190" s="165" t="n"/>
      <c r="AC190" s="1279" t="n">
        <v>1</v>
      </c>
      <c r="AD190" s="1264" t="inlineStr">
        <is>
          <t> </t>
        </is>
      </c>
      <c r="AE190" s="1231" t="n"/>
      <c r="AF190" s="1231" t="n"/>
      <c r="AG190" s="1230" t="inlineStr">
        <is>
          <t>🔴</t>
        </is>
      </c>
      <c r="AH190" s="1236" t="n"/>
      <c r="AI190" s="1265" t="n"/>
    </row>
    <row r="191" ht="63" customHeight="1">
      <c r="D191" s="1583" t="n">
        <v>41</v>
      </c>
      <c r="E191" s="194" t="inlineStr">
        <is>
          <t>E28</t>
        </is>
      </c>
      <c r="F191" s="801" t="inlineStr">
        <is>
          <t>Dans quelle mesure votre enfant s'isole (ex.: chambre) ou se cache (ex.: toilettes) pour appeler son autre parent afin qu'on n'entende pas ses conversations?</t>
        </is>
      </c>
      <c r="G191" s="213" t="inlineStr">
        <is>
          <t>Dans quelle mesure votre enfant s'isolait (ex.: chambre) ou se cachait (ex.: toilettes) pour appeler son autre parent afin qu'on n'entende pas ses conversations?</t>
        </is>
      </c>
      <c r="H191" s="275" t="n"/>
      <c r="I191" s="1150" t="n"/>
      <c r="J191" s="150" t="inlineStr">
        <is>
          <t> </t>
        </is>
      </c>
      <c r="K191" s="244" t="n"/>
      <c r="L191" s="608" t="n">
        <v>2</v>
      </c>
      <c r="M191" s="608" t="n"/>
      <c r="N191" s="961" t="inlineStr">
        <is>
          <t>E1A</t>
        </is>
      </c>
      <c r="O191" s="2059" t="inlineStr">
        <is>
          <t xml:space="preserve">Jamais / Rarement / Occasionnellement / Régulièrement / Souvent / Toujours / S.O. </t>
        </is>
      </c>
      <c r="P191" s="350">
        <f>Test_Bible!P315</f>
        <v/>
      </c>
      <c r="Q191" s="350">
        <f>Test_Bible!Q315</f>
        <v/>
      </c>
      <c r="R191" s="377" t="n">
        <v>1</v>
      </c>
      <c r="S191" s="1614" t="n">
        <v>0</v>
      </c>
      <c r="T191" s="1615" t="n">
        <v>0</v>
      </c>
      <c r="U191" s="753" t="inlineStr">
        <is>
          <t>H: Rôle actif, Réponse au CC, r</t>
        </is>
      </c>
      <c r="V191" s="2002" t="n"/>
      <c r="W191" s="471" t="n"/>
      <c r="X191" s="468" t="n"/>
      <c r="Y191" s="1082" t="n"/>
      <c r="AC191" s="1279" t="n">
        <v>1</v>
      </c>
      <c r="AD191" s="1234" t="inlineStr">
        <is>
          <t> </t>
        </is>
      </c>
      <c r="AE191" s="1235" t="n"/>
      <c r="AF191" s="1235" t="n"/>
      <c r="AG191" s="1234" t="inlineStr">
        <is>
          <t> </t>
        </is>
      </c>
      <c r="AH191" s="1236" t="n"/>
      <c r="AI191" s="1237" t="n"/>
    </row>
    <row r="192" ht="82" customHeight="1">
      <c r="A192" s="1000" t="inlineStr">
        <is>
          <t>Demande une condition d'ouverture</t>
        </is>
      </c>
      <c r="D192" s="1583" t="n">
        <v>42</v>
      </c>
      <c r="E192" s="194" t="inlineStr">
        <is>
          <t>E29</t>
        </is>
      </c>
      <c r="F192" s="801" t="inlineStr">
        <is>
          <t>Dans quelle mesure diriez-vous que votre enfant a changé ou adapté ses champs d’intérêts pour partager de plus en plus les intérêts de l’autre parent?</t>
        </is>
      </c>
      <c r="G192" s="213" t="inlineStr">
        <is>
          <t>Dans quelle mesure diriez-vous que votre enfant avait changé ou adapté ses champs d’intérêts pour partager de plus en plus les intérêts de l’autre parent?</t>
        </is>
      </c>
      <c r="H192" s="275" t="n"/>
      <c r="I192" s="1150" t="n"/>
      <c r="J192" s="150" t="inlineStr">
        <is>
          <t>&gt;=3</t>
        </is>
      </c>
      <c r="K192" s="244" t="n">
        <v>4</v>
      </c>
      <c r="L192" s="608" t="n">
        <v>2</v>
      </c>
      <c r="M192" s="608" t="n"/>
      <c r="N192" s="961" t="inlineStr">
        <is>
          <t>E6</t>
        </is>
      </c>
      <c r="O192" s="1606" t="inlineStr">
        <is>
          <t>Pas du tout / Très peu / Peu / Régulièrement /  Beaucoup / Trop / S.O.</t>
        </is>
      </c>
      <c r="P192" s="350">
        <f>Test_Bible!P316</f>
        <v/>
      </c>
      <c r="Q192" s="350">
        <f>Test_Bible!Q316</f>
        <v/>
      </c>
      <c r="R192" s="377" t="n">
        <v>1</v>
      </c>
      <c r="S192" s="1614" t="n">
        <v>0</v>
      </c>
      <c r="T192" s="1615" t="n">
        <v>0</v>
      </c>
      <c r="U192" s="753" t="inlineStr">
        <is>
          <t>H: Rôle actif, Réponse au CC, r</t>
        </is>
      </c>
      <c r="V192" s="2002" t="n"/>
      <c r="W192" s="471" t="n"/>
      <c r="X192" s="468" t="n"/>
      <c r="Y192" s="1082" t="n"/>
      <c r="AC192" s="1279" t="n">
        <v>1</v>
      </c>
      <c r="AD192" s="1234" t="inlineStr">
        <is>
          <t> </t>
        </is>
      </c>
      <c r="AE192" s="1235" t="n"/>
      <c r="AF192" s="1235" t="n"/>
      <c r="AG192" s="1234" t="inlineStr">
        <is>
          <t> </t>
        </is>
      </c>
      <c r="AH192" s="1236" t="n"/>
      <c r="AI192" s="1237" t="n"/>
    </row>
    <row r="193" ht="71" customHeight="1">
      <c r="B193" s="124" t="inlineStr">
        <is>
          <t>sq1 (s'active si E29&gt;=condition)</t>
        </is>
      </c>
      <c r="D193" s="1583" t="n">
        <v>43</v>
      </c>
      <c r="E193" s="616" t="inlineStr">
        <is>
          <t>E29a</t>
        </is>
      </c>
      <c r="F193" s="799" t="inlineStr">
        <is>
          <t>Évaluez la fréquence et l'intensité de l'énoncé : votre enfant rejette de plus en plus vos valeurs et vos champs d’intérêts.</t>
        </is>
      </c>
      <c r="G193" s="798" t="inlineStr">
        <is>
          <t>Évaluez la fréquence et l'intensité de l'énoncé : votre enfant rejetait de plus en plus vos valeurs et vos champs d’intérêts.</t>
        </is>
      </c>
      <c r="H193" s="277" t="n"/>
      <c r="I193" s="1151" t="n"/>
      <c r="J193" s="152" t="inlineStr">
        <is>
          <t>sq1</t>
        </is>
      </c>
      <c r="K193" s="244" t="n"/>
      <c r="L193" s="607" t="n">
        <v>3</v>
      </c>
      <c r="M193" s="607" t="n"/>
      <c r="N193" s="961" t="inlineStr">
        <is>
          <t>E6</t>
        </is>
      </c>
      <c r="O193" s="1606" t="inlineStr">
        <is>
          <t>Pas du tout / Très peu / Peu / Régulièrement /  Beaucoup / Trop / S.O.</t>
        </is>
      </c>
      <c r="P193" s="350">
        <f>Test_Bible!P317</f>
        <v/>
      </c>
      <c r="Q193" s="350">
        <f>Test_Bible!Q317</f>
        <v/>
      </c>
      <c r="R193" s="675" t="n">
        <v>1</v>
      </c>
      <c r="S193" s="1614" t="n">
        <v>0</v>
      </c>
      <c r="T193" s="1615" t="n">
        <v>0</v>
      </c>
      <c r="U193" s="753" t="inlineStr">
        <is>
          <t>H: Rôle actif, Réponse au CC, r</t>
        </is>
      </c>
      <c r="V193" s="2002" t="n"/>
      <c r="W193" s="471" t="n"/>
      <c r="X193" s="468" t="n"/>
      <c r="Y193" s="474" t="n"/>
      <c r="Z193" s="165" t="n"/>
      <c r="AC193" s="1279" t="n">
        <v>1</v>
      </c>
      <c r="AD193" s="1264" t="inlineStr">
        <is>
          <t> </t>
        </is>
      </c>
      <c r="AE193" s="1231" t="n"/>
      <c r="AF193" s="1231" t="n"/>
      <c r="AG193" s="1266" t="inlineStr">
        <is>
          <t> </t>
        </is>
      </c>
      <c r="AH193" s="1236" t="n"/>
      <c r="AI193" s="1265" t="n"/>
    </row>
    <row r="194" ht="73" customHeight="1">
      <c r="A194" s="1804" t="inlineStr">
        <is>
          <t>S'active si non-respect de la garde OU B12a = anxiété de séparation  ++++</t>
        </is>
      </c>
      <c r="C194" s="935" t="inlineStr">
        <is>
          <t>intensité 1 si âge (B06) &gt;= 8 ans;
Intensité 2 si âge (B06) &lt; 8ans</t>
        </is>
      </c>
      <c r="D194" s="1583" t="n">
        <v>44</v>
      </c>
      <c r="E194" s="194" t="inlineStr">
        <is>
          <t>E30</t>
        </is>
      </c>
      <c r="F194" s="801" t="inlineStr">
        <is>
          <t>Dans quelle mesure cet énoncé s'applique votre situation? Votre enfant réclame le droit de choisir les moments où il vous rend visite et la durée des visites chez vous.</t>
        </is>
      </c>
      <c r="G194" s="213" t="inlineStr">
        <is>
          <t>Dans quelle mesure cet énoncé s'applique votre situation? Votre enfant réclamait le droit de choisir les moments où il vous rend visite et la durée des visites chez vous.</t>
        </is>
      </c>
      <c r="H194" s="275" t="n"/>
      <c r="I194" s="1150" t="n"/>
      <c r="J194" s="150" t="inlineStr">
        <is>
          <t> </t>
        </is>
      </c>
      <c r="K194" s="244" t="n"/>
      <c r="L194" s="608" t="n">
        <v>2</v>
      </c>
      <c r="M194" s="607" t="n">
        <v>3</v>
      </c>
      <c r="N194" s="961" t="inlineStr">
        <is>
          <t>E1A</t>
        </is>
      </c>
      <c r="O194" s="2059" t="inlineStr">
        <is>
          <t xml:space="preserve">Jamais / Rarement / Occasionnellement / Régulièrement / Souvent / Toujours / S.O. </t>
        </is>
      </c>
      <c r="P194" s="350">
        <f>Test_Bible!P318</f>
        <v/>
      </c>
      <c r="Q194" s="350">
        <f>Test_Bible!Q318</f>
        <v/>
      </c>
      <c r="R194" s="675" t="n">
        <v>0.5</v>
      </c>
      <c r="S194" s="1614" t="n">
        <v>0</v>
      </c>
      <c r="T194" s="1615" t="n">
        <v>0.5</v>
      </c>
      <c r="U194" s="753" t="inlineStr">
        <is>
          <t>H: Rôle actif, Réponse au CC, r</t>
        </is>
      </c>
      <c r="V194" s="2002" t="n"/>
      <c r="W194" s="471" t="n"/>
      <c r="X194" s="468" t="n"/>
      <c r="Y194" s="1082" t="n"/>
      <c r="AC194" s="1279" t="n">
        <v>1</v>
      </c>
      <c r="AD194" s="1234" t="inlineStr">
        <is>
          <t> </t>
        </is>
      </c>
      <c r="AE194" s="1235" t="n"/>
      <c r="AF194" s="1235" t="n"/>
      <c r="AG194" s="1234" t="inlineStr">
        <is>
          <t> </t>
        </is>
      </c>
      <c r="AH194" s="1236" t="n"/>
      <c r="AI194" s="1237" t="n"/>
    </row>
    <row r="195" ht="53" customHeight="1">
      <c r="A195" s="202" t="inlineStr">
        <is>
          <t>S'active si E05&gt;= condition de E05</t>
        </is>
      </c>
      <c r="D195" s="1583" t="n">
        <v>45</v>
      </c>
      <c r="E195" s="194" t="inlineStr">
        <is>
          <t>E31</t>
        </is>
      </c>
      <c r="F195" s="801" t="inlineStr">
        <is>
          <t xml:space="preserve">Évaluez la fréquence et l'intensité de l'énoncé : votre enfant calque les désirs et les paroles de l’autre parent. </t>
        </is>
      </c>
      <c r="G195" s="213" t="inlineStr">
        <is>
          <t xml:space="preserve">Évaluez la fréquence et l'intensité de l'énoncé : votre enfant calquait les désirs et les paroles de l’autre parent. </t>
        </is>
      </c>
      <c r="H195" s="275" t="n"/>
      <c r="I195" s="1150" t="n"/>
      <c r="J195" s="150" t="inlineStr">
        <is>
          <t> </t>
        </is>
      </c>
      <c r="K195" s="244" t="n"/>
      <c r="L195" s="607" t="n">
        <v>3</v>
      </c>
      <c r="M195" s="607" t="n"/>
      <c r="N195" s="961" t="inlineStr">
        <is>
          <t>E4A</t>
        </is>
      </c>
      <c r="O195" s="597" t="inlineStr">
        <is>
          <t>Nulle / Très faible / Faible / Moyenne / Élevé / Très élevé / S.O.</t>
        </is>
      </c>
      <c r="P195" s="350">
        <f>Test_Bible!P319</f>
        <v/>
      </c>
      <c r="Q195" s="350">
        <f>Test_Bible!Q319</f>
        <v/>
      </c>
      <c r="R195" s="675" t="n">
        <v>0.5</v>
      </c>
      <c r="S195" s="1614" t="n">
        <v>0.5</v>
      </c>
      <c r="T195" s="1615" t="n">
        <v>0</v>
      </c>
      <c r="U195" s="753" t="inlineStr">
        <is>
          <t>H: Rôle actif, Réponse au CC, r</t>
        </is>
      </c>
      <c r="V195" s="2002" t="n"/>
      <c r="W195" s="471" t="n"/>
      <c r="X195" s="468" t="n"/>
      <c r="Y195" s="1082" t="n"/>
      <c r="AC195" s="1279" t="n">
        <v>1</v>
      </c>
      <c r="AD195" s="1234" t="inlineStr">
        <is>
          <t> </t>
        </is>
      </c>
      <c r="AE195" s="1235" t="n"/>
      <c r="AF195" s="1235" t="n"/>
      <c r="AG195" s="1234" t="inlineStr">
        <is>
          <t> </t>
        </is>
      </c>
      <c r="AH195" s="1236" t="n"/>
      <c r="AI195" s="1237" t="n"/>
    </row>
    <row r="196" ht="72" customHeight="1">
      <c r="A196" s="202" t="inlineStr">
        <is>
          <t>S'active si E04&gt;= condition de E04</t>
        </is>
      </c>
      <c r="D196" s="1583" t="n">
        <v>46</v>
      </c>
      <c r="E196" s="194" t="inlineStr">
        <is>
          <t>E32</t>
        </is>
      </c>
      <c r="F196" s="801" t="inlineStr">
        <is>
          <t>Évaluez la fréquence et l'intensité de l'énoncé : votre enfant vous accuse de mentir, de voler, etc.</t>
        </is>
      </c>
      <c r="G196" s="213" t="inlineStr">
        <is>
          <t>Évaluez la fréquence et l'intensité de l'énoncé : votre enfant vous accusait de mentir, de voler, etc.</t>
        </is>
      </c>
      <c r="H196" s="275" t="n"/>
      <c r="I196" s="1150" t="n"/>
      <c r="J196" s="150" t="inlineStr">
        <is>
          <t> </t>
        </is>
      </c>
      <c r="K196" s="244" t="n"/>
      <c r="L196" s="608" t="n">
        <v>2</v>
      </c>
      <c r="M196" s="608" t="n"/>
      <c r="N196" s="961" t="inlineStr">
        <is>
          <t>E4A</t>
        </is>
      </c>
      <c r="O196" s="597" t="inlineStr">
        <is>
          <t>Nulle / Très faible / Faible / Moyenne / Élevé / Très élevé / S.O.</t>
        </is>
      </c>
      <c r="P196" s="350">
        <f>Test_Bible!P320</f>
        <v/>
      </c>
      <c r="Q196" s="350">
        <f>Test_Bible!Q320</f>
        <v/>
      </c>
      <c r="R196" s="675" t="n">
        <v>0</v>
      </c>
      <c r="S196" s="1614" t="n">
        <v>0.5</v>
      </c>
      <c r="T196" s="1615" t="n">
        <v>0.5</v>
      </c>
      <c r="U196" s="753" t="inlineStr">
        <is>
          <t>H: Rôle actif, Réponse au CC, r</t>
        </is>
      </c>
      <c r="V196" s="2002" t="n"/>
      <c r="W196" s="471" t="n"/>
      <c r="X196" s="468" t="n"/>
      <c r="Y196" s="1082" t="n"/>
      <c r="AC196" s="1279" t="n">
        <v>1</v>
      </c>
      <c r="AD196" s="1234" t="inlineStr">
        <is>
          <t> </t>
        </is>
      </c>
      <c r="AE196" s="1235" t="n"/>
      <c r="AF196" s="1235" t="n"/>
      <c r="AG196" s="1234" t="inlineStr">
        <is>
          <t> </t>
        </is>
      </c>
      <c r="AH196" s="1236" t="n"/>
      <c r="AI196" s="1237" t="n"/>
    </row>
    <row r="197" ht="78" customHeight="1">
      <c r="A197" s="1804" t="inlineStr">
        <is>
          <t>S'active si non-respect de la garde OU B12a = anxiété de séparation  ++++</t>
        </is>
      </c>
      <c r="D197" s="1583" t="n">
        <v>47</v>
      </c>
      <c r="E197" s="194" t="inlineStr">
        <is>
          <t>E33</t>
        </is>
      </c>
      <c r="F197" s="801" t="inlineStr">
        <is>
          <t>Évaluez la fréquence ou l'intensité de l'énoncé : votre enfant vous reproche de lui manquer de respect en ne respectant pas ses choix, besoins, désirs, rythme, etc.</t>
        </is>
      </c>
      <c r="G197" s="213" t="inlineStr">
        <is>
          <t>Évaluez la fréquence ou l'intensité de l'énoncé : votre enfant vous reprochait de lui manquer de respect en ne respectant pas ses choix, besoins, désirs, rythme, etc.</t>
        </is>
      </c>
      <c r="H197" s="275" t="n"/>
      <c r="I197" s="1150" t="n"/>
      <c r="J197" s="150" t="inlineStr">
        <is>
          <t>&gt;=3</t>
        </is>
      </c>
      <c r="K197" s="244" t="n">
        <v>4</v>
      </c>
      <c r="L197" s="607" t="n">
        <v>3</v>
      </c>
      <c r="M197" s="607" t="n"/>
      <c r="N197" s="961" t="inlineStr">
        <is>
          <t>E4A</t>
        </is>
      </c>
      <c r="O197" s="597" t="inlineStr">
        <is>
          <t>Nulle / Très faible / Faible / Moyenne / Élevé / Très élevé / S.O.</t>
        </is>
      </c>
      <c r="P197" s="350">
        <f>Test_Bible!P321</f>
        <v/>
      </c>
      <c r="Q197" s="350">
        <f>Test_Bible!Q321</f>
        <v/>
      </c>
      <c r="R197" s="675" t="n">
        <v>0</v>
      </c>
      <c r="S197" s="1614" t="n">
        <v>0</v>
      </c>
      <c r="T197" s="1615" t="n">
        <v>1</v>
      </c>
      <c r="U197" s="753" t="inlineStr">
        <is>
          <t>H: Rôle actif, Réponse au CC, r</t>
        </is>
      </c>
      <c r="V197" s="2002" t="n"/>
      <c r="W197" s="471" t="n"/>
      <c r="X197" s="468" t="n"/>
      <c r="Y197" s="1082" t="n"/>
      <c r="AC197" s="1279" t="n">
        <v>1</v>
      </c>
      <c r="AD197" s="1234" t="inlineStr">
        <is>
          <t> </t>
        </is>
      </c>
      <c r="AE197" s="1235" t="n"/>
      <c r="AF197" s="1235" t="n"/>
      <c r="AG197" s="1234" t="inlineStr">
        <is>
          <t> </t>
        </is>
      </c>
      <c r="AH197" s="1236" t="n"/>
      <c r="AI197" s="1237" t="n"/>
    </row>
    <row r="198" ht="75" customHeight="1">
      <c r="B198" s="124" t="inlineStr">
        <is>
          <t>sq1 (s'active si E33&gt;=condition)</t>
        </is>
      </c>
      <c r="D198" s="1583" t="n">
        <v>48</v>
      </c>
      <c r="E198" s="195" t="inlineStr">
        <is>
          <t>E33a</t>
        </is>
      </c>
      <c r="F198" s="799" t="inlineStr">
        <is>
          <t>Dans quelle mesure cet énoncé s'applique à votre situation? Votre enfant a déjà demandé à changer les termes de la garde afin de passer plus de temps chez l’autre parent</t>
        </is>
      </c>
      <c r="G198" s="1164" t="inlineStr">
        <is>
          <t>Dans quelle mesure cet énoncé s'applique à votre situation? Votre enfant avait demandé à changer les termes de la garde afin de passer plus de temps chez l’autre parent</t>
        </is>
      </c>
      <c r="H198" s="269" t="n"/>
      <c r="I198" s="1147" t="n"/>
      <c r="J198" s="152" t="inlineStr">
        <is>
          <t>sq1</t>
        </is>
      </c>
      <c r="K198" s="235" t="n"/>
      <c r="L198" s="608" t="n">
        <v>2</v>
      </c>
      <c r="M198" s="608" t="n"/>
      <c r="N198" s="961" t="inlineStr">
        <is>
          <t>E1A</t>
        </is>
      </c>
      <c r="O198" s="2059" t="inlineStr">
        <is>
          <t xml:space="preserve">Jamais / Rarement / Occasionnellement / Régulièrement / Souvent / Toujours / S.O. </t>
        </is>
      </c>
      <c r="P198" s="350">
        <f>Test_Bible!P322</f>
        <v/>
      </c>
      <c r="Q198" s="350">
        <f>Test_Bible!Q322</f>
        <v/>
      </c>
      <c r="R198" s="675" t="n">
        <v>1</v>
      </c>
      <c r="S198" s="1614" t="n">
        <v>0</v>
      </c>
      <c r="T198" s="1615" t="n">
        <v>0</v>
      </c>
      <c r="U198" s="753" t="inlineStr">
        <is>
          <t>H: Rôle actif, Réponse au CC, r</t>
        </is>
      </c>
      <c r="V198" s="2002" t="n"/>
      <c r="W198" s="471" t="n"/>
      <c r="X198" s="468" t="n"/>
      <c r="Y198" s="1082" t="n"/>
      <c r="AC198" s="1279" t="n">
        <v>1</v>
      </c>
      <c r="AD198" s="1234" t="inlineStr">
        <is>
          <t> </t>
        </is>
      </c>
      <c r="AE198" s="1235" t="n"/>
      <c r="AF198" s="1235" t="n"/>
      <c r="AG198" s="1234" t="inlineStr">
        <is>
          <t> </t>
        </is>
      </c>
      <c r="AH198" s="1236" t="n"/>
      <c r="AI198" s="1237" t="n"/>
    </row>
    <row r="199" ht="75" customHeight="1">
      <c r="B199" s="124" t="inlineStr">
        <is>
          <t>sq1 (s'active si E33&gt;=condition)</t>
        </is>
      </c>
      <c r="D199" s="1583" t="n">
        <v>49</v>
      </c>
      <c r="E199" s="195" t="inlineStr">
        <is>
          <t>E33b</t>
        </is>
      </c>
      <c r="F199" s="799" t="inlineStr">
        <is>
          <t>Dans quelle mesure cet énoncé s'applique à votre situation? Votre enfant vous a déjà annoncé qu’à 12 ou 14 ans, il ou elle pourrait choisir les modalités de garde et vivre là où bon lui semble.</t>
        </is>
      </c>
      <c r="G199" s="1164" t="inlineStr">
        <is>
          <t>Dans quelle mesure cet énoncé s'applique à votre situation? Votre enfant vous avait annoncé qu’à 12 ou 14 ans, il ou elle pourrait choisir les modalités de garde et vivre là où bon lui semble</t>
        </is>
      </c>
      <c r="H199" s="269" t="n"/>
      <c r="I199" s="1147" t="n"/>
      <c r="J199" s="152" t="inlineStr">
        <is>
          <t>sq1</t>
        </is>
      </c>
      <c r="K199" s="235" t="n"/>
      <c r="L199" s="607" t="n">
        <v>3</v>
      </c>
      <c r="M199" s="607" t="n"/>
      <c r="N199" s="961" t="inlineStr">
        <is>
          <t>E1A</t>
        </is>
      </c>
      <c r="O199" s="2059" t="inlineStr">
        <is>
          <t xml:space="preserve">Jamais / Rarement / Occasionnellement / Régulièrement / Souvent / Toujours / S.O. </t>
        </is>
      </c>
      <c r="P199" s="350">
        <f>Test_Bible!P323</f>
        <v/>
      </c>
      <c r="Q199" s="350">
        <f>Test_Bible!Q323</f>
        <v/>
      </c>
      <c r="R199" s="675" t="n">
        <v>1</v>
      </c>
      <c r="S199" s="1614" t="n">
        <v>0</v>
      </c>
      <c r="T199" s="1615" t="n">
        <v>0</v>
      </c>
      <c r="U199" s="753" t="inlineStr">
        <is>
          <t>H: Rôle actif, Réponse au CC, r</t>
        </is>
      </c>
      <c r="V199" s="2002" t="n"/>
      <c r="W199" s="471" t="n"/>
      <c r="X199" s="468" t="n"/>
      <c r="Y199" s="474" t="n"/>
      <c r="Z199" s="165" t="n"/>
      <c r="AC199" s="1279" t="n">
        <v>1</v>
      </c>
      <c r="AD199" s="1264" t="inlineStr">
        <is>
          <t> </t>
        </is>
      </c>
      <c r="AE199" s="1231" t="n"/>
      <c r="AF199" s="1231" t="n"/>
      <c r="AG199" s="1266" t="inlineStr">
        <is>
          <t> </t>
        </is>
      </c>
      <c r="AH199" s="1236" t="n"/>
      <c r="AI199" s="1265" t="n"/>
    </row>
    <row r="200" ht="72" customHeight="1">
      <c r="A200" s="1804" t="inlineStr">
        <is>
          <t>S'active si B12 = relation difficile +++</t>
        </is>
      </c>
      <c r="C200" s="935" t="inlineStr">
        <is>
          <t>intensité 2 si âge (B06) &gt;= 12 ans;
Intensité 3 si âge (B06) &lt; 12 ans</t>
        </is>
      </c>
      <c r="D200" s="1583" t="n">
        <v>50</v>
      </c>
      <c r="E200" s="197" t="inlineStr">
        <is>
          <t>E34</t>
        </is>
      </c>
      <c r="F200" s="992" t="inlineStr">
        <is>
          <t xml:space="preserve">Dans quelle mesure cet énoncé s'applique à votre situation? Votre enfant bloque les communications (cell/texto, réseaux sociaux, messenger, instagram). </t>
        </is>
      </c>
      <c r="G200" s="213" t="inlineStr">
        <is>
          <t xml:space="preserve">Dans quelle mesure cet énoncé s'applique à votre situation? Votre enfant vous avait bloqué des réseaux sociaux (cell/texto, messenger, instagram). </t>
        </is>
      </c>
      <c r="H200" s="275" t="n"/>
      <c r="I200" s="1150" t="n"/>
      <c r="J200" s="150" t="inlineStr">
        <is>
          <t> </t>
        </is>
      </c>
      <c r="K200" s="244" t="n"/>
      <c r="L200" s="608" t="n">
        <v>2</v>
      </c>
      <c r="M200" s="607" t="n">
        <v>3</v>
      </c>
      <c r="N200" s="961" t="inlineStr">
        <is>
          <t>E1A</t>
        </is>
      </c>
      <c r="O200" s="2059" t="inlineStr">
        <is>
          <t xml:space="preserve">Jamais / Rarement / Occasionnellement / Régulièrement / Souvent / Toujours / S.O. </t>
        </is>
      </c>
      <c r="P200" s="350">
        <f>Test_Bible!P324</f>
        <v/>
      </c>
      <c r="Q200" s="350">
        <f>Test_Bible!Q324</f>
        <v/>
      </c>
      <c r="R200" s="675" t="n">
        <v>1</v>
      </c>
      <c r="S200" s="1614" t="n">
        <v>0</v>
      </c>
      <c r="T200" s="1615" t="n">
        <v>0</v>
      </c>
      <c r="U200" s="753" t="inlineStr">
        <is>
          <t>H: Rôle actif, Réponse au CC, r</t>
        </is>
      </c>
      <c r="V200" s="2002" t="n"/>
      <c r="W200" s="471" t="n"/>
      <c r="X200" s="468" t="n"/>
      <c r="Y200" s="474" t="n"/>
      <c r="Z200" s="165" t="n"/>
      <c r="AC200" s="1279" t="n">
        <v>1</v>
      </c>
      <c r="AD200" s="1230" t="inlineStr">
        <is>
          <t>🔶</t>
        </is>
      </c>
      <c r="AE200" s="1261" t="inlineStr">
        <is>
          <t xml:space="preserve">mobilisation / notion de rejet actif ou rejet passif </t>
        </is>
      </c>
      <c r="AF200" s="1231" t="n"/>
      <c r="AG200" s="1230" t="inlineStr">
        <is>
          <t>🔴</t>
        </is>
      </c>
      <c r="AH200" s="1232" t="inlineStr">
        <is>
          <t xml:space="preserve">référence CAP ? </t>
        </is>
      </c>
      <c r="AI200" s="1261" t="inlineStr">
        <is>
          <t xml:space="preserve">mobilisation / notion de rejet actif ou rejet passif </t>
        </is>
      </c>
    </row>
    <row r="201" ht="119" customHeight="1">
      <c r="A201" s="1804" t="inlineStr">
        <is>
          <t>S'active si B12 = relation difficile +++</t>
        </is>
      </c>
      <c r="D201" s="1583" t="n">
        <v>51</v>
      </c>
      <c r="E201" s="198" t="inlineStr">
        <is>
          <t>E35</t>
        </is>
      </c>
      <c r="F201" s="992" t="inlineStr">
        <is>
          <t xml:space="preserve">Comment qualiferiez-vous la relation entre votre enfant et votre famille élargie (grands-parents, cousin.es, etc.)?   
</t>
        </is>
      </c>
      <c r="G201" s="800" t="inlineStr">
        <is>
          <t>Dans quelle mesure diriez-vous que votre enfant refusait les contacts avec votre famille élargie (grands-parents, cousin.es, etc.)?</t>
        </is>
      </c>
      <c r="H201" s="278" t="n"/>
      <c r="I201" s="1152" t="n"/>
      <c r="J201" s="151" t="inlineStr">
        <is>
          <t>Diff | sq1&gt;=3</t>
        </is>
      </c>
      <c r="K201" s="198" t="n"/>
      <c r="L201" s="614" t="n"/>
      <c r="M201" s="614" t="n"/>
      <c r="N201" s="961" t="inlineStr">
        <is>
          <t>Choix de réponses</t>
        </is>
      </c>
      <c r="O201" s="648" t="inlineStr">
        <is>
          <t xml:space="preserve">Bonne relation avec contacts réguliers 
Bonne relaition avec contacts sporadiques 
Bonne relation avec peu de contact
Bonne relation sans contact  
Relation difficile 
Relation inexistante 
</t>
        </is>
      </c>
      <c r="P201" s="350" t="n"/>
      <c r="Q201" s="350" t="n"/>
      <c r="R201" s="675" t="n"/>
      <c r="S201" s="1614" t="n"/>
      <c r="T201" s="1615" t="n"/>
      <c r="U201" s="753" t="n"/>
      <c r="V201" s="2002" t="n"/>
      <c r="W201" s="471" t="n"/>
      <c r="X201" s="468" t="n"/>
      <c r="Y201" s="474" t="n"/>
      <c r="Z201" s="165" t="n"/>
      <c r="AC201" s="1279" t="n"/>
      <c r="AD201" s="1264" t="n"/>
      <c r="AE201" s="1231" t="n"/>
      <c r="AF201" s="1231" t="n"/>
      <c r="AG201" s="1266" t="inlineStr">
        <is>
          <t> </t>
        </is>
      </c>
      <c r="AH201" s="1236" t="n"/>
      <c r="AI201" s="1265" t="n"/>
    </row>
    <row r="202" ht="85" customHeight="1">
      <c r="A202" s="2073" t="n"/>
      <c r="D202" s="1583" t="n">
        <v>52</v>
      </c>
      <c r="E202" s="199" t="inlineStr">
        <is>
          <t>E35a</t>
        </is>
      </c>
      <c r="F202" s="799" t="inlineStr">
        <is>
          <t>Dans quelle mesure diriez-vous que votre enfant refuse les contacts avec votre famille élargie (grands-parents, cousin.es, etc.)?</t>
        </is>
      </c>
      <c r="G202" s="798" t="n"/>
      <c r="H202" s="279" t="n"/>
      <c r="I202" s="798" t="n"/>
      <c r="J202" s="557" t="n"/>
      <c r="K202" s="199" t="n"/>
      <c r="L202" s="614" t="n">
        <v>1</v>
      </c>
      <c r="M202" s="614" t="n"/>
      <c r="N202" s="961" t="inlineStr">
        <is>
          <t>E1A</t>
        </is>
      </c>
      <c r="O202" s="2059" t="inlineStr">
        <is>
          <t xml:space="preserve">Jamais / Rarement / Occasionnellement / Régulièrement / Souvent / Toujours / S.O. </t>
        </is>
      </c>
      <c r="P202" s="350">
        <f>Test_Bible!P332</f>
        <v/>
      </c>
      <c r="Q202" s="350">
        <f>Test_Bible!Q332</f>
        <v/>
      </c>
      <c r="R202" s="675" t="n">
        <v>1</v>
      </c>
      <c r="S202" s="1614" t="n">
        <v>0</v>
      </c>
      <c r="T202" s="1615" t="n">
        <v>0</v>
      </c>
      <c r="U202" s="753" t="inlineStr">
        <is>
          <t>H: Rôle actif, Réponse au CC, r</t>
        </is>
      </c>
      <c r="V202" s="2002" t="n"/>
      <c r="W202" s="471" t="n"/>
      <c r="X202" s="468" t="n"/>
      <c r="Y202" s="474" t="n"/>
      <c r="Z202" s="165" t="n"/>
      <c r="AC202" s="1279" t="n">
        <v>1</v>
      </c>
      <c r="AD202" s="1264" t="n"/>
      <c r="AE202" s="1231" t="n"/>
      <c r="AF202" s="1231" t="n"/>
      <c r="AG202" s="1266" t="n"/>
      <c r="AH202" s="1236" t="n"/>
      <c r="AI202" s="1265" t="n"/>
    </row>
    <row r="203" ht="68" customHeight="1">
      <c r="B203" s="124" t="inlineStr">
        <is>
          <t>sq1 (s'active si E35&gt;=condition)</t>
        </is>
      </c>
      <c r="D203" s="1583" t="n">
        <v>53</v>
      </c>
      <c r="E203" s="199" t="inlineStr">
        <is>
          <t>E35b</t>
        </is>
      </c>
      <c r="F203" s="799" t="inlineStr">
        <is>
          <t>Comment était la relation de votre enfant avec la famille élargie avant la séparation?</t>
        </is>
      </c>
      <c r="G203" s="798" t="inlineStr">
        <is>
          <t>Comment était la relation de votre enfant avec la famille élargie avant la séparation?</t>
        </is>
      </c>
      <c r="H203" s="279" t="n"/>
      <c r="I203" s="798" t="n"/>
      <c r="J203" s="171" t="inlineStr">
        <is>
          <t>Différentiel</t>
        </is>
      </c>
      <c r="K203" s="199" t="n"/>
      <c r="L203" s="614" t="n">
        <v>1</v>
      </c>
      <c r="M203" s="614" t="n"/>
      <c r="N203" s="961" t="inlineStr">
        <is>
          <t>E2A</t>
        </is>
      </c>
      <c r="O203" s="597" t="inlineStr">
        <is>
          <t xml:space="preserve">Excellente / Très bonne / Bonne / Moyenne / Faible / Mauvaise / S.O.   </t>
        </is>
      </c>
      <c r="P203" s="350">
        <f>Test_Bible!P332</f>
        <v/>
      </c>
      <c r="Q203" s="350">
        <f>Test_Bible!Q332</f>
        <v/>
      </c>
      <c r="R203" s="675" t="n">
        <v>1</v>
      </c>
      <c r="S203" s="1614" t="n">
        <v>0</v>
      </c>
      <c r="T203" s="1615" t="n">
        <v>0</v>
      </c>
      <c r="U203" s="753" t="inlineStr">
        <is>
          <t>H: Rôle actif, Réponse au CC, r</t>
        </is>
      </c>
      <c r="V203" s="2002" t="n"/>
      <c r="W203" s="471" t="n"/>
      <c r="X203" s="468" t="n"/>
      <c r="Y203" s="474" t="n"/>
      <c r="Z203" s="165" t="n"/>
      <c r="AC203" s="1279" t="n">
        <v>1</v>
      </c>
      <c r="AD203" s="1264" t="n"/>
      <c r="AE203" s="1231" t="n"/>
      <c r="AF203" s="1231" t="n"/>
      <c r="AG203" s="1056" t="inlineStr">
        <is>
          <t>🔴 ATTN : déf. AP</t>
        </is>
      </c>
      <c r="AH203" s="1236" t="n"/>
      <c r="AI203" s="1265" t="n"/>
    </row>
    <row r="204" ht="49" customHeight="1">
      <c r="D204" s="1583" t="n">
        <v>54</v>
      </c>
      <c r="E204" s="200" t="inlineStr">
        <is>
          <t>E36</t>
        </is>
      </c>
      <c r="F204" s="801" t="inlineStr">
        <is>
          <t>Est-ce que votre enfant présente des troubles psychosomatiques en ce moment?</t>
        </is>
      </c>
      <c r="G204" s="800" t="inlineStr">
        <is>
          <t>Est-ce que votre enfant présentait des troubles psychosomatiques?</t>
        </is>
      </c>
      <c r="H204" s="280" t="n"/>
      <c r="I204" s="1153" t="n"/>
      <c r="J204" s="170" t="inlineStr">
        <is>
          <t>si oui</t>
        </is>
      </c>
      <c r="K204" s="198" t="n"/>
      <c r="L204" s="614" t="n">
        <v>0</v>
      </c>
      <c r="M204" s="614" t="n"/>
      <c r="N204" s="961" t="inlineStr">
        <is>
          <t>O/N</t>
        </is>
      </c>
      <c r="O204" s="597" t="n"/>
      <c r="P204" s="344" t="n"/>
      <c r="Q204" s="344" t="n"/>
      <c r="R204" s="675" t="inlineStr">
        <is>
          <t>n/a</t>
        </is>
      </c>
      <c r="S204" s="676" t="inlineStr">
        <is>
          <t>n/a</t>
        </is>
      </c>
      <c r="T204" s="1615" t="inlineStr">
        <is>
          <t>n/a</t>
        </is>
      </c>
      <c r="U204" s="753" t="inlineStr">
        <is>
          <t>H: Rôle actif, Réponse au CC, r</t>
        </is>
      </c>
      <c r="V204" s="2002" t="n"/>
      <c r="W204" s="471" t="n"/>
      <c r="X204" s="468" t="n"/>
      <c r="Y204" s="474" t="n"/>
      <c r="Z204" s="165" t="n"/>
      <c r="AC204" s="1279" t="n">
        <v>1</v>
      </c>
      <c r="AD204" s="1264" t="n"/>
      <c r="AE204" s="1231" t="n"/>
      <c r="AF204" s="1231" t="n"/>
      <c r="AG204" s="1266" t="n"/>
      <c r="AH204" s="1236" t="n"/>
      <c r="AI204" s="1265" t="n"/>
    </row>
    <row r="205" ht="409.6" customHeight="1">
      <c r="B205" s="124" t="inlineStr">
        <is>
          <t>sq1 (s'active si E36&gt;=condition)</t>
        </is>
      </c>
      <c r="D205" s="1583" t="n">
        <v>55</v>
      </c>
      <c r="E205" s="196" t="inlineStr">
        <is>
          <t>E36a</t>
        </is>
      </c>
      <c r="F205" s="799" t="inlineStr">
        <is>
          <t>Quelles sont les manifestations ou troubles psychosomatiques présents chez votre enfant et à quelle fréquence?</t>
        </is>
      </c>
      <c r="G205" s="798" t="inlineStr">
        <is>
          <t>Quelles étaient les manifestations ou troubles psychosomatiques présents chez votre enfant et à quelle fréquence?</t>
        </is>
      </c>
      <c r="H205" s="564" t="inlineStr">
        <is>
          <t>automutilation
anxiété
dépresssion
idéation suicidaire
insomnie
isolement et difficulté à socialiser
trouble de l'opposition
trouble alimentaire
Aucune de ces réponses
autres (veuillez spécifier)</t>
        </is>
      </c>
      <c r="I205" s="1154" t="n"/>
      <c r="J205" s="171" t="inlineStr">
        <is>
          <t>sq1, Différentiel</t>
        </is>
      </c>
      <c r="K205" s="199" t="n"/>
      <c r="L205" s="614" t="n">
        <v>1</v>
      </c>
      <c r="M205" s="614" t="n"/>
      <c r="N205" s="961" t="inlineStr">
        <is>
          <t>choix
multiples + E1A</t>
        </is>
      </c>
      <c r="O205" s="2059" t="inlineStr">
        <is>
          <t xml:space="preserve">Jamais / Rarement / Occasionnellement / Régulièrement / Souvent / Toujours / S.O. </t>
        </is>
      </c>
      <c r="P205" s="344" t="n"/>
      <c r="Q205" s="344" t="n"/>
      <c r="R205" s="675" t="inlineStr">
        <is>
          <t>n/a</t>
        </is>
      </c>
      <c r="S205" s="676" t="inlineStr">
        <is>
          <t>n/a</t>
        </is>
      </c>
      <c r="T205" s="1615" t="inlineStr">
        <is>
          <t>n/a</t>
        </is>
      </c>
      <c r="U205" s="753" t="inlineStr">
        <is>
          <t>H: Rôle actif, Réponse au CC, r</t>
        </is>
      </c>
      <c r="V205" s="2002" t="n"/>
      <c r="W205" s="471" t="n"/>
      <c r="X205" s="459" t="n"/>
      <c r="Y205" s="1070" t="n"/>
      <c r="AC205" s="1279" t="n">
        <v>1</v>
      </c>
      <c r="AD205" s="1230" t="inlineStr">
        <is>
          <t>🔶</t>
        </is>
      </c>
      <c r="AE205" s="1239" t="inlineStr">
        <is>
          <t xml:space="preserve">Infos de base pour expliquer que les CSS, CL et les dynamiques d’AP amène des manifestations et symptômes psychosomatiques : À surveiller / Invitation à consulter un professionnel de la santé (TS / Psychologue)  </t>
        </is>
      </c>
      <c r="AF205" s="1239" t="n"/>
      <c r="AG205" s="1230" t="inlineStr">
        <is>
          <t>🔴</t>
        </is>
      </c>
      <c r="AH205" s="1261" t="n"/>
      <c r="AI205" s="1240" t="inlineStr">
        <is>
          <t xml:space="preserve">R/R final : Mise en garde sur le changement / évolution des symptomes psychosomatiques. 
Importance d'être attentif aux troubles / signes psychosomatique et faire la différence entre un trouble de l'opposition (en temps normal) et un TO en situation de conflit de loyauté / dynamique d'AP  // réf : comprendre les troubles d'opposition :  https://www.lesoleil.com/2016/09/28/trouble-de-lopposition-un-expert-denonce-le-surdiagnostic-620947d598baa11763bf0264d5dd713d 
ATTN : idéation suicidaire = consulter un·e professionnel·le de la santé mentale (psychologue ou pédopsychologue ou pédopsychiatre) </t>
        </is>
      </c>
    </row>
    <row r="206" ht="171" customFormat="1" customHeight="1" s="7" thickBot="1">
      <c r="B206" s="124" t="inlineStr">
        <is>
          <t>sq1 (s'active si E36&gt;=condition)</t>
        </is>
      </c>
      <c r="D206" s="1583" t="n">
        <v>56</v>
      </c>
      <c r="E206" s="143" t="inlineStr">
        <is>
          <t>E36b</t>
        </is>
      </c>
      <c r="F206" s="799" t="inlineStr">
        <is>
          <t>Lesquelles de ces manifestations étaient déjà apparentes avant la séparation et à quelle fréquence?</t>
        </is>
      </c>
      <c r="G206" s="799" t="inlineStr">
        <is>
          <t>Lesquelles de ces manifestations étaient déjà apparentes avant la séparation et à quelle fréquence?</t>
        </is>
      </c>
      <c r="H206" s="564" t="inlineStr">
        <is>
          <t>automutilation
anxiété
dépresssion
idéation suicidaire
insomnie
isolement et difficulté à socialiser
trouble de l'opposition
trouble alimentaire
Aucune de ces réponses
autres (veuillez spécifier)</t>
        </is>
      </c>
      <c r="I206" s="1154" t="n"/>
      <c r="J206" s="565" t="inlineStr">
        <is>
          <t>sq1, Différentiel</t>
        </is>
      </c>
      <c r="K206" s="227" t="n"/>
      <c r="L206" s="614" t="n">
        <v>1</v>
      </c>
      <c r="M206" s="614" t="n"/>
      <c r="N206" s="968" t="inlineStr">
        <is>
          <t>choix
multiples + E1A</t>
        </is>
      </c>
      <c r="O206" s="2059" t="inlineStr">
        <is>
          <t xml:space="preserve">Jamais / Rarement / Occasionnellement / Régulièrement / Souvent / Toujours / S.O. </t>
        </is>
      </c>
      <c r="P206" s="344" t="n"/>
      <c r="Q206" s="344" t="n"/>
      <c r="R206" s="675" t="inlineStr">
        <is>
          <t>n/a</t>
        </is>
      </c>
      <c r="S206" s="676" t="inlineStr">
        <is>
          <t>n/a</t>
        </is>
      </c>
      <c r="T206" s="1615" t="inlineStr">
        <is>
          <t>n/a</t>
        </is>
      </c>
      <c r="U206" s="753" t="inlineStr">
        <is>
          <t>H: Rôle actif, Réponse au CC, r</t>
        </is>
      </c>
      <c r="V206" s="464" t="n"/>
      <c r="W206" s="464" t="n"/>
      <c r="X206" s="59" t="n"/>
      <c r="Y206" s="59" t="n"/>
      <c r="Z206" s="57" t="n"/>
      <c r="AA206" s="57" t="n"/>
      <c r="AB206" s="57" t="n"/>
      <c r="AC206" s="1279" t="n">
        <v>1</v>
      </c>
      <c r="AD206" s="1221" t="n"/>
      <c r="AE206" s="1222" t="n"/>
      <c r="AF206" s="1222" t="n"/>
      <c r="AG206" s="1221" t="n"/>
      <c r="AH206" s="1053" t="n"/>
      <c r="AI206" s="1055" t="n"/>
    </row>
    <row r="207" ht="59" customFormat="1" customHeight="1" s="7">
      <c r="C207" s="1824" t="inlineStr">
        <is>
          <t>Questions ajoutées</t>
        </is>
      </c>
      <c r="D207" s="1583" t="n">
        <v>57</v>
      </c>
      <c r="E207" s="1628" t="inlineStr">
        <is>
          <t>E37</t>
        </is>
      </c>
      <c r="F207" s="1106" t="inlineStr">
        <is>
          <t>Dans quelle mesure notez-vous un changement au niveau du comportement de votre enfant au moment de retouner chez l'autre parent (changement de garde)?</t>
        </is>
      </c>
      <c r="G207" s="1628" t="n"/>
      <c r="H207" s="1628" t="n"/>
      <c r="I207" s="1628" t="n"/>
      <c r="J207" s="1628" t="n"/>
      <c r="K207" s="1628" t="n">
        <v>4</v>
      </c>
      <c r="L207" s="1629" t="n">
        <v>2</v>
      </c>
      <c r="M207" s="1630" t="n"/>
      <c r="N207" s="961" t="inlineStr">
        <is>
          <t>E1A</t>
        </is>
      </c>
      <c r="O207" s="2059" t="inlineStr">
        <is>
          <t xml:space="preserve">Jamais / Rarement / Occasionnellement / Régulièrement / Souvent / Toujours / S.O. </t>
        </is>
      </c>
      <c r="P207" s="350">
        <f>Test_Bible!P324</f>
        <v/>
      </c>
      <c r="Q207" s="350">
        <f>Test_Bible!Q324</f>
        <v/>
      </c>
      <c r="R207" s="675" t="n">
        <v>1</v>
      </c>
      <c r="S207" s="1614" t="n">
        <v>0</v>
      </c>
      <c r="T207" s="1615" t="n">
        <v>0</v>
      </c>
      <c r="U207" s="1616" t="inlineStr">
        <is>
          <t>H: Rôle actif, Réponse au CC, r</t>
        </is>
      </c>
      <c r="V207" s="469" t="n"/>
      <c r="W207" s="469" t="n"/>
      <c r="X207" s="468" t="n"/>
      <c r="Y207" s="1070" t="n"/>
      <c r="Z207" s="57" t="n"/>
      <c r="AA207" s="57" t="n"/>
      <c r="AB207" s="57" t="n"/>
      <c r="AC207" s="1279" t="n">
        <v>1</v>
      </c>
      <c r="AD207" s="582" t="n"/>
      <c r="AE207" s="1222" t="n"/>
      <c r="AF207" s="1222" t="n"/>
      <c r="AG207" s="1221" t="n"/>
      <c r="AH207" s="1053" t="n"/>
      <c r="AI207" s="1055" t="n"/>
    </row>
    <row r="208" ht="56" customFormat="1" customHeight="1" s="7">
      <c r="C208" s="1824" t="inlineStr">
        <is>
          <t>Questions ajoutées</t>
        </is>
      </c>
      <c r="D208" s="1583" t="n">
        <v>58</v>
      </c>
      <c r="E208" s="1632" t="inlineStr">
        <is>
          <t>E37a</t>
        </is>
      </c>
      <c r="F208" s="1631" t="inlineStr">
        <is>
          <t>Au moment de retouner chez l'autre parent (changement de garde), votre enfant vous paraît :</t>
        </is>
      </c>
      <c r="G208" s="1631" t="inlineStr">
        <is>
          <t>De manière générale, au retour d'un séjour chez l'autre parent, votre enfant vous paraissait :</t>
        </is>
      </c>
      <c r="H208" s="1631" t="inlineStr">
        <is>
          <t>calme (0)/ neutre(0) / enjoué.e(0) / taciturne(1) / anxieux(1) / agressif (1). - ON/OFF</t>
        </is>
      </c>
      <c r="I208" s="1631" t="n"/>
      <c r="J208" s="1631" t="inlineStr">
        <is>
          <t>sq1</t>
        </is>
      </c>
      <c r="K208" s="1631" t="n"/>
      <c r="L208" s="1629" t="n">
        <v>0</v>
      </c>
      <c r="M208" s="1630" t="n"/>
      <c r="N208" s="961" t="inlineStr">
        <is>
          <t>Choix multiples</t>
        </is>
      </c>
      <c r="O208" s="597" t="n"/>
      <c r="P208" s="350">
        <f>Test_Bible!P359</f>
        <v/>
      </c>
      <c r="Q208" s="350">
        <f>Test_Bible!Q359</f>
        <v/>
      </c>
      <c r="R208" s="675" t="inlineStr">
        <is>
          <t>n/a</t>
        </is>
      </c>
      <c r="S208" s="676" t="inlineStr">
        <is>
          <t>n/a</t>
        </is>
      </c>
      <c r="T208" s="1615" t="inlineStr">
        <is>
          <t>n/a</t>
        </is>
      </c>
      <c r="U208" s="1616" t="inlineStr">
        <is>
          <t>H: Rôle actif, Réponse au CC, r</t>
        </is>
      </c>
      <c r="V208" s="469" t="n"/>
      <c r="W208" s="469" t="n"/>
      <c r="X208" s="468" t="n"/>
      <c r="Y208" s="1070" t="n"/>
      <c r="Z208" s="57" t="n"/>
      <c r="AA208" s="57" t="n"/>
      <c r="AB208" s="57" t="n"/>
      <c r="AC208" s="57" t="n"/>
      <c r="AD208" s="582" t="n"/>
      <c r="AE208" s="1222" t="n"/>
      <c r="AF208" s="1222" t="n"/>
      <c r="AG208" s="1221" t="n"/>
      <c r="AH208" s="1053" t="n"/>
      <c r="AI208" s="1055" t="n"/>
    </row>
    <row r="209" ht="40" customFormat="1" customHeight="1" s="7" thickBot="1">
      <c r="A209" s="316" t="n"/>
      <c r="B209" s="316" t="n"/>
      <c r="C209" s="316" t="n"/>
      <c r="D209" s="1617" t="n"/>
      <c r="E209" s="1617" t="n"/>
      <c r="F209" s="1618" t="n"/>
      <c r="G209" s="1617" t="n"/>
      <c r="H209" s="1618" t="n"/>
      <c r="I209" s="1618" t="n"/>
      <c r="J209" s="1619" t="n"/>
      <c r="K209" s="1619" t="n"/>
      <c r="L209" s="1619" t="n"/>
      <c r="M209" s="1619" t="n"/>
      <c r="N209" s="1620" t="n"/>
      <c r="O209" s="1621" t="n"/>
      <c r="P209" s="1620" t="n"/>
      <c r="Q209" s="1620" t="n"/>
      <c r="R209" s="1622" t="n"/>
      <c r="S209" s="1623" t="n"/>
      <c r="T209" s="1623" t="n"/>
      <c r="U209" s="1624" t="n"/>
      <c r="V209" s="469" t="n"/>
      <c r="W209" s="469" t="n"/>
      <c r="X209" s="468" t="n"/>
      <c r="Y209" s="1070" t="n"/>
      <c r="Z209" s="57" t="n"/>
      <c r="AA209" s="57" t="n"/>
      <c r="AB209" s="57" t="n"/>
      <c r="AC209" s="57" t="n"/>
      <c r="AD209" s="582" t="n"/>
      <c r="AE209" s="1222" t="n"/>
      <c r="AF209" s="1222" t="n"/>
      <c r="AG209" s="1221" t="n"/>
      <c r="AH209" s="1053" t="n"/>
      <c r="AI209" s="1055" t="n"/>
    </row>
    <row r="210" ht="40" customHeight="1">
      <c r="C210" s="1844" t="inlineStr">
        <is>
          <t>Fais suite soit au formulaire du NC ou du PFA si pas de NC</t>
        </is>
      </c>
      <c r="D210" s="175" t="inlineStr">
        <is>
          <t>PCR
Questionnaire B</t>
        </is>
      </c>
      <c r="E210" s="201" t="n"/>
      <c r="F210" s="590" t="n"/>
      <c r="G210" s="556" t="n"/>
      <c r="H210" s="201" t="n"/>
      <c r="I210" s="432" t="n"/>
      <c r="J210" s="432" t="n"/>
      <c r="K210" s="201" t="n"/>
      <c r="L210" s="201" t="n"/>
      <c r="M210" s="556" t="n"/>
      <c r="N210" s="970" t="n"/>
      <c r="O210" s="605" t="n"/>
      <c r="P210" s="339" t="n"/>
      <c r="Q210" s="339" t="n"/>
      <c r="R210" s="354" t="n"/>
      <c r="S210" s="389" t="n"/>
      <c r="T210" s="446" t="n"/>
      <c r="U210" s="363" t="inlineStr">
        <is>
          <t>C: Chantage affectif, loyauté, manipulation</t>
        </is>
      </c>
      <c r="V210" s="470" t="n"/>
      <c r="W210" s="470" t="n"/>
      <c r="Y210" s="1082" t="n"/>
      <c r="AD210" s="1230" t="n"/>
      <c r="AE210" s="1231" t="n"/>
      <c r="AF210" s="1231" t="n"/>
      <c r="AG210" s="1230" t="n"/>
      <c r="AH210" s="1232" t="n"/>
      <c r="AI210" s="1233" t="n"/>
    </row>
    <row r="211" ht="214" customHeight="1">
      <c r="A211" s="2073" t="inlineStr">
        <is>
          <t>S'ouvre si E27 &gt;= 4</t>
        </is>
      </c>
      <c r="B211" s="801" t="inlineStr">
        <is>
          <t>Dans quelle mesure notez-vous un changement au niveau du comportement de votre enfant à son retour de garde?</t>
        </is>
      </c>
      <c r="C211" s="1998" t="inlineStr">
        <is>
          <t xml:space="preserve"> réactions aux cpts de l'enfant si réponse est positive et incidence élevée </t>
        </is>
      </c>
      <c r="D211" s="1587" t="n">
        <v>18</v>
      </c>
      <c r="E211" s="190" t="inlineStr">
        <is>
          <t>PCR19</t>
        </is>
      </c>
      <c r="F211" s="371" t="inlineStr">
        <is>
          <t>Au retour d’un séjour chez l’autre parent, il arrive à votre enfant d'être agressif envers vous et de vous accabler de reproches. Comment réagissez-vous ?</t>
        </is>
      </c>
      <c r="G211" s="554" t="inlineStr">
        <is>
          <t>Au retour d’un séjour chez l’autre parent, il arrivait à votre enfant d'être agressif envers vous et de vous accabler de reproches. Comment réagissiez-vous ?</t>
        </is>
      </c>
      <c r="H211" s="525" t="inlineStr">
        <is>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is>
      </c>
      <c r="I211" s="1155" t="inlineStr">
        <is>
          <t xml:space="preserve">Je restais calme, mais je ne me laissais pas insulter par mon enfant. 
Je l'envoyais réfléchir et lui demandais de revenir lorsqu'il serait calme.
J'imposais des conséquences pour corriger le comportement inadéquat de mon enfant. 
J'étais en colère contre l'autre parent car je savais que le reproche venait de lui et non de mon enfant. Et je le signifiais à mon enfant.  
Aucune de ces réponses </t>
        </is>
      </c>
      <c r="J211" s="178" t="inlineStr">
        <is>
          <t> </t>
        </is>
      </c>
      <c r="K211" s="229" t="n"/>
      <c r="L211" s="229" t="n">
        <v>0</v>
      </c>
      <c r="M211" s="631" t="n"/>
      <c r="N211" s="971" t="inlineStr">
        <is>
          <t>choix multiples</t>
        </is>
      </c>
      <c r="O211" s="602" t="inlineStr">
        <is>
          <t>Je ne me laisse pas insulter par mon enfant 
Je l'envoie réfléchir et lui demande de revenir lorsqu'il sera calme
J'impose des conséquences pour corriger le comportement inadéquat de mon enfant 
Je suis d'abord en colère et je me calme ensuite 
Je suis en colère contre l'autre parent car je sais que le reproche vient de lui et non de mon enfant. Et je le signifie à mon enfant.</t>
        </is>
      </c>
      <c r="P211" s="343" t="n"/>
      <c r="Q211" s="343" t="n"/>
      <c r="R211" s="675" t="n">
        <v>1</v>
      </c>
      <c r="S211" s="676" t="n">
        <v>0</v>
      </c>
      <c r="T211" s="676" t="n">
        <v>0</v>
      </c>
      <c r="U211" s="188" t="inlineStr">
        <is>
          <t>D: Dénigrement</t>
        </is>
      </c>
      <c r="V211" s="470" t="n"/>
      <c r="W211" s="470" t="n"/>
      <c r="Y211" s="2100" t="n"/>
      <c r="AD211" s="1234" t="inlineStr">
        <is>
          <t>🔶</t>
        </is>
      </c>
      <c r="AE211" s="1239" t="inlineStr">
        <is>
          <t xml:space="preserve">Info / éducation : normal pour l'enfant de revenir chargé si l'enfant est exposé à un conflit  </t>
        </is>
      </c>
      <c r="AF211" s="1239" t="n"/>
      <c r="AG211" s="1234" t="inlineStr">
        <is>
          <t> </t>
        </is>
      </c>
      <c r="AH211" s="1236" t="n"/>
      <c r="AI211" s="1237" t="n"/>
    </row>
    <row r="212" ht="214" customHeight="1" thickBot="1">
      <c r="A212" s="2073" t="inlineStr">
        <is>
          <t>S'ouvre si E04 OU E32 &gt;= 4</t>
        </is>
      </c>
      <c r="B212" s="2066" t="inlineStr">
        <is>
          <t>Défend systématiquement l'autre parent OU Accuse de voler,..</t>
        </is>
      </c>
      <c r="C212" s="2101" t="n"/>
      <c r="D212" s="1587" t="n">
        <v>19</v>
      </c>
      <c r="E212" s="438" t="inlineStr">
        <is>
          <t>PCR20</t>
        </is>
      </c>
      <c r="F212" s="371" t="inlineStr">
        <is>
          <t xml:space="preserve">Si votre enfant vous accuse de mentir, de voler l'argent de l'autre parent, etc. Comment réagissez-vous ? </t>
        </is>
      </c>
      <c r="G212" s="554" t="inlineStr">
        <is>
          <t xml:space="preserve">Si votre enfant vous accusait de mentir, de voler l'argent de l'autre parent, etc. Comment réagissiez-vous ? </t>
        </is>
      </c>
      <c r="H212" s="526" t="inlineStr">
        <is>
          <t xml:space="preserve"> - Vous tentez de le raisonner et vous vous justifiez. - Vous faites valoir que l'autre parent lui a menti. - Vous êtes blessé·e, vous êtes émotif ou émotive. - Aucune de ces réponses </t>
        </is>
      </c>
      <c r="I212" s="526" t="inlineStr">
        <is>
          <t xml:space="preserve"> - Vous tentiez de le raisonner et vous vous justifiiez. - Vous faisiez valoir que l'autre parent lui avait menti. - Vous êtiez blessé·e, vous étiez émotif ou émotive. - Aucune de ces réponses </t>
        </is>
      </c>
      <c r="J212" s="178" t="inlineStr">
        <is>
          <t> </t>
        </is>
      </c>
      <c r="K212" s="439" t="n"/>
      <c r="L212" s="229" t="n">
        <v>0</v>
      </c>
      <c r="M212" s="631" t="n"/>
      <c r="N212" s="972" t="inlineStr">
        <is>
          <t>choix multiples</t>
        </is>
      </c>
      <c r="O212" s="602" t="inlineStr">
        <is>
          <t xml:space="preserve">Vous tentez de le raisonner et vous vous justifiez 
Vous faites valoir que l'autre parent lui a menti 
Vous êtes blessé·e, vous êtes émotif uo émotive 
</t>
        </is>
      </c>
      <c r="P212" s="440" t="n"/>
      <c r="Q212" s="440" t="n"/>
      <c r="R212" s="378" t="n">
        <v>1</v>
      </c>
      <c r="S212" s="447" t="n">
        <v>0</v>
      </c>
      <c r="T212" s="447" t="n">
        <v>0</v>
      </c>
      <c r="U212" s="441" t="inlineStr">
        <is>
          <t>D: Dénigrement</t>
        </is>
      </c>
      <c r="V212" s="470" t="n"/>
      <c r="W212" s="470" t="n"/>
      <c r="Y212" s="2100" t="n"/>
      <c r="AD212" s="1234" t="inlineStr">
        <is>
          <t>🔶</t>
        </is>
      </c>
      <c r="AE212" s="1239" t="inlineStr">
        <is>
          <t xml:space="preserve">Info / éducation ADR ici ?    
Référence : Méthode ADR du CAP : se référer à la méthode ADR </t>
        </is>
      </c>
      <c r="AF212" s="1239" t="n"/>
      <c r="AG212" s="1234" t="inlineStr">
        <is>
          <t> </t>
        </is>
      </c>
      <c r="AH212" s="1236" t="n"/>
      <c r="AI212" s="1239" t="inlineStr">
        <is>
          <t xml:space="preserve">Info / éducation ADR ici ?    
Référence : Méthode ADR du CAP </t>
        </is>
      </c>
    </row>
    <row r="213" ht="40" customFormat="1" customHeight="1" s="132">
      <c r="A213" s="7" t="n"/>
      <c r="B213" s="7" t="n"/>
      <c r="C213" s="7" t="n"/>
      <c r="D213" s="364" t="n"/>
      <c r="E213" s="364" t="n"/>
      <c r="F213" s="433" t="n"/>
      <c r="G213" s="364" t="n"/>
      <c r="H213" s="433" t="n"/>
      <c r="I213" s="433" t="n"/>
      <c r="J213" s="434" t="n"/>
      <c r="K213" s="434" t="n"/>
      <c r="L213" s="434" t="n"/>
      <c r="M213" s="434" t="n"/>
      <c r="N213" s="435" t="n"/>
      <c r="O213" s="604" t="n"/>
      <c r="P213" s="435" t="n"/>
      <c r="Q213" s="435" t="n"/>
      <c r="R213" s="436" t="n"/>
      <c r="S213" s="437" t="n"/>
      <c r="T213" s="437" t="n"/>
      <c r="U213" s="369" t="n"/>
      <c r="V213" s="467" t="n"/>
      <c r="W213" s="467" t="n"/>
      <c r="X213" s="58" t="n"/>
      <c r="Y213" s="2102" t="n"/>
      <c r="Z213" s="57" t="n"/>
      <c r="AA213" s="57" t="n"/>
      <c r="AB213" s="57" t="n"/>
      <c r="AC213" s="57" t="n"/>
      <c r="AD213" s="1255" t="n"/>
      <c r="AE213" s="1256" t="n"/>
      <c r="AF213" s="1256" t="n"/>
      <c r="AG213" s="1267" t="n"/>
      <c r="AH213" s="1268" t="n"/>
      <c r="AI213" s="1269" t="n"/>
    </row>
    <row r="214" ht="40" customFormat="1" customHeight="1" s="7" thickBot="1">
      <c r="A214" s="1908" t="inlineStr">
        <is>
          <t>Tout le bloc s'active s'il y a un nouveau conjoint seulement</t>
        </is>
      </c>
      <c r="D214" s="950" t="inlineStr">
        <is>
          <t>Questionnaire 
NOUVEAU CONJOINT (NC)</t>
        </is>
      </c>
      <c r="E214" s="442" t="n"/>
      <c r="F214" s="442" t="n"/>
      <c r="G214" s="442" t="n"/>
      <c r="H214" s="442" t="n"/>
      <c r="I214" s="442" t="n"/>
      <c r="J214" s="442" t="n"/>
      <c r="K214" s="442" t="n"/>
      <c r="L214" s="442" t="n"/>
      <c r="M214" s="442" t="n"/>
      <c r="N214" s="442" t="n"/>
      <c r="O214" s="442" t="n"/>
      <c r="P214" s="442" t="n"/>
      <c r="Q214" s="442" t="n"/>
      <c r="R214" s="442" t="n"/>
      <c r="S214" s="442" t="n"/>
      <c r="T214" s="442" t="n"/>
      <c r="U214" s="442" t="n"/>
      <c r="V214" s="467" t="n"/>
      <c r="W214" s="467" t="n"/>
      <c r="X214" s="58" t="n"/>
      <c r="Y214" s="2102" t="n"/>
      <c r="Z214" s="57" t="n"/>
      <c r="AA214" s="57" t="n"/>
      <c r="AB214" s="57" t="n"/>
      <c r="AC214" s="57" t="n"/>
      <c r="AD214" s="582" t="n"/>
      <c r="AE214" s="1222" t="n"/>
      <c r="AF214" s="1222" t="n"/>
      <c r="AG214" s="1221" t="n"/>
      <c r="AH214" s="1053" t="n"/>
      <c r="AI214" s="1055" t="n"/>
    </row>
    <row r="215" ht="89" customFormat="1" customHeight="1" s="7">
      <c r="C215" s="992" t="inlineStr">
        <is>
          <t>Q mère silencieuse sans sa SQ :
intensité 0, c'est la sq qui prend la place</t>
        </is>
      </c>
      <c r="D215" s="1585" t="n">
        <v>1</v>
      </c>
      <c r="E215" s="146" t="inlineStr">
        <is>
          <t>NC01</t>
        </is>
      </c>
      <c r="F215" s="1165" t="inlineStr">
        <is>
          <t>Dans quelle mesure êtes-vous d'acord avec l'énoncé suivant ? Le nouveau ou nouvelle conjoint·e joue un rôle de confident·e auprès de votre enfant ?</t>
        </is>
      </c>
      <c r="G215" s="1166" t="inlineStr">
        <is>
          <t>Dans quelle mesure êtes-vous d'acord avec l'énoncé suivant ? Le nouveau ou nouvelle conjoint·e jouait un rôle de confident·e auprès de votre enfant ?</t>
        </is>
      </c>
      <c r="H215" s="442" t="n"/>
      <c r="I215" s="1156" t="n"/>
      <c r="J215" s="443" t="inlineStr">
        <is>
          <t>&gt;=3</t>
        </is>
      </c>
      <c r="K215" s="444" t="n">
        <v>4</v>
      </c>
      <c r="L215" s="1056" t="n">
        <v>0</v>
      </c>
      <c r="M215" s="1627" t="n">
        <v>1</v>
      </c>
      <c r="N215" s="960" t="inlineStr">
        <is>
          <t>E3A</t>
        </is>
      </c>
      <c r="O215" s="597" t="inlineStr">
        <is>
          <t>Pas du tout d’accord / Pas d’accord / Ni d’accord, ni pas d’accord / Partiellement d’accord / D’accord / Tout à fait d’accord / S.O.</t>
        </is>
      </c>
      <c r="P215" s="445">
        <f>Test_Bible!P389</f>
        <v/>
      </c>
      <c r="Q215" s="445">
        <f>Test_Bible!Q389</f>
        <v/>
      </c>
      <c r="R215" s="448" t="n">
        <v>1</v>
      </c>
      <c r="S215" s="449" t="n">
        <v>0</v>
      </c>
      <c r="T215" s="450" t="n">
        <v>0</v>
      </c>
      <c r="U215" s="404" t="inlineStr">
        <is>
          <t>A:Alliance</t>
        </is>
      </c>
      <c r="V215" s="6" t="n">
        <v>1</v>
      </c>
      <c r="W215" s="471" t="n"/>
      <c r="X215" s="59" t="n"/>
      <c r="Y215" s="2102" t="n"/>
      <c r="Z215" s="57" t="n"/>
      <c r="AA215" s="57" t="n"/>
      <c r="AB215" s="57" t="n"/>
      <c r="AC215" s="57" t="n"/>
      <c r="AD215" s="582" t="n"/>
      <c r="AE215" s="1222" t="n"/>
      <c r="AF215" s="1222" t="n"/>
      <c r="AG215" s="1221" t="n"/>
      <c r="AH215" s="1053" t="n"/>
      <c r="AI215" s="1055" t="n"/>
    </row>
    <row r="216" ht="63" customFormat="1" customHeight="1" s="7">
      <c r="B216" s="124" t="inlineStr">
        <is>
          <t>sq1 (s'active si NC01&gt;=condition)</t>
        </is>
      </c>
      <c r="D216" s="1585" t="n">
        <v>2</v>
      </c>
      <c r="E216" s="146" t="inlineStr">
        <is>
          <t>NC01a</t>
        </is>
      </c>
      <c r="F216" s="992" t="inlineStr">
        <is>
          <t>Dans quelle mesure cette relation de confident.e vous apparaît être saine?</t>
        </is>
      </c>
      <c r="G216" s="799" t="inlineStr">
        <is>
          <t>Dans quelle mesure cette relation de confident.e vous apparaissait être malsaine?</t>
        </is>
      </c>
      <c r="H216" s="122" t="n"/>
      <c r="I216" s="1111" t="n"/>
      <c r="J216" s="217" t="inlineStr">
        <is>
          <t>sq1</t>
        </is>
      </c>
      <c r="K216" s="236" t="n"/>
      <c r="L216" s="608" t="n">
        <v>2</v>
      </c>
      <c r="M216" s="608" t="n"/>
      <c r="N216" s="961" t="n"/>
      <c r="O216" s="1687" t="inlineStr">
        <is>
          <t xml:space="preserve">Tout à fait d’accord / D'accord / Partiellement d'accord / Partiellement en désaccord / En désaccord / Tout à fait en désaccord / S.O. </t>
        </is>
      </c>
      <c r="P216" s="348">
        <f>Test_Bible!P390</f>
        <v/>
      </c>
      <c r="Q216" s="348">
        <f>Test_Bible!Q390</f>
        <v/>
      </c>
      <c r="R216" s="140" t="n">
        <v>0</v>
      </c>
      <c r="S216" s="141" t="n">
        <v>1</v>
      </c>
      <c r="T216" s="415" t="n">
        <v>0</v>
      </c>
      <c r="U216" s="183" t="inlineStr">
        <is>
          <t>A:Alliance</t>
        </is>
      </c>
      <c r="V216" s="6" t="n">
        <v>1</v>
      </c>
      <c r="W216" s="471" t="n"/>
      <c r="X216" s="459" t="n"/>
      <c r="Y216" s="2103" t="n"/>
      <c r="AA216" s="57" t="n"/>
      <c r="AB216" s="57" t="n"/>
      <c r="AC216" s="57" t="n"/>
      <c r="AD216" s="552" t="inlineStr">
        <is>
          <t>🔶</t>
        </is>
      </c>
      <c r="AE216" s="291" t="inlineStr">
        <is>
          <t xml:space="preserve">Une forte et belle complicité entre votre enfant et le nouveau ou nouvelle conjoint·e peut-être très positive si elle n'interfère pas avec votre relation avec votre enfant. Si la complicité entre votre enfant et le nouveau ou nouvelle conjoint·e existe et se déploie au détriment de votre relation avec votre enfant, faites-vous aider par un.e professionnel·le (TS / psychologue), une autorité morale neutre qui permettra aux deux relations de co-exister. </t>
        </is>
      </c>
      <c r="AF216" s="1222" t="n"/>
      <c r="AG216" s="1230" t="inlineStr">
        <is>
          <t>🔴</t>
        </is>
      </c>
      <c r="AH216" s="1053" t="n"/>
      <c r="AI216" s="291" t="inlineStr">
        <is>
          <t xml:space="preserve">Une forte et belle complicité entre votre enfant et le nouveau ou nouvelle conjoint·e peut-être très positive si elle n'interfère pas avec votre relation avec votre enfant. Si la complicité entre votre enfant et le nouveau ou nouvelle conjoint·e existe et se déploie au détriment de votre relation avec votre enfant, faites-vous aider par un.e professionnel·le (TS / psychologue), une autorité morale neutre qui permettra aux deux relations de co-exister. </t>
        </is>
      </c>
    </row>
    <row r="217" ht="63" customFormat="1" customHeight="1" s="7">
      <c r="A217" s="1807" t="inlineStr">
        <is>
          <t>S'active si B12 = relation difficile +++</t>
        </is>
      </c>
      <c r="D217" s="1585" t="n"/>
      <c r="E217" s="146" t="inlineStr">
        <is>
          <t>NC02</t>
        </is>
      </c>
      <c r="F217" s="1165" t="inlineStr">
        <is>
          <t>Dans quelle mesure cet énoncé s'applique à votre situation? Le nouveau ou nouvelle conjoint·e laisse entendre à votre enfant qu’il ou elle n’est pas en sécurité avec vous.</t>
        </is>
      </c>
      <c r="G217" s="1166" t="inlineStr">
        <is>
          <t>Dans quelle mesure cet énoncé s'applique à votre situation? Le nouveau ou nouvelle conjoint·e laissait entendre à votre enfant qu’il ou elle n’était pas en sécurité avec vous.</t>
        </is>
      </c>
      <c r="H217" s="281" t="n"/>
      <c r="I217" s="1157" t="n"/>
      <c r="J217" s="221" t="n"/>
      <c r="K217" s="247" t="n"/>
      <c r="L217" s="608" t="n">
        <v>2</v>
      </c>
      <c r="M217" s="608" t="n"/>
      <c r="N217" s="961" t="inlineStr">
        <is>
          <t>E4A</t>
        </is>
      </c>
      <c r="O217" s="597" t="inlineStr">
        <is>
          <t>Nulle / Très faible / Faible / Moyenne / Élevé / Très élevé / S.O.</t>
        </is>
      </c>
      <c r="P217" s="348">
        <f>Test_Bible!P391</f>
        <v/>
      </c>
      <c r="Q217" s="348">
        <f>Test_Bible!Q391</f>
        <v/>
      </c>
      <c r="R217" s="139" t="n">
        <v>0.5</v>
      </c>
      <c r="S217" s="375" t="n">
        <v>0</v>
      </c>
      <c r="T217" s="336" t="n">
        <v>0.5</v>
      </c>
      <c r="U217" s="189" t="inlineStr">
        <is>
          <t>B:Altération/dévoiement de la réalité</t>
        </is>
      </c>
      <c r="V217" s="2002" t="n"/>
      <c r="W217" s="1280" t="n">
        <v>1</v>
      </c>
      <c r="X217" s="459" t="n"/>
      <c r="Y217" s="2103" t="n"/>
      <c r="Z217" s="57" t="n"/>
      <c r="AA217" s="57" t="n"/>
      <c r="AB217" s="57" t="n"/>
      <c r="AC217" s="57" t="n"/>
      <c r="AD217" s="552" t="inlineStr">
        <is>
          <t>🔶</t>
        </is>
      </c>
      <c r="AE217" s="1224" t="inlineStr">
        <is>
          <t xml:space="preserve">exposer ce que ça veut dire / impact sur l'enfant / importance de sécuriser l'enfant 
importantce d'intervenir ou non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c r="AF217" s="1224" t="n"/>
      <c r="AG217" s="552" t="inlineStr">
        <is>
          <t>🔴</t>
        </is>
      </c>
      <c r="AH217" s="291" t="n"/>
      <c r="AI217" s="1249" t="inlineStr">
        <is>
          <t xml:space="preserve">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row>
    <row r="218" ht="63" customFormat="1" customHeight="1" s="7">
      <c r="D218" s="1585" t="n">
        <v>3</v>
      </c>
      <c r="E218" s="146" t="inlineStr">
        <is>
          <t>NC03</t>
        </is>
      </c>
      <c r="F218" s="992" t="inlineStr">
        <is>
          <t>Dans quelle mesure le nouveau ou nouvelle conjoint·e vous salue lorsqu’il vous croise à l’école, lors des changements de garde ou lors d'événements sportifs?</t>
        </is>
      </c>
      <c r="G218" s="1166" t="inlineStr">
        <is>
          <t>Dans quelle mesure le nouveau ou nouvelle conjoint·e vous ignorait lorsqu’il vous croisait à l’école, lors des changements de garde ou lors d'événements sportifs?</t>
        </is>
      </c>
      <c r="H218" s="282" t="n"/>
      <c r="I218" s="1158" t="n"/>
      <c r="J218" s="221" t="n"/>
      <c r="K218" s="247" t="n"/>
      <c r="L218" s="593" t="n">
        <v>1</v>
      </c>
      <c r="M218" s="593" t="n"/>
      <c r="N218" s="961" t="inlineStr">
        <is>
          <t>E1B</t>
        </is>
      </c>
      <c r="O218" s="2059" t="inlineStr">
        <is>
          <t>Toujours / Souvent / Régulièrement / Occasionnellement / Rarement / Jamais / S.O.</t>
        </is>
      </c>
      <c r="P218" s="348">
        <f>Test_Bible!P392</f>
        <v/>
      </c>
      <c r="Q218" s="348">
        <f>Test_Bible!Q392</f>
        <v/>
      </c>
      <c r="R218" s="139" t="n">
        <v>1</v>
      </c>
      <c r="S218" s="375" t="n">
        <v>0</v>
      </c>
      <c r="T218" s="415" t="n">
        <v>0</v>
      </c>
      <c r="U218" s="187" t="inlineStr">
        <is>
          <t>C: Chantage affectif, loyauté, manipulation</t>
        </is>
      </c>
      <c r="V218" s="2002" t="n"/>
      <c r="W218" s="471" t="n"/>
      <c r="X218" s="459" t="n">
        <v>1</v>
      </c>
      <c r="Y218" s="2103" t="n"/>
      <c r="Z218" s="57" t="n"/>
      <c r="AA218" s="57" t="n"/>
      <c r="AB218" s="57" t="n"/>
      <c r="AC218" s="57" t="n"/>
      <c r="AD218" s="582" t="n"/>
      <c r="AE218" s="1222" t="n"/>
      <c r="AF218" s="1222" t="n"/>
      <c r="AG218" s="1221" t="n"/>
      <c r="AH218" s="1053" t="n"/>
      <c r="AI218" s="1055" t="n"/>
    </row>
    <row r="219" ht="86" customFormat="1" customHeight="1" s="7" thickBot="1">
      <c r="A219" s="1803" t="inlineStr">
        <is>
          <t>NOUVELLE question concernant la qualité / perception de la relation entre nveau conjoint et parent répondant</t>
        </is>
      </c>
      <c r="D219" s="1585" t="n">
        <v>4</v>
      </c>
      <c r="E219" s="1795" t="inlineStr">
        <is>
          <t>NC04</t>
        </is>
      </c>
      <c r="F219" s="992" t="inlineStr">
        <is>
          <t>Comment qualifieriez-vous votre relation avec le nouveau ou nouvelle conjoint·e de l'autre parent (coparent)</t>
        </is>
      </c>
      <c r="G219" s="1166" t="n"/>
      <c r="H219" s="282" t="n"/>
      <c r="I219" s="1158" t="n"/>
      <c r="J219" s="221" t="n"/>
      <c r="K219" s="247" t="n"/>
      <c r="L219" s="442" t="inlineStr">
        <is>
          <t>Bonne  
Courtoise
Neutre
Difficile 
Conflictuelle</t>
        </is>
      </c>
      <c r="M219" s="442" t="n"/>
      <c r="N219" s="972" t="inlineStr">
        <is>
          <t>choix multiples</t>
        </is>
      </c>
      <c r="O219" s="2059" t="n"/>
      <c r="P219" s="348" t="n"/>
      <c r="Q219" s="348" t="n"/>
      <c r="R219" s="139" t="n"/>
      <c r="S219" s="375" t="n"/>
      <c r="T219" s="415" t="n"/>
      <c r="U219" s="187" t="inlineStr">
        <is>
          <t>C: Chantage affectif, loyauté, manipulation</t>
        </is>
      </c>
      <c r="V219" s="2002" t="n"/>
      <c r="W219" s="471" t="n"/>
      <c r="X219" s="459" t="n"/>
      <c r="Y219" s="2103" t="n"/>
      <c r="Z219" s="57" t="n"/>
      <c r="AA219" s="57" t="n"/>
      <c r="AB219" s="57" t="n"/>
      <c r="AC219" s="57" t="n"/>
      <c r="AD219" s="582" t="n"/>
      <c r="AE219" s="1222" t="n"/>
      <c r="AF219" s="1222" t="n"/>
      <c r="AG219" s="1221" t="n"/>
      <c r="AH219" s="1053" t="n"/>
      <c r="AI219" s="1055" t="n"/>
    </row>
    <row r="220" ht="63" customFormat="1" customHeight="1" s="7">
      <c r="A220" s="1802" t="inlineStr">
        <is>
          <t>= sous-question ouvre lorsque NC04 = neutre à conflictuelle</t>
        </is>
      </c>
      <c r="D220" s="1585" t="n">
        <v>6</v>
      </c>
      <c r="E220" s="1795" t="inlineStr">
        <is>
          <t>NC04a</t>
        </is>
      </c>
      <c r="F220" s="799" t="inlineStr">
        <is>
          <t>Arrive-t-il que le nouveau ou la nouvelle conjoint·e dénigre vos compétences parentales par texto, courriel ou autres?</t>
        </is>
      </c>
      <c r="G220" s="1166" t="inlineStr">
        <is>
          <t>Dans quelle mesure le nouveau ou nouvelle conjoint·e dénigrait vos compétences parentales par texto, courriel ou autres?</t>
        </is>
      </c>
      <c r="H220" s="281" t="n"/>
      <c r="I220" s="1157" t="n"/>
      <c r="J220" s="221" t="n"/>
      <c r="K220" s="247" t="n">
        <v>2</v>
      </c>
      <c r="L220" s="607" t="n">
        <v>3</v>
      </c>
      <c r="M220" s="607" t="n"/>
      <c r="N220" s="961" t="inlineStr">
        <is>
          <t>E1A</t>
        </is>
      </c>
      <c r="O220" s="2059" t="inlineStr">
        <is>
          <t xml:space="preserve">Jamais / Rarement / Occasionnellement / Régulièrement / Souvent / Toujours / S.O. </t>
        </is>
      </c>
      <c r="P220" s="348">
        <f>Test_Bible!P400</f>
        <v/>
      </c>
      <c r="Q220" s="348">
        <f>Test_Bible!Q400</f>
        <v/>
      </c>
      <c r="R220" s="140" t="n">
        <v>0</v>
      </c>
      <c r="S220" s="375" t="n">
        <v>0</v>
      </c>
      <c r="T220" s="336" t="n">
        <v>1</v>
      </c>
      <c r="U220" s="184" t="inlineStr">
        <is>
          <t>D: Dénigrement</t>
        </is>
      </c>
      <c r="V220" s="2002" t="n"/>
      <c r="W220" s="471" t="n"/>
      <c r="X220" s="59" t="n"/>
      <c r="Y220" s="1070" t="n">
        <v>1</v>
      </c>
      <c r="Z220" s="57" t="n"/>
      <c r="AA220" s="57" t="n"/>
      <c r="AB220" s="57" t="n"/>
      <c r="AC220" s="57" t="n"/>
      <c r="AD220" s="582" t="n"/>
      <c r="AE220" s="1222" t="n"/>
      <c r="AF220" s="1222" t="n"/>
      <c r="AG220" s="552" t="inlineStr">
        <is>
          <t>🔴</t>
        </is>
      </c>
      <c r="AH220" s="1053" t="n"/>
      <c r="AI220" s="1054" t="inlineStr">
        <is>
          <t xml:space="preserve">Semble se substituer à l'autorité parentale. Et dénigre votre autorité parentale aux yeu de votre enfant aussi ? Recommandations : ouvrir dialogue avec le coparent et envisager une médiation familiale avec le coparent et le nouveau ou nouvelle conjoint·e  
Recommandations : communication non violente, éviter les déclencheurs, s'assurer que le dialogue reste ouvert pour le bien des enfants. </t>
        </is>
      </c>
    </row>
    <row r="221" ht="63" customFormat="1" customHeight="1" s="7">
      <c r="A221" s="1802" t="inlineStr">
        <is>
          <t>s'ouvre si NC04a &gt;= condition</t>
        </is>
      </c>
      <c r="D221" s="1585" t="n">
        <v>5</v>
      </c>
      <c r="E221" s="1795" t="inlineStr">
        <is>
          <t>NC04a1</t>
        </is>
      </c>
      <c r="F221" s="799" t="inlineStr">
        <is>
          <t>Arrive-t-il que le nouveau ou la nouvelle conjoint·e vous critique ou dénigre vos compétences parentales devant votre enfant ?</t>
        </is>
      </c>
      <c r="G221" s="1166" t="inlineStr">
        <is>
          <t>Dans quelle mesure arrivait-il que le nouveau ou nouvelle conjoint·e vous critique ou dénigre vos compétences parentales devant votre enfant ?</t>
        </is>
      </c>
      <c r="H221" s="281" t="n"/>
      <c r="I221" s="1157" t="n"/>
      <c r="J221" s="221" t="n"/>
      <c r="K221" s="247" t="n"/>
      <c r="L221" s="607" t="n">
        <v>3</v>
      </c>
      <c r="M221" s="607" t="n"/>
      <c r="N221" s="961" t="inlineStr">
        <is>
          <t>E1A</t>
        </is>
      </c>
      <c r="O221" s="2059" t="inlineStr">
        <is>
          <t xml:space="preserve">Jamais / Rarement / Occasionnellement / Régulièrement / Souvent / Toujours / S.O. </t>
        </is>
      </c>
      <c r="P221" s="348">
        <f>Test_Bible!P399</f>
        <v/>
      </c>
      <c r="Q221" s="348">
        <f>Test_Bible!Q399</f>
        <v/>
      </c>
      <c r="R221" s="140" t="n">
        <v>0</v>
      </c>
      <c r="S221" s="375" t="n">
        <v>0</v>
      </c>
      <c r="T221" s="336" t="n">
        <v>1</v>
      </c>
      <c r="U221" s="184" t="inlineStr">
        <is>
          <t>D: Dénigrement</t>
        </is>
      </c>
      <c r="V221" s="2002" t="n"/>
      <c r="W221" s="471" t="n"/>
      <c r="X221" s="59" t="n"/>
      <c r="Y221" s="1070" t="n">
        <v>1</v>
      </c>
      <c r="Z221" s="57" t="n"/>
      <c r="AA221" s="57" t="n"/>
      <c r="AB221" s="57" t="n"/>
      <c r="AC221" s="57" t="n"/>
      <c r="AD221" s="1234" t="n"/>
      <c r="AE221" s="1054" t="n"/>
      <c r="AF221" s="1222" t="n"/>
      <c r="AG221" s="552" t="inlineStr">
        <is>
          <t>🔴</t>
        </is>
      </c>
      <c r="AH221" s="1053" t="n"/>
      <c r="AI221" s="1054" t="inlineStr">
        <is>
          <t xml:space="preserve">sape l'autorité parentale </t>
        </is>
      </c>
    </row>
    <row r="222" ht="63" customFormat="1" customHeight="1" s="7">
      <c r="A222" s="1802" t="inlineStr">
        <is>
          <t>= sous-question ouvre lorsque NC04 = neutre à conflictuelle + NC de PCR</t>
        </is>
      </c>
      <c r="D222" s="1585" t="n">
        <v>7</v>
      </c>
      <c r="E222" s="1795" t="inlineStr">
        <is>
          <t>NC04b</t>
        </is>
      </c>
      <c r="F222" s="799" t="inlineStr">
        <is>
          <t>Évaluez l'intensité de l'énoncé : le nouveau ou nouvelle conjoint·e dénigre votre nouvelle famille devant votre enfant (nouveau conjoint + enfants nés ou non d’une nouvelle union)</t>
        </is>
      </c>
      <c r="G222" s="1166" t="inlineStr">
        <is>
          <t>Évaluez l'intensité de l'énoncé : le nouveau ou nouvelle conjoint·e dénigrait ouvertement votre nouvelle famille devant votre enfant (nouveau conjoint + enfants nés ou non d’une nouvelle union)</t>
        </is>
      </c>
      <c r="H222" s="282" t="n"/>
      <c r="I222" s="1158" t="n"/>
      <c r="J222" s="221" t="n"/>
      <c r="K222" s="247" t="n"/>
      <c r="L222" s="607" t="n">
        <v>3</v>
      </c>
      <c r="M222" s="607" t="n"/>
      <c r="N222" s="961" t="inlineStr">
        <is>
          <t>E1A</t>
        </is>
      </c>
      <c r="O222" s="2059" t="inlineStr">
        <is>
          <t xml:space="preserve">Jamais / Rarement / Occasionnellement / Régulièrement / Souvent / Toujours / S.O. </t>
        </is>
      </c>
      <c r="P222" s="348">
        <f>Test_Bible!P401</f>
        <v/>
      </c>
      <c r="Q222" s="348">
        <f>Test_Bible!Q401</f>
        <v/>
      </c>
      <c r="R222" s="140" t="n">
        <v>0</v>
      </c>
      <c r="S222" s="375" t="n">
        <v>0</v>
      </c>
      <c r="T222" s="336" t="n">
        <v>1</v>
      </c>
      <c r="U222" s="184" t="inlineStr">
        <is>
          <t>D: Dénigrement</t>
        </is>
      </c>
      <c r="V222" s="2002" t="n"/>
      <c r="W222" s="471" t="n"/>
      <c r="X222" s="459" t="n"/>
      <c r="Y222" s="1070" t="n">
        <v>1</v>
      </c>
      <c r="Z222" s="57" t="n"/>
      <c r="AA222" s="57" t="n"/>
      <c r="AB222" s="57" t="n"/>
      <c r="AC222" s="57" t="n"/>
      <c r="AD222" s="582" t="n"/>
      <c r="AE222" s="1222" t="n"/>
      <c r="AF222" s="1222" t="n"/>
      <c r="AG222" s="552" t="inlineStr">
        <is>
          <t>🔴</t>
        </is>
      </c>
      <c r="AH222" s="1053" t="n"/>
      <c r="AI222" s="1054" t="inlineStr">
        <is>
          <t xml:space="preserve">ATTN : insécurise l'enfant 
Important de faire un retour avec l'enfant … </t>
        </is>
      </c>
    </row>
    <row r="223" ht="63" customFormat="1" customHeight="1" s="7">
      <c r="D223" s="1585" t="n">
        <v>8</v>
      </c>
      <c r="E223" s="146" t="inlineStr">
        <is>
          <t>NC07</t>
        </is>
      </c>
      <c r="F223" s="992" t="inlineStr">
        <is>
          <t>Dans quelle mesure cet énoncé s'applique à votre situation? Il arrive que le nouveau ou nouvelle conjoint·e apporte des changements à l’horaire de garde sans vous consulter au préalable, et sans votre autorisation.</t>
        </is>
      </c>
      <c r="G223" s="1166" t="inlineStr">
        <is>
          <t>Dans quelle mesure cet énoncé s'applique à votre situation? Il arrivait que le nouveau ou nouvelle conjoint·e apporte des changements à l’horaire de garde (se substituant à l'autorité de l'autre parent) sans vous consulter au préalable, et sans votre autorisation.</t>
        </is>
      </c>
      <c r="H223" s="282" t="n"/>
      <c r="I223" s="1158" t="n"/>
      <c r="J223" s="221" t="n"/>
      <c r="K223" s="247" t="n">
        <v>4</v>
      </c>
      <c r="L223" s="608" t="n">
        <v>2</v>
      </c>
      <c r="M223" s="608" t="n"/>
      <c r="N223" s="961" t="inlineStr">
        <is>
          <t>E1A</t>
        </is>
      </c>
      <c r="O223" s="2059" t="inlineStr">
        <is>
          <t xml:space="preserve">Jamais / Rarement / Occasionnellement / Régulièrement / Souvent / Toujours / S.O. </t>
        </is>
      </c>
      <c r="P223" s="348">
        <f>Test_Bible!P402</f>
        <v/>
      </c>
      <c r="Q223" s="348">
        <f>Test_Bible!Q402</f>
        <v/>
      </c>
      <c r="R223" s="139" t="n">
        <v>1</v>
      </c>
      <c r="S223" s="375" t="n">
        <v>0</v>
      </c>
      <c r="T223" s="415" t="n">
        <v>0</v>
      </c>
      <c r="U223" s="182" t="inlineStr">
        <is>
          <t>E: Interférence temps et/ou communication</t>
        </is>
      </c>
      <c r="V223" s="2002" t="n"/>
      <c r="W223" s="471" t="n"/>
      <c r="X223" s="59" t="n"/>
      <c r="Y223" s="2102" t="n"/>
      <c r="Z223" s="1282" t="n">
        <v>1</v>
      </c>
      <c r="AA223" s="57" t="n"/>
      <c r="AB223" s="57" t="n"/>
      <c r="AC223" s="57" t="n"/>
      <c r="AD223" s="582" t="n"/>
      <c r="AE223" s="1222" t="n"/>
      <c r="AF223" s="1222" t="n"/>
      <c r="AG223" s="552" t="inlineStr">
        <is>
          <t>🔴</t>
        </is>
      </c>
      <c r="AH223" s="1053" t="n"/>
      <c r="AI223" s="1054" t="inlineStr">
        <is>
          <t xml:space="preserve">Semble se substituer à l'autorité parentale. Recommandations : ouvrir dialogue avec le coparent et envisager une médiation familiale avec le coparent et le nouveau ou nouvelle conjoint·e  
Recommandations : communication non violente, éviter les déclencheurs, s'assurer que le dialogue reste ouvert pour le bien des enfants. </t>
        </is>
      </c>
    </row>
    <row r="224" ht="63" customFormat="1" customHeight="1" s="7">
      <c r="B224" s="1824" t="inlineStr">
        <is>
          <t>sous-question</t>
        </is>
      </c>
      <c r="D224" s="1585" t="n">
        <v>9</v>
      </c>
      <c r="E224" s="1795" t="inlineStr">
        <is>
          <t>NC07a</t>
        </is>
      </c>
      <c r="F224" s="799" t="inlineStr">
        <is>
          <t>Dans quelle mesure cet énoncé s'applique à votre situation? Le nouveau ou nouvelle conjoint·e organise des activités sur votre temps de garde?</t>
        </is>
      </c>
      <c r="G224" s="1166" t="inlineStr">
        <is>
          <t>Dans quelle mesure cet énoncé s'applique à votre situation? Le nouveau ou nouvelle conjoint·e organisait des activités sur votre temps de garde?</t>
        </is>
      </c>
      <c r="H224" s="282" t="n"/>
      <c r="I224" s="1158" t="n"/>
      <c r="J224" s="221" t="n"/>
      <c r="K224" s="247" t="n"/>
      <c r="L224" s="608" t="n">
        <v>2</v>
      </c>
      <c r="M224" s="608" t="n"/>
      <c r="N224" s="961" t="inlineStr">
        <is>
          <t>E1A</t>
        </is>
      </c>
      <c r="O224" s="2059" t="inlineStr">
        <is>
          <t xml:space="preserve">Jamais / Rarement / Occasionnellement / Régulièrement / Souvent / Toujours / S.O. </t>
        </is>
      </c>
      <c r="P224" s="348">
        <f>Test_Bible!P403</f>
        <v/>
      </c>
      <c r="Q224" s="348">
        <f>Test_Bible!Q403</f>
        <v/>
      </c>
      <c r="R224" s="139" t="n">
        <v>1</v>
      </c>
      <c r="S224" s="375" t="n">
        <v>0</v>
      </c>
      <c r="T224" s="415" t="n">
        <v>0</v>
      </c>
      <c r="U224" s="182" t="inlineStr">
        <is>
          <t>E: Interférence temps et/ou communication</t>
        </is>
      </c>
      <c r="V224" s="2002" t="n"/>
      <c r="W224" s="471" t="n"/>
      <c r="X224" s="59" t="n"/>
      <c r="Y224" s="2102" t="n"/>
      <c r="Z224" s="1282" t="n">
        <v>1</v>
      </c>
      <c r="AA224" s="57" t="n"/>
      <c r="AB224" s="57" t="n"/>
      <c r="AC224" s="57" t="n"/>
      <c r="AD224" s="582" t="n"/>
      <c r="AE224" s="1222" t="n"/>
      <c r="AF224" s="1222" t="n"/>
      <c r="AG224" s="552" t="inlineStr">
        <is>
          <t>🔴</t>
        </is>
      </c>
      <c r="AH224" s="1053" t="n"/>
      <c r="AI224" s="1054" t="inlineStr">
        <is>
          <t xml:space="preserve">Semble se substituer à l'autorité parentale. Recommandations : ouvrir dialogue avec le coparent et envisager une médiation familiale avec le coparent et le nouveau ou nouvelle conjoint·e  
Recommandations : communication non violente, éviter les déclencheurs, s'assurer que le dialogue reste ouvert pour le bien des enfants. </t>
        </is>
      </c>
    </row>
    <row r="225" ht="63" customFormat="1" customHeight="1" s="7">
      <c r="D225" s="1585" t="n">
        <v>10</v>
      </c>
      <c r="E225" s="146" t="inlineStr">
        <is>
          <t>NC09</t>
        </is>
      </c>
      <c r="F225" s="992" t="inlineStr">
        <is>
          <t>Arrive-t-il que le nouveau ou la nouvelle conjoint·e se présente à la sortie des classes, au service de garde ou à la garderie sur votre temps de garde.</t>
        </is>
      </c>
      <c r="G225" s="1166" t="inlineStr">
        <is>
          <t>Dans quelle mesure cet énoncé s'applique à votre situation? Le nouveau ou nouvelle conjoint·e se présentait à la sortie des classes, au service de garde ou à la garderie sur votre temps de garde.</t>
        </is>
      </c>
      <c r="H225" s="282" t="n"/>
      <c r="I225" s="1158" t="n"/>
      <c r="J225" s="221" t="n"/>
      <c r="K225" s="247" t="n"/>
      <c r="L225" s="608" t="n">
        <v>2</v>
      </c>
      <c r="M225" s="608" t="n"/>
      <c r="N225" s="961" t="inlineStr">
        <is>
          <t>E1A</t>
        </is>
      </c>
      <c r="O225" s="2059" t="inlineStr">
        <is>
          <t xml:space="preserve">Jamais / Rarement / Occasionnellement / Régulièrement / Souvent / Toujours / S.O. </t>
        </is>
      </c>
      <c r="P225" s="348">
        <f>Test_Bible!P404</f>
        <v/>
      </c>
      <c r="Q225" s="348">
        <f>Test_Bible!Q404</f>
        <v/>
      </c>
      <c r="R225" s="139" t="n">
        <v>1</v>
      </c>
      <c r="S225" s="375" t="n">
        <v>0</v>
      </c>
      <c r="T225" s="415" t="n">
        <v>0</v>
      </c>
      <c r="U225" s="182" t="inlineStr">
        <is>
          <t>E: Interférence temps et/ou communication</t>
        </is>
      </c>
      <c r="V225" s="2002" t="n"/>
      <c r="W225" s="471" t="n"/>
      <c r="X225" s="59" t="n"/>
      <c r="Y225" s="2102" t="n"/>
      <c r="Z225" s="1282" t="n">
        <v>1</v>
      </c>
      <c r="AA225" s="57" t="n"/>
      <c r="AB225" s="57" t="n"/>
      <c r="AC225" s="57" t="n"/>
      <c r="AD225" s="582" t="n"/>
      <c r="AE225" s="1222" t="n"/>
      <c r="AF225" s="1222" t="n"/>
      <c r="AG225" s="1221" t="n"/>
      <c r="AH225" s="1053" t="n"/>
      <c r="AI225" s="1055" t="n"/>
    </row>
    <row r="226" ht="63" customFormat="1" customHeight="1" s="7">
      <c r="D226" s="1585" t="n">
        <v>12</v>
      </c>
      <c r="E226" s="146" t="inlineStr">
        <is>
          <t>NC10</t>
        </is>
      </c>
      <c r="F226" s="1165" t="inlineStr">
        <is>
          <t>Lorsque vous appelez votre enfant chez l'autre parent, arrive-t-il que le nouveau ou nouvelle conjoint·e interfère, écoute ou écourte vos conversations téléphoniques avec votre enfant?</t>
        </is>
      </c>
      <c r="G226" s="1166" t="inlineStr">
        <is>
          <t>Lorsque vous appeliez votre enfant chez l'autre parent, arrivait-il que le nouveau ou nouvelle conjoint·e interfère, écoute ou écourte vos conversations téléphoniques avec votre enfant?</t>
        </is>
      </c>
      <c r="H226" s="282" t="n"/>
      <c r="I226" s="1158" t="n"/>
      <c r="J226" s="221" t="n"/>
      <c r="K226" s="247" t="n"/>
      <c r="L226" s="608" t="n">
        <v>2</v>
      </c>
      <c r="M226" s="608" t="n"/>
      <c r="N226" s="961" t="inlineStr">
        <is>
          <t>E1A</t>
        </is>
      </c>
      <c r="O226" s="2059" t="inlineStr">
        <is>
          <t xml:space="preserve">Jamais / Rarement / Occasionnellement / Régulièrement / Souvent / Toujours / S.O. </t>
        </is>
      </c>
      <c r="P226" s="348">
        <f>Test_Bible!P405</f>
        <v/>
      </c>
      <c r="Q226" s="348">
        <f>Test_Bible!Q405</f>
        <v/>
      </c>
      <c r="R226" s="139" t="n">
        <v>1</v>
      </c>
      <c r="S226" s="375" t="n">
        <v>0</v>
      </c>
      <c r="T226" s="415" t="n">
        <v>0</v>
      </c>
      <c r="U226" s="182" t="inlineStr">
        <is>
          <t>E: Interférence temps et/ou communication</t>
        </is>
      </c>
      <c r="V226" s="2002" t="n"/>
      <c r="W226" s="471" t="n"/>
      <c r="X226" s="59" t="n"/>
      <c r="Y226" s="2102" t="n"/>
      <c r="Z226" s="1282" t="n">
        <v>1</v>
      </c>
      <c r="AA226" s="57" t="n"/>
      <c r="AB226" s="57" t="n"/>
      <c r="AC226" s="57" t="n"/>
      <c r="AD226" s="582" t="n"/>
      <c r="AE226" s="1222" t="n"/>
      <c r="AF226" s="1222" t="n"/>
      <c r="AG226" s="552" t="n"/>
      <c r="AH226" s="1053" t="n"/>
      <c r="AI226" s="1054" t="n"/>
    </row>
    <row r="227" ht="63" customFormat="1" customHeight="1" s="7">
      <c r="D227" s="1585" t="n">
        <v>11</v>
      </c>
      <c r="E227" s="146" t="inlineStr">
        <is>
          <t>NC11</t>
        </is>
      </c>
      <c r="F227" s="1165" t="inlineStr">
        <is>
          <t>Dans quelle mesure le nouveau ou nouvelle conjoint·e est responsable de la logistique familiale : communication scolaire, rendez-vous médicaux, etc.?</t>
        </is>
      </c>
      <c r="G227" s="1166" t="inlineStr">
        <is>
          <t>Dans quelle mesure le nouveau ou nouvelle conjoint·e était responsable de la logistique familiale : communication scolaire, rendez-vous médicaux, etc.?</t>
        </is>
      </c>
      <c r="H227" s="281" t="n"/>
      <c r="I227" s="1157" t="n"/>
      <c r="J227" s="221" t="n"/>
      <c r="K227" s="247" t="n"/>
      <c r="L227" s="608" t="n">
        <v>2</v>
      </c>
      <c r="M227" s="608" t="n"/>
      <c r="N227" s="961" t="inlineStr">
        <is>
          <t>E4A</t>
        </is>
      </c>
      <c r="O227" s="597" t="inlineStr">
        <is>
          <t>Nulle / Très faible / Faible / Moyenne / Élevé / Très élevé / S.O.</t>
        </is>
      </c>
      <c r="P227" s="348">
        <f>Test_Bible!P406</f>
        <v/>
      </c>
      <c r="Q227" s="348">
        <f>Test_Bible!Q406</f>
        <v/>
      </c>
      <c r="R227" s="139" t="n">
        <v>1</v>
      </c>
      <c r="S227" s="375" t="n">
        <v>0</v>
      </c>
      <c r="T227" s="415" t="n">
        <v>0</v>
      </c>
      <c r="U227" s="182" t="inlineStr">
        <is>
          <t>E: Interférence temps et/ou communication</t>
        </is>
      </c>
      <c r="V227" s="2002" t="n"/>
      <c r="W227" s="471" t="n"/>
      <c r="X227" s="59" t="n"/>
      <c r="Y227" s="2102" t="n"/>
      <c r="Z227" s="1282" t="n">
        <v>1</v>
      </c>
      <c r="AA227" s="57" t="n"/>
      <c r="AB227" s="57" t="n"/>
      <c r="AC227" s="57" t="n"/>
      <c r="AD227" s="582" t="n"/>
      <c r="AE227" s="1222" t="n"/>
      <c r="AF227" s="1222" t="n"/>
      <c r="AG227" s="1221" t="n"/>
      <c r="AH227" s="1053" t="n"/>
      <c r="AI227" s="1055" t="n"/>
    </row>
    <row r="228" ht="63" customFormat="1" customHeight="1" s="7">
      <c r="A228" s="1807" t="inlineStr">
        <is>
          <t>S'active si B12 = relation difficile +++</t>
        </is>
      </c>
      <c r="D228" s="1585" t="n">
        <v>13</v>
      </c>
      <c r="E228" s="146" t="inlineStr">
        <is>
          <t>NC12</t>
        </is>
      </c>
      <c r="F228" s="1165" t="inlineStr">
        <is>
          <t xml:space="preserve">Évaluez la fréquence et l'intensité de l'énoncé : le nouveau ou nouvelle conjoint·e impose sa présence en appelant (ou en textant) régulièrement votre enfant durant votre temps de garde. </t>
        </is>
      </c>
      <c r="G228" s="1166" t="inlineStr">
        <is>
          <t xml:space="preserve">Évaluez la fréquence et l'intensité de l'énoncé : le nouveau ou nouvelle conjoint·e imposait sa présence en appelant (ou en textant) régulièrement votre enfant durant votre temps de garde. </t>
        </is>
      </c>
      <c r="H228" s="281" t="n"/>
      <c r="I228" s="1157" t="n"/>
      <c r="J228" s="221" t="n"/>
      <c r="K228" s="247" t="n"/>
      <c r="L228" s="607" t="n">
        <v>3</v>
      </c>
      <c r="M228" s="607" t="n"/>
      <c r="N228" s="961" t="inlineStr">
        <is>
          <t>E5A</t>
        </is>
      </c>
      <c r="O228" s="597" t="inlineStr">
        <is>
          <t>Au besoin / 1 x semaine / 3 x semaine / + de 5 x semaine / tous les jours / +sieurs x par jour / S.O.</t>
        </is>
      </c>
      <c r="P228" s="347">
        <f>Test_Bible!P314</f>
        <v/>
      </c>
      <c r="Q228" s="347">
        <f>Test_Bible!Q314</f>
        <v/>
      </c>
      <c r="R228" s="386" t="n">
        <v>1</v>
      </c>
      <c r="S228" s="387" t="n">
        <v>0</v>
      </c>
      <c r="T228" s="388" t="n">
        <v>0</v>
      </c>
      <c r="U228" s="182" t="inlineStr">
        <is>
          <t>E: Interférence temps et/ou communication</t>
        </is>
      </c>
      <c r="V228" s="2002" t="n"/>
      <c r="W228" s="471" t="n"/>
      <c r="X228" s="59" t="n"/>
      <c r="Y228" s="2102" t="n"/>
      <c r="Z228" s="1282" t="n">
        <v>1</v>
      </c>
      <c r="AA228" s="57" t="n"/>
      <c r="AB228" s="57" t="n"/>
      <c r="AC228" s="57" t="n"/>
      <c r="AD228" s="552" t="n"/>
      <c r="AE228" s="1224" t="n"/>
      <c r="AF228" s="1222" t="n"/>
      <c r="AG228" s="552" t="inlineStr">
        <is>
          <t>🔴</t>
        </is>
      </c>
      <c r="AH228" s="1053" t="n"/>
      <c r="AI228" s="1270" t="inlineStr">
        <is>
          <t xml:space="preserve">À surveiller, car : selon fréquence, possible alliance entre nouveau ou nouvelle conjoint·e et votre enfant. Important de comprendre la nature de la relation. Si relation fusionnelle qui met l'équilibre de l'enfant à risque … le besoin pour l'enfant de se poser  / principe de base / pas trouvé d'ouvrages sc. </t>
        </is>
      </c>
    </row>
    <row r="229" ht="63" customFormat="1" customHeight="1" s="7">
      <c r="D229" s="1585" t="n">
        <v>14</v>
      </c>
      <c r="E229" s="146" t="inlineStr">
        <is>
          <t>NC13</t>
        </is>
      </c>
      <c r="F229" s="1165" t="inlineStr">
        <is>
          <t>Dans quelle mesure le nouveau ou nouvelle conjoint·e interdit aux personnes gravitant autour de votre enfant (professeurs, éducateurs, medecins, entraîneurs, etc.) de vous communiquer de l'information au sujet de votre enfant?</t>
        </is>
      </c>
      <c r="G229" s="1166" t="inlineStr">
        <is>
          <t>Dans quelle mesure le nouveau ou nouvelle conjoint·e interdisait aux personnes gravitant autour de votre enfant (professeurs, éducateurs, medecins, entraîneurs, etc.) de vous communiquer de l'information au sujet de votre enfant?</t>
        </is>
      </c>
      <c r="H229" s="281" t="n"/>
      <c r="I229" s="1157" t="n"/>
      <c r="J229" s="221" t="n"/>
      <c r="K229" s="247" t="n"/>
      <c r="L229" s="607" t="n">
        <v>3</v>
      </c>
      <c r="M229" s="607" t="n"/>
      <c r="N229" s="961" t="inlineStr">
        <is>
          <t>E4A</t>
        </is>
      </c>
      <c r="O229" s="597" t="inlineStr">
        <is>
          <t>Nulle / Très faible / Faible / Moyenne / Élevé / Très élevé / S.O.</t>
        </is>
      </c>
      <c r="P229" s="348">
        <f>Test_Bible!P408</f>
        <v/>
      </c>
      <c r="Q229" s="348">
        <f>Test_Bible!Q408</f>
        <v/>
      </c>
      <c r="R229" s="139" t="n">
        <v>1</v>
      </c>
      <c r="S229" s="375" t="n">
        <v>0</v>
      </c>
      <c r="T229" s="415" t="n">
        <v>0</v>
      </c>
      <c r="U229" s="182" t="inlineStr">
        <is>
          <t>E: Interférence temps et/ou communication</t>
        </is>
      </c>
      <c r="V229" s="2002" t="n"/>
      <c r="W229" s="471" t="n"/>
      <c r="X229" s="459" t="n"/>
      <c r="Y229" s="2103" t="n"/>
      <c r="Z229" s="1282" t="n">
        <v>1</v>
      </c>
      <c r="AA229" s="57" t="n"/>
      <c r="AB229" s="57" t="n"/>
      <c r="AC229" s="57" t="n"/>
      <c r="AD229" s="582" t="n"/>
      <c r="AE229" s="1222" t="n"/>
      <c r="AF229" s="1222" t="n"/>
      <c r="AG229" s="1056" t="inlineStr">
        <is>
          <t>🔴 ATTN : déf. AP</t>
        </is>
      </c>
      <c r="AH229" s="1053" t="n"/>
      <c r="AI229" s="1055" t="n"/>
    </row>
    <row r="230" ht="63" customFormat="1" customHeight="1" s="7">
      <c r="D230" s="1585" t="n">
        <v>15</v>
      </c>
      <c r="E230" s="146" t="inlineStr">
        <is>
          <t>NC14</t>
        </is>
      </c>
      <c r="F230" s="992" t="inlineStr">
        <is>
          <t>Dans quelle mesure diriez-vous (ou quelles sont les probabilités) le nouveau ou nouvelle conjoint·e demande à votre enfant de l'appeler maman ou papa.</t>
        </is>
      </c>
      <c r="G230" s="1166" t="inlineStr">
        <is>
          <t>Dans quelle mesure cet énoncé s'applique à votre situation? Le nouveau ou nouvelle conjoint·e demandait à votre enfant de l'appeler maman ou papa.</t>
        </is>
      </c>
      <c r="H230" s="281" t="n"/>
      <c r="I230" s="1157" t="n"/>
      <c r="J230" s="221" t="n"/>
      <c r="K230" s="247" t="n"/>
      <c r="L230" s="608" t="n">
        <v>2</v>
      </c>
      <c r="M230" s="608" t="n"/>
      <c r="N230" s="961" t="n"/>
      <c r="O230" s="1606" t="inlineStr">
        <is>
          <t>Nulle / Très faible / Faible / Moyenne / Élevé / Très élevé / S.O.</t>
        </is>
      </c>
      <c r="P230" s="348">
        <f>Test_Bible!P409</f>
        <v/>
      </c>
      <c r="Q230" s="348">
        <f>Test_Bible!Q409</f>
        <v/>
      </c>
      <c r="R230" s="140" t="n">
        <v>0</v>
      </c>
      <c r="S230" s="375" t="n">
        <v>0</v>
      </c>
      <c r="T230" s="336" t="n">
        <v>1</v>
      </c>
      <c r="U230" s="186" t="inlineStr">
        <is>
          <t>F: Interférence lien affectif ou symbolique</t>
        </is>
      </c>
      <c r="V230" s="2002" t="n"/>
      <c r="W230" s="471" t="n"/>
      <c r="X230" s="59" t="n"/>
      <c r="Y230" s="2102" t="n"/>
      <c r="Z230" s="57" t="n"/>
      <c r="AA230" s="1282" t="n">
        <v>1</v>
      </c>
      <c r="AB230" s="57" t="n"/>
      <c r="AC230" s="57" t="n"/>
      <c r="AD230" s="582" t="n"/>
      <c r="AE230" s="1222" t="n"/>
      <c r="AF230" s="1222" t="n"/>
      <c r="AG230" s="552" t="n"/>
      <c r="AH230" s="1053" t="n"/>
      <c r="AI230" s="1270" t="inlineStr">
        <is>
          <t xml:space="preserve">je n'ai pas trouvé d'ouvrages sc. concernant le lien symblique ou la fragilisation du lien parent-enfant … juste des articles / blogues et plein de nuances. </t>
        </is>
      </c>
    </row>
    <row r="231" ht="68" customFormat="1" customHeight="1" s="7">
      <c r="A231" s="1807" t="inlineStr">
        <is>
          <t>S'active si B12 = relation difficile +++</t>
        </is>
      </c>
      <c r="D231" s="1585" t="n">
        <v>16</v>
      </c>
      <c r="E231" s="146" t="inlineStr">
        <is>
          <t>NC15</t>
        </is>
      </c>
      <c r="F231" s="1165" t="inlineStr">
        <is>
          <t>Dans quelle mesure cet énoncé s'applique à votre situation? Votre relation avec votre enfant est fragilisée depuis l'arrivée du nouveau ou nouvelle conjoint·e.</t>
        </is>
      </c>
      <c r="G231" s="1166" t="inlineStr">
        <is>
          <t>Dans quelle mesure cet énoncé s'applique à votre situation? Votre relation avec votre enfant s'était fragilisée depuis l'arrivée du nouveau ou nouvelle conjoint·e.</t>
        </is>
      </c>
      <c r="H231" s="281" t="n"/>
      <c r="I231" s="1157" t="n"/>
      <c r="J231" s="221" t="n"/>
      <c r="K231" s="247" t="n"/>
      <c r="L231" s="608" t="n">
        <v>2</v>
      </c>
      <c r="M231" s="608" t="n"/>
      <c r="N231" s="961" t="inlineStr">
        <is>
          <t>E3A</t>
        </is>
      </c>
      <c r="O231" s="597" t="inlineStr">
        <is>
          <t>Pas du tout d’accord / Pas d’accord / Partiellement en désaccord  / Partiellement d’accord / D’accord / Tout à fait d’accord / S.O.</t>
        </is>
      </c>
      <c r="P231" s="348">
        <f>Test_Bible!P410</f>
        <v/>
      </c>
      <c r="Q231" s="348">
        <f>Test_Bible!Q410</f>
        <v/>
      </c>
      <c r="R231" s="140" t="n">
        <v>0</v>
      </c>
      <c r="S231" s="141" t="n">
        <v>1</v>
      </c>
      <c r="T231" s="415" t="n">
        <v>0</v>
      </c>
      <c r="U231" s="186" t="inlineStr">
        <is>
          <t>F: Interférence lien affectif ou symbolique</t>
        </is>
      </c>
      <c r="V231" s="2002" t="n"/>
      <c r="W231" s="471" t="n"/>
      <c r="X231" s="459" t="n"/>
      <c r="Y231" s="2103" t="n"/>
      <c r="Z231" s="57" t="n"/>
      <c r="AA231" s="1282" t="n">
        <v>1</v>
      </c>
      <c r="AB231" s="57" t="n"/>
      <c r="AC231" s="57" t="n"/>
      <c r="AD231" s="582" t="n"/>
      <c r="AE231" s="1222" t="n"/>
      <c r="AF231" s="1222" t="n"/>
      <c r="AG231" s="1221" t="n"/>
      <c r="AH231" s="1053" t="n"/>
      <c r="AI231" s="1055" t="n"/>
    </row>
    <row r="232" ht="85" customFormat="1" customHeight="1" s="7" thickBot="1">
      <c r="A232" s="1806" t="inlineStr">
        <is>
          <t>S'ouvre avec PFA11&gt;= condition</t>
        </is>
      </c>
      <c r="C232" s="935" t="inlineStr">
        <is>
          <t>intensité 2 si âge (B06) &gt;= 11 ans;
Intensité 3 si âge (B06) &lt; 11 ans</t>
        </is>
      </c>
      <c r="D232" s="1585" t="n">
        <v>17</v>
      </c>
      <c r="E232" s="146" t="inlineStr">
        <is>
          <t>NC16</t>
        </is>
      </c>
      <c r="F232" s="1165" t="inlineStr">
        <is>
          <t>Dans quelle mesure cet énoncé s'applique à votre situation? Le nouveau ou nouvelle conjoint·e vous demande de respecter les désirs et choix de votre enfant.</t>
        </is>
      </c>
      <c r="G232" s="1166" t="inlineStr">
        <is>
          <t>Dans quelle mesure cet énoncé s'applique à votre situation? Le nouveau ou nouvelle conjoint·e vous demandait de respecter les désirs et choix de votre enfant.</t>
        </is>
      </c>
      <c r="H232" s="416" t="n"/>
      <c r="I232" s="1159" t="n"/>
      <c r="J232" s="221" t="n"/>
      <c r="K232" s="247" t="n"/>
      <c r="L232" s="608" t="n">
        <v>2</v>
      </c>
      <c r="M232" s="607" t="n">
        <v>3</v>
      </c>
      <c r="N232" s="968" t="inlineStr">
        <is>
          <t>E3A</t>
        </is>
      </c>
      <c r="O232" s="597" t="inlineStr">
        <is>
          <t>Pas du tout d’accord / Pas d’accord / Partiellement en désaccord  / Partiellement d’accord / D’accord / Tout à fait d’accord / S.O.</t>
        </is>
      </c>
      <c r="P232" s="417">
        <f>Test_Bible!P411</f>
        <v/>
      </c>
      <c r="Q232" s="417">
        <f>Test_Bible!Q411</f>
        <v/>
      </c>
      <c r="R232" s="418" t="n">
        <v>0</v>
      </c>
      <c r="S232" s="419" t="n">
        <v>0</v>
      </c>
      <c r="T232" s="408" t="n">
        <v>1</v>
      </c>
      <c r="U232" s="420" t="inlineStr">
        <is>
          <t>H: Rôle actif, Réponse au CC, r</t>
        </is>
      </c>
      <c r="V232" s="2002" t="n"/>
      <c r="W232" s="471" t="n"/>
      <c r="X232" s="459" t="n"/>
      <c r="Y232" s="2103" t="n"/>
      <c r="Z232" s="57" t="n"/>
      <c r="AA232" s="57" t="n"/>
      <c r="AB232" s="1282" t="n">
        <v>1</v>
      </c>
      <c r="AC232" s="57" t="n"/>
      <c r="AD232" s="582" t="n"/>
      <c r="AE232" s="1222" t="n"/>
      <c r="AF232" s="1222" t="n"/>
      <c r="AG232" s="1056" t="inlineStr">
        <is>
          <t>🔴 ATTN : déf. AP</t>
        </is>
      </c>
      <c r="AH232" s="1053" t="n"/>
      <c r="AI232" s="1055" t="n"/>
    </row>
    <row r="233" ht="20" customFormat="1" customHeight="1" s="7">
      <c r="D233" s="618" t="n"/>
      <c r="E233" s="618" t="n"/>
      <c r="F233" s="580" t="n"/>
      <c r="G233" s="2073" t="n"/>
      <c r="H233" s="580" t="n"/>
      <c r="I233" s="580" t="n"/>
      <c r="J233" s="581" t="n"/>
      <c r="K233" s="581" t="n"/>
      <c r="L233" s="581" t="n"/>
      <c r="M233" s="581" t="n"/>
      <c r="N233" s="295" t="n"/>
      <c r="O233" s="606" t="n"/>
      <c r="P233" s="295" t="n"/>
      <c r="Q233" s="651">
        <f>SUM(Q215:Q232)</f>
        <v/>
      </c>
      <c r="R233" s="652" t="n"/>
      <c r="S233" s="582" t="n"/>
      <c r="T233" s="582" t="n"/>
      <c r="U233" s="579" t="n"/>
      <c r="V233" s="469" t="n"/>
      <c r="W233" s="469" t="n"/>
      <c r="X233" s="468" t="n"/>
      <c r="Y233" s="59" t="n"/>
      <c r="Z233" s="57" t="n"/>
      <c r="AA233" s="57" t="n"/>
      <c r="AB233" s="57" t="n"/>
      <c r="AC233" s="57" t="n"/>
      <c r="AD233" s="582" t="n"/>
      <c r="AE233" s="1222" t="n"/>
      <c r="AF233" s="1222" t="n"/>
      <c r="AG233" s="1221" t="n"/>
      <c r="AH233" s="1053" t="n"/>
      <c r="AI233" s="1055" t="n"/>
    </row>
    <row r="234" ht="20" customFormat="1" customHeight="1" s="7">
      <c r="D234" s="618" t="n"/>
      <c r="E234" s="618" t="n"/>
      <c r="F234" s="580" t="n"/>
      <c r="G234" s="2073" t="n"/>
      <c r="H234" s="580" t="n"/>
      <c r="I234" s="580" t="n"/>
      <c r="J234" s="581" t="n"/>
      <c r="K234" s="581" t="n"/>
      <c r="L234" s="581" t="n"/>
      <c r="M234" s="581" t="n"/>
      <c r="N234" s="295" t="n"/>
      <c r="O234" s="606" t="n"/>
      <c r="P234" s="295" t="n"/>
      <c r="Q234" s="651">
        <f>Q235-Q233</f>
        <v/>
      </c>
      <c r="R234" s="652" t="n"/>
      <c r="S234" s="582" t="n"/>
      <c r="T234" s="582" t="n"/>
      <c r="U234" s="579" t="n"/>
      <c r="V234" s="469" t="n"/>
      <c r="W234" s="469" t="n"/>
      <c r="X234" s="468" t="n"/>
      <c r="Y234" s="59" t="n"/>
      <c r="Z234" s="57" t="n"/>
      <c r="AA234" s="57" t="n"/>
      <c r="AB234" s="57" t="n"/>
      <c r="AC234" s="57" t="n"/>
      <c r="AD234" s="582" t="n"/>
      <c r="AE234" s="1222" t="n"/>
      <c r="AF234" s="1222" t="n"/>
      <c r="AG234" s="1221" t="n"/>
      <c r="AH234" s="1053" t="n"/>
      <c r="AI234" s="1055" t="n"/>
    </row>
    <row r="235" ht="20" customFormat="1" customHeight="1" s="7">
      <c r="D235" s="618" t="n"/>
      <c r="E235" s="618" t="n"/>
      <c r="F235" s="580" t="n"/>
      <c r="G235" s="2073" t="n"/>
      <c r="H235" s="580" t="n"/>
      <c r="I235" s="580" t="n"/>
      <c r="J235" s="581" t="n"/>
      <c r="K235" s="581" t="n"/>
      <c r="L235" s="581" t="n"/>
      <c r="M235" s="581" t="n"/>
      <c r="N235" s="581" t="n"/>
      <c r="O235" s="606" t="n"/>
      <c r="P235" s="295" t="n"/>
      <c r="Q235" s="653">
        <f>Q233+Q146</f>
        <v/>
      </c>
      <c r="R235" s="652" t="n"/>
      <c r="S235" s="581" t="n"/>
      <c r="T235" s="581" t="n"/>
      <c r="U235" s="579" t="n"/>
      <c r="V235" s="469" t="n"/>
      <c r="W235" s="469" t="n"/>
      <c r="X235" s="468" t="n"/>
      <c r="Y235" s="59" t="n"/>
      <c r="Z235" s="57" t="n"/>
      <c r="AA235" s="57" t="n"/>
      <c r="AB235" s="57" t="n"/>
      <c r="AC235" s="57" t="n"/>
      <c r="AD235" s="582" t="n"/>
      <c r="AE235" s="1222" t="n"/>
      <c r="AF235" s="1222" t="n"/>
      <c r="AG235" s="1221" t="n"/>
      <c r="AH235" s="1053" t="n"/>
      <c r="AI235" s="1055" t="n"/>
    </row>
    <row r="236" ht="20" customFormat="1" customHeight="1" s="7">
      <c r="D236" s="618" t="n"/>
      <c r="E236" s="618" t="n"/>
      <c r="F236" s="580" t="n"/>
      <c r="G236" s="2073" t="n"/>
      <c r="H236" s="580" t="n"/>
      <c r="I236" s="580" t="n"/>
      <c r="J236" s="580" t="n"/>
      <c r="K236" s="580" t="n"/>
      <c r="L236" s="581" t="n"/>
      <c r="M236" s="581" t="n"/>
      <c r="N236" s="581" t="n"/>
      <c r="O236" s="606" t="n"/>
      <c r="P236" s="295" t="n"/>
      <c r="Q236" s="651" t="n"/>
      <c r="R236" s="652" t="n"/>
      <c r="S236" s="581" t="n"/>
      <c r="T236" s="581" t="n"/>
      <c r="U236" s="579" t="n"/>
      <c r="V236" s="469" t="n"/>
      <c r="W236" s="469" t="n"/>
      <c r="X236" s="468" t="n"/>
      <c r="Y236" s="59" t="n"/>
      <c r="Z236" s="57" t="n"/>
      <c r="AA236" s="57" t="n"/>
      <c r="AB236" s="57" t="n"/>
      <c r="AC236" s="57" t="n"/>
      <c r="AD236" s="582" t="n"/>
      <c r="AE236" s="1222" t="n"/>
      <c r="AF236" s="1222" t="n"/>
      <c r="AG236" s="1221" t="n"/>
      <c r="AH236" s="1053" t="n"/>
      <c r="AI236" s="1055" t="n"/>
    </row>
    <row r="237" ht="17" customFormat="1" customHeight="1" s="7" thickBot="1">
      <c r="D237" s="1586" t="inlineStr">
        <is>
          <t>Fais suite soit au formulaire du NC ou du PFA si pas de NC</t>
        </is>
      </c>
      <c r="E237" s="618" t="n"/>
      <c r="F237" s="580" t="n"/>
      <c r="G237" s="2073" t="n"/>
      <c r="H237" s="580" t="n"/>
      <c r="I237" s="580" t="n"/>
      <c r="J237" s="581" t="n"/>
      <c r="K237" s="581" t="n"/>
      <c r="L237" s="581" t="n"/>
      <c r="M237" s="581" t="n"/>
      <c r="N237" s="295" t="n"/>
      <c r="O237" s="606" t="n"/>
      <c r="P237" s="295" t="n"/>
      <c r="Q237" s="651" t="n"/>
      <c r="R237" s="654" t="n"/>
      <c r="S237" s="655" t="n"/>
      <c r="T237" s="655" t="n"/>
      <c r="U237" s="579" t="n"/>
      <c r="V237" s="469" t="n"/>
      <c r="W237" s="469" t="n"/>
      <c r="X237" s="468" t="n"/>
      <c r="Y237" s="59" t="n"/>
      <c r="Z237" s="57" t="n"/>
      <c r="AA237" s="57" t="n"/>
      <c r="AB237" s="57" t="n"/>
      <c r="AC237" s="57" t="n"/>
      <c r="AD237" s="582" t="n"/>
      <c r="AE237" s="1222" t="n"/>
      <c r="AF237" s="1222" t="n"/>
      <c r="AG237" s="1221" t="n"/>
      <c r="AH237" s="1053" t="n"/>
      <c r="AI237" s="1055" t="n"/>
    </row>
    <row r="238" ht="111" customHeight="1">
      <c r="D238" s="1586" t="n">
        <v>20</v>
      </c>
      <c r="E238" s="618" t="inlineStr">
        <is>
          <t>S01</t>
        </is>
      </c>
      <c r="F238" s="1167" t="inlineStr">
        <is>
          <t xml:space="preserve">À quel groupe d'âge appartenez-vous? </t>
        </is>
      </c>
      <c r="G238" s="94" t="inlineStr">
        <is>
          <t xml:space="preserve">À quel groupe d'âge appartenez-vous? </t>
        </is>
      </c>
      <c r="H238" s="1168" t="inlineStr">
        <is>
          <t xml:space="preserve">moins de 24 ans 
25 à 29 ans 
30 à 39 ans 
40 à 49 ans 
50 à 59 ans 
plus de 60 ans </t>
        </is>
      </c>
      <c r="I238" s="1169" t="n"/>
      <c r="J238" s="1170" t="n"/>
      <c r="K238" s="1171" t="n"/>
      <c r="L238" s="223" t="n">
        <v>0</v>
      </c>
      <c r="M238" s="619" t="n"/>
      <c r="N238" s="136" t="inlineStr">
        <is>
          <t>Choix de réponses</t>
        </is>
      </c>
      <c r="O238" s="956" t="n"/>
      <c r="P238" s="338" t="n"/>
      <c r="Q238" s="338" t="n"/>
      <c r="R238" s="192" t="inlineStr">
        <is>
          <t>n/a</t>
        </is>
      </c>
      <c r="S238" s="390" t="inlineStr">
        <is>
          <t>n/a</t>
        </is>
      </c>
      <c r="T238" s="391" t="inlineStr">
        <is>
          <t>n/a</t>
        </is>
      </c>
      <c r="U238" s="181" t="inlineStr">
        <is>
          <t>N / A</t>
        </is>
      </c>
      <c r="V238" s="464" t="n"/>
      <c r="W238" s="464" t="n"/>
      <c r="AD238" s="1221" t="n"/>
      <c r="AE238" s="1222" t="n"/>
      <c r="AF238" s="1222" t="n"/>
      <c r="AG238" s="1221" t="n"/>
      <c r="AH238" s="1053" t="n"/>
      <c r="AI238" s="1055" t="n"/>
    </row>
    <row r="239" ht="111" customHeight="1">
      <c r="C239" s="1997" t="inlineStr">
        <is>
          <t>Pour des fins statistiques*(Mettre note pour encourager les gens à répondre : En y répondant, il contribue à la recherche et à l'écriture de publications qui seront des moteurs de changement.</t>
        </is>
      </c>
      <c r="D239" s="1586" t="n">
        <v>21</v>
      </c>
      <c r="E239" s="618" t="inlineStr">
        <is>
          <t>S02</t>
        </is>
      </c>
      <c r="F239" s="204" t="inlineStr">
        <is>
          <t xml:space="preserve">Êtes-vous en processus juridique actuellement? 
</t>
        </is>
      </c>
      <c r="G239" s="203" t="inlineStr">
        <is>
          <t xml:space="preserve">Êtes-vous en processus juridique actuellement? 
</t>
        </is>
      </c>
      <c r="H239" s="527" t="inlineStr">
        <is>
          <t xml:space="preserve">- Non, je ne le suis pas
- Oui -- Médiation 
- Oui -- Tribunal droit de la famille  (ex.: Cour supérieure au Québec)
- Oui -- Tribunal de la jeunesse (ex.: DPJ au Québec) 
- Autre </t>
        </is>
      </c>
      <c r="I239" s="1160" t="n"/>
      <c r="J239" s="207" t="n"/>
      <c r="K239" s="225" t="n"/>
      <c r="L239" s="223" t="n">
        <v>0</v>
      </c>
      <c r="M239" s="223" t="n"/>
      <c r="N239" s="136" t="inlineStr">
        <is>
          <t>Choix de réponses</t>
        </is>
      </c>
      <c r="O239" s="598" t="n"/>
      <c r="P239" s="338" t="n"/>
      <c r="Q239" s="338" t="n"/>
      <c r="R239" s="192" t="inlineStr">
        <is>
          <t>n/a</t>
        </is>
      </c>
      <c r="S239" s="390" t="inlineStr">
        <is>
          <t>n/a</t>
        </is>
      </c>
      <c r="T239" s="391" t="inlineStr">
        <is>
          <t>n/a</t>
        </is>
      </c>
      <c r="U239" s="181" t="inlineStr">
        <is>
          <t>N / A</t>
        </is>
      </c>
      <c r="V239" s="464" t="n"/>
      <c r="W239" s="464" t="n"/>
      <c r="AD239" s="552" t="inlineStr">
        <is>
          <t>🔶</t>
        </is>
      </c>
      <c r="AG239" s="1221" t="n"/>
      <c r="AH239" s="1053" t="n"/>
      <c r="AI239" s="1055" t="n"/>
    </row>
    <row r="240" ht="111" customHeight="1">
      <c r="D240" s="1586" t="n">
        <v>22</v>
      </c>
      <c r="E240" s="618" t="inlineStr">
        <is>
          <t>S03</t>
        </is>
      </c>
      <c r="F240" s="204" t="inlineStr">
        <is>
          <t xml:space="preserve">Quelles sont les modalités de garde des enfants aujourd'hui?
</t>
        </is>
      </c>
      <c r="G240" s="203" t="inlineStr">
        <is>
          <t xml:space="preserve">Quelles sont les modalités de garde des enfants aujourd'hui?
</t>
        </is>
      </c>
      <c r="H240" s="528" t="inlineStr">
        <is>
          <t xml:space="preserve">- Garde partagée (ou garde dite alternée) 
- Garde exclusive pour vous 
- Garde exclusive pour l'autre parent 
- Aucune garde établie 
- Accès supervisés pour vous
- Accès supervisés pour l'autre parent
- Jeune adulte autonome
- Autre </t>
        </is>
      </c>
      <c r="I240" s="1161" t="n"/>
      <c r="J240" s="207" t="n"/>
      <c r="K240" s="225" t="n"/>
      <c r="L240" s="223" t="n">
        <v>0</v>
      </c>
      <c r="M240" s="223" t="n"/>
      <c r="N240" s="136" t="inlineStr">
        <is>
          <t>Choix de réponses</t>
        </is>
      </c>
      <c r="O240" s="598" t="n"/>
      <c r="P240" s="338" t="n"/>
      <c r="Q240" s="338" t="n"/>
      <c r="R240" s="192" t="inlineStr">
        <is>
          <t>n/a</t>
        </is>
      </c>
      <c r="S240" s="390" t="inlineStr">
        <is>
          <t>n/a</t>
        </is>
      </c>
      <c r="T240" s="391" t="inlineStr">
        <is>
          <t>n/a</t>
        </is>
      </c>
      <c r="U240" s="181" t="inlineStr">
        <is>
          <t>N / A</t>
        </is>
      </c>
      <c r="V240" s="464" t="n"/>
      <c r="W240" s="464" t="n"/>
      <c r="AD240" s="1221" t="n"/>
      <c r="AE240" s="1222" t="n"/>
      <c r="AF240" s="1222" t="n"/>
      <c r="AG240" s="1221" t="n"/>
      <c r="AH240" s="1053" t="n"/>
      <c r="AI240" s="1055" t="n"/>
    </row>
    <row r="241" ht="111" customHeight="1">
      <c r="D241" s="1586" t="n">
        <v>23</v>
      </c>
      <c r="E241" s="618" t="inlineStr">
        <is>
          <t>S03a</t>
        </is>
      </c>
      <c r="F241" s="122" t="inlineStr">
        <is>
          <t xml:space="preserve">Si vous avez répondu garde partagée (ou garde dite alternée), dans quelle proportion avez-vous la garde? 
</t>
        </is>
      </c>
      <c r="G241" s="143" t="inlineStr">
        <is>
          <t xml:space="preserve">Si vous avez répondu garde partagée (ou garde dite alternée), dans quelle proportion avez-vous la garde? 
</t>
        </is>
      </c>
      <c r="H241" s="529" t="inlineStr">
        <is>
          <t xml:space="preserve">- 50% / 50% 
- Plus de 60% pour vous
- Moins de 40% pour vous  
- Fin de semaine seulement pour vous
- Autre (veuillez préciser) </t>
        </is>
      </c>
      <c r="I241" s="1162" t="n"/>
      <c r="J241" s="123" t="inlineStr">
        <is>
          <t>sq1</t>
        </is>
      </c>
      <c r="K241" s="227" t="n"/>
      <c r="L241" s="610" t="n">
        <v>0</v>
      </c>
      <c r="M241" s="610" t="n"/>
      <c r="N241" s="136" t="inlineStr">
        <is>
          <t>Choix de réponses</t>
        </is>
      </c>
      <c r="O241" s="598" t="n"/>
      <c r="P241" s="338" t="n"/>
      <c r="Q241" s="338" t="n"/>
      <c r="R241" s="192" t="inlineStr">
        <is>
          <t>n/a</t>
        </is>
      </c>
      <c r="S241" s="390" t="inlineStr">
        <is>
          <t>n/a</t>
        </is>
      </c>
      <c r="T241" s="391" t="inlineStr">
        <is>
          <t>n/a</t>
        </is>
      </c>
      <c r="U241" s="181" t="inlineStr">
        <is>
          <t>N / A</t>
        </is>
      </c>
      <c r="V241" s="464" t="n"/>
      <c r="W241" s="464" t="n"/>
      <c r="AD241" s="1221" t="n"/>
      <c r="AE241" s="1222" t="n"/>
      <c r="AF241" s="1222" t="n"/>
      <c r="AG241" s="1221" t="n"/>
      <c r="AH241" s="1053" t="n"/>
      <c r="AI241" s="1055" t="n"/>
    </row>
    <row r="242" ht="277" customHeight="1">
      <c r="D242" s="1586" t="n">
        <v>24</v>
      </c>
      <c r="E242" s="618" t="inlineStr">
        <is>
          <t>S04</t>
        </is>
      </c>
      <c r="F242" s="646" t="inlineStr">
        <is>
          <t xml:space="preserve">Durant l’enfance et avant 14 ans, est-ce que vous et/ou votre ex-conjoint·e (coparent) avez vécu l’une des situations familiales suivantes? Cochez les réponses qui s'appliquent. </t>
        </is>
      </c>
      <c r="G242" s="553" t="inlineStr">
        <is>
          <t xml:space="preserve">Durant l’enfance et avant 14 ans, est-ce que vous et/ou votre ex-conjoint·e (coparent) avez vécu l’une des situations familiales suivantes ? Cochez les réponses qui s'appliquent. </t>
        </is>
      </c>
      <c r="H242" s="647" t="inlineStr">
        <is>
          <t>Deuil d’un parent
Adoption
Maltraitance en tant qu’enfant (intervention DPJ ou non)
Troubles mentaux chez l’un ou des deux parents (dépression, bipolarité, TPL, tentative suicide,..)
Problème de dépendances de l’un ou des deux parents (alcool, drogues,)
Violence conjugale entre les parents
Divorce conflictuel des parents
Rupture de lien avec un parent à la suite d’un divorce
Abus sexuels
Autres (spécifiez)</t>
        </is>
      </c>
      <c r="I242" s="647" t="n"/>
      <c r="J242" s="553" t="n"/>
      <c r="K242" s="553" t="n"/>
      <c r="L242" s="645" t="n"/>
      <c r="M242" s="645" t="n"/>
      <c r="N242" s="619" t="inlineStr">
        <is>
          <t>Choix multiples</t>
        </is>
      </c>
      <c r="O242" s="1199" t="n"/>
      <c r="P242" s="649" t="n"/>
      <c r="Q242" s="649" t="n"/>
      <c r="R242" s="1200" t="n"/>
      <c r="S242" s="1201" t="n"/>
      <c r="T242" s="1201" t="n"/>
      <c r="U242" s="793" t="n"/>
      <c r="V242" s="464" t="n"/>
      <c r="W242" s="464" t="n"/>
      <c r="AD242" s="1221" t="n"/>
      <c r="AE242" s="1222" t="n"/>
      <c r="AF242" s="1222" t="n"/>
      <c r="AG242" s="1221" t="n"/>
      <c r="AH242" s="1053" t="n"/>
      <c r="AI242" s="1055" t="n"/>
    </row>
    <row r="243" ht="58" customHeight="1">
      <c r="C243" s="1997" t="inlineStr">
        <is>
          <t>Fin du questionnaire</t>
        </is>
      </c>
      <c r="E243" s="2073" t="n"/>
      <c r="F243" s="2059" t="n"/>
      <c r="H243" s="648" t="n"/>
      <c r="I243" s="648" t="n"/>
      <c r="J243" s="2073" t="n"/>
      <c r="K243" s="2073" t="n"/>
      <c r="L243" s="1990" t="n"/>
      <c r="M243" s="1990" t="n"/>
      <c r="N243" s="649" t="n"/>
      <c r="V243" s="464" t="n"/>
      <c r="W243" s="464" t="n"/>
      <c r="AD243" s="1221" t="n"/>
      <c r="AE243" s="1222" t="n"/>
      <c r="AF243" s="1222" t="n"/>
      <c r="AG243" s="1221" t="n"/>
      <c r="AH243" s="1053" t="n"/>
      <c r="AI243" s="1055" t="n"/>
    </row>
    <row r="244" ht="40" customHeight="1">
      <c r="E244" s="17" t="n"/>
      <c r="F244" s="2002" t="n"/>
      <c r="G244" s="2002" t="n"/>
      <c r="H244" s="2002" t="n"/>
      <c r="I244" s="2002" t="n"/>
      <c r="J244" s="1991" t="n"/>
      <c r="K244" s="1991" t="n"/>
      <c r="L244" s="644" t="n"/>
      <c r="O244" s="191" t="n"/>
      <c r="P244" s="135" t="n"/>
      <c r="Q244" s="135" t="n"/>
      <c r="R244" s="2000" t="n"/>
      <c r="S244" s="2000" t="n"/>
      <c r="T244" s="2000" t="n"/>
      <c r="U244" s="2089" t="n"/>
      <c r="V244" s="457" t="n"/>
      <c r="W244" s="163" t="n"/>
      <c r="X244" s="163" t="n"/>
    </row>
    <row r="245" ht="40" customHeight="1">
      <c r="E245" s="17" t="n"/>
      <c r="F245" s="2002" t="n"/>
      <c r="G245" s="2002" t="n"/>
      <c r="H245" s="2002" t="n"/>
      <c r="I245" s="2002" t="n"/>
      <c r="J245" s="1991" t="n"/>
      <c r="K245" s="1991" t="n"/>
      <c r="L245" s="644" t="n"/>
      <c r="O245" s="191" t="n"/>
      <c r="P245" s="135" t="n"/>
      <c r="Q245" s="135" t="n"/>
      <c r="R245" s="2000" t="n"/>
      <c r="S245" s="2000" t="n"/>
      <c r="T245" s="2000" t="n"/>
      <c r="U245" s="2089" t="n"/>
      <c r="V245" s="457" t="n"/>
      <c r="W245" s="163" t="n"/>
      <c r="X245" s="163" t="n"/>
    </row>
    <row r="246" ht="40" customHeight="1">
      <c r="E246" s="17" t="n"/>
      <c r="F246" s="2002" t="n"/>
      <c r="G246" s="2002" t="n"/>
      <c r="H246" s="2002" t="n"/>
      <c r="I246" s="2002" t="n"/>
      <c r="J246" s="1991" t="n"/>
      <c r="K246" s="1991" t="n"/>
      <c r="L246" s="644" t="n"/>
      <c r="O246" s="191" t="n"/>
      <c r="P246" s="135" t="n"/>
      <c r="Q246" s="135" t="n"/>
      <c r="R246" s="2000" t="n"/>
      <c r="S246" s="2000" t="n"/>
      <c r="T246" s="2000" t="n"/>
      <c r="U246" s="2089" t="n"/>
      <c r="V246" s="457" t="n"/>
      <c r="W246" s="163" t="n"/>
      <c r="X246" s="163" t="n"/>
    </row>
    <row r="247" ht="40" customHeight="1">
      <c r="G247" s="2002" t="n"/>
      <c r="O247" s="644" t="n"/>
    </row>
    <row r="248" ht="40" customHeight="1">
      <c r="G248" s="2002" t="n"/>
      <c r="O248" s="644" t="n"/>
    </row>
    <row r="249" ht="40" customHeight="1">
      <c r="G249" s="2002" t="n"/>
      <c r="O249" s="644" t="n"/>
    </row>
    <row r="250" ht="40" customHeight="1">
      <c r="G250" s="2002" t="n"/>
      <c r="O250" s="644" t="n"/>
    </row>
    <row r="251" ht="40" customHeight="1">
      <c r="G251" s="2002" t="n"/>
      <c r="O251" s="644" t="n"/>
    </row>
    <row r="252" ht="40" customHeight="1">
      <c r="G252" s="2002" t="n"/>
      <c r="O252" s="644" t="n"/>
    </row>
    <row r="253" ht="40" customHeight="1">
      <c r="G253" s="2002" t="n"/>
      <c r="O253" s="644" t="n"/>
    </row>
    <row r="254" ht="40" customHeight="1">
      <c r="G254" s="2002" t="n"/>
      <c r="O254" s="644" t="n"/>
    </row>
    <row r="255" ht="40" customHeight="1">
      <c r="G255" s="2002" t="n"/>
      <c r="O255" s="644" t="n"/>
    </row>
    <row r="256" ht="40" customHeight="1">
      <c r="G256" s="2002" t="n"/>
      <c r="O256" s="644" t="n"/>
    </row>
    <row r="257" ht="40" customHeight="1">
      <c r="G257" s="2002" t="n"/>
      <c r="O257" s="644" t="n"/>
    </row>
    <row r="258" ht="40" customHeight="1">
      <c r="G258" s="2002" t="n"/>
      <c r="O258" s="644" t="n"/>
    </row>
    <row r="259" ht="40" customHeight="1">
      <c r="G259" s="2002" t="n"/>
      <c r="O259" s="644" t="n"/>
    </row>
    <row r="260" ht="40" customHeight="1">
      <c r="G260" s="2002" t="n"/>
      <c r="O260" s="644" t="n"/>
    </row>
    <row r="261" ht="40" customHeight="1">
      <c r="G261" s="2002" t="n"/>
      <c r="O261" s="644" t="n"/>
    </row>
    <row r="262" ht="40" customHeight="1">
      <c r="G262" s="2002" t="n"/>
      <c r="O262" s="644" t="n"/>
    </row>
    <row r="263" ht="40" customHeight="1">
      <c r="G263" s="2002" t="n"/>
      <c r="O263" s="644" t="n"/>
    </row>
    <row r="264" ht="40" customHeight="1">
      <c r="G264" s="2002" t="n"/>
      <c r="O264" s="644" t="n"/>
    </row>
    <row r="265" ht="40" customHeight="1">
      <c r="G265" s="2002" t="n"/>
      <c r="O265" s="644" t="n"/>
    </row>
    <row r="266" ht="40" customHeight="1">
      <c r="G266" s="2002" t="n"/>
      <c r="O266" s="644" t="n"/>
    </row>
    <row r="267" ht="40" customHeight="1">
      <c r="G267" s="2002" t="n"/>
      <c r="O267" s="644" t="n"/>
    </row>
    <row r="268" ht="40" customHeight="1">
      <c r="G268" s="2002" t="n"/>
      <c r="O268" s="644" t="n"/>
    </row>
    <row r="269" ht="40" customHeight="1">
      <c r="G269" s="2002" t="n"/>
      <c r="O269" s="644" t="n"/>
    </row>
    <row r="270" ht="40" customHeight="1">
      <c r="G270" s="2002" t="n"/>
      <c r="O270" s="644" t="n"/>
    </row>
    <row r="271" ht="40" customHeight="1">
      <c r="G271" s="2002" t="n"/>
      <c r="O271" s="644" t="n"/>
    </row>
    <row r="272" ht="40" customHeight="1">
      <c r="G272" s="2002" t="n"/>
      <c r="O272" s="644" t="n"/>
    </row>
    <row r="273" ht="40" customHeight="1">
      <c r="G273" s="2002" t="n"/>
      <c r="O273" s="644" t="n"/>
    </row>
    <row r="274" ht="40" customHeight="1">
      <c r="G274" s="2002" t="n"/>
      <c r="O274" s="644" t="n"/>
    </row>
    <row r="275" ht="40" customHeight="1">
      <c r="G275" s="2002" t="n"/>
      <c r="O275" s="644" t="n"/>
    </row>
    <row r="276" ht="40" customHeight="1">
      <c r="G276" s="2002" t="n"/>
      <c r="O276" s="644" t="n"/>
    </row>
    <row r="277" ht="40" customHeight="1">
      <c r="G277" s="2002" t="n"/>
      <c r="O277" s="644" t="n"/>
    </row>
    <row r="278" ht="40" customHeight="1">
      <c r="G278" s="2002" t="n"/>
      <c r="O278" s="644" t="n"/>
    </row>
    <row r="279" ht="40" customHeight="1">
      <c r="G279" s="2002" t="n"/>
      <c r="O279" s="644" t="n"/>
    </row>
    <row r="280" ht="40" customHeight="1">
      <c r="G280" s="2002" t="n"/>
      <c r="O280" s="644" t="n"/>
    </row>
    <row r="281" ht="40" customHeight="1">
      <c r="G281" s="2002" t="n"/>
      <c r="O281" s="644" t="n"/>
    </row>
    <row r="282" ht="40" customHeight="1">
      <c r="G282" s="2002" t="n"/>
      <c r="O282" s="644" t="n"/>
    </row>
    <row r="283" ht="40" customHeight="1">
      <c r="G283" s="2002" t="n"/>
      <c r="O283" s="644" t="n"/>
    </row>
    <row r="284" ht="40" customHeight="1">
      <c r="G284" s="2002" t="n"/>
      <c r="O284" s="644" t="n"/>
    </row>
    <row r="285" ht="40" customHeight="1">
      <c r="G285" s="2002" t="n"/>
      <c r="O285" s="644" t="n"/>
    </row>
    <row r="286" ht="40" customHeight="1">
      <c r="G286" s="2002" t="n"/>
      <c r="O286" s="644" t="n"/>
    </row>
    <row r="287" ht="40" customHeight="1">
      <c r="G287" s="2002" t="n"/>
      <c r="O287" s="644" t="n"/>
    </row>
    <row r="288" ht="40" customHeight="1">
      <c r="G288" s="2002" t="n"/>
      <c r="O288" s="644" t="n"/>
    </row>
    <row r="289" ht="40" customHeight="1">
      <c r="G289" s="2002" t="n"/>
      <c r="O289" s="644" t="n"/>
    </row>
    <row r="290" ht="40" customHeight="1">
      <c r="G290" s="2002" t="n"/>
      <c r="O290" s="644" t="n"/>
    </row>
    <row r="291" ht="40" customHeight="1">
      <c r="G291" s="2002" t="n"/>
      <c r="O291" s="644" t="n"/>
    </row>
    <row r="292" ht="40" customHeight="1">
      <c r="G292" s="2002" t="n"/>
      <c r="O292" s="644" t="n"/>
    </row>
    <row r="293" ht="40" customHeight="1">
      <c r="G293" s="2002" t="n"/>
      <c r="O293" s="644" t="n"/>
    </row>
    <row r="294" ht="40" customHeight="1">
      <c r="G294" s="2002" t="n"/>
      <c r="O294" s="644" t="n"/>
    </row>
    <row r="295" ht="40" customHeight="1">
      <c r="G295" s="2002" t="n"/>
      <c r="O295" s="644" t="n"/>
    </row>
    <row r="296" ht="40" customHeight="1">
      <c r="G296" s="2002" t="n"/>
      <c r="O296" s="644" t="n"/>
    </row>
    <row r="297" ht="40" customHeight="1">
      <c r="G297" s="2002" t="n"/>
      <c r="O297" s="644" t="n"/>
    </row>
    <row r="298" ht="40" customHeight="1">
      <c r="G298" s="2002" t="n"/>
      <c r="O298" s="644" t="n"/>
    </row>
    <row r="299" ht="40" customHeight="1">
      <c r="G299" s="2002" t="n"/>
      <c r="O299" s="644" t="n"/>
    </row>
    <row r="300" ht="40" customHeight="1">
      <c r="G300" s="2002" t="n"/>
      <c r="O300" s="644" t="n"/>
    </row>
    <row r="301" ht="40" customHeight="1">
      <c r="G301" s="2002" t="n"/>
      <c r="O301" s="644" t="n"/>
    </row>
    <row r="302" ht="40" customHeight="1">
      <c r="G302" s="2002" t="n"/>
      <c r="O302" s="644" t="n"/>
    </row>
    <row r="303" ht="40" customHeight="1">
      <c r="G303" s="2002" t="n"/>
      <c r="O303" s="644" t="n"/>
    </row>
    <row r="304" ht="40" customHeight="1">
      <c r="G304" s="2002" t="n"/>
      <c r="O304" s="644" t="n"/>
    </row>
    <row r="305" ht="40" customHeight="1">
      <c r="G305" s="2002" t="n"/>
      <c r="O305" s="644" t="n"/>
    </row>
    <row r="306" ht="40" customHeight="1">
      <c r="G306" s="2002" t="n"/>
      <c r="O306" s="644" t="n"/>
    </row>
    <row r="307" ht="40" customHeight="1">
      <c r="G307" s="2002" t="n"/>
      <c r="O307" s="644" t="n"/>
    </row>
    <row r="308" ht="40" customHeight="1">
      <c r="G308" s="2002" t="n"/>
      <c r="O308" s="644" t="n"/>
    </row>
    <row r="309" ht="40" customHeight="1">
      <c r="G309" s="2002" t="n"/>
      <c r="O309" s="644" t="n"/>
    </row>
    <row r="310" ht="40" customHeight="1">
      <c r="G310" s="2002" t="n"/>
      <c r="O310" s="644" t="n"/>
    </row>
    <row r="311" ht="40" customHeight="1">
      <c r="G311" s="2002" t="n"/>
      <c r="O311" s="644" t="n"/>
    </row>
    <row r="312" ht="40" customHeight="1">
      <c r="G312" s="2002" t="n"/>
      <c r="O312" s="644" t="n"/>
    </row>
    <row r="313" ht="40" customHeight="1">
      <c r="G313" s="2002" t="n"/>
      <c r="O313" s="644" t="n"/>
    </row>
    <row r="314" ht="40" customHeight="1">
      <c r="G314" s="2002" t="n"/>
      <c r="O314" s="644" t="n"/>
    </row>
    <row r="315" ht="40" customHeight="1">
      <c r="G315" s="2002" t="n"/>
      <c r="O315" s="644" t="n"/>
    </row>
    <row r="316" ht="40" customHeight="1">
      <c r="G316" s="2002" t="n"/>
      <c r="O316" s="644" t="n"/>
    </row>
    <row r="317" ht="40" customHeight="1">
      <c r="G317" s="2002" t="n"/>
      <c r="O317" s="644" t="n"/>
    </row>
    <row r="318" ht="40" customHeight="1">
      <c r="G318" s="2002" t="n"/>
      <c r="O318" s="644" t="n"/>
    </row>
    <row r="319" ht="40" customHeight="1">
      <c r="G319" s="2002" t="n"/>
      <c r="O319" s="644" t="n"/>
    </row>
    <row r="320" ht="40" customHeight="1">
      <c r="G320" s="2002" t="n"/>
      <c r="O320" s="644" t="n"/>
    </row>
    <row r="321" ht="40" customHeight="1">
      <c r="G321" s="2002" t="n"/>
      <c r="O321" s="644" t="n"/>
    </row>
    <row r="322" ht="40" customHeight="1">
      <c r="G322" s="2002" t="n"/>
      <c r="O322" s="644" t="n"/>
    </row>
    <row r="323" ht="40" customHeight="1">
      <c r="G323" s="2002" t="n"/>
      <c r="O323" s="644" t="n"/>
    </row>
    <row r="324" ht="40" customHeight="1">
      <c r="G324" s="2002" t="n"/>
      <c r="O324" s="644" t="n"/>
    </row>
    <row r="325" ht="40" customHeight="1">
      <c r="G325" s="2002" t="n"/>
      <c r="O325" s="644" t="n"/>
    </row>
    <row r="326" ht="40" customHeight="1">
      <c r="G326" s="2002" t="n"/>
      <c r="O326" s="644" t="n"/>
    </row>
    <row r="327" ht="40" customHeight="1">
      <c r="G327" s="2002" t="n"/>
      <c r="O327" s="644" t="n"/>
    </row>
    <row r="328" ht="40" customHeight="1">
      <c r="G328" s="2002" t="n"/>
      <c r="O328" s="644" t="n"/>
    </row>
    <row r="329" ht="40" customHeight="1">
      <c r="G329" s="2002" t="n"/>
      <c r="O329" s="644" t="n"/>
    </row>
    <row r="330" ht="40" customHeight="1">
      <c r="G330" s="2002" t="n"/>
      <c r="O330" s="644" t="n"/>
    </row>
    <row r="331" ht="40" customHeight="1">
      <c r="G331" s="2002" t="n"/>
      <c r="O331" s="644" t="n"/>
    </row>
    <row r="332" ht="40" customHeight="1">
      <c r="G332" s="2002" t="n"/>
      <c r="O332" s="644" t="n"/>
    </row>
    <row r="333" ht="40" customHeight="1">
      <c r="G333" s="2002" t="n"/>
      <c r="O333" s="644" t="n"/>
    </row>
    <row r="334" ht="40" customHeight="1">
      <c r="G334" s="2002" t="n"/>
      <c r="O334" s="644" t="n"/>
    </row>
    <row r="335" ht="40" customHeight="1">
      <c r="G335" s="2002" t="n"/>
      <c r="O335" s="644" t="n"/>
    </row>
    <row r="336" ht="40" customHeight="1">
      <c r="G336" s="2002" t="n"/>
      <c r="O336" s="644" t="n"/>
    </row>
    <row r="337" ht="40" customHeight="1">
      <c r="G337" s="2002" t="n"/>
      <c r="O337" s="644" t="n"/>
    </row>
    <row r="338" ht="40" customHeight="1">
      <c r="G338" s="2002" t="n"/>
      <c r="O338" s="644" t="n"/>
    </row>
    <row r="339" ht="40" customHeight="1">
      <c r="G339" s="2002" t="n"/>
      <c r="O339" s="644" t="n"/>
    </row>
    <row r="340" ht="40" customHeight="1">
      <c r="G340" s="2002" t="n"/>
      <c r="O340" s="644" t="n"/>
    </row>
    <row r="341" ht="40" customHeight="1">
      <c r="G341" s="2002" t="n"/>
      <c r="O341" s="644" t="n"/>
    </row>
    <row r="342" ht="40" customHeight="1">
      <c r="G342" s="2002" t="n"/>
      <c r="O342" s="644" t="n"/>
    </row>
    <row r="343" ht="40" customHeight="1">
      <c r="G343" s="2002" t="n"/>
      <c r="O343" s="644" t="n"/>
    </row>
    <row r="344" ht="40" customHeight="1">
      <c r="G344" s="2002" t="n"/>
      <c r="O344" s="644" t="n"/>
    </row>
    <row r="345" ht="40" customHeight="1">
      <c r="G345" s="2002" t="n"/>
      <c r="O345" s="644" t="n"/>
    </row>
    <row r="346" ht="40" customHeight="1">
      <c r="G346" s="2002" t="n"/>
      <c r="O346" s="644" t="n"/>
    </row>
    <row r="347" ht="40" customHeight="1">
      <c r="G347" s="2002" t="n"/>
      <c r="O347" s="644" t="n"/>
    </row>
    <row r="348" ht="40" customHeight="1">
      <c r="G348" s="2002" t="n"/>
      <c r="O348" s="644" t="n"/>
    </row>
    <row r="349" ht="40" customHeight="1">
      <c r="G349" s="2002" t="n"/>
      <c r="O349" s="644" t="n"/>
    </row>
    <row r="350" ht="40" customHeight="1">
      <c r="G350" s="2002" t="n"/>
      <c r="O350" s="644" t="n"/>
    </row>
    <row r="351" ht="40" customHeight="1">
      <c r="G351" s="2002" t="n"/>
      <c r="O351" s="644" t="n"/>
    </row>
    <row r="352" ht="40" customHeight="1">
      <c r="G352" s="2002" t="n"/>
      <c r="O352" s="644" t="n"/>
    </row>
    <row r="353" ht="40" customHeight="1">
      <c r="G353" s="2002" t="n"/>
      <c r="O353" s="644" t="n"/>
    </row>
    <row r="354" ht="40" customHeight="1">
      <c r="G354" s="2002" t="n"/>
      <c r="O354" s="644" t="n"/>
    </row>
    <row r="355" ht="40" customHeight="1">
      <c r="G355" s="2002" t="n"/>
      <c r="O355" s="644" t="n"/>
    </row>
  </sheetData>
  <mergeCells count="12">
    <mergeCell ref="R15:T15"/>
    <mergeCell ref="AG15:AI15"/>
    <mergeCell ref="N15:O15"/>
    <mergeCell ref="AD15:AF15"/>
    <mergeCell ref="L8:L11"/>
    <mergeCell ref="L15:M15"/>
    <mergeCell ref="C211:C212"/>
    <mergeCell ref="D13:D15"/>
    <mergeCell ref="C239:C242"/>
    <mergeCell ref="A15:C15"/>
    <mergeCell ref="L2:L7"/>
    <mergeCell ref="AI72:AI73"/>
  </mergeCells>
  <hyperlinks>
    <hyperlink ref="AH35" r:id="rId1"/>
    <hyperlink ref="AF132" display="https://educaloi.qc.ca/capsules/lautorite-parentale/" r:id="rId2"/>
  </hyperlinks>
  <pageMargins left="0.7" right="0.7" top="0.75" bottom="0.75" header="0.3" footer="0.3"/>
  <pageSetup orientation="landscape" scale="10" horizontalDpi="0" verticalDpi="0"/>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S471"/>
  <sheetViews>
    <sheetView topLeftCell="A411" zoomScale="90" zoomScaleNormal="90" workbookViewId="0">
      <selection activeCell="P443" sqref="P443"/>
    </sheetView>
  </sheetViews>
  <sheetFormatPr baseColWidth="10" defaultColWidth="11" defaultRowHeight="16" outlineLevelRow="1"/>
  <cols>
    <col width="9.1640625" customWidth="1" min="1" max="1"/>
    <col width="68.1640625" customWidth="1" min="2" max="2"/>
    <col width="34.5" customWidth="1" min="3" max="3"/>
    <col width="7.6640625" customWidth="1" style="295" min="4" max="4"/>
    <col width="4.83203125" customWidth="1" min="5" max="14"/>
    <col width="6.5" customWidth="1" min="15" max="15"/>
    <col width="9.33203125" bestFit="1" customWidth="1" min="16" max="16"/>
    <col width="12.6640625" bestFit="1" customWidth="1" min="17" max="17"/>
    <col width="10.5" bestFit="1" customWidth="1" min="18" max="18"/>
    <col width="6.1640625" customWidth="1" min="19" max="21"/>
    <col width="7.5" customWidth="1" style="2089" min="22" max="22"/>
    <col width="8.1640625" customWidth="1" min="23" max="23"/>
    <col width="6.1640625" customWidth="1" style="2089" min="24" max="29"/>
    <col width="7.5" customWidth="1" min="30" max="30"/>
    <col width="6.1640625" customWidth="1" min="31" max="31"/>
    <col width="9.5" customWidth="1" min="32" max="34"/>
    <col width="6.1640625" customWidth="1" min="35" max="41"/>
    <col width="6.33203125" customWidth="1" min="42" max="42"/>
    <col width="3.33203125" customWidth="1" min="43" max="48"/>
    <col width="4" customWidth="1" min="49" max="50"/>
    <col width="6.1640625" customWidth="1" min="54" max="54"/>
    <col width="4.33203125" customWidth="1" min="55" max="61"/>
    <col width="3.5" customWidth="1" min="63" max="72"/>
  </cols>
  <sheetData>
    <row r="1" ht="22" customHeight="1" thickBot="1">
      <c r="F1" t="inlineStr">
        <is>
          <t>LEGENDE</t>
        </is>
      </c>
      <c r="H1" s="516" t="n">
        <v>0</v>
      </c>
      <c r="I1" t="inlineStr">
        <is>
          <t xml:space="preserve">Cette valeur est le S.O. </t>
        </is>
      </c>
      <c r="W1" s="552" t="inlineStr">
        <is>
          <t>🔶</t>
        </is>
      </c>
      <c r="X1" s="1984" t="inlineStr">
        <is>
          <t>Point d'information accessible au besoin</t>
        </is>
      </c>
    </row>
    <row r="2" ht="25" customHeight="1" thickTop="1">
      <c r="A2" s="126" t="inlineStr">
        <is>
          <t>BASE</t>
        </is>
      </c>
      <c r="I2" t="inlineStr">
        <is>
          <t>Dans l'application, il devrait cependant apparaitre ailleurs que dans l'échelle</t>
        </is>
      </c>
      <c r="W2" s="552" t="inlineStr">
        <is>
          <t>🔴</t>
        </is>
      </c>
      <c r="X2" s="1984" t="inlineStr">
        <is>
          <t>Sera dans le rapport final</t>
        </is>
      </c>
    </row>
    <row r="3" ht="21" customHeight="1">
      <c r="A3" s="1433">
        <f>BIBLE!E18</f>
        <v/>
      </c>
      <c r="B3">
        <f>BIBLE!F18</f>
        <v/>
      </c>
      <c r="D3" s="1929" t="inlineStr">
        <is>
          <t>Valeur</t>
        </is>
      </c>
      <c r="E3" s="295" t="n"/>
      <c r="P3" s="1934">
        <f>'TEST_pour application'!B4</f>
        <v/>
      </c>
      <c r="W3" s="552" t="n"/>
      <c r="X3" s="1984" t="n"/>
    </row>
    <row r="4" ht="16" customHeight="1">
      <c r="A4" s="1433" t="n"/>
      <c r="B4" s="2" t="inlineStr">
        <is>
          <t>Une mère</t>
        </is>
      </c>
      <c r="D4" s="1929" t="n">
        <v>1</v>
      </c>
      <c r="E4" s="1940">
        <f>IF(P$3=D4,1,"x")</f>
        <v/>
      </c>
      <c r="W4" s="552" t="n"/>
      <c r="X4" s="1984" t="n"/>
    </row>
    <row r="5" ht="16" customHeight="1">
      <c r="A5" s="1433" t="n"/>
      <c r="B5" s="2" t="inlineStr">
        <is>
          <t xml:space="preserve">Un père </t>
        </is>
      </c>
      <c r="D5" s="1929" t="n">
        <v>2</v>
      </c>
      <c r="E5" s="1940">
        <f>IF(P$3=D5,1,"x")</f>
        <v/>
      </c>
      <c r="W5" s="552" t="n"/>
      <c r="X5" s="1984" t="n"/>
    </row>
    <row r="6" ht="16" customHeight="1">
      <c r="A6" s="1433" t="n"/>
      <c r="B6" s="2" t="inlineStr">
        <is>
          <t xml:space="preserve">Un parent (non binaire) </t>
        </is>
      </c>
      <c r="D6" s="1929" t="n">
        <v>3</v>
      </c>
      <c r="E6" s="1940">
        <f>IF(P$3=D6,1,"x")</f>
        <v/>
      </c>
      <c r="W6" s="552" t="n"/>
      <c r="X6" s="1984" t="n"/>
    </row>
    <row r="7" ht="16" customHeight="1">
      <c r="A7" s="1433" t="n"/>
      <c r="B7" s="2" t="inlineStr">
        <is>
          <t xml:space="preserve">Un grand-parent </t>
        </is>
      </c>
      <c r="D7" s="1929" t="n">
        <v>4</v>
      </c>
      <c r="E7" s="1940">
        <f>IF(P$3=D7,1,"x")</f>
        <v/>
      </c>
      <c r="W7" s="552" t="n"/>
      <c r="X7" s="1984" t="n"/>
    </row>
    <row r="8" ht="16" customHeight="1">
      <c r="A8" s="1433" t="n"/>
      <c r="B8" s="2" t="inlineStr">
        <is>
          <t>Un·e nouveau ou nouvelle conjoint·e</t>
        </is>
      </c>
      <c r="D8" s="1929" t="n">
        <v>5</v>
      </c>
      <c r="E8" s="1940">
        <f>IF(P$3=D8,1,"x")</f>
        <v/>
      </c>
      <c r="W8" s="552" t="n"/>
      <c r="X8" s="1984" t="n"/>
    </row>
    <row r="9" ht="16" customHeight="1">
      <c r="A9" s="1433" t="n"/>
      <c r="B9" s="2" t="inlineStr">
        <is>
          <t>Autre (spécifier)</t>
        </is>
      </c>
      <c r="D9" s="1929" t="inlineStr">
        <is>
          <t>Custom</t>
        </is>
      </c>
      <c r="E9" s="1940">
        <f>IF(P$3=D9,1,"x")</f>
        <v/>
      </c>
      <c r="W9" s="552" t="n"/>
      <c r="X9" s="1984" t="n"/>
    </row>
    <row r="10" ht="21" customHeight="1">
      <c r="A10" s="1433" t="n"/>
      <c r="D10" s="1929" t="n"/>
      <c r="W10" s="552" t="n"/>
      <c r="X10" s="1984" t="n"/>
    </row>
    <row r="11">
      <c r="A11" s="1433">
        <f>BIBLE!E19</f>
        <v/>
      </c>
      <c r="B11">
        <f>BIBLE!F19</f>
        <v/>
      </c>
      <c r="D11" s="1929" t="n"/>
      <c r="P11" s="1934">
        <f>'TEST_pour application'!B5</f>
        <v/>
      </c>
      <c r="X11" s="1984" t="inlineStr">
        <is>
          <t>Valider si quelques comportements devraient apparaitre par automatisme</t>
        </is>
      </c>
    </row>
    <row r="12" ht="20" customHeight="1">
      <c r="A12" s="1433" t="n"/>
      <c r="B12" s="2" t="inlineStr">
        <is>
          <t xml:space="preserve">En mon nom ou celui d'une autre mère </t>
        </is>
      </c>
      <c r="D12" s="1929" t="n">
        <v>1</v>
      </c>
      <c r="E12" s="1940">
        <f>IF(P$11=D12,1,"x")</f>
        <v/>
      </c>
    </row>
    <row r="13" ht="18" customHeight="1">
      <c r="A13" s="1433" t="n"/>
      <c r="B13" s="2" t="inlineStr">
        <is>
          <t xml:space="preserve">En mon nom ou celui d'un autre père </t>
        </is>
      </c>
      <c r="D13" s="1929" t="n">
        <v>2</v>
      </c>
      <c r="E13" s="1940">
        <f>IF(P$11=D13,1,"x")</f>
        <v/>
      </c>
      <c r="W13" t="inlineStr">
        <is>
          <t>Dans la vidéo promotionnelle et tutoriel, présenter les fonctionnalités et la possibilité d'ouverture des points d'information pour accéder à des notions théoriques.</t>
        </is>
      </c>
    </row>
    <row r="14" ht="18" customHeight="1">
      <c r="A14" s="1433" t="n"/>
      <c r="B14" s="2" t="inlineStr">
        <is>
          <t>En mon nom ou celui d'un autre parent (non binaire)</t>
        </is>
      </c>
      <c r="D14" s="1929" t="n">
        <v>3</v>
      </c>
      <c r="E14" s="1940">
        <f>IF(P$11=D14,1,"x")</f>
        <v/>
      </c>
    </row>
    <row r="15">
      <c r="A15" s="1433" t="n"/>
      <c r="D15" s="1929" t="n"/>
    </row>
    <row r="16">
      <c r="A16" s="1433">
        <f>BIBLE!E20</f>
        <v/>
      </c>
      <c r="B16">
        <f>BIBLE!F20</f>
        <v/>
      </c>
      <c r="D16" s="1929" t="n"/>
      <c r="P16" s="1934">
        <f>'TEST_pour application'!B6</f>
        <v/>
      </c>
    </row>
    <row r="17" ht="19" customHeight="1">
      <c r="A17" s="1433" t="n"/>
      <c r="B17" s="2" t="inlineStr">
        <is>
          <t>Analyse au présent</t>
        </is>
      </c>
      <c r="D17" s="1929" t="n">
        <v>1</v>
      </c>
      <c r="E17" s="1940">
        <f>IF(P$16=D17,1,"x")</f>
        <v/>
      </c>
    </row>
    <row r="18" ht="19" customHeight="1">
      <c r="A18" s="1433" t="n"/>
      <c r="B18" s="2" t="inlineStr">
        <is>
          <t>Analyse rétrospective</t>
        </is>
      </c>
      <c r="D18" s="1929" t="n">
        <v>2</v>
      </c>
      <c r="E18" s="1940">
        <f>IF(P$16=D18,1,"x")</f>
        <v/>
      </c>
    </row>
    <row r="19" ht="19" customHeight="1">
      <c r="A19" s="1433" t="n"/>
      <c r="D19" s="1929" t="n"/>
    </row>
    <row r="20">
      <c r="A20" s="1433" t="n"/>
      <c r="D20" s="1929" t="n"/>
    </row>
    <row r="21">
      <c r="A21" s="1433">
        <f>BIBLE!E21</f>
        <v/>
      </c>
      <c r="B21">
        <f>BIBLE!F21</f>
        <v/>
      </c>
      <c r="D21" s="1929" t="n"/>
      <c r="P21" s="1934">
        <f>'TEST_pour application'!B7</f>
        <v/>
      </c>
    </row>
    <row r="22" ht="14" customHeight="1">
      <c r="A22" s="1433" t="n"/>
      <c r="B22" s="2" t="inlineStr">
        <is>
          <t>moins de 1 an (incl. en union ou en instance de séparation)</t>
        </is>
      </c>
      <c r="D22" s="1929" t="n">
        <v>1</v>
      </c>
      <c r="E22" s="1940">
        <f>IF(P$21=D22,1,"x")</f>
        <v/>
      </c>
    </row>
    <row r="23" ht="14" customHeight="1">
      <c r="A23" s="1433" t="n"/>
      <c r="B23" s="2" t="inlineStr">
        <is>
          <t>1 à 3 ans</t>
        </is>
      </c>
      <c r="D23" s="1929" t="n">
        <v>2</v>
      </c>
      <c r="E23" s="1940">
        <f>IF(P$21=D23,1,"x")</f>
        <v/>
      </c>
    </row>
    <row r="24" ht="14" customHeight="1">
      <c r="A24" s="1433" t="n"/>
      <c r="B24" s="2" t="inlineStr">
        <is>
          <t>4 à 10 ans</t>
        </is>
      </c>
      <c r="D24" s="1929" t="n">
        <v>3</v>
      </c>
      <c r="E24" s="1940">
        <f>IF(P$21=D24,1,"x")</f>
        <v/>
      </c>
    </row>
    <row r="25" ht="14" customHeight="1">
      <c r="A25" s="1433" t="n"/>
      <c r="B25" s="2" t="inlineStr">
        <is>
          <t xml:space="preserve">11 à 20 ans </t>
        </is>
      </c>
      <c r="D25" s="1929" t="n">
        <v>4</v>
      </c>
      <c r="E25" s="1940">
        <f>IF(P$21=D25,1,"x")</f>
        <v/>
      </c>
    </row>
    <row r="26" ht="14" customHeight="1">
      <c r="A26" s="1433" t="n"/>
      <c r="B26" s="2" t="inlineStr">
        <is>
          <t xml:space="preserve">plus de 20 ans  </t>
        </is>
      </c>
      <c r="D26" s="1929" t="n">
        <v>5</v>
      </c>
      <c r="E26" s="1940">
        <f>IF(P$21=D26,1,"x")</f>
        <v/>
      </c>
    </row>
    <row r="27">
      <c r="A27" s="1433">
        <f>BIBLE!E22</f>
        <v/>
      </c>
      <c r="B27">
        <f>BIBLE!F22</f>
        <v/>
      </c>
      <c r="D27" s="1929" t="n"/>
      <c r="P27" s="1934">
        <f>'TEST_pour application'!B8</f>
        <v/>
      </c>
    </row>
    <row r="28" ht="14" customHeight="1">
      <c r="A28" s="1433" t="n"/>
      <c r="B28" s="2" t="inlineStr">
        <is>
          <t>moins de 1 an</t>
        </is>
      </c>
      <c r="D28" s="1929" t="n">
        <v>1</v>
      </c>
      <c r="E28" s="1940">
        <f>IF(P$27=D28,1,"x")</f>
        <v/>
      </c>
    </row>
    <row r="29" ht="14" customHeight="1">
      <c r="A29" s="1433" t="n"/>
      <c r="B29" s="2" t="inlineStr">
        <is>
          <t>1 à 2 ans</t>
        </is>
      </c>
      <c r="D29" s="1929" t="n">
        <v>2</v>
      </c>
      <c r="E29" s="1940">
        <f>IF(P$27=D29,1,"x")</f>
        <v/>
      </c>
    </row>
    <row r="30" ht="14" customHeight="1">
      <c r="A30" s="1433" t="n"/>
      <c r="B30" s="2" t="inlineStr">
        <is>
          <t>2 à 5 ans</t>
        </is>
      </c>
      <c r="D30" s="1929" t="n">
        <v>3</v>
      </c>
      <c r="E30" s="1940">
        <f>IF(P$27=D30,1,"x")</f>
        <v/>
      </c>
      <c r="G30" s="3" t="n"/>
      <c r="I30" s="167" t="n"/>
    </row>
    <row r="31" ht="14" customHeight="1">
      <c r="A31" s="1433" t="n"/>
      <c r="B31" s="2" t="inlineStr">
        <is>
          <t xml:space="preserve">5 à 10 ans </t>
        </is>
      </c>
      <c r="D31" s="1929" t="n">
        <v>4</v>
      </c>
      <c r="E31" s="1940">
        <f>IF(P$27=D31,1,"x")</f>
        <v/>
      </c>
    </row>
    <row r="32" ht="14" customHeight="1">
      <c r="A32" s="1433" t="n"/>
      <c r="B32" s="2" t="inlineStr">
        <is>
          <t xml:space="preserve">plus de 10 ans  </t>
        </is>
      </c>
      <c r="D32" s="1929" t="n">
        <v>5</v>
      </c>
      <c r="E32" s="1940">
        <f>IF(P$27=D32,1,"x")</f>
        <v/>
      </c>
    </row>
    <row r="33" ht="14" customHeight="1">
      <c r="A33" s="1433" t="n"/>
      <c r="B33" s="2" t="n"/>
      <c r="D33" s="1929" t="n"/>
    </row>
    <row r="34" ht="14" customHeight="1">
      <c r="A34" s="1433">
        <f>BIBLE!E23</f>
        <v/>
      </c>
      <c r="B34" s="1984">
        <f>BIBLE!F23</f>
        <v/>
      </c>
      <c r="D34" s="1929" t="n"/>
      <c r="P34" s="1934">
        <f>'TEST_pour application'!B9</f>
        <v/>
      </c>
    </row>
    <row r="35" ht="14" customHeight="1">
      <c r="A35" s="1433" t="n"/>
      <c r="B35" s="2" t="inlineStr">
        <is>
          <t>1 enfant (celui qui fait l'objet de l'analyse)</t>
        </is>
      </c>
      <c r="D35" s="1929" t="n">
        <v>1</v>
      </c>
      <c r="E35" s="1940">
        <f>IF(P$34=D35,1,"x")</f>
        <v/>
      </c>
    </row>
    <row r="36" ht="14" customHeight="1">
      <c r="A36" s="1433" t="n"/>
      <c r="B36" s="2" t="inlineStr">
        <is>
          <t>2 enfants</t>
        </is>
      </c>
      <c r="D36" s="1929" t="n">
        <v>2</v>
      </c>
      <c r="E36" s="1940">
        <f>IF(P$34=D36,1,"x")</f>
        <v/>
      </c>
    </row>
    <row r="37" ht="14" customHeight="1">
      <c r="A37" s="1433" t="n"/>
      <c r="B37" s="2" t="inlineStr">
        <is>
          <t>3 enfants</t>
        </is>
      </c>
      <c r="D37" s="1929" t="n">
        <v>3</v>
      </c>
      <c r="E37" s="1940">
        <f>IF(P$34=D37,1,"x")</f>
        <v/>
      </c>
    </row>
    <row r="38" ht="14" customHeight="1">
      <c r="A38" s="1433" t="n"/>
      <c r="B38" s="2" t="inlineStr">
        <is>
          <t>Plus de 4 enfants</t>
        </is>
      </c>
      <c r="D38" s="1929" t="n">
        <v>4</v>
      </c>
      <c r="E38" s="1940">
        <f>IF(P$34=D38,1,"x")</f>
        <v/>
      </c>
    </row>
    <row r="39" ht="14" customHeight="1" thickBot="1">
      <c r="A39" s="1433" t="n"/>
      <c r="B39" s="2" t="n"/>
      <c r="D39" s="1929" t="n"/>
    </row>
    <row r="40" ht="17" customHeight="1" thickBot="1">
      <c r="A40" s="1433">
        <f>BIBLE!E24</f>
        <v/>
      </c>
      <c r="B40">
        <f>BIBLE!F24</f>
        <v/>
      </c>
      <c r="D40" s="1929" t="n"/>
      <c r="E40" s="45">
        <f>P$40</f>
        <v/>
      </c>
      <c r="P40" s="1934">
        <f>'TEST_pour application'!B10</f>
        <v/>
      </c>
    </row>
    <row r="41" ht="15" customHeight="1">
      <c r="A41" s="1433" t="n"/>
      <c r="D41" s="1929" t="n"/>
    </row>
    <row r="42">
      <c r="A42" s="1433">
        <f>BIBLE!E25</f>
        <v/>
      </c>
      <c r="B42">
        <f>BIBLE!F25</f>
        <v/>
      </c>
      <c r="D42" s="1929" t="n"/>
      <c r="P42" s="1934">
        <f>'TEST_pour application'!B11</f>
        <v/>
      </c>
    </row>
    <row r="43" ht="15" customHeight="1">
      <c r="A43" s="1433" t="n"/>
      <c r="B43" s="2" t="inlineStr">
        <is>
          <t xml:space="preserve">Célibataire </t>
        </is>
      </c>
      <c r="D43" s="1929" t="n">
        <v>1</v>
      </c>
      <c r="E43" s="1940">
        <f>IF(P$42=D43,1,"x")</f>
        <v/>
      </c>
    </row>
    <row r="44" ht="15" customHeight="1">
      <c r="A44" s="1433" t="n"/>
      <c r="B44" s="2" t="inlineStr">
        <is>
          <t xml:space="preserve">En couple ou famille recomposée SANS enfant issu de la nouvelle union </t>
        </is>
      </c>
      <c r="D44" s="1929" t="n">
        <v>2</v>
      </c>
      <c r="E44" s="1940">
        <f>IF(P$42=D44,1,"x")</f>
        <v/>
      </c>
    </row>
    <row r="45" ht="15" customHeight="1">
      <c r="A45" s="1433" t="n"/>
      <c r="B45" s="2" t="inlineStr">
        <is>
          <t>Famile recomposée AVEC enfant(s) issu(s) de la nouvelle union</t>
        </is>
      </c>
      <c r="D45" s="1929" t="n">
        <v>3</v>
      </c>
      <c r="E45" s="1940">
        <f>IF(P$42=D45,1,"x")</f>
        <v/>
      </c>
      <c r="F45" s="510" t="n"/>
      <c r="G45" s="510" t="n"/>
      <c r="H45" s="510" t="n"/>
      <c r="I45" s="510" t="n"/>
      <c r="J45" s="510" t="n"/>
      <c r="K45" s="510" t="n"/>
      <c r="L45" s="510" t="n"/>
      <c r="M45" s="510" t="n"/>
      <c r="N45" s="510" t="n"/>
      <c r="O45" s="510" t="n"/>
      <c r="P45" s="510" t="n"/>
      <c r="Q45" s="510" t="n"/>
      <c r="R45" s="510" t="n"/>
    </row>
    <row r="46">
      <c r="A46" s="1433">
        <f>BIBLE!E26</f>
        <v/>
      </c>
      <c r="B46">
        <f>BIBLE!F26</f>
        <v/>
      </c>
      <c r="D46" s="1929" t="n"/>
      <c r="P46" s="1934">
        <f>'TEST_pour application'!B12</f>
        <v/>
      </c>
    </row>
    <row r="47" ht="16" customHeight="1">
      <c r="A47" s="1433" t="n"/>
      <c r="B47" s="2" t="inlineStr">
        <is>
          <t xml:space="preserve">Célibataire </t>
        </is>
      </c>
      <c r="D47" s="1929" t="n">
        <v>1</v>
      </c>
      <c r="E47" s="1940">
        <f>IF(P$46=D47,1,"x")</f>
        <v/>
      </c>
    </row>
    <row r="48" ht="14" customHeight="1">
      <c r="A48" s="1433" t="n"/>
      <c r="B48" s="2" t="inlineStr">
        <is>
          <t xml:space="preserve">En couple ou famille recomposée SANS enfant issu de la nouvelle union </t>
        </is>
      </c>
      <c r="D48" s="1929" t="n">
        <v>2</v>
      </c>
      <c r="E48" s="1940">
        <f>IF(P$46=D48,1,"x")</f>
        <v/>
      </c>
    </row>
    <row r="49" ht="14" customHeight="1">
      <c r="A49" s="1433" t="n"/>
      <c r="B49" s="2" t="inlineStr">
        <is>
          <t>Famile recomposée AVEC enfant(s) issu)s) de la nouvelle union</t>
        </is>
      </c>
      <c r="D49" s="1929" t="n">
        <v>3</v>
      </c>
      <c r="E49" s="1940">
        <f>IF(P$46=D49,1,"x")</f>
        <v/>
      </c>
    </row>
    <row r="50" ht="18" customHeight="1">
      <c r="A50" s="1433" t="n"/>
      <c r="C50" s="283" t="inlineStr">
        <is>
          <t>Échelle</t>
        </is>
      </c>
      <c r="D50" s="292" t="inlineStr">
        <is>
          <t>Intensité</t>
        </is>
      </c>
      <c r="E50" s="2000" t="inlineStr">
        <is>
          <t>Fréquence</t>
        </is>
      </c>
    </row>
    <row r="51" ht="18" customHeight="1">
      <c r="A51" s="1433" t="n"/>
      <c r="C51" s="283" t="n"/>
      <c r="D51" s="292" t="n"/>
      <c r="E51" s="515" t="inlineStr">
        <is>
          <t>SO</t>
        </is>
      </c>
      <c r="F51" s="2000" t="n"/>
      <c r="G51" s="2000" t="n"/>
      <c r="H51" s="2000" t="n"/>
      <c r="I51" s="2000" t="n"/>
      <c r="J51" s="2000" t="n"/>
      <c r="K51" s="2000" t="n"/>
      <c r="L51" s="2000" t="n"/>
      <c r="M51" s="2000" t="n"/>
      <c r="N51" s="2000" t="n"/>
      <c r="O51" s="2000" t="n"/>
    </row>
    <row r="52" ht="33" customFormat="1" customHeight="1" s="7" thickBot="1">
      <c r="A52" s="1433" t="n"/>
      <c r="C52" s="284" t="n"/>
      <c r="D52" s="293" t="n"/>
      <c r="E52" s="77" t="n">
        <v>0</v>
      </c>
      <c r="F52" s="77" t="n">
        <v>0</v>
      </c>
      <c r="G52" s="77" t="n">
        <v>1</v>
      </c>
      <c r="H52" s="77" t="n">
        <v>2</v>
      </c>
      <c r="I52" s="77" t="n">
        <v>4</v>
      </c>
      <c r="J52" s="77" t="n">
        <v>7</v>
      </c>
      <c r="K52" s="77" t="n">
        <v>10</v>
      </c>
      <c r="L52" s="1905" t="n">
        <v>7</v>
      </c>
      <c r="M52" s="1905" t="n">
        <v>8</v>
      </c>
      <c r="N52" s="1905" t="n">
        <v>9</v>
      </c>
      <c r="O52" s="1905" t="n">
        <v>10</v>
      </c>
      <c r="P52" s="78" t="inlineStr">
        <is>
          <t>Fréquence seul.</t>
        </is>
      </c>
      <c r="Q52" s="78" t="inlineStr">
        <is>
          <t>Fréquence * Intensité
(valeur de base)</t>
        </is>
      </c>
      <c r="R52" s="78" t="inlineStr">
        <is>
          <t>Condition SQ (&gt;=)</t>
        </is>
      </c>
      <c r="S52" s="157" t="n"/>
      <c r="U52" s="157" t="n"/>
      <c r="V52" s="157" t="n"/>
      <c r="W52" s="157" t="n"/>
      <c r="X52" s="2002" t="n"/>
      <c r="Y52" s="2002" t="n"/>
      <c r="Z52" s="2002" t="n"/>
      <c r="AA52" s="2002" t="n"/>
      <c r="AB52" s="2002" t="n"/>
      <c r="AC52" s="2002" t="n"/>
    </row>
    <row r="53" ht="46" customFormat="1" customHeight="1" s="7" thickTop="1">
      <c r="A53" s="1434">
        <f>BIBLE!E27</f>
        <v/>
      </c>
      <c r="B53" s="7">
        <f>BIBLE!F27</f>
        <v/>
      </c>
      <c r="C53" s="1904">
        <f>BIBLE!O27</f>
        <v/>
      </c>
      <c r="D53" s="295">
        <f>BIBLE!L27</f>
        <v/>
      </c>
      <c r="E53" s="2092" t="n"/>
      <c r="F53" s="2092" t="n"/>
      <c r="G53" s="2092" t="n"/>
      <c r="H53" s="2092" t="n"/>
      <c r="I53" s="2092" t="n"/>
      <c r="J53" s="2092" t="n">
        <v>1</v>
      </c>
      <c r="K53" s="2092" t="n"/>
      <c r="L53" s="2092" t="n"/>
      <c r="M53" s="2092" t="n"/>
      <c r="N53" s="2092" t="n"/>
      <c r="O53" s="2092" t="n"/>
      <c r="P53" s="90">
        <f>'TEST_pour application'!B13</f>
        <v/>
      </c>
      <c r="Q53" s="6">
        <f>P53*D53</f>
        <v/>
      </c>
      <c r="R53" s="2002">
        <f>BIBLE!K27</f>
        <v/>
      </c>
      <c r="T53" s="552" t="inlineStr">
        <is>
          <t>🔶</t>
        </is>
      </c>
      <c r="U53" s="7" t="inlineStr">
        <is>
          <t>Note : Expliquer que l'entente peut être une entente verbale et/ou écrite.</t>
        </is>
      </c>
      <c r="V53" s="2002" t="n"/>
      <c r="X53" s="2002" t="n"/>
      <c r="Y53" s="2002" t="n"/>
      <c r="Z53" s="2002" t="n"/>
      <c r="AA53" s="2002" t="n"/>
      <c r="AB53" s="2002" t="n"/>
      <c r="AC53" s="2002" t="n"/>
    </row>
    <row r="54" ht="19.5" customFormat="1" customHeight="1" s="7">
      <c r="A54" s="1433">
        <f>BIBLE!E28</f>
        <v/>
      </c>
      <c r="B54" s="2004">
        <f>IF(P53&gt;=$R$53,BIBLE!F28," ")</f>
        <v/>
      </c>
      <c r="C54" s="285" t="inlineStr">
        <is>
          <t>Oui</t>
        </is>
      </c>
      <c r="D54" s="1933" t="n">
        <v>1</v>
      </c>
      <c r="E54" s="1940">
        <f>IF(P$54=D54,1,"x")</f>
        <v/>
      </c>
      <c r="F54" s="2092" t="n"/>
      <c r="G54" s="2092" t="n"/>
      <c r="H54" s="2092" t="n"/>
      <c r="I54" s="2092" t="n"/>
      <c r="J54" s="2092" t="n"/>
      <c r="K54" s="2092" t="n"/>
      <c r="L54" s="2092" t="n"/>
      <c r="M54" s="2092" t="n"/>
      <c r="N54" s="2092" t="n"/>
      <c r="O54" s="2092" t="n"/>
      <c r="P54" s="2091">
        <f>'TEST_pour application'!B14</f>
        <v/>
      </c>
      <c r="Q54" s="155" t="n"/>
      <c r="V54" s="2002" t="n"/>
      <c r="X54" s="2002" t="n"/>
      <c r="Y54" s="2002" t="n"/>
      <c r="Z54" s="2002" t="n"/>
      <c r="AA54" s="2002" t="n"/>
      <c r="AB54" s="2002" t="n"/>
      <c r="AC54" s="2002" t="n"/>
    </row>
    <row r="55" outlineLevel="1" ht="19.5" customFormat="1" customHeight="1" s="7">
      <c r="A55" s="1433" t="n"/>
      <c r="B55" s="156" t="n"/>
      <c r="C55" s="285" t="inlineStr">
        <is>
          <t>Non</t>
        </is>
      </c>
      <c r="D55" s="1933" t="n">
        <v>2</v>
      </c>
      <c r="E55" s="1940">
        <f>IF(P$54=D55,1,"x")</f>
        <v/>
      </c>
      <c r="F55" s="2092" t="n"/>
      <c r="G55" s="2092" t="n"/>
      <c r="H55" s="2092" t="n"/>
      <c r="I55" s="2092" t="n"/>
      <c r="J55" s="2092" t="n"/>
      <c r="K55" s="2092" t="n"/>
      <c r="L55" s="2092" t="n"/>
      <c r="M55" s="2092" t="n"/>
      <c r="N55" s="2092" t="n"/>
      <c r="O55" s="2092" t="n"/>
      <c r="P55" s="154" t="n"/>
      <c r="Q55" s="155" t="n"/>
      <c r="V55" s="2002" t="n"/>
      <c r="X55" s="2002" t="n"/>
      <c r="Y55" s="2002" t="n"/>
      <c r="Z55" s="2002" t="n"/>
      <c r="AA55" s="2002" t="n"/>
      <c r="AB55" s="2002" t="n"/>
      <c r="AC55" s="2002" t="n"/>
    </row>
    <row r="56" ht="34" customFormat="1" customHeight="1" s="7">
      <c r="A56" s="1433">
        <f>BIBLE!E29</f>
        <v/>
      </c>
      <c r="B56" s="2004">
        <f>IF(E54=1,BIBLE!F29," ")</f>
        <v/>
      </c>
      <c r="C56" s="296">
        <f>IF(BIBLE!H29=0,"",BIBLE!H29)</f>
        <v/>
      </c>
      <c r="D56" s="294">
        <f>BIBLE!L29</f>
        <v/>
      </c>
      <c r="E56" s="2092" t="n"/>
      <c r="F56" s="2092" t="n"/>
      <c r="G56" s="2092" t="n"/>
      <c r="H56" s="2092" t="n"/>
      <c r="I56" s="2092" t="n"/>
      <c r="J56" s="2092" t="n"/>
      <c r="K56" s="2092" t="n"/>
      <c r="L56" s="2092" t="n"/>
      <c r="M56" s="2092" t="n"/>
      <c r="N56" s="2092" t="n"/>
      <c r="O56" s="2092" t="n"/>
      <c r="P56" s="25">
        <f>'TEST_pour application'!B15</f>
        <v/>
      </c>
      <c r="Q56" s="26">
        <f>P56*D56</f>
        <v/>
      </c>
      <c r="R56" s="1575" t="n"/>
      <c r="S56" s="1575" t="n"/>
      <c r="T56" s="1575" t="n"/>
      <c r="U56" s="1575" t="n"/>
      <c r="V56" s="1576" t="n"/>
      <c r="W56" s="1575" t="n"/>
      <c r="X56" s="1576" t="n"/>
      <c r="Y56" s="2002" t="n"/>
      <c r="Z56" s="2002" t="n"/>
      <c r="AA56" s="2002" t="n"/>
      <c r="AB56" s="2002" t="n"/>
      <c r="AC56" s="2002" t="n"/>
    </row>
    <row r="57" ht="23" customFormat="1" customHeight="1" s="7">
      <c r="A57" s="1433">
        <f>BIBLE!E30</f>
        <v/>
      </c>
      <c r="B57" s="2004">
        <f>IF(E54=1,BIBLE!F30," ")</f>
        <v/>
      </c>
      <c r="C57" s="296">
        <f>IF(BIBLE!H30=0,"",BIBLE!H30)</f>
        <v/>
      </c>
      <c r="D57" s="294">
        <f>BIBLE!L30</f>
        <v/>
      </c>
      <c r="E57" s="2092" t="n"/>
      <c r="F57" s="2092" t="n"/>
      <c r="G57" s="2092" t="n"/>
      <c r="H57" s="2092" t="n"/>
      <c r="I57" s="2092" t="n"/>
      <c r="J57" s="2092" t="n"/>
      <c r="K57" s="2092" t="n"/>
      <c r="L57" s="2092" t="n"/>
      <c r="M57" s="2092" t="n"/>
      <c r="N57" s="2092" t="n"/>
      <c r="O57" s="2092" t="n"/>
      <c r="P57" s="25">
        <f>'TEST_pour application'!B16</f>
        <v/>
      </c>
      <c r="Q57" s="26">
        <f>P57*D57</f>
        <v/>
      </c>
      <c r="R57" s="1575" t="n"/>
      <c r="S57" s="1575" t="n"/>
      <c r="T57" s="1575" t="n"/>
      <c r="U57" s="1575" t="n"/>
      <c r="V57" s="1576" t="n"/>
      <c r="W57" s="1575" t="n"/>
      <c r="X57" s="1576" t="n"/>
      <c r="Y57" s="2002" t="n"/>
      <c r="Z57" s="2002" t="n"/>
      <c r="AA57" s="2002" t="n"/>
      <c r="AB57" s="2002" t="n"/>
      <c r="AC57" s="2002" t="n"/>
    </row>
    <row r="58" ht="31" customHeight="1">
      <c r="A58" s="1433">
        <f>BIBLE!E31</f>
        <v/>
      </c>
      <c r="B58" s="156">
        <f>BIBLE!F31</f>
        <v/>
      </c>
      <c r="C58" s="285" t="n"/>
      <c r="D58" s="294" t="n"/>
      <c r="T58" s="552" t="inlineStr">
        <is>
          <t>🔶</t>
        </is>
      </c>
      <c r="U58" s="7" t="inlineStr">
        <is>
          <t>Note : Expliquer la différence entre rupture de contact et rupture de lien</t>
        </is>
      </c>
    </row>
    <row r="59">
      <c r="A59" s="1433">
        <f>A58</f>
        <v/>
      </c>
      <c r="C59" s="1953" t="n"/>
      <c r="D59" s="1930" t="n"/>
      <c r="E59" s="1" t="n"/>
      <c r="U59" s="7" t="n"/>
    </row>
    <row r="60" ht="17" customHeight="1">
      <c r="A60" s="1433">
        <f>A59</f>
        <v/>
      </c>
      <c r="B60" s="1954" t="n"/>
      <c r="C60" s="1955" t="inlineStr">
        <is>
          <t>J'ai une très bonne relation</t>
        </is>
      </c>
      <c r="D60" s="1930" t="n">
        <v>1</v>
      </c>
      <c r="E60" s="1952">
        <f>'TEST_pour application'!B17</f>
        <v/>
      </c>
      <c r="P60" s="1951">
        <f>D60*E60</f>
        <v/>
      </c>
      <c r="U60" s="7" t="n"/>
    </row>
    <row r="61" ht="17" customHeight="1">
      <c r="A61" s="1433">
        <f>A60</f>
        <v/>
      </c>
      <c r="C61" s="1955" t="inlineStr">
        <is>
          <t>J'ai une bonne relation</t>
        </is>
      </c>
      <c r="D61" s="1930" t="n">
        <v>2</v>
      </c>
      <c r="E61" s="1952">
        <f>'TEST_pour application'!B18</f>
        <v/>
      </c>
      <c r="F61" s="2092" t="n"/>
      <c r="G61" s="2092" t="n"/>
      <c r="H61" s="2092" t="n"/>
      <c r="I61" s="2092" t="n"/>
      <c r="J61" s="2092" t="n"/>
      <c r="K61" s="2092" t="n"/>
      <c r="L61" s="2092" t="n"/>
      <c r="M61" s="2092" t="n"/>
      <c r="N61" s="2092" t="n"/>
      <c r="O61" s="2092" t="n"/>
      <c r="P61" s="1951">
        <f>D61*E61</f>
        <v/>
      </c>
      <c r="Q61" s="6" t="n"/>
      <c r="U61" s="7" t="n"/>
    </row>
    <row r="62" ht="17" customHeight="1">
      <c r="A62" s="1433">
        <f>A61</f>
        <v/>
      </c>
      <c r="C62" s="1955" t="inlineStr">
        <is>
          <t>J'ai une relation difficile</t>
        </is>
      </c>
      <c r="D62" s="1930" t="n">
        <v>3</v>
      </c>
      <c r="E62" s="1952">
        <f>'TEST_pour application'!B19</f>
        <v/>
      </c>
      <c r="F62" s="2002" t="n"/>
      <c r="G62" s="2002" t="n"/>
      <c r="H62" s="2002" t="n"/>
      <c r="I62" s="2002" t="n"/>
      <c r="J62" s="2002" t="n"/>
      <c r="K62" s="2002" t="n"/>
      <c r="L62" s="2002" t="n"/>
      <c r="M62" s="2002" t="n"/>
      <c r="N62" s="2002" t="n"/>
      <c r="O62" s="2002" t="n"/>
      <c r="P62" s="1951">
        <f>D62*E62</f>
        <v/>
      </c>
      <c r="Q62" s="6" t="n"/>
      <c r="U62" s="7" t="n"/>
    </row>
    <row r="63" ht="17" customHeight="1">
      <c r="A63" s="1433">
        <f>A62</f>
        <v/>
      </c>
      <c r="B63" s="1955" t="n"/>
      <c r="C63" s="1955" t="inlineStr">
        <is>
          <t>Mon lien est fragilisé par le contexte familial</t>
        </is>
      </c>
      <c r="D63" s="1930" t="n">
        <v>4</v>
      </c>
      <c r="E63" s="1952">
        <f>'TEST_pour application'!B20</f>
        <v/>
      </c>
      <c r="F63" s="2002" t="n"/>
      <c r="G63" s="2002" t="n"/>
      <c r="H63" s="2002" t="n"/>
      <c r="I63" s="2002" t="n"/>
      <c r="J63" s="2002" t="n"/>
      <c r="K63" s="2002" t="n"/>
      <c r="L63" s="2002" t="n"/>
      <c r="M63" s="2002" t="n"/>
      <c r="N63" s="2002" t="n"/>
      <c r="O63" s="2002" t="n"/>
      <c r="P63" s="1951">
        <f>D63*E63</f>
        <v/>
      </c>
      <c r="Q63" s="6" t="n"/>
      <c r="U63" s="7" t="n"/>
    </row>
    <row r="64" ht="17" customHeight="1">
      <c r="A64" s="1433">
        <f>A63</f>
        <v/>
      </c>
      <c r="C64" s="1955" t="inlineStr">
        <is>
          <t xml:space="preserve">Je suis en rupture de lien affectif </t>
        </is>
      </c>
      <c r="D64" s="1930" t="n">
        <v>5</v>
      </c>
      <c r="E64" s="1952">
        <f>'TEST_pour application'!B21</f>
        <v/>
      </c>
      <c r="G64" s="2002" t="n"/>
      <c r="H64" s="2002" t="n"/>
      <c r="P64" s="1951">
        <f>D64*E64</f>
        <v/>
      </c>
      <c r="T64" s="552" t="inlineStr">
        <is>
          <t>🔶</t>
        </is>
      </c>
      <c r="U64" s="7" t="inlineStr">
        <is>
          <t>Note : Expliquer la différence entre rupture de contact et rupture de lien</t>
        </is>
      </c>
    </row>
    <row r="65" ht="17" customHeight="1">
      <c r="A65" s="1433">
        <f>A64</f>
        <v/>
      </c>
      <c r="C65" s="1955" t="inlineStr">
        <is>
          <t>Je suis en rupture de contact physique</t>
        </is>
      </c>
      <c r="D65" s="1930" t="n">
        <v>6</v>
      </c>
      <c r="E65" s="1952">
        <f>'TEST_pour application'!B22</f>
        <v/>
      </c>
      <c r="F65" s="1938" t="n"/>
      <c r="G65" s="2002" t="n"/>
      <c r="H65" s="2002" t="n"/>
      <c r="P65" s="1951">
        <f>D65*E65</f>
        <v/>
      </c>
      <c r="T65" s="552" t="n"/>
    </row>
    <row r="66" ht="17" customHeight="1">
      <c r="A66" s="1433" t="n"/>
      <c r="C66" s="1955" t="n"/>
      <c r="D66" s="1930" t="n"/>
      <c r="E66" s="2002" t="n"/>
      <c r="F66" s="979" t="n"/>
      <c r="G66" s="2002" t="n"/>
      <c r="H66" s="2002" t="n"/>
      <c r="I66" s="2002" t="n"/>
      <c r="J66" s="2002" t="n"/>
      <c r="K66" s="2002" t="n"/>
      <c r="L66" s="2002" t="n"/>
      <c r="M66" s="2002" t="n"/>
      <c r="N66" s="2002" t="n"/>
    </row>
    <row r="67" ht="17" customHeight="1">
      <c r="A67" s="1433" t="n"/>
      <c r="C67" s="1955" t="n"/>
      <c r="D67" s="1930" t="n"/>
      <c r="E67" s="2002" t="n"/>
      <c r="F67" s="1939" t="n"/>
      <c r="G67" s="2002" t="n"/>
      <c r="H67" s="15" t="n"/>
    </row>
    <row r="68" ht="17" customHeight="1">
      <c r="A68" s="1433">
        <f>BIBLE!E32</f>
        <v/>
      </c>
      <c r="B68" s="1956">
        <f>IF(OR(E$62=1,E$63=1,E$64=1,E$65=1),BIBLE!F32," ")</f>
        <v/>
      </c>
      <c r="C68" s="1955" t="n"/>
      <c r="D68" s="1930" t="n"/>
      <c r="E68" s="2002" t="n"/>
      <c r="F68" s="2002" t="n"/>
      <c r="G68" s="2002" t="n"/>
      <c r="H68" s="2002" t="n"/>
      <c r="I68" s="2002" t="n"/>
      <c r="J68" s="2002" t="n"/>
      <c r="K68" s="2002" t="n"/>
      <c r="L68" s="2002" t="n"/>
      <c r="M68" s="2002" t="n"/>
      <c r="N68" s="2002" t="n"/>
      <c r="O68" s="2002" t="n"/>
      <c r="P68" s="90" t="n"/>
      <c r="Q68" s="6" t="n"/>
    </row>
    <row r="69" ht="17" customHeight="1">
      <c r="A69" s="1433" t="n"/>
      <c r="C69" s="2" t="inlineStr">
        <is>
          <t>Période adolescente difficile</t>
        </is>
      </c>
      <c r="D69" s="1930" t="n">
        <v>1</v>
      </c>
      <c r="E69" s="1952">
        <f>'TEST_pour application'!B23</f>
        <v/>
      </c>
      <c r="F69" s="2002" t="n"/>
      <c r="G69" s="2" t="n"/>
      <c r="H69" s="2002" t="n"/>
      <c r="I69" s="2002" t="n"/>
      <c r="J69" s="2002" t="n"/>
      <c r="K69" s="2002" t="n"/>
      <c r="L69" s="2002" t="n"/>
      <c r="M69" s="2002" t="n"/>
      <c r="N69" s="2002" t="n"/>
      <c r="O69" s="2002" t="n"/>
      <c r="P69" s="1951">
        <f>D69*E69</f>
        <v/>
      </c>
      <c r="Q69" s="6" t="n"/>
    </row>
    <row r="70" ht="17" customHeight="1">
      <c r="A70" s="1433" t="n"/>
      <c r="C70" s="2" t="inlineStr">
        <is>
          <t>L'anxiété de séparation fragilise mon lien affectif</t>
        </is>
      </c>
      <c r="D70" s="1930" t="n">
        <v>2</v>
      </c>
      <c r="E70" s="1952">
        <f>'TEST_pour application'!B24</f>
        <v/>
      </c>
      <c r="F70" s="2002" t="n"/>
      <c r="G70" s="2" t="n"/>
      <c r="H70" s="2002" t="n"/>
      <c r="I70" s="2002" t="n"/>
      <c r="J70" s="2002" t="n"/>
      <c r="K70" s="2002" t="n"/>
      <c r="L70" s="2002" t="n"/>
      <c r="M70" s="2002" t="n"/>
      <c r="N70" s="2002" t="n"/>
      <c r="O70" s="2002" t="n"/>
      <c r="P70" s="1951">
        <f>D70*E70</f>
        <v/>
      </c>
      <c r="Q70" s="6" t="n"/>
    </row>
    <row r="71" ht="17" customHeight="1">
      <c r="A71" s="1433" t="n"/>
      <c r="C71" s="2" t="inlineStr">
        <is>
          <t>Le conflit parental fragilise mon lien affectif</t>
        </is>
      </c>
      <c r="D71" s="1930" t="n">
        <v>3</v>
      </c>
      <c r="E71" s="1952">
        <f>'TEST_pour application'!B25</f>
        <v/>
      </c>
      <c r="F71" s="2002" t="n"/>
      <c r="G71" s="2" t="n"/>
      <c r="H71" s="2002" t="n"/>
      <c r="I71" s="2002" t="n"/>
      <c r="J71" s="2002" t="n"/>
      <c r="K71" s="2002" t="n"/>
      <c r="L71" s="2002" t="n"/>
      <c r="M71" s="2002" t="n"/>
      <c r="N71" s="2002" t="n"/>
      <c r="O71" s="2002" t="n"/>
      <c r="P71" s="1951">
        <f>D71*E71</f>
        <v/>
      </c>
      <c r="Q71" s="6" t="n"/>
    </row>
    <row r="72" ht="17" customHeight="1">
      <c r="A72" s="1433" t="n"/>
      <c r="C72" s="2" t="inlineStr">
        <is>
          <t>Contact sporadique, mais accès (garde non-respecté)</t>
        </is>
      </c>
      <c r="D72" s="1930" t="n">
        <v>4</v>
      </c>
      <c r="E72" s="1952">
        <f>'TEST_pour application'!B26</f>
        <v/>
      </c>
      <c r="F72" s="2002" t="n"/>
      <c r="G72" s="2" t="n"/>
      <c r="H72" s="2002" t="n"/>
      <c r="I72" s="2002" t="n"/>
      <c r="J72" s="2002" t="n"/>
      <c r="K72" s="2002" t="n"/>
      <c r="L72" s="2002" t="n"/>
      <c r="M72" s="2002" t="n"/>
      <c r="N72" s="2002" t="n"/>
      <c r="O72" s="2002" t="n"/>
      <c r="P72" s="1951">
        <f>D72*E72</f>
        <v/>
      </c>
      <c r="Q72" s="6" t="n"/>
    </row>
    <row r="73" ht="17" customHeight="1">
      <c r="A73" s="1433" t="n"/>
      <c r="B73" s="2" t="n"/>
      <c r="C73" s="1957" t="inlineStr">
        <is>
          <t>Communication à distance seulement (téléphone, texto, RS)</t>
        </is>
      </c>
      <c r="D73" s="1930" t="n">
        <v>5</v>
      </c>
      <c r="E73" s="1952">
        <f>'TEST_pour application'!B27</f>
        <v/>
      </c>
      <c r="F73" s="2002" t="n"/>
      <c r="G73" s="2002" t="n"/>
      <c r="H73" s="2002" t="n"/>
      <c r="I73" s="2002" t="n"/>
      <c r="J73" s="2002" t="n"/>
      <c r="K73" s="2002" t="n"/>
      <c r="L73" s="2002" t="n"/>
      <c r="M73" s="2002" t="n"/>
      <c r="N73" s="2002" t="n"/>
      <c r="O73" s="2002" t="n"/>
      <c r="P73" s="1951">
        <f>D73*E73</f>
        <v/>
      </c>
      <c r="Q73" s="6" t="n"/>
      <c r="T73" s="552" t="n"/>
      <c r="U73" t="inlineStr">
        <is>
          <t xml:space="preserve">Rapport final : </t>
        </is>
      </c>
    </row>
    <row r="74" ht="17" customHeight="1">
      <c r="A74" s="1433" t="n"/>
      <c r="C74" s="1957" t="inlineStr">
        <is>
          <t>Aucune communication ou contact</t>
        </is>
      </c>
      <c r="D74" s="1930" t="n">
        <v>6</v>
      </c>
      <c r="E74" s="1952">
        <f>'TEST_pour application'!B28</f>
        <v/>
      </c>
      <c r="F74" s="2002" t="n"/>
      <c r="G74" s="2002" t="n"/>
      <c r="H74" s="2002" t="n"/>
      <c r="I74" s="2002" t="n"/>
      <c r="J74" s="2002" t="n"/>
      <c r="K74" s="2002" t="n"/>
      <c r="L74" s="2002" t="n"/>
      <c r="M74" s="2002" t="n"/>
      <c r="N74" s="2002" t="n"/>
      <c r="O74" s="2002" t="n"/>
      <c r="P74" s="1951">
        <f>D74*E74</f>
        <v/>
      </c>
      <c r="Q74" s="6" t="n"/>
    </row>
    <row r="75" ht="17" customHeight="1">
      <c r="A75" s="1433" t="n"/>
      <c r="C75" s="1957" t="inlineStr">
        <is>
          <t>Aucune ces réponses</t>
        </is>
      </c>
      <c r="D75" s="1930" t="n">
        <v>7</v>
      </c>
      <c r="E75" s="1952">
        <f>'TEST_pour application'!B29</f>
        <v/>
      </c>
      <c r="F75" s="2002" t="n"/>
      <c r="G75" s="2002" t="n"/>
      <c r="H75" s="2002" t="n"/>
      <c r="I75" s="2002" t="n"/>
      <c r="J75" s="2002" t="n"/>
      <c r="K75" s="2002" t="n"/>
      <c r="L75" s="2002" t="n"/>
      <c r="M75" s="2002" t="n"/>
      <c r="N75" s="2002" t="n"/>
      <c r="O75" s="2002" t="n"/>
      <c r="P75" s="1951">
        <f>D75*E75</f>
        <v/>
      </c>
      <c r="Q75" s="6" t="n"/>
    </row>
    <row r="76" ht="17" customHeight="1">
      <c r="A76" s="1433" t="n"/>
      <c r="C76" s="1955" t="n"/>
      <c r="D76" s="1930" t="n"/>
      <c r="E76" s="2002" t="n"/>
      <c r="F76" s="1939" t="n"/>
      <c r="G76" s="2002" t="n"/>
      <c r="H76" s="15" t="n"/>
    </row>
    <row r="77" ht="17" customHeight="1">
      <c r="A77" s="1433">
        <f>BIBLE!E33</f>
        <v/>
      </c>
      <c r="B77" s="1956">
        <f>IF(OR(E$62=1,E$63=1,E$64=1,E$65=1),BIBLE!F33," ")</f>
        <v/>
      </c>
      <c r="C77" s="1844" t="n"/>
      <c r="D77" s="1930" t="n"/>
      <c r="E77" s="2002" t="n"/>
      <c r="F77" s="1939" t="n"/>
      <c r="G77" s="2002" t="n"/>
      <c r="H77" s="15" t="n"/>
      <c r="P77" s="1934">
        <f>'TEST_pour application'!B30</f>
        <v/>
      </c>
    </row>
    <row r="78" ht="17" customHeight="1">
      <c r="A78" s="1433" t="n"/>
      <c r="B78" s="2" t="n"/>
      <c r="C78" s="1844" t="inlineStr">
        <is>
          <t>&lt; 9 mois</t>
        </is>
      </c>
      <c r="D78" s="1930" t="n">
        <v>1</v>
      </c>
      <c r="E78" s="1940">
        <f>IF(P$77=D78,1,"x")</f>
        <v/>
      </c>
      <c r="F78" s="1939" t="n"/>
      <c r="G78" s="2002" t="n"/>
      <c r="H78" s="15" t="n"/>
    </row>
    <row r="79" ht="17" customHeight="1">
      <c r="A79" s="1433" t="n"/>
      <c r="B79" s="2" t="n"/>
      <c r="C79" s="1844" t="inlineStr">
        <is>
          <t>Entre 9 mois et 2 ans</t>
        </is>
      </c>
      <c r="D79" s="1930" t="n">
        <v>2</v>
      </c>
      <c r="E79" s="1940">
        <f>IF(P$77=D79,1,"x")</f>
        <v/>
      </c>
      <c r="F79" s="1939" t="n"/>
      <c r="G79" s="2002" t="n"/>
      <c r="H79" s="15" t="n"/>
    </row>
    <row r="80" ht="17" customHeight="1">
      <c r="A80" s="1433" t="n"/>
      <c r="B80" s="2" t="n"/>
      <c r="C80" s="1844" t="inlineStr">
        <is>
          <t>Entre 2 ans et 5 ans</t>
        </is>
      </c>
      <c r="D80" s="1930" t="n">
        <v>3</v>
      </c>
      <c r="E80" s="1940">
        <f>IF(P$77=D80,1,"x")</f>
        <v/>
      </c>
      <c r="F80" s="1939" t="n"/>
      <c r="G80" s="2002" t="n"/>
      <c r="H80" s="15" t="n"/>
    </row>
    <row r="81" ht="17" customHeight="1">
      <c r="A81" s="1433" t="n"/>
      <c r="B81" s="2" t="n"/>
      <c r="C81" s="1844" t="inlineStr">
        <is>
          <t>Entre 5 ans et 10 ans</t>
        </is>
      </c>
      <c r="D81" s="1930" t="n">
        <v>4</v>
      </c>
      <c r="E81" s="1940">
        <f>IF(P$77=D81,1,"x")</f>
        <v/>
      </c>
      <c r="F81" s="1939" t="n"/>
      <c r="G81" s="2002" t="n"/>
      <c r="H81" s="15" t="n"/>
    </row>
    <row r="82" ht="17" customHeight="1">
      <c r="A82" s="1433" t="n"/>
      <c r="B82" s="2" t="n"/>
      <c r="C82" s="1844" t="inlineStr">
        <is>
          <t>Plus de 10 ans</t>
        </is>
      </c>
      <c r="D82" s="1930" t="n">
        <v>5</v>
      </c>
      <c r="E82" s="1940">
        <f>IF(P$77=D82,1,"x")</f>
        <v/>
      </c>
      <c r="F82" s="1939" t="n"/>
      <c r="G82" s="2002" t="n"/>
      <c r="H82" s="15" t="n"/>
    </row>
    <row r="83" ht="17" customHeight="1">
      <c r="A83" s="1433" t="n"/>
      <c r="C83" s="1955" t="n"/>
      <c r="D83" s="1930" t="n"/>
      <c r="E83" s="2002" t="n"/>
      <c r="F83" s="1939" t="n"/>
      <c r="G83" s="2002" t="n"/>
      <c r="H83" s="15" t="n"/>
    </row>
    <row r="84" ht="17" customHeight="1">
      <c r="A84" s="1433">
        <f>BIBLE!E34</f>
        <v/>
      </c>
      <c r="B84" s="1956">
        <f>IF(OR(E$64=1,E$65=1),BIBLE!F34," ")</f>
        <v/>
      </c>
      <c r="C84" s="1958" t="inlineStr">
        <is>
          <t>Oui</t>
        </is>
      </c>
      <c r="D84" s="1930" t="n">
        <v>1</v>
      </c>
      <c r="E84" s="1940">
        <f>IF(P$84=D84,1,"x")</f>
        <v/>
      </c>
      <c r="F84" s="1939" t="n"/>
      <c r="G84" s="2002" t="n"/>
      <c r="H84" s="15" t="n"/>
      <c r="P84" s="1934">
        <f>'TEST_pour application'!B31</f>
        <v/>
      </c>
    </row>
    <row r="85" ht="17" customHeight="1">
      <c r="A85" s="1433" t="n"/>
      <c r="C85" s="1958" t="inlineStr">
        <is>
          <t>Non</t>
        </is>
      </c>
      <c r="D85" s="1930" t="n">
        <v>2</v>
      </c>
      <c r="E85" s="1940">
        <f>IF(P$84=D85,1,"x")</f>
        <v/>
      </c>
      <c r="F85" s="1939" t="n"/>
      <c r="G85" s="2002" t="n"/>
      <c r="H85" s="15" t="n"/>
    </row>
    <row r="86" ht="17" customHeight="1">
      <c r="A86" s="1433" t="n"/>
      <c r="C86" s="1958" t="n"/>
      <c r="D86" s="1930" t="n"/>
      <c r="E86" s="286" t="n"/>
      <c r="F86" s="1939" t="n"/>
      <c r="G86" s="2002" t="n"/>
      <c r="H86" s="15" t="n"/>
    </row>
    <row r="87" ht="17" customHeight="1">
      <c r="A87" s="1433">
        <f>BIBLE!E35</f>
        <v/>
      </c>
      <c r="B87" s="1956">
        <f>IF(OR(E$64=1,E$65=1),BIBLE!F35," ")</f>
        <v/>
      </c>
      <c r="C87" s="1844" t="n"/>
      <c r="D87" s="1930" t="n"/>
      <c r="E87" s="2002" t="n"/>
      <c r="F87" s="1939" t="n"/>
      <c r="G87" s="2002" t="n"/>
      <c r="H87" s="15" t="n"/>
      <c r="P87" s="1934">
        <f>'TEST_pour application'!B32</f>
        <v/>
      </c>
    </row>
    <row r="88" ht="35" customHeight="1">
      <c r="A88" s="1433" t="n"/>
      <c r="C88" s="1959" t="inlineStr">
        <is>
          <t>Épisode de dépression (pour vous ou l'autre parent)</t>
        </is>
      </c>
      <c r="D88" s="1930" t="n">
        <v>1</v>
      </c>
      <c r="E88" s="1940">
        <f>IF(P$87=D88,1,"x")</f>
        <v/>
      </c>
      <c r="F88" s="1939" t="n"/>
      <c r="G88" s="2002" t="n"/>
      <c r="H88" s="15" t="n"/>
      <c r="AE88" s="2104" t="inlineStr">
        <is>
          <t>Comportement VC</t>
        </is>
      </c>
      <c r="AF88" s="2105" t="inlineStr">
        <is>
          <t>Baromètre CEV</t>
        </is>
      </c>
      <c r="AG88" s="2106" t="n"/>
      <c r="AH88" s="2107" t="n"/>
      <c r="AI88" s="2108" t="inlineStr">
        <is>
          <t>Baromètre catégorie</t>
        </is>
      </c>
      <c r="AJ88" s="2106" t="n"/>
      <c r="AK88" s="2106" t="n"/>
      <c r="AL88" s="2106" t="n"/>
      <c r="AM88" s="2106" t="n"/>
      <c r="AN88" s="2106" t="n"/>
      <c r="AO88" s="2106" t="n"/>
      <c r="AP88" s="2107" t="n"/>
    </row>
    <row r="89" ht="35" customHeight="1">
      <c r="A89" s="1433" t="n"/>
      <c r="C89" s="1959" t="inlineStr">
        <is>
          <t>Épisode de violence (de votre part ou de l'autre parent)</t>
        </is>
      </c>
      <c r="D89" s="1930" t="n">
        <v>2</v>
      </c>
      <c r="E89" s="1940">
        <f>IF(P$87=D89,1,"x")</f>
        <v/>
      </c>
      <c r="F89" s="1939" t="n"/>
      <c r="G89" s="2002" t="n"/>
      <c r="H89" s="15" t="n"/>
      <c r="AE89" s="1953" t="n"/>
      <c r="AF89" s="2015" t="inlineStr">
        <is>
          <t>Comportemental</t>
        </is>
      </c>
      <c r="AG89" s="2017" t="inlineStr">
        <is>
          <t>Émotif</t>
        </is>
      </c>
      <c r="AH89" s="2013" t="inlineStr">
        <is>
          <t>Verbal</t>
        </is>
      </c>
      <c r="AI89" s="2015" t="inlineStr">
        <is>
          <t>A:Alliance</t>
        </is>
      </c>
      <c r="AJ89" s="2022" t="inlineStr">
        <is>
          <t>B:Altération/dévoiement de la réalité</t>
        </is>
      </c>
      <c r="AK89" s="2022" t="inlineStr">
        <is>
          <t>C: Chantage affectif, loyauté, manipulation</t>
        </is>
      </c>
      <c r="AL89" s="2022" t="inlineStr">
        <is>
          <t>D: Dénigrement</t>
        </is>
      </c>
      <c r="AM89" s="2022" t="inlineStr">
        <is>
          <t>E: Interférence temps et/ou communication</t>
        </is>
      </c>
      <c r="AN89" s="2022" t="inlineStr">
        <is>
          <t>F: Interférence lien affectif ou symbolique</t>
        </is>
      </c>
      <c r="AO89" s="2022" t="inlineStr">
        <is>
          <t>G: Parentification</t>
        </is>
      </c>
      <c r="AP89" s="2024" t="inlineStr">
        <is>
          <t>H: Rôle actif, Réponse au CC, r</t>
        </is>
      </c>
    </row>
    <row r="90" ht="35" customHeight="1">
      <c r="A90" s="1433" t="n"/>
      <c r="C90" s="1959" t="inlineStr">
        <is>
          <t>Infidélité (de votre part ou de l'autre parent)</t>
        </is>
      </c>
      <c r="D90" s="1930" t="n">
        <v>3</v>
      </c>
      <c r="E90" s="1940">
        <f>IF(P$87=D90,1,"x")</f>
        <v/>
      </c>
      <c r="F90" s="1939" t="n"/>
      <c r="G90" s="2002" t="n"/>
      <c r="H90" s="15" t="n"/>
      <c r="AE90" s="1953" t="n"/>
      <c r="AF90" s="1678" t="n"/>
      <c r="AH90" s="2109" t="n"/>
      <c r="AI90" s="1678" t="n"/>
      <c r="AP90" s="2109" t="n"/>
    </row>
    <row r="91" ht="35" customHeight="1">
      <c r="A91" s="1433" t="n"/>
      <c r="C91" s="1959" t="inlineStr">
        <is>
          <t xml:space="preserve">Événement déclencheur (ex.: déménagement, deuil,...) </t>
        </is>
      </c>
      <c r="D91" s="1930" t="n">
        <v>4</v>
      </c>
      <c r="E91" s="1940">
        <f>IF(P$87=D91,1,"x")</f>
        <v/>
      </c>
      <c r="F91" s="1939" t="n"/>
      <c r="G91" s="2002" t="n"/>
      <c r="H91" s="15" t="n"/>
      <c r="AE91" s="1953" t="n"/>
      <c r="AF91" s="1678" t="n"/>
      <c r="AH91" s="2109" t="n"/>
      <c r="AI91" s="1678" t="n"/>
      <c r="AP91" s="2109" t="n"/>
    </row>
    <row r="92" ht="33" customHeight="1">
      <c r="A92" s="1433" t="n"/>
      <c r="C92" s="1960" t="inlineStr">
        <is>
          <t>Arrivée d'un·e nouveau ou nouvelle conjoint·e</t>
        </is>
      </c>
      <c r="D92" s="1930" t="n">
        <v>5</v>
      </c>
      <c r="E92" s="1940">
        <f>IF(P$87=D92,1,"x")</f>
        <v/>
      </c>
      <c r="F92" s="1939" t="n"/>
      <c r="G92" s="2002" t="n"/>
      <c r="H92" s="15" t="n"/>
      <c r="AE92" s="1953" t="n"/>
      <c r="AF92" s="1678" t="n"/>
      <c r="AH92" s="2109" t="n"/>
      <c r="AI92" s="1678" t="n"/>
      <c r="AP92" s="2109" t="n"/>
    </row>
    <row r="93" ht="25" customHeight="1">
      <c r="A93" s="75" t="n"/>
      <c r="C93" s="1961" t="inlineStr">
        <is>
          <t>Autre</t>
        </is>
      </c>
      <c r="D93" s="1930" t="inlineStr">
        <is>
          <t>Custom</t>
        </is>
      </c>
      <c r="E93" s="1940">
        <f>IF(P$87=D93,1,"x")</f>
        <v/>
      </c>
      <c r="F93" s="1939" t="n"/>
      <c r="G93" s="2002" t="n"/>
      <c r="H93" s="15" t="n"/>
      <c r="AE93" s="2110" t="n"/>
      <c r="AF93" s="2111" t="n"/>
      <c r="AG93" s="69" t="n"/>
      <c r="AH93" s="2112" t="n"/>
      <c r="AI93" s="2111" t="n"/>
      <c r="AJ93" s="69" t="n"/>
      <c r="AK93" s="69" t="n"/>
      <c r="AL93" s="69" t="n"/>
      <c r="AM93" s="69" t="n"/>
      <c r="AN93" s="69" t="n"/>
      <c r="AO93" s="69" t="n"/>
      <c r="AP93" s="2112" t="n"/>
    </row>
    <row r="94" ht="25" customHeight="1">
      <c r="A94" s="75" t="n"/>
      <c r="C94" s="17" t="inlineStr">
        <is>
          <t>Aucun</t>
        </is>
      </c>
      <c r="D94" s="1930" t="n">
        <v>6</v>
      </c>
      <c r="E94" s="1940">
        <f>IF(P$87=D94,1,"x")</f>
        <v/>
      </c>
      <c r="F94" s="2002" t="n"/>
      <c r="G94" s="2002" t="n"/>
      <c r="H94" s="1939" t="n"/>
      <c r="I94" s="2002" t="n"/>
      <c r="J94" s="15" t="n"/>
      <c r="AE94" s="521" t="n"/>
      <c r="AF94" s="24" t="n"/>
      <c r="AG94" s="24" t="n"/>
      <c r="AH94" s="24" t="n"/>
      <c r="AI94" s="1539" t="n"/>
      <c r="AJ94" s="1539" t="n"/>
      <c r="AK94" s="1539" t="n"/>
      <c r="AL94" s="1539" t="n"/>
      <c r="AM94" s="1539" t="n"/>
      <c r="AN94" s="1539" t="n"/>
      <c r="AO94" s="1539" t="n"/>
      <c r="AP94" s="1539" t="n"/>
    </row>
    <row r="95">
      <c r="A95" s="75" t="n"/>
      <c r="C95" s="17" t="n"/>
      <c r="E95" s="2002" t="inlineStr">
        <is>
          <t>Échelle d'évaluation</t>
        </is>
      </c>
      <c r="AE95" s="522" t="n"/>
      <c r="AF95" s="93" t="n"/>
      <c r="AG95" s="93" t="n"/>
      <c r="AH95" s="93" t="n"/>
      <c r="AI95" s="775" t="n"/>
      <c r="AJ95" s="775" t="n"/>
      <c r="AK95" s="775" t="n"/>
      <c r="AL95" s="775" t="n"/>
      <c r="AM95" s="775" t="n"/>
      <c r="AN95" s="775" t="n"/>
      <c r="AO95" s="775" t="n"/>
      <c r="AP95" s="775" t="n"/>
    </row>
    <row r="96" ht="26" customFormat="1" customHeight="1" s="7" thickBot="1">
      <c r="A96" s="304" t="inlineStr">
        <is>
          <t>HISTORIQUE</t>
        </is>
      </c>
      <c r="C96" s="93" t="n"/>
      <c r="D96" s="292" t="inlineStr">
        <is>
          <t>Intensité</t>
        </is>
      </c>
      <c r="E96" s="77" t="n">
        <v>0</v>
      </c>
      <c r="F96" s="77" t="n">
        <v>1</v>
      </c>
      <c r="G96" s="77" t="n">
        <v>2</v>
      </c>
      <c r="H96" s="77" t="n">
        <v>3</v>
      </c>
      <c r="I96" s="77" t="n">
        <v>4</v>
      </c>
      <c r="J96" s="77" t="n">
        <v>5</v>
      </c>
      <c r="K96" s="77" t="n">
        <v>6</v>
      </c>
      <c r="L96" s="77" t="n">
        <v>7</v>
      </c>
      <c r="M96" s="77" t="n">
        <v>8</v>
      </c>
      <c r="N96" s="77" t="n">
        <v>9</v>
      </c>
      <c r="O96" s="77" t="n">
        <v>10</v>
      </c>
      <c r="P96" s="78" t="inlineStr">
        <is>
          <t>Fréquence seul.</t>
        </is>
      </c>
      <c r="Q96" s="78" t="inlineStr">
        <is>
          <t>Fréquence * Intensité
(valeur de base)</t>
        </is>
      </c>
      <c r="R96" s="78" t="inlineStr">
        <is>
          <t>Condition SQ</t>
        </is>
      </c>
      <c r="S96" s="157" t="n"/>
      <c r="T96" s="157" t="n"/>
      <c r="U96" s="157" t="n"/>
      <c r="V96" s="17" t="inlineStr">
        <is>
          <t>Pour le calcul du gradient, la logique retenue est :</t>
        </is>
      </c>
      <c r="W96" s="157" t="n"/>
      <c r="X96" s="2002" t="n"/>
      <c r="Y96" s="2002" t="n"/>
      <c r="Z96" s="2002" t="n"/>
      <c r="AA96" s="2002" t="n"/>
      <c r="AB96" s="2002" t="n"/>
      <c r="AC96" s="2002" t="n"/>
      <c r="AE96" s="523" t="n"/>
      <c r="AF96" s="509" t="n"/>
      <c r="AG96" s="509" t="n"/>
      <c r="AH96" s="509" t="n"/>
      <c r="AI96" s="1540" t="n"/>
      <c r="AJ96" s="1540" t="n"/>
      <c r="AK96" s="1540" t="n"/>
      <c r="AL96" s="1540" t="n"/>
      <c r="AM96" s="1540" t="n"/>
      <c r="AN96" s="1540" t="n"/>
      <c r="AO96" s="1540" t="n"/>
      <c r="AP96" s="1540" t="n"/>
    </row>
    <row r="97" ht="35" customFormat="1" customHeight="1" s="7" thickTop="1">
      <c r="A97" s="1434">
        <f>BIBLE!E38</f>
        <v/>
      </c>
      <c r="B97" s="288">
        <f>BIBLE!F38</f>
        <v/>
      </c>
      <c r="C97" s="2003">
        <f>BIBLE!O38</f>
        <v/>
      </c>
      <c r="D97" s="294">
        <f>BIBLE!L38</f>
        <v/>
      </c>
      <c r="E97" s="2092" t="n"/>
      <c r="F97" s="2092" t="n"/>
      <c r="G97" s="2092" t="n"/>
      <c r="H97" s="2092" t="n"/>
      <c r="I97" s="2092" t="n"/>
      <c r="J97" s="2092" t="n"/>
      <c r="K97" s="2092" t="n"/>
      <c r="L97" s="2092" t="n"/>
      <c r="M97" s="2092" t="n"/>
      <c r="N97" s="2092" t="n"/>
      <c r="O97" s="2092" t="n">
        <v>1</v>
      </c>
      <c r="P97" s="25">
        <f>'TEST_pour application'!B48</f>
        <v/>
      </c>
      <c r="Q97" s="26">
        <f>P97*D97</f>
        <v/>
      </c>
      <c r="R97" s="2002">
        <f>IF(BIBLE!K38=0,"",BIBLE!K38)</f>
        <v/>
      </c>
      <c r="V97" s="17" t="inlineStr">
        <is>
          <t>1) Si la Q a une SQ, prendre le MAX des deux seulement (car un SQ aggrave l'intensité de la Q)</t>
        </is>
      </c>
      <c r="X97" s="2002" t="n"/>
      <c r="Y97" s="2002" t="n"/>
      <c r="Z97" s="2002" t="n"/>
      <c r="AA97" s="2002" t="n"/>
      <c r="AB97" s="2002" t="n"/>
      <c r="AC97" s="2002" t="n"/>
      <c r="AE97" s="523" t="n"/>
      <c r="AF97" s="509" t="n"/>
      <c r="AG97" s="509" t="n"/>
      <c r="AH97" s="509" t="n"/>
      <c r="AI97" s="1540" t="n"/>
      <c r="AJ97" s="1540" t="n"/>
      <c r="AK97" s="1540" t="n"/>
      <c r="AL97" s="1540" t="n"/>
      <c r="AM97" s="1540" t="n"/>
      <c r="AN97" s="1540" t="n"/>
      <c r="AO97" s="1540" t="n"/>
      <c r="AP97" s="1540" t="n"/>
    </row>
    <row r="98" ht="51" customFormat="1" customHeight="1" s="7">
      <c r="A98" s="1434">
        <f>BIBLE!E39</f>
        <v/>
      </c>
      <c r="B98" s="289">
        <f>BIBLE!F39</f>
        <v/>
      </c>
      <c r="C98" s="2003">
        <f>BIBLE!O39</f>
        <v/>
      </c>
      <c r="D98" s="294">
        <f>BIBLE!L39</f>
        <v/>
      </c>
      <c r="E98" s="20" t="n"/>
      <c r="F98" s="20" t="n"/>
      <c r="G98" s="20" t="n"/>
      <c r="H98" s="20" t="n"/>
      <c r="I98" s="20" t="n"/>
      <c r="J98" s="20" t="n"/>
      <c r="K98" s="20" t="n"/>
      <c r="L98" s="20" t="n"/>
      <c r="M98" s="20" t="n"/>
      <c r="N98" s="20" t="n"/>
      <c r="O98" s="20" t="n">
        <v>1</v>
      </c>
      <c r="P98" s="25">
        <f>'TEST_pour application'!B49</f>
        <v/>
      </c>
      <c r="Q98" s="26">
        <f>P98*D98</f>
        <v/>
      </c>
      <c r="R98" s="2002">
        <f>IF(BIBLE!K39=0,"",BIBLE!K39)</f>
        <v/>
      </c>
      <c r="V98" s="17" t="inlineStr">
        <is>
          <t>2) Si la Q a plusieurs sous-questions, additiionner les valeurs des sous-questions du même niveau, et prendre le MAX entre Q et chaque niveau de SQ</t>
        </is>
      </c>
      <c r="X98" s="2002" t="n"/>
      <c r="Y98" s="2002" t="n"/>
      <c r="Z98" s="2002" t="n"/>
      <c r="AA98" s="2002" t="n"/>
      <c r="AB98" s="2002" t="n"/>
      <c r="AC98" s="2002" t="n"/>
      <c r="AE98" s="523" t="n"/>
      <c r="AF98" s="509" t="n"/>
      <c r="AG98" s="509" t="n"/>
      <c r="AH98" s="509" t="n"/>
      <c r="AI98" s="1540" t="n"/>
      <c r="AJ98" s="1540" t="n"/>
      <c r="AK98" s="1540" t="n"/>
      <c r="AL98" s="1540" t="n"/>
      <c r="AM98" s="1540" t="n"/>
      <c r="AN98" s="1540" t="n"/>
      <c r="AO98" s="1540" t="n"/>
      <c r="AP98" s="1540" t="n"/>
    </row>
    <row r="99" ht="41" customFormat="1" customHeight="1" s="7">
      <c r="A99" s="1434">
        <f>BIBLE!E40</f>
        <v/>
      </c>
      <c r="B99" s="289">
        <f>BIBLE!F40</f>
        <v/>
      </c>
      <c r="C99" s="2003">
        <f>BIBLE!O40</f>
        <v/>
      </c>
      <c r="D99" s="294">
        <f>BIBLE!L40</f>
        <v/>
      </c>
      <c r="E99" s="54" t="n"/>
      <c r="F99" s="54" t="n"/>
      <c r="G99" s="54" t="n"/>
      <c r="H99" s="54" t="n"/>
      <c r="I99" s="54" t="n"/>
      <c r="J99" s="54" t="n"/>
      <c r="K99" s="2092" t="n">
        <v>1</v>
      </c>
      <c r="L99" s="54" t="n"/>
      <c r="M99" s="54" t="n"/>
      <c r="N99" s="54" t="n"/>
      <c r="O99" s="54" t="n"/>
      <c r="P99" s="25">
        <f>'TEST_pour application'!B50</f>
        <v/>
      </c>
      <c r="Q99" s="26">
        <f>P99*D99</f>
        <v/>
      </c>
      <c r="R99" s="2002">
        <f>IF(BIBLE!K40=0,"",BIBLE!K40)</f>
        <v/>
      </c>
      <c r="S99" s="1563" t="n"/>
      <c r="V99" s="17" t="n"/>
      <c r="X99" s="2002" t="n"/>
      <c r="Y99" s="2002" t="n"/>
      <c r="Z99" s="2002" t="n"/>
      <c r="AA99" s="2002" t="n"/>
      <c r="AB99" s="2002" t="n"/>
      <c r="AC99" s="2002" t="n"/>
      <c r="AE99" s="523" t="n"/>
      <c r="AF99" s="509" t="n"/>
      <c r="AG99" s="509" t="n"/>
      <c r="AH99" s="509" t="n"/>
      <c r="AI99" s="1540" t="n"/>
      <c r="AJ99" s="1540" t="n"/>
      <c r="AK99" s="1540" t="n"/>
      <c r="AL99" s="1540" t="n"/>
      <c r="AM99" s="1540" t="n"/>
      <c r="AN99" s="1540" t="n"/>
      <c r="AO99" s="1540" t="n"/>
      <c r="AP99" s="1540" t="n"/>
    </row>
    <row r="100" ht="41" customFormat="1" customHeight="1" s="7">
      <c r="A100" s="1434">
        <f>BIBLE!E41</f>
        <v/>
      </c>
      <c r="B100" s="2004">
        <f>IF(P99&gt;=$R$99,BIBLE!F41," ")</f>
        <v/>
      </c>
      <c r="C100" s="2003">
        <f>BIBLE!O41</f>
        <v/>
      </c>
      <c r="D100" s="294">
        <f>BIBLE!L41</f>
        <v/>
      </c>
      <c r="E100" s="2002" t="n"/>
      <c r="F100" s="2002" t="n">
        <v>1</v>
      </c>
      <c r="G100" s="2002" t="n"/>
      <c r="H100" s="2002" t="n"/>
      <c r="I100" s="2002" t="n"/>
      <c r="J100" s="2002" t="n"/>
      <c r="K100" s="2002" t="n"/>
      <c r="P100" s="25">
        <f>'TEST_pour application'!B51</f>
        <v/>
      </c>
      <c r="Q100" s="26">
        <f>P100*D100</f>
        <v/>
      </c>
      <c r="R100" s="2002">
        <f>IF(BIBLE!K41=0,"",BIBLE!K41)</f>
        <v/>
      </c>
      <c r="S100" s="1563" t="n"/>
      <c r="X100" s="2002" t="n"/>
      <c r="Y100" s="2002" t="n"/>
      <c r="Z100" s="2002" t="n"/>
      <c r="AA100" s="2002" t="n"/>
      <c r="AB100" s="2002" t="n"/>
      <c r="AC100" s="2002" t="n"/>
      <c r="AE100" s="523" t="n"/>
      <c r="AF100" s="509" t="n"/>
      <c r="AG100" s="509" t="n"/>
      <c r="AH100" s="509" t="n"/>
      <c r="AI100" s="1540" t="n"/>
      <c r="AJ100" s="1540" t="n"/>
      <c r="AK100" s="1540" t="n"/>
      <c r="AL100" s="1540" t="n"/>
      <c r="AM100" s="1540" t="n"/>
      <c r="AN100" s="1540" t="n"/>
      <c r="AO100" s="1540" t="n"/>
      <c r="AP100" s="1540" t="n"/>
    </row>
    <row r="101" ht="30" customFormat="1" customHeight="1" s="7">
      <c r="A101" s="1434">
        <f>BIBLE!E42</f>
        <v/>
      </c>
      <c r="B101" s="2004">
        <f>IF(P100&gt;=$R$100,BIBLE!F42," ")</f>
        <v/>
      </c>
      <c r="C101" s="2003">
        <f>BIBLE!O42</f>
        <v/>
      </c>
      <c r="D101" s="294">
        <f>BIBLE!L42</f>
        <v/>
      </c>
      <c r="E101" s="2092" t="n"/>
      <c r="F101" s="2092" t="n"/>
      <c r="G101" s="2092" t="n"/>
      <c r="H101" s="2092" t="n"/>
      <c r="I101" s="2092" t="n"/>
      <c r="J101" s="2092" t="n"/>
      <c r="K101" s="2092" t="n"/>
      <c r="L101" s="2092" t="n"/>
      <c r="M101" s="2092" t="n"/>
      <c r="N101" s="2092" t="n"/>
      <c r="O101" s="2092" t="n"/>
      <c r="P101" s="25">
        <f>'TEST_pour application'!B52</f>
        <v/>
      </c>
      <c r="Q101" s="26">
        <f>P101*D101</f>
        <v/>
      </c>
      <c r="R101" s="2002">
        <f>IF(BIBLE!K42=0,"",BIBLE!K42)</f>
        <v/>
      </c>
      <c r="V101" s="17" t="inlineStr">
        <is>
          <t>3) Si la Q n'a pas de sous-question, on prend la valeur de celle-ci</t>
        </is>
      </c>
      <c r="X101" s="2002" t="n"/>
      <c r="Y101" s="2002" t="n"/>
      <c r="Z101" s="2002" t="n"/>
      <c r="AA101" s="2002" t="n"/>
      <c r="AB101" s="2002" t="n"/>
      <c r="AC101" s="2002" t="n"/>
      <c r="AE101" s="523" t="n"/>
      <c r="AF101" s="509" t="n"/>
      <c r="AG101" s="509" t="n"/>
      <c r="AH101" s="509" t="n"/>
      <c r="AI101" s="1540" t="n"/>
      <c r="AJ101" s="1540" t="n"/>
      <c r="AK101" s="1540" t="n"/>
      <c r="AL101" s="1540" t="n"/>
      <c r="AM101" s="1540" t="n"/>
      <c r="AN101" s="1540" t="n"/>
      <c r="AO101" s="1540" t="n"/>
      <c r="AP101" s="1540" t="n"/>
    </row>
    <row r="102" ht="17" customFormat="1" customHeight="1" s="7" thickBot="1">
      <c r="A102" s="1434" t="n"/>
      <c r="B102" s="2059" t="n"/>
      <c r="C102" s="509" t="n"/>
      <c r="D102" s="294" t="n"/>
      <c r="E102" s="517">
        <f>$E$52</f>
        <v/>
      </c>
      <c r="F102" s="303">
        <f>$F$52</f>
        <v/>
      </c>
      <c r="G102" s="303">
        <f>$G$52</f>
        <v/>
      </c>
      <c r="H102" s="303">
        <f>$H$52</f>
        <v/>
      </c>
      <c r="I102" s="303">
        <f>$I$52</f>
        <v/>
      </c>
      <c r="J102" s="303">
        <f>$J$52</f>
        <v/>
      </c>
      <c r="K102" s="303">
        <f>$K$52</f>
        <v/>
      </c>
      <c r="L102" s="157" t="n"/>
      <c r="M102" s="157" t="n"/>
      <c r="N102" s="157" t="n"/>
      <c r="P102" s="25" t="n"/>
      <c r="Q102" s="26" t="n"/>
      <c r="S102" s="1563" t="n"/>
      <c r="X102" s="2002" t="n"/>
      <c r="Y102" s="2002" t="n"/>
      <c r="Z102" s="2002" t="n"/>
      <c r="AA102" s="2002" t="n"/>
      <c r="AB102" s="2002" t="n"/>
      <c r="AC102" s="2002" t="n"/>
      <c r="AE102" s="523" t="n"/>
      <c r="AF102" s="509" t="n"/>
      <c r="AG102" s="509" t="n"/>
      <c r="AH102" s="509" t="n"/>
      <c r="AI102" s="1540" t="n"/>
      <c r="AJ102" s="1540" t="n"/>
      <c r="AK102" s="1540" t="n"/>
      <c r="AL102" s="1540" t="n"/>
      <c r="AM102" s="1540" t="n"/>
      <c r="AN102" s="1540" t="n"/>
      <c r="AO102" s="1540" t="n"/>
      <c r="AP102" s="1540" t="n"/>
    </row>
    <row r="103" ht="35" customFormat="1" customHeight="1" s="7" thickTop="1">
      <c r="A103" s="1434">
        <f>BIBLE!E43</f>
        <v/>
      </c>
      <c r="B103" s="2066">
        <f>BIBLE!F43</f>
        <v/>
      </c>
      <c r="C103" s="2003">
        <f>BIBLE!O43</f>
        <v/>
      </c>
      <c r="D103" s="294">
        <f>BIBLE!L43</f>
        <v/>
      </c>
      <c r="E103" s="20" t="n"/>
      <c r="F103" s="20" t="n"/>
      <c r="G103" s="20" t="n">
        <v>1</v>
      </c>
      <c r="H103" s="20" t="n"/>
      <c r="I103" s="20" t="n"/>
      <c r="J103" s="20" t="n"/>
      <c r="K103" s="20" t="n"/>
      <c r="L103" s="20" t="n"/>
      <c r="M103" s="20" t="n"/>
      <c r="N103" s="20" t="n"/>
      <c r="O103" s="20" t="n"/>
      <c r="P103" s="25">
        <f>'TEST_pour application'!B53</f>
        <v/>
      </c>
      <c r="Q103" s="26">
        <f>P103*D103</f>
        <v/>
      </c>
      <c r="R103" s="2002">
        <f>IF(BIBLE!K43=0,"",BIBLE!K43)</f>
        <v/>
      </c>
      <c r="S103" s="1563" t="n"/>
      <c r="X103" s="2002" t="n"/>
      <c r="Y103" s="2002" t="n"/>
      <c r="Z103" s="2002" t="n"/>
      <c r="AA103" s="2002" t="n"/>
      <c r="AB103" s="2002" t="n"/>
      <c r="AC103" s="2002" t="n"/>
      <c r="AE103" s="523" t="n"/>
      <c r="AF103" s="509" t="n"/>
      <c r="AG103" s="509" t="n"/>
      <c r="AH103" s="509" t="n"/>
      <c r="AI103" s="1540" t="n"/>
      <c r="AJ103" s="1540" t="n"/>
      <c r="AK103" s="1540" t="n"/>
      <c r="AL103" s="1540" t="n"/>
      <c r="AM103" s="1540" t="n"/>
      <c r="AN103" s="1540" t="n"/>
      <c r="AO103" s="1540" t="n"/>
      <c r="AP103" s="1540" t="n"/>
    </row>
    <row r="104" ht="30" customFormat="1" customHeight="1" s="7">
      <c r="A104" s="1434">
        <f>BIBLE!E44</f>
        <v/>
      </c>
      <c r="B104" s="1453">
        <f>IF(P103&gt;=R103,BIBLE!F44," ")</f>
        <v/>
      </c>
      <c r="C104" s="2003">
        <f>BIBLE!O44</f>
        <v/>
      </c>
      <c r="D104" s="294">
        <f>BIBLE!L44</f>
        <v/>
      </c>
      <c r="E104" s="20" t="n"/>
      <c r="F104" s="70" t="n"/>
      <c r="G104" s="20" t="n">
        <v>1</v>
      </c>
      <c r="H104" s="70" t="n"/>
      <c r="I104" s="20" t="n"/>
      <c r="J104" s="20" t="n"/>
      <c r="K104" s="20" t="n"/>
      <c r="L104" s="90" t="n"/>
      <c r="M104" s="6" t="n"/>
      <c r="N104" s="2002" t="n"/>
      <c r="P104" s="25">
        <f>'TEST_pour application'!B54</f>
        <v/>
      </c>
      <c r="Q104" s="26">
        <f>P104*D104</f>
        <v/>
      </c>
      <c r="R104" s="2002" t="n"/>
      <c r="X104" s="2002" t="n"/>
      <c r="Y104" s="2002" t="n"/>
      <c r="Z104" s="2002" t="n"/>
      <c r="AA104" s="2002" t="n"/>
      <c r="AB104" s="2002" t="n"/>
      <c r="AC104" s="2002" t="n"/>
      <c r="AE104" s="494">
        <f>Q104</f>
        <v/>
      </c>
      <c r="AF104" s="26" t="n"/>
      <c r="AG104" s="26" t="n"/>
      <c r="AH104" s="26" t="n"/>
      <c r="AI104" s="1541" t="n"/>
      <c r="AJ104" s="1541" t="n"/>
      <c r="AK104" s="1541" t="n"/>
      <c r="AL104" s="1541" t="n"/>
      <c r="AM104" s="1541" t="n"/>
      <c r="AN104" s="1541" t="n"/>
      <c r="AO104" s="1541" t="n"/>
      <c r="AP104" s="1541" t="n"/>
    </row>
    <row r="105" ht="58" customFormat="1" customHeight="1" s="7">
      <c r="A105" s="1434">
        <f>BIBLE!E45</f>
        <v/>
      </c>
      <c r="B105" s="288">
        <f>BIBLE!F45</f>
        <v/>
      </c>
      <c r="C105" s="2003">
        <f>BIBLE!O45</f>
        <v/>
      </c>
      <c r="D105" s="294">
        <f>BIBLE!L45</f>
        <v/>
      </c>
      <c r="E105" s="20" t="n"/>
      <c r="F105" s="70" t="n">
        <v>1</v>
      </c>
      <c r="G105" s="20" t="n"/>
      <c r="H105" s="70" t="n"/>
      <c r="I105" s="20" t="n"/>
      <c r="J105" s="20" t="n"/>
      <c r="K105" s="20" t="n"/>
      <c r="L105" s="20" t="n"/>
      <c r="M105" s="20" t="n"/>
      <c r="N105" s="20" t="n"/>
      <c r="O105" s="20" t="n"/>
      <c r="P105" s="25">
        <f>'TEST_pour application'!B55</f>
        <v/>
      </c>
      <c r="Q105" s="26">
        <f>P105*D105</f>
        <v/>
      </c>
      <c r="R105" s="2002">
        <f>IF(BIBLE!K45=0,"",BIBLE!K45)</f>
        <v/>
      </c>
      <c r="V105" s="2002" t="n"/>
      <c r="X105" s="2002" t="n"/>
      <c r="Y105" s="2002" t="n"/>
      <c r="Z105" s="2002" t="n"/>
      <c r="AA105" s="2002" t="n"/>
      <c r="AB105" s="2002" t="n"/>
      <c r="AC105" s="2002" t="n"/>
      <c r="AE105" s="523" t="n"/>
      <c r="AF105" s="509" t="n"/>
      <c r="AG105" s="509" t="n"/>
      <c r="AH105" s="509" t="n"/>
      <c r="AI105" s="1540" t="n"/>
      <c r="AJ105" s="1540" t="n"/>
      <c r="AK105" s="1540" t="n"/>
      <c r="AL105" s="1540" t="n"/>
      <c r="AM105" s="1540" t="n"/>
      <c r="AN105" s="1540" t="n"/>
      <c r="AO105" s="1540" t="n"/>
      <c r="AP105" s="1540" t="n"/>
    </row>
    <row r="106" ht="44" customFormat="1" customHeight="1" s="7">
      <c r="A106" s="1434">
        <f>BIBLE!E46</f>
        <v/>
      </c>
      <c r="B106" s="1453">
        <f>IF(P105&gt;=R105,BIBLE!F46," ")</f>
        <v/>
      </c>
      <c r="C106" s="2003">
        <f>BIBLE!O46</f>
        <v/>
      </c>
      <c r="D106" s="294">
        <f>BIBLE!L46</f>
        <v/>
      </c>
      <c r="E106" s="2002" t="n"/>
      <c r="F106" s="2002" t="n"/>
      <c r="G106" s="2002" t="n"/>
      <c r="H106" s="2002" t="n"/>
      <c r="I106" s="2002" t="n"/>
      <c r="J106" s="2002" t="n"/>
      <c r="K106" s="2002" t="n"/>
      <c r="L106" s="2002" t="n"/>
      <c r="M106" s="2002" t="n"/>
      <c r="N106" s="2002" t="n"/>
      <c r="O106" s="2002" t="n"/>
      <c r="P106" s="25">
        <f>'TEST_pour application'!B56</f>
        <v/>
      </c>
      <c r="Q106" s="26">
        <f>P106*D106</f>
        <v/>
      </c>
      <c r="R106" s="2002" t="n"/>
      <c r="V106" s="2002" t="n"/>
      <c r="X106" s="2002" t="n"/>
      <c r="Y106" s="2002" t="n"/>
      <c r="Z106" s="2002" t="n"/>
      <c r="AA106" s="2002" t="n"/>
      <c r="AB106" s="2002" t="n"/>
      <c r="AC106" s="2002" t="n"/>
      <c r="AE106" s="494">
        <f>Q106</f>
        <v/>
      </c>
      <c r="AF106" s="26" t="n"/>
      <c r="AG106" s="26" t="n"/>
      <c r="AH106" s="26" t="n"/>
      <c r="AI106" s="1541" t="n"/>
      <c r="AJ106" s="1541" t="n"/>
      <c r="AK106" s="1541" t="n"/>
      <c r="AL106" s="1541" t="n"/>
      <c r="AM106" s="1541" t="n"/>
      <c r="AN106" s="1541" t="n"/>
      <c r="AO106" s="1541" t="n"/>
      <c r="AP106" s="1541" t="n"/>
    </row>
    <row r="107" ht="27" customFormat="1" customHeight="1" s="2002">
      <c r="A107" s="287" t="n"/>
      <c r="B107" s="72" t="n"/>
      <c r="C107" s="305" t="n"/>
      <c r="D107" s="297" t="n"/>
      <c r="P107" s="90" t="n"/>
      <c r="Q107" s="6" t="n"/>
      <c r="X107" s="1999" t="inlineStr">
        <is>
          <t>Zone Gradiant de l'échelle</t>
        </is>
      </c>
      <c r="AE107" s="521" t="n"/>
      <c r="AF107" s="24" t="n"/>
      <c r="AG107" s="24" t="n"/>
      <c r="AH107" s="24" t="n"/>
      <c r="AI107" s="1539" t="n"/>
      <c r="AJ107" s="1539" t="n"/>
      <c r="AK107" s="1539" t="n"/>
      <c r="AL107" s="1539" t="n"/>
      <c r="AM107" s="1539" t="n"/>
      <c r="AN107" s="1539" t="n"/>
      <c r="AO107" s="1539" t="n"/>
      <c r="AP107" s="1539" t="n"/>
    </row>
    <row r="108" ht="34" customFormat="1" customHeight="1" s="7" thickBot="1">
      <c r="A108" s="306" t="inlineStr">
        <is>
          <t>Parent répondant</t>
        </is>
      </c>
      <c r="B108" s="2066" t="n"/>
      <c r="C108" s="93" t="n"/>
      <c r="D108" s="294" t="inlineStr">
        <is>
          <t>Intensité :</t>
        </is>
      </c>
      <c r="E108" s="517">
        <f>$E$52</f>
        <v/>
      </c>
      <c r="F108" s="303">
        <f>$F$52</f>
        <v/>
      </c>
      <c r="G108" s="303">
        <f>$G$52</f>
        <v/>
      </c>
      <c r="H108" s="303">
        <f>$H$52</f>
        <v/>
      </c>
      <c r="I108" s="303">
        <f>$I$52</f>
        <v/>
      </c>
      <c r="J108" s="303">
        <f>$J$52</f>
        <v/>
      </c>
      <c r="K108" s="303">
        <f>$K$52</f>
        <v/>
      </c>
      <c r="P108" s="78" t="inlineStr">
        <is>
          <t>Fréquence seul.</t>
        </is>
      </c>
      <c r="Q108" s="78" t="inlineStr">
        <is>
          <t>Fréquence * Intensité
(valeur de base)</t>
        </is>
      </c>
      <c r="R108" s="78" t="inlineStr">
        <is>
          <t>Condition SQ</t>
        </is>
      </c>
      <c r="V108" s="15" t="inlineStr">
        <is>
          <t>Valeur de Q et SQ</t>
        </is>
      </c>
      <c r="X108" s="493" t="n">
        <v>0</v>
      </c>
      <c r="Y108" s="493">
        <f>G108</f>
        <v/>
      </c>
      <c r="Z108" s="493">
        <f>H108</f>
        <v/>
      </c>
      <c r="AA108" s="493">
        <f>I108</f>
        <v/>
      </c>
      <c r="AB108" s="493">
        <f>J108</f>
        <v/>
      </c>
      <c r="AC108" s="493">
        <f>K108</f>
        <v/>
      </c>
      <c r="AE108" s="522" t="n"/>
      <c r="AF108" s="93" t="n"/>
      <c r="AG108" s="93" t="n"/>
      <c r="AH108" s="93" t="n"/>
      <c r="AI108" s="775" t="n"/>
      <c r="AJ108" s="775" t="n"/>
      <c r="AK108" s="775" t="n"/>
      <c r="AL108" s="775" t="n"/>
      <c r="AM108" s="775" t="n"/>
      <c r="AN108" s="775" t="n"/>
      <c r="AO108" s="775" t="n"/>
      <c r="AP108" s="775" t="n"/>
      <c r="AQ108" s="7" t="inlineStr">
        <is>
          <t>Valeur</t>
        </is>
      </c>
      <c r="AZ108" s="17" t="inlineStr">
        <is>
          <t>Deux SQ à un même niveau, on les additionne et on prend le max entre la Q et les SQ</t>
        </is>
      </c>
    </row>
    <row r="109" ht="56" customFormat="1" customHeight="1" s="17" thickTop="1">
      <c r="A109" s="1435">
        <f>BIBLE!E49</f>
        <v/>
      </c>
      <c r="B109" s="2059">
        <f>BIBLE!F49</f>
        <v/>
      </c>
      <c r="C109" s="1062">
        <f>BIBLE!O49</f>
        <v/>
      </c>
      <c r="D109" s="294">
        <f>IF(P109&lt;=2,BIBLE!M49,BIBLE!L49)</f>
        <v/>
      </c>
      <c r="E109" s="20" t="n"/>
      <c r="F109" s="1063" t="n"/>
      <c r="G109" s="1063" t="n"/>
      <c r="H109" s="1063" t="n"/>
      <c r="I109" s="1063" t="n">
        <v>1</v>
      </c>
      <c r="J109" s="1063" t="n"/>
      <c r="K109" s="1063" t="n"/>
      <c r="L109" s="1063" t="n"/>
      <c r="M109" s="20" t="n"/>
      <c r="N109" s="20" t="n"/>
      <c r="O109" s="20" t="n"/>
      <c r="P109" s="25">
        <f>'TEST_pour application'!B83</f>
        <v/>
      </c>
      <c r="Q109" s="26">
        <f>P109*D109</f>
        <v/>
      </c>
      <c r="R109" s="2002">
        <f>BIBLE!K49</f>
        <v/>
      </c>
      <c r="S109" s="2073" t="n"/>
      <c r="T109" s="2073" t="n"/>
      <c r="U109" s="2073" t="n"/>
      <c r="V109" s="6">
        <f>MAX(AQ109:AQ111)</f>
        <v/>
      </c>
      <c r="W109" s="2002" t="n"/>
      <c r="X109" s="6">
        <f>MAX(AS109:AS111)</f>
        <v/>
      </c>
      <c r="Y109" s="6">
        <f>MAX(AT109:AT111)</f>
        <v/>
      </c>
      <c r="Z109" s="6">
        <f>MAX(AU109:AU111)</f>
        <v/>
      </c>
      <c r="AA109" s="6">
        <f>MAX(AV109:AV111)</f>
        <v/>
      </c>
      <c r="AB109" s="6">
        <f>MAX(AW109:AW111)</f>
        <v/>
      </c>
      <c r="AC109" s="6">
        <f>MAX(AX109:AX111)</f>
        <v/>
      </c>
      <c r="AD109" s="2002" t="n"/>
      <c r="AE109" s="521" t="n"/>
      <c r="AF109" s="24">
        <f>IF($Q109=$V109,$Q109*BIBLE!R49,IF(Test_Bible!$Q110=Test_Bible!$V109,Test_Bible!$Q110*BIBLE!R50,Test_Bible!$Q111*BIBLE!R51))</f>
        <v/>
      </c>
      <c r="AG109" s="24">
        <f>IF($Q109=$V109,$Q109*BIBLE!S49,IF(Test_Bible!$Q110=Test_Bible!$V109,Test_Bible!$Q110*BIBLE!S50,Test_Bible!$Q111*BIBLE!S51))</f>
        <v/>
      </c>
      <c r="AH109" s="24">
        <f>IF($Q109=$V109,$Q109*BIBLE!T49,IF(Test_Bible!$Q110=Test_Bible!$V109,Test_Bible!$Q110*BIBLE!T50,Test_Bible!$Q111*BIBLE!T252))</f>
        <v/>
      </c>
      <c r="AI109" s="1539">
        <f>IF($Q109=$V109,$Q109*BIBLE!V25,IF(Test_Bible!$Q110=Test_Bible!$V109,Test_Bible!$Q110*BIBLE!V26,Test_Bible!$Q111*BIBLE!V27))</f>
        <v/>
      </c>
      <c r="AJ109" s="1539">
        <f>IF($Q109=$V109,$Q109*BIBLE!W25,IF(Test_Bible!$Q110=Test_Bible!$V109,Test_Bible!$Q110*BIBLE!W26,Test_Bible!$Q111*BIBLE!W27))</f>
        <v/>
      </c>
      <c r="AK109" s="1539">
        <f>IF($Q109=$V109,$Q109*BIBLE!X25,IF(Test_Bible!$Q110=Test_Bible!$V109,Test_Bible!$Q110*BIBLE!X26,Test_Bible!$Q111*BIBLE!X27))</f>
        <v/>
      </c>
      <c r="AL109" s="1539">
        <f>IF($Q109=$V109,$Q109*BIBLE!Y25,IF(Test_Bible!$Q110=Test_Bible!$V109,Test_Bible!$Q110*BIBLE!Y26,Test_Bible!$Q111*BIBLE!Y27))</f>
        <v/>
      </c>
      <c r="AM109" s="1539">
        <f>IF($Q109=$V109,$Q109*BIBLE!Z25,IF(Test_Bible!$Q110=Test_Bible!$V109,Test_Bible!$Q110*BIBLE!Z26,Test_Bible!$Q111*BIBLE!Z27))</f>
        <v/>
      </c>
      <c r="AN109" s="1539">
        <f>IF($Q109=$V109,$Q109*BIBLE!AA25,IF(Test_Bible!$Q110=Test_Bible!$V109,Test_Bible!$Q110*BIBLE!AA26,Test_Bible!$Q111*BIBLE!AA27))</f>
        <v/>
      </c>
      <c r="AO109" s="1539">
        <f>IF($Q109=$V109,$Q109*BIBLE!AB25,IF(Test_Bible!$Q110=Test_Bible!$V109,Test_Bible!$Q110*BIBLE!AB26,Test_Bible!$Q111*BIBLE!AB27))</f>
        <v/>
      </c>
      <c r="AP109" s="1539">
        <f>IF($Q109=$V109,$Q109*BIBLE!AC25,IF(Test_Bible!$Q110=Test_Bible!$V109,Test_Bible!$Q110*BIBLE!AC26,Test_Bible!$Q111*BIBLE!AC27))</f>
        <v/>
      </c>
      <c r="AQ109" s="6">
        <f>Q109</f>
        <v/>
      </c>
      <c r="AR109" s="2073" t="n"/>
      <c r="AS109" s="6">
        <f>IF($Q109&gt;0,X$108*$D109,0)</f>
        <v/>
      </c>
      <c r="AT109" s="6">
        <f>IF($Q109&gt;0,Y$108*$D109,0)</f>
        <v/>
      </c>
      <c r="AU109" s="6">
        <f>IF($Q109&gt;0,Z$108*$D109,0)</f>
        <v/>
      </c>
      <c r="AV109" s="6">
        <f>IF($Q109&gt;0,AA$108*$D109,0)</f>
        <v/>
      </c>
      <c r="AW109" s="6">
        <f>IF($Q109&gt;0,AB$108*$D109,0)</f>
        <v/>
      </c>
      <c r="AX109" s="6">
        <f>IF($Q109&gt;0,AC$108*$D109,0)</f>
        <v/>
      </c>
      <c r="AY109" s="2002" t="n"/>
      <c r="AZ109" s="6" t="inlineStr">
        <is>
          <t>Deux SQ, mais à un niveau différent, on prend le max entre la Q et les SQ</t>
        </is>
      </c>
      <c r="BA109" s="2002" t="n"/>
      <c r="BB109" s="487">
        <f>AS109</f>
        <v/>
      </c>
      <c r="BC109" s="487">
        <f>AT109</f>
        <v/>
      </c>
      <c r="BD109" s="487">
        <f>AU109</f>
        <v/>
      </c>
      <c r="BE109" s="487">
        <f>AV109</f>
        <v/>
      </c>
      <c r="BF109" s="487">
        <f>AW109</f>
        <v/>
      </c>
      <c r="BG109" s="487">
        <f>AX109</f>
        <v/>
      </c>
    </row>
    <row r="110" ht="37" customFormat="1" customHeight="1" s="17">
      <c r="A110" s="1435">
        <f>BIBLE!E50</f>
        <v/>
      </c>
      <c r="B110" s="2004">
        <f>IF(P109&gt;=R109,BIBLE!F50," ")</f>
        <v/>
      </c>
      <c r="C110" s="1062">
        <f>BIBLE!O50</f>
        <v/>
      </c>
      <c r="D110" s="294">
        <f>BIBLE!L50</f>
        <v/>
      </c>
      <c r="E110" s="20" t="n"/>
      <c r="F110" s="1063" t="n"/>
      <c r="G110" s="1063" t="n"/>
      <c r="H110" s="1063" t="n"/>
      <c r="I110" s="1063" t="n">
        <v>1</v>
      </c>
      <c r="J110" s="1063" t="n"/>
      <c r="K110" s="1063" t="n"/>
      <c r="L110" s="1063" t="n"/>
      <c r="M110" s="20" t="n"/>
      <c r="N110" s="20" t="n"/>
      <c r="O110" s="20" t="n"/>
      <c r="P110" s="25">
        <f>'TEST_pour application'!B84</f>
        <v/>
      </c>
      <c r="Q110" s="26">
        <f>P110*D110</f>
        <v/>
      </c>
      <c r="R110" s="2002">
        <f>BIBLE!K50</f>
        <v/>
      </c>
      <c r="S110" s="2073" t="n"/>
      <c r="T110" s="2073" t="n"/>
      <c r="U110" s="2073" t="n"/>
      <c r="V110" s="2002" t="n"/>
      <c r="W110" s="2002" t="n"/>
      <c r="X110" s="2002" t="n"/>
      <c r="Y110" s="2002" t="n"/>
      <c r="Z110" s="2002" t="n"/>
      <c r="AA110" s="2002" t="n"/>
      <c r="AB110" s="2002" t="n"/>
      <c r="AC110" s="2002" t="n"/>
      <c r="AD110" s="2002" t="n"/>
      <c r="AE110" s="521" t="n"/>
      <c r="AF110" s="24" t="n"/>
      <c r="AG110" s="24" t="n"/>
      <c r="AH110" s="24" t="n"/>
      <c r="AI110" s="1539" t="n"/>
      <c r="AJ110" s="1539" t="n"/>
      <c r="AK110" s="1539" t="n"/>
      <c r="AL110" s="1539" t="n"/>
      <c r="AM110" s="1539" t="n"/>
      <c r="AN110" s="1539" t="n"/>
      <c r="AO110" s="1539" t="n"/>
      <c r="AP110" s="1539" t="n"/>
      <c r="AQ110" s="6">
        <f>Q110</f>
        <v/>
      </c>
      <c r="AR110" s="2073" t="n"/>
      <c r="AS110" s="6">
        <f>IF($Q110&gt;0,X$108*$D110,0)</f>
        <v/>
      </c>
      <c r="AT110" s="6">
        <f>IF($Q110&gt;0,Y$108*$D110,0)</f>
        <v/>
      </c>
      <c r="AU110" s="6">
        <f>IF($Q110&gt;0,Z$108*$D110,0)</f>
        <v/>
      </c>
      <c r="AV110" s="6">
        <f>IF($Q110&gt;0,AA$108*$D110,0)</f>
        <v/>
      </c>
      <c r="AW110" s="6">
        <f>IF($Q110&gt;0,AB$108*$D110,0)</f>
        <v/>
      </c>
      <c r="AX110" s="6">
        <f>IF($Q110&gt;0,AC$108*$D110,0)</f>
        <v/>
      </c>
      <c r="AY110" s="2002" t="n"/>
      <c r="AZ110" s="6" t="n"/>
      <c r="BA110" s="2002" t="n"/>
      <c r="BB110" s="487">
        <f>AS110+AS111</f>
        <v/>
      </c>
      <c r="BC110" s="487">
        <f>AT110+AT111</f>
        <v/>
      </c>
      <c r="BD110" s="487">
        <f>AU110+AU111</f>
        <v/>
      </c>
      <c r="BE110" s="487">
        <f>AV110+AV111</f>
        <v/>
      </c>
      <c r="BF110" s="487">
        <f>AW110+AW111</f>
        <v/>
      </c>
      <c r="BG110" s="487">
        <f>AX110+AX111</f>
        <v/>
      </c>
    </row>
    <row r="111" ht="42" customFormat="1" customHeight="1" s="17">
      <c r="A111" s="1435">
        <f>BIBLE!E51</f>
        <v/>
      </c>
      <c r="B111" s="1610">
        <f>IF(P110&gt;=R110,BIBLE!F51," ")</f>
        <v/>
      </c>
      <c r="C111" s="1062">
        <f>BIBLE!O51</f>
        <v/>
      </c>
      <c r="D111" s="294">
        <f>BIBLE!L51</f>
        <v/>
      </c>
      <c r="E111" s="307" t="n"/>
      <c r="F111" s="1063" t="n"/>
      <c r="G111" s="1063" t="n">
        <v>1</v>
      </c>
      <c r="H111" s="1063" t="n"/>
      <c r="I111" s="1063" t="n"/>
      <c r="J111" s="1063" t="n"/>
      <c r="K111" s="1063" t="n"/>
      <c r="L111" s="1063" t="n"/>
      <c r="M111" s="307" t="n"/>
      <c r="N111" s="307" t="n"/>
      <c r="O111" s="307" t="n"/>
      <c r="P111" s="25">
        <f>'TEST_pour application'!B85</f>
        <v/>
      </c>
      <c r="Q111" s="26">
        <f>P111*D111</f>
        <v/>
      </c>
      <c r="R111" s="2002" t="n"/>
      <c r="S111" s="2073" t="n"/>
      <c r="T111" s="2073" t="n"/>
      <c r="U111" s="2073" t="n"/>
      <c r="V111" s="2002" t="n"/>
      <c r="W111" s="2002" t="n"/>
      <c r="X111" s="2002" t="n"/>
      <c r="Y111" s="2002" t="n"/>
      <c r="Z111" s="2002" t="n"/>
      <c r="AA111" s="2002" t="n"/>
      <c r="AB111" s="2002" t="n"/>
      <c r="AC111" s="2002" t="n"/>
      <c r="AD111" s="2002" t="n"/>
      <c r="AE111" s="494" t="n"/>
      <c r="AF111" s="24" t="n"/>
      <c r="AG111" s="24" t="n"/>
      <c r="AH111" s="24" t="n"/>
      <c r="AI111" s="1541" t="n"/>
      <c r="AJ111" s="1541" t="n"/>
      <c r="AK111" s="1541" t="n"/>
      <c r="AL111" s="1541" t="n"/>
      <c r="AM111" s="1541" t="n"/>
      <c r="AN111" s="1541" t="n"/>
      <c r="AO111" s="1541" t="n"/>
      <c r="AP111" s="1541" t="n"/>
      <c r="AQ111" s="6">
        <f>Q111</f>
        <v/>
      </c>
      <c r="AR111" s="2073" t="n"/>
      <c r="AS111" s="6">
        <f>IF($Q111&gt;0,X$108*$D111,0)</f>
        <v/>
      </c>
      <c r="AT111" s="6">
        <f>IF($Q111&gt;0,Y$108*$D111,0)</f>
        <v/>
      </c>
      <c r="AU111" s="6">
        <f>IF($Q111&gt;0,Z$108*$D111,0)</f>
        <v/>
      </c>
      <c r="AV111" s="6">
        <f>IF($Q111&gt;0,AA$108*$D111,0)</f>
        <v/>
      </c>
      <c r="AW111" s="6">
        <f>IF($Q111&gt;0,AB$108*$D111,0)</f>
        <v/>
      </c>
      <c r="AX111" s="6">
        <f>IF($Q111&gt;0,AC$108*$D111,0)</f>
        <v/>
      </c>
      <c r="AY111" s="2002" t="n"/>
      <c r="AZ111" s="2002" t="n"/>
      <c r="BA111" s="2002" t="n"/>
    </row>
    <row r="112" ht="18" customFormat="1" customHeight="1" s="7">
      <c r="A112" s="1435">
        <f>BIBLE!E52</f>
        <v/>
      </c>
      <c r="B112" s="2004">
        <f>IF(P$123&gt;=R$123,BIBLE!F52," ")</f>
        <v/>
      </c>
      <c r="C112" s="93" t="n"/>
      <c r="D112" s="294">
        <f>BIBLE!L52</f>
        <v/>
      </c>
      <c r="E112" s="20" t="n"/>
      <c r="F112" s="20" t="n"/>
      <c r="G112" s="20" t="n"/>
      <c r="H112" s="20" t="n"/>
      <c r="I112" s="20" t="n"/>
      <c r="J112" s="20" t="n"/>
      <c r="K112" s="20" t="n"/>
      <c r="L112" s="20" t="n"/>
      <c r="M112" s="20" t="n"/>
      <c r="N112" s="20" t="n"/>
      <c r="O112" s="20" t="n"/>
      <c r="P112" s="26" t="n"/>
      <c r="Q112" s="26" t="n"/>
      <c r="R112" s="2002" t="n"/>
      <c r="V112" s="2002" t="n"/>
      <c r="X112" s="2002" t="n"/>
      <c r="Y112" s="2002" t="n"/>
      <c r="Z112" s="2002" t="n"/>
      <c r="AA112" s="2002" t="n"/>
      <c r="AB112" s="2002" t="n"/>
      <c r="AC112" s="2002" t="n"/>
      <c r="AE112" s="522" t="n"/>
      <c r="AF112" s="24" t="n"/>
      <c r="AG112" s="24" t="n"/>
      <c r="AH112" s="24" t="n"/>
      <c r="AI112" s="775" t="n"/>
      <c r="AJ112" s="775" t="n"/>
      <c r="AK112" s="775" t="n"/>
      <c r="AL112" s="775" t="n"/>
      <c r="AM112" s="775" t="n"/>
      <c r="AN112" s="775" t="n"/>
      <c r="AO112" s="775" t="n"/>
      <c r="AP112" s="775" t="n"/>
    </row>
    <row r="113" ht="15" customFormat="1" customHeight="1" s="7">
      <c r="A113" s="1436" t="n"/>
      <c r="B113" s="310">
        <f>IF(P$110&gt;=R$110,"Nutrition"," ")</f>
        <v/>
      </c>
      <c r="C113" s="93" t="n"/>
      <c r="D113" s="1930" t="n">
        <v>1</v>
      </c>
      <c r="E113" s="1950">
        <f>'TEST_pour application'!B86</f>
        <v/>
      </c>
      <c r="F113" s="20" t="n"/>
      <c r="G113" s="20" t="n"/>
      <c r="H113" s="20" t="n"/>
      <c r="I113" s="20" t="n"/>
      <c r="J113" s="20" t="n"/>
      <c r="K113" s="20" t="n"/>
      <c r="L113" s="20" t="n"/>
      <c r="M113" s="20" t="n"/>
      <c r="N113" s="20" t="n"/>
      <c r="O113" s="20" t="n"/>
      <c r="P113" s="1946">
        <f>D113*E113</f>
        <v/>
      </c>
      <c r="Q113" s="26" t="n"/>
      <c r="R113" s="2002" t="n"/>
      <c r="V113" s="2002" t="n"/>
      <c r="X113" s="2002" t="n"/>
      <c r="Y113" s="2002" t="n"/>
      <c r="Z113" s="2002" t="n"/>
      <c r="AA113" s="2002" t="n"/>
      <c r="AB113" s="2002" t="n"/>
      <c r="AC113" s="2002" t="n"/>
      <c r="AE113" s="522" t="n"/>
      <c r="AF113" s="24" t="n"/>
      <c r="AG113" s="24" t="n"/>
      <c r="AH113" s="24" t="n"/>
      <c r="AI113" s="775" t="n"/>
      <c r="AJ113" s="775" t="n"/>
      <c r="AK113" s="775" t="n"/>
      <c r="AL113" s="775" t="n"/>
      <c r="AM113" s="775" t="n"/>
      <c r="AN113" s="775" t="n"/>
      <c r="AO113" s="775" t="n"/>
      <c r="AP113" s="775" t="n"/>
    </row>
    <row r="114" ht="15" customFormat="1" customHeight="1" s="7">
      <c r="A114" s="1436" t="n"/>
      <c r="B114" s="310">
        <f>IF(P$110&gt;=R$110,"Gestion du temps de garde"," ")</f>
        <v/>
      </c>
      <c r="C114" s="93" t="n"/>
      <c r="D114" s="1930" t="n">
        <v>2</v>
      </c>
      <c r="E114" s="1950">
        <f>'TEST_pour application'!B87</f>
        <v/>
      </c>
      <c r="F114" s="20" t="n"/>
      <c r="G114" s="20" t="n"/>
      <c r="H114" s="20" t="n"/>
      <c r="I114" s="20" t="n"/>
      <c r="J114" s="20" t="n"/>
      <c r="K114" s="20" t="n"/>
      <c r="L114" s="20" t="n"/>
      <c r="M114" s="20" t="n"/>
      <c r="N114" s="20" t="n"/>
      <c r="O114" s="20" t="n"/>
      <c r="P114" s="1946">
        <f>D114*E114</f>
        <v/>
      </c>
      <c r="Q114" s="26" t="n"/>
      <c r="R114" s="2002" t="n"/>
      <c r="V114" s="2002" t="n"/>
      <c r="X114" s="2002" t="n"/>
      <c r="Y114" s="2002" t="n"/>
      <c r="Z114" s="2002" t="n"/>
      <c r="AA114" s="2002" t="n"/>
      <c r="AB114" s="2002" t="n"/>
      <c r="AC114" s="2002" t="n"/>
      <c r="AE114" s="522" t="n"/>
      <c r="AF114" s="24" t="n"/>
      <c r="AG114" s="24" t="n"/>
      <c r="AH114" s="24" t="n"/>
      <c r="AI114" s="775" t="n"/>
      <c r="AJ114" s="775" t="n"/>
      <c r="AK114" s="775" t="n"/>
      <c r="AL114" s="775" t="n"/>
      <c r="AM114" s="775" t="n"/>
      <c r="AN114" s="775" t="n"/>
      <c r="AO114" s="775" t="n"/>
      <c r="AP114" s="775" t="n"/>
    </row>
    <row r="115" ht="15" customFormat="1" customHeight="1" s="7">
      <c r="A115" s="1436" t="n"/>
      <c r="B115" s="310">
        <f>IF(P$110&gt;=R$110,"Questions d'argent"," ")</f>
        <v/>
      </c>
      <c r="C115" s="93" t="n"/>
      <c r="D115" s="1930" t="n">
        <v>3</v>
      </c>
      <c r="E115" s="1950">
        <f>'TEST_pour application'!B88</f>
        <v/>
      </c>
      <c r="F115" s="20" t="n"/>
      <c r="G115" s="20" t="n"/>
      <c r="H115" s="20" t="n"/>
      <c r="I115" s="20" t="n"/>
      <c r="J115" s="20" t="n"/>
      <c r="K115" s="20" t="n"/>
      <c r="L115" s="20" t="n"/>
      <c r="M115" s="20" t="n"/>
      <c r="N115" s="20" t="n"/>
      <c r="O115" s="20" t="n"/>
      <c r="P115" s="1946">
        <f>D115*E115</f>
        <v/>
      </c>
      <c r="Q115" s="26" t="n"/>
      <c r="R115" s="2002" t="n"/>
      <c r="V115" s="2002" t="n"/>
      <c r="X115" s="2002" t="n"/>
      <c r="Y115" s="2002" t="n"/>
      <c r="Z115" s="2002" t="n"/>
      <c r="AA115" s="2002" t="n"/>
      <c r="AB115" s="2002" t="n"/>
      <c r="AC115" s="2002" t="n"/>
      <c r="AE115" s="522" t="n"/>
      <c r="AF115" s="24" t="n"/>
      <c r="AG115" s="24" t="n"/>
      <c r="AH115" s="24" t="n"/>
      <c r="AI115" s="775" t="n"/>
      <c r="AJ115" s="775" t="n"/>
      <c r="AK115" s="775" t="n"/>
      <c r="AL115" s="775" t="n"/>
      <c r="AM115" s="775" t="n"/>
      <c r="AN115" s="775" t="n"/>
      <c r="AO115" s="775" t="n"/>
      <c r="AP115" s="775" t="n"/>
    </row>
    <row r="116" ht="15" customFormat="1" customHeight="1" s="7">
      <c r="A116" s="1436" t="n"/>
      <c r="B116" s="311">
        <f>IF(P110&gt;=R110,"Accompagnement des devoirs","")</f>
        <v/>
      </c>
      <c r="C116" s="93" t="n"/>
      <c r="D116" s="1930" t="n">
        <v>4</v>
      </c>
      <c r="E116" s="1950">
        <f>'TEST_pour application'!B89</f>
        <v/>
      </c>
      <c r="F116" s="20" t="n"/>
      <c r="G116" s="20" t="n"/>
      <c r="H116" s="20" t="n"/>
      <c r="I116" s="20" t="n"/>
      <c r="J116" s="20" t="n"/>
      <c r="K116" s="20" t="n"/>
      <c r="L116" s="20" t="n"/>
      <c r="M116" s="20" t="n"/>
      <c r="N116" s="20" t="n"/>
      <c r="O116" s="20" t="n"/>
      <c r="P116" s="1946">
        <f>D116*E116</f>
        <v/>
      </c>
      <c r="Q116" s="26" t="n"/>
      <c r="R116" s="2002" t="n"/>
      <c r="V116" s="2002" t="n"/>
      <c r="X116" s="2002" t="n"/>
      <c r="Y116" s="2002" t="n"/>
      <c r="Z116" s="2002" t="n"/>
      <c r="AA116" s="2002" t="n"/>
      <c r="AB116" s="2002" t="n"/>
      <c r="AC116" s="2002" t="n"/>
      <c r="AE116" s="522" t="n"/>
      <c r="AF116" s="93" t="n"/>
      <c r="AG116" s="93" t="n"/>
      <c r="AH116" s="93" t="n"/>
      <c r="AI116" s="775" t="n"/>
      <c r="AJ116" s="775" t="n"/>
      <c r="AK116" s="775" t="n"/>
      <c r="AL116" s="775" t="n"/>
      <c r="AM116" s="775" t="n"/>
      <c r="AN116" s="775" t="n"/>
      <c r="AO116" s="775" t="n"/>
      <c r="AP116" s="775" t="n"/>
    </row>
    <row r="117" ht="15" customFormat="1" customHeight="1" s="7">
      <c r="A117" s="1436" t="n"/>
      <c r="B117" s="311">
        <f>IF(P110&gt;=R110,"Gestion des vêtements","")</f>
        <v/>
      </c>
      <c r="C117" s="93" t="n"/>
      <c r="D117" s="1930" t="n">
        <v>5</v>
      </c>
      <c r="E117" s="1950">
        <f>'TEST_pour application'!B90</f>
        <v/>
      </c>
      <c r="F117" s="20" t="n"/>
      <c r="G117" s="20" t="n"/>
      <c r="H117" s="20" t="n"/>
      <c r="I117" s="20" t="n"/>
      <c r="J117" s="20" t="n"/>
      <c r="K117" s="20" t="n"/>
      <c r="L117" s="20" t="n"/>
      <c r="M117" s="20" t="n"/>
      <c r="N117" s="20" t="n"/>
      <c r="O117" s="20" t="n"/>
      <c r="P117" s="1946">
        <f>D117*E117</f>
        <v/>
      </c>
      <c r="Q117" s="26" t="n"/>
      <c r="R117" s="2002" t="n"/>
      <c r="V117" s="2002" t="n"/>
      <c r="X117" s="2002" t="n"/>
      <c r="Y117" s="2002" t="n"/>
      <c r="Z117" s="2002" t="n"/>
      <c r="AA117" s="2002" t="n"/>
      <c r="AB117" s="2002" t="n"/>
      <c r="AC117" s="2002" t="n"/>
      <c r="AE117" s="522" t="n"/>
      <c r="AF117" s="93" t="n"/>
      <c r="AG117" s="93" t="n"/>
      <c r="AH117" s="93" t="n"/>
      <c r="AI117" s="775" t="n"/>
      <c r="AJ117" s="775" t="n"/>
      <c r="AK117" s="775" t="n"/>
      <c r="AL117" s="775" t="n"/>
      <c r="AM117" s="775" t="n"/>
      <c r="AN117" s="775" t="n"/>
      <c r="AO117" s="775" t="n"/>
      <c r="AP117" s="775" t="n"/>
    </row>
    <row r="118" ht="15" customFormat="1" customHeight="1" s="7">
      <c r="A118" s="1436" t="n"/>
      <c r="B118" s="311">
        <f>IF(P110&gt;=R110,"Choix des activités sportives","")</f>
        <v/>
      </c>
      <c r="C118" s="93" t="n"/>
      <c r="D118" s="1930" t="n">
        <v>6</v>
      </c>
      <c r="E118" s="1950">
        <f>'TEST_pour application'!B91</f>
        <v/>
      </c>
      <c r="F118" s="20" t="n"/>
      <c r="G118" s="20" t="n"/>
      <c r="H118" s="20" t="n"/>
      <c r="I118" s="20" t="n"/>
      <c r="J118" s="20" t="n"/>
      <c r="K118" s="20" t="n"/>
      <c r="L118" s="20" t="n"/>
      <c r="M118" s="20" t="n"/>
      <c r="N118" s="20" t="n"/>
      <c r="O118" s="20" t="n"/>
      <c r="P118" s="1946">
        <f>D118*E118</f>
        <v/>
      </c>
      <c r="Q118" s="26" t="n"/>
      <c r="R118" s="2002" t="n"/>
      <c r="V118" s="2002" t="n"/>
      <c r="X118" s="2002" t="n"/>
      <c r="Y118" s="2002" t="n"/>
      <c r="Z118" s="2002" t="n"/>
      <c r="AA118" s="2002" t="n"/>
      <c r="AB118" s="2002" t="n"/>
      <c r="AC118" s="2002" t="n"/>
      <c r="AE118" s="522" t="n"/>
      <c r="AF118" s="93" t="n"/>
      <c r="AG118" s="93" t="n"/>
      <c r="AH118" s="93" t="n"/>
      <c r="AI118" s="775" t="n"/>
      <c r="AJ118" s="775" t="n"/>
      <c r="AK118" s="775" t="n"/>
      <c r="AL118" s="775" t="n"/>
      <c r="AM118" s="775" t="n"/>
      <c r="AN118" s="775" t="n"/>
      <c r="AO118" s="775" t="n"/>
      <c r="AP118" s="775" t="n"/>
    </row>
    <row r="119" ht="15" customFormat="1" customHeight="1" s="7">
      <c r="A119" s="1436" t="n"/>
      <c r="B119" s="311">
        <f>IF(P123&gt;=R123,"Autre (spécifiez)","")</f>
        <v/>
      </c>
      <c r="C119" s="93" t="n"/>
      <c r="D119" s="1930" t="inlineStr">
        <is>
          <t>Custom</t>
        </is>
      </c>
      <c r="E119" s="1950">
        <f>'TEST_pour application'!B92</f>
        <v/>
      </c>
      <c r="F119" s="20" t="n"/>
      <c r="G119" s="20" t="n"/>
      <c r="H119" s="20" t="n"/>
      <c r="I119" s="20" t="n"/>
      <c r="J119" s="20" t="n"/>
      <c r="K119" s="20" t="n"/>
      <c r="L119" s="20" t="n"/>
      <c r="M119" s="20" t="n"/>
      <c r="N119" s="20" t="n"/>
      <c r="O119" s="20" t="n"/>
      <c r="P119" s="1946" t="n"/>
      <c r="Q119" s="26" t="n"/>
      <c r="R119" s="2002" t="n"/>
      <c r="V119" s="2002" t="n"/>
      <c r="X119" s="2002" t="n"/>
      <c r="Y119" s="2002" t="n"/>
      <c r="Z119" s="2002" t="n"/>
      <c r="AA119" s="2002" t="n"/>
      <c r="AB119" s="2002" t="n"/>
      <c r="AC119" s="2002" t="n"/>
      <c r="AE119" s="522" t="n"/>
      <c r="AF119" s="93" t="n"/>
      <c r="AG119" s="93" t="n"/>
      <c r="AH119" s="93" t="n"/>
      <c r="AI119" s="775" t="n"/>
      <c r="AJ119" s="775" t="n"/>
      <c r="AK119" s="775" t="n"/>
      <c r="AL119" s="775" t="n"/>
      <c r="AM119" s="775" t="n"/>
      <c r="AN119" s="775" t="n"/>
      <c r="AO119" s="775" t="n"/>
      <c r="AP119" s="775" t="n"/>
    </row>
    <row r="120" ht="42" customFormat="1" customHeight="1" s="17">
      <c r="A120" s="1435">
        <f>BIBLE!E53</f>
        <v/>
      </c>
      <c r="B120" s="156">
        <f>IF(P53&lt;=R53,BIBLE!F53," ")</f>
        <v/>
      </c>
      <c r="C120" s="1062">
        <f>BIBLE!O53</f>
        <v/>
      </c>
      <c r="D120" s="294">
        <f>BIBLE!L53</f>
        <v/>
      </c>
      <c r="E120" s="20" t="n"/>
      <c r="F120" s="1063" t="n"/>
      <c r="G120" s="1063" t="n"/>
      <c r="H120" s="1063" t="n"/>
      <c r="I120" s="1063" t="n"/>
      <c r="J120" s="1063" t="n"/>
      <c r="K120" s="1063" t="n">
        <v>1</v>
      </c>
      <c r="L120" s="1063" t="n"/>
      <c r="M120" s="20" t="n"/>
      <c r="N120" s="20" t="n"/>
      <c r="O120" s="20" t="n"/>
      <c r="P120" s="25">
        <f>'TEST_pour application'!B93</f>
        <v/>
      </c>
      <c r="Q120" s="26">
        <f>P120*D120</f>
        <v/>
      </c>
      <c r="R120" s="2002">
        <f>IF(BIBLE!K53=0,"",BIBLE!K53)</f>
        <v/>
      </c>
      <c r="V120" s="6">
        <f>Q120</f>
        <v/>
      </c>
      <c r="X120" s="6">
        <f>IF($Q120&gt;0,X$108*$D120,0)</f>
        <v/>
      </c>
      <c r="Y120" s="6">
        <f>IF($Q120&gt;0,Y$108*$D120,0)</f>
        <v/>
      </c>
      <c r="Z120" s="6">
        <f>IF($Q120&gt;0,Z$108*$D120,0)</f>
        <v/>
      </c>
      <c r="AA120" s="6">
        <f>IF($Q120&gt;0,AA$108*$D120,0)</f>
        <v/>
      </c>
      <c r="AB120" s="6">
        <f>IF($Q120&gt;0,AB$108*$D120,0)</f>
        <v/>
      </c>
      <c r="AC120" s="6">
        <f>IF($Q120&gt;0,AC$108*$D120,0)</f>
        <v/>
      </c>
      <c r="AE120" s="523" t="n"/>
      <c r="AF120" s="24">
        <f>$V120*BIBLE!R53</f>
        <v/>
      </c>
      <c r="AG120" s="24">
        <f>$V120*BIBLE!S53</f>
        <v/>
      </c>
      <c r="AH120" s="24">
        <f>$V120*BIBLE!T53</f>
        <v/>
      </c>
      <c r="AI120" s="1539">
        <f>$V120*BIBLE!V53</f>
        <v/>
      </c>
      <c r="AJ120" s="1539">
        <f>$V120*BIBLE!W53</f>
        <v/>
      </c>
      <c r="AK120" s="1539">
        <f>$V120*BIBLE!X53</f>
        <v/>
      </c>
      <c r="AL120" s="1539">
        <f>$V120*BIBLE!Y53</f>
        <v/>
      </c>
      <c r="AM120" s="1539">
        <f>$V120*BIBLE!Z53</f>
        <v/>
      </c>
      <c r="AN120" s="1539">
        <f>$V120*BIBLE!AA53</f>
        <v/>
      </c>
      <c r="AO120" s="1539">
        <f>$V120*BIBLE!AB53</f>
        <v/>
      </c>
      <c r="AP120" s="1539">
        <f>$V120*BIBLE!AC53</f>
        <v/>
      </c>
    </row>
    <row r="121" ht="59" customFormat="1" customHeight="1" s="17">
      <c r="A121" s="1435">
        <f>BIBLE!E54</f>
        <v/>
      </c>
      <c r="B121" s="2059">
        <f>BIBLE!F54</f>
        <v/>
      </c>
      <c r="C121" s="2003">
        <f>BIBLE!O54</f>
        <v/>
      </c>
      <c r="D121" s="294">
        <f>BIBLE!L54</f>
        <v/>
      </c>
      <c r="E121" s="307" t="n"/>
      <c r="F121" s="307" t="n"/>
      <c r="G121" s="307" t="n">
        <v>1</v>
      </c>
      <c r="H121" s="307" t="n"/>
      <c r="I121" s="307" t="n"/>
      <c r="J121" s="307" t="n"/>
      <c r="K121" s="307" t="n"/>
      <c r="L121" s="307" t="n"/>
      <c r="M121" s="307" t="n"/>
      <c r="N121" s="307" t="n"/>
      <c r="O121" s="307" t="n"/>
      <c r="P121" s="25">
        <f>'TEST_pour application'!B94</f>
        <v/>
      </c>
      <c r="Q121" s="26">
        <f>P121*D121</f>
        <v/>
      </c>
      <c r="R121" s="2002">
        <f>IF(BIBLE!K54=0,"",BIBLE!K54)</f>
        <v/>
      </c>
      <c r="V121" s="6">
        <f>Q121</f>
        <v/>
      </c>
      <c r="X121" s="6">
        <f>IF($Q121&gt;0,X$108*$D121,0)</f>
        <v/>
      </c>
      <c r="Y121" s="6">
        <f>IF($Q121&gt;0,Y$108*$D121,0)</f>
        <v/>
      </c>
      <c r="Z121" s="6">
        <f>IF($Q121&gt;0,Z$108*$D121,0)</f>
        <v/>
      </c>
      <c r="AA121" s="6">
        <f>IF($Q121&gt;0,AA$108*$D121,0)</f>
        <v/>
      </c>
      <c r="AB121" s="6">
        <f>IF($Q121&gt;0,AB$108*$D121,0)</f>
        <v/>
      </c>
      <c r="AC121" s="6">
        <f>IF($Q121&gt;0,AC$108*$D121,0)</f>
        <v/>
      </c>
      <c r="AE121" s="523" t="n"/>
      <c r="AF121" s="24">
        <f>$V121*BIBLE!R54</f>
        <v/>
      </c>
      <c r="AG121" s="24">
        <f>$V121*BIBLE!S54</f>
        <v/>
      </c>
      <c r="AH121" s="24">
        <f>$V121*BIBLE!T54</f>
        <v/>
      </c>
      <c r="AI121" s="1539">
        <f>$V121*BIBLE!V54</f>
        <v/>
      </c>
      <c r="AJ121" s="1539">
        <f>$V121*BIBLE!W54</f>
        <v/>
      </c>
      <c r="AK121" s="1539">
        <f>$V121*BIBLE!X54</f>
        <v/>
      </c>
      <c r="AL121" s="1539">
        <f>$V121*BIBLE!Y54</f>
        <v/>
      </c>
      <c r="AM121" s="1539">
        <f>$V121*BIBLE!Z54</f>
        <v/>
      </c>
      <c r="AN121" s="1539">
        <f>$V121*BIBLE!AA54</f>
        <v/>
      </c>
      <c r="AO121" s="1539">
        <f>$V121*BIBLE!AB54</f>
        <v/>
      </c>
      <c r="AP121" s="1539">
        <f>$V121*BIBLE!AC54</f>
        <v/>
      </c>
    </row>
    <row r="122" ht="67" customFormat="1" customHeight="1" s="17">
      <c r="A122" s="1435">
        <f>BIBLE!E55</f>
        <v/>
      </c>
      <c r="B122" s="2059">
        <f>BIBLE!F55</f>
        <v/>
      </c>
      <c r="C122" s="2003">
        <f>BIBLE!O55</f>
        <v/>
      </c>
      <c r="D122" s="294">
        <f>BIBLE!L55</f>
        <v/>
      </c>
      <c r="E122" s="307" t="n"/>
      <c r="F122" s="307" t="n"/>
      <c r="G122" s="307" t="n"/>
      <c r="H122" s="307" t="n"/>
      <c r="I122" s="307" t="n">
        <v>1</v>
      </c>
      <c r="J122" s="307" t="n"/>
      <c r="K122" s="307" t="n"/>
      <c r="L122" s="307" t="n"/>
      <c r="M122" s="307" t="n"/>
      <c r="N122" s="307" t="n"/>
      <c r="O122" s="307" t="n"/>
      <c r="P122" s="25">
        <f>'TEST_pour application'!B95</f>
        <v/>
      </c>
      <c r="Q122" s="26">
        <f>P122*D122</f>
        <v/>
      </c>
      <c r="R122" s="2002">
        <f>IF(BIBLE!K55=0,"",BIBLE!K55)</f>
        <v/>
      </c>
      <c r="V122" s="6">
        <f>Q122</f>
        <v/>
      </c>
      <c r="X122" s="6">
        <f>IF($Q122&gt;0,X$108*$D122,0)</f>
        <v/>
      </c>
      <c r="Y122" s="6">
        <f>IF($Q122&gt;0,Y$108*$D122,0)</f>
        <v/>
      </c>
      <c r="Z122" s="6">
        <f>IF($Q122&gt;0,Z$108*$D122,0)</f>
        <v/>
      </c>
      <c r="AA122" s="6">
        <f>IF($Q122&gt;0,AA$108*$D122,0)</f>
        <v/>
      </c>
      <c r="AB122" s="6">
        <f>IF($Q122&gt;0,AB$108*$D122,0)</f>
        <v/>
      </c>
      <c r="AC122" s="6">
        <f>IF($Q122&gt;0,AC$108*$D122,0)</f>
        <v/>
      </c>
      <c r="AE122" s="523" t="n"/>
      <c r="AF122" s="24">
        <f>$V122*BIBLE!R55</f>
        <v/>
      </c>
      <c r="AG122" s="24">
        <f>$V122*BIBLE!S55</f>
        <v/>
      </c>
      <c r="AH122" s="24">
        <f>$V122*BIBLE!T55</f>
        <v/>
      </c>
      <c r="AI122" s="1539">
        <f>$V122*BIBLE!V55</f>
        <v/>
      </c>
      <c r="AJ122" s="1539">
        <f>$V122*BIBLE!W55</f>
        <v/>
      </c>
      <c r="AK122" s="1539">
        <f>$V122*BIBLE!X55</f>
        <v/>
      </c>
      <c r="AL122" s="1539">
        <f>$V122*BIBLE!Y55</f>
        <v/>
      </c>
      <c r="AM122" s="1539">
        <f>$V122*BIBLE!Z55</f>
        <v/>
      </c>
      <c r="AN122" s="1539">
        <f>$V122*BIBLE!AA55</f>
        <v/>
      </c>
      <c r="AO122" s="1539">
        <f>$V122*BIBLE!AB55</f>
        <v/>
      </c>
      <c r="AP122" s="1539">
        <f>$V122*BIBLE!AC55</f>
        <v/>
      </c>
    </row>
    <row r="123" ht="61" customFormat="1" customHeight="1" s="17">
      <c r="A123" s="1435">
        <f>BIBLE!E56</f>
        <v/>
      </c>
      <c r="B123" s="2059">
        <f>BIBLE!F56</f>
        <v/>
      </c>
      <c r="C123" s="2003">
        <f>BIBLE!O56</f>
        <v/>
      </c>
      <c r="D123" s="294">
        <f>BIBLE!L56</f>
        <v/>
      </c>
      <c r="E123" s="307" t="n"/>
      <c r="F123" s="307" t="n"/>
      <c r="G123" s="307" t="n"/>
      <c r="H123" s="307" t="n">
        <v>1</v>
      </c>
      <c r="I123" s="307" t="n"/>
      <c r="J123" s="307" t="n"/>
      <c r="K123" s="307" t="n"/>
      <c r="L123" s="307" t="n"/>
      <c r="M123" s="307" t="n"/>
      <c r="N123" s="307" t="n"/>
      <c r="O123" s="307" t="n"/>
      <c r="P123" s="25">
        <f>'TEST_pour application'!B96</f>
        <v/>
      </c>
      <c r="Q123" s="26">
        <f>P123*D123</f>
        <v/>
      </c>
      <c r="R123" s="2002">
        <f>IF(BIBLE!K56=0,"",BIBLE!K56)</f>
        <v/>
      </c>
      <c r="V123" s="6">
        <f>Q123</f>
        <v/>
      </c>
      <c r="X123" s="6">
        <f>IF($Q123&gt;0,X$108*$D123,0)</f>
        <v/>
      </c>
      <c r="Y123" s="6">
        <f>IF($Q123&gt;0,Y$108*$D123,0)</f>
        <v/>
      </c>
      <c r="Z123" s="6">
        <f>IF($Q123&gt;0,Z$108*$D123,0)</f>
        <v/>
      </c>
      <c r="AA123" s="6">
        <f>IF($Q123&gt;0,AA$108*$D123,0)</f>
        <v/>
      </c>
      <c r="AB123" s="6">
        <f>IF($Q123&gt;0,AB$108*$D123,0)</f>
        <v/>
      </c>
      <c r="AC123" s="6">
        <f>IF($Q123&gt;0,AC$108*$D123,0)</f>
        <v/>
      </c>
      <c r="AE123" s="523" t="n"/>
      <c r="AF123" s="24">
        <f>$V123*BIBLE!R56</f>
        <v/>
      </c>
      <c r="AG123" s="24">
        <f>$V123*BIBLE!S56</f>
        <v/>
      </c>
      <c r="AH123" s="24">
        <f>$V123*BIBLE!T56</f>
        <v/>
      </c>
      <c r="AI123" s="1539">
        <f>$V123*BIBLE!V56</f>
        <v/>
      </c>
      <c r="AJ123" s="1539">
        <f>$V123*BIBLE!W56</f>
        <v/>
      </c>
      <c r="AK123" s="1539">
        <f>$V123*BIBLE!X56</f>
        <v/>
      </c>
      <c r="AL123" s="1539">
        <f>$V123*BIBLE!Y56</f>
        <v/>
      </c>
      <c r="AM123" s="1539">
        <f>$V123*BIBLE!Z56</f>
        <v/>
      </c>
      <c r="AN123" s="1539">
        <f>$V123*BIBLE!AA56</f>
        <v/>
      </c>
      <c r="AO123" s="1539">
        <f>$V123*BIBLE!AB56</f>
        <v/>
      </c>
      <c r="AP123" s="1539">
        <f>$V123*BIBLE!AC56</f>
        <v/>
      </c>
    </row>
    <row r="124" ht="18" customFormat="1" customHeight="1" s="7">
      <c r="A124" s="1435">
        <f>BIBLE!E57</f>
        <v/>
      </c>
      <c r="B124" s="2004">
        <f>IF(P123&gt;=R123,BIBLE!F57,"")</f>
        <v/>
      </c>
      <c r="C124" s="93" t="n"/>
      <c r="D124" s="294">
        <f>BIBLE!L63</f>
        <v/>
      </c>
      <c r="E124" s="20" t="n"/>
      <c r="F124" s="20" t="n"/>
      <c r="G124" s="20" t="n"/>
      <c r="H124" s="20" t="n"/>
      <c r="I124" s="20" t="n"/>
      <c r="J124" s="20" t="n"/>
      <c r="K124" s="20" t="n"/>
      <c r="L124" s="20" t="n"/>
      <c r="M124" s="20" t="n"/>
      <c r="N124" s="20" t="n"/>
      <c r="O124" s="20" t="n"/>
      <c r="P124" s="26" t="n"/>
      <c r="Q124" s="26" t="n"/>
      <c r="R124" s="2002" t="n"/>
      <c r="V124" s="2002" t="n"/>
      <c r="X124" s="2002" t="n"/>
      <c r="Y124" s="2002" t="n"/>
      <c r="Z124" s="2002" t="n"/>
      <c r="AA124" s="2002" t="n"/>
      <c r="AB124" s="2002" t="n"/>
      <c r="AC124" s="2002" t="n"/>
      <c r="AE124" s="522" t="n"/>
      <c r="AF124" s="24" t="n"/>
      <c r="AG124" s="24" t="n"/>
      <c r="AH124" s="24" t="n"/>
      <c r="AI124" s="775" t="n"/>
      <c r="AJ124" s="775" t="n"/>
      <c r="AK124" s="775" t="n"/>
      <c r="AL124" s="775" t="n"/>
      <c r="AM124" s="775" t="n"/>
      <c r="AN124" s="775" t="n"/>
      <c r="AO124" s="775" t="n"/>
      <c r="AP124" s="775" t="n"/>
    </row>
    <row r="125" ht="15" customFormat="1" customHeight="1" s="7">
      <c r="A125" s="1436" t="n"/>
      <c r="B125" s="310">
        <f>IF(P123&gt;=R123,"Préparation des repas (et boîte à lunch) des enfants"," ")</f>
        <v/>
      </c>
      <c r="C125" s="93" t="n"/>
      <c r="D125" s="1930" t="n">
        <v>1</v>
      </c>
      <c r="E125" s="1950">
        <f>'TEST_pour application'!B97</f>
        <v/>
      </c>
      <c r="F125" s="20" t="n"/>
      <c r="G125" s="20" t="n"/>
      <c r="H125" s="20" t="n"/>
      <c r="I125" s="20" t="n"/>
      <c r="J125" s="20" t="n"/>
      <c r="K125" s="20" t="n"/>
      <c r="L125" s="20" t="n"/>
      <c r="M125" s="20" t="n"/>
      <c r="N125" s="20" t="n"/>
      <c r="O125" s="20" t="n"/>
      <c r="P125" s="1947">
        <f>D125*E125</f>
        <v/>
      </c>
      <c r="Q125" s="26" t="n"/>
      <c r="R125" s="2002" t="n"/>
      <c r="V125" s="2002" t="n"/>
      <c r="X125" s="2002" t="n"/>
      <c r="Y125" s="2002" t="n"/>
      <c r="Z125" s="2002" t="n"/>
      <c r="AA125" s="2002" t="n"/>
      <c r="AB125" s="2002" t="n"/>
      <c r="AC125" s="2002" t="n"/>
      <c r="AE125" s="522" t="n"/>
      <c r="AF125" s="24" t="n"/>
      <c r="AG125" s="24" t="n"/>
      <c r="AH125" s="24" t="n"/>
      <c r="AI125" s="775" t="n"/>
      <c r="AJ125" s="775" t="n"/>
      <c r="AK125" s="775" t="n"/>
      <c r="AL125" s="775" t="n"/>
      <c r="AM125" s="775" t="n"/>
      <c r="AN125" s="775" t="n"/>
      <c r="AO125" s="775" t="n"/>
      <c r="AP125" s="775" t="n"/>
    </row>
    <row r="126" ht="15" customFormat="1" customHeight="1" s="7">
      <c r="A126" s="1436" t="n"/>
      <c r="B126" s="311">
        <f>IF(P123&gt;=R123,"Accompagnement des devoirs","")</f>
        <v/>
      </c>
      <c r="C126" s="93" t="n"/>
      <c r="D126" s="1930" t="n">
        <v>2</v>
      </c>
      <c r="E126" s="1950">
        <f>'TEST_pour application'!B98</f>
        <v/>
      </c>
      <c r="F126" s="20" t="n"/>
      <c r="G126" s="20" t="n"/>
      <c r="H126" s="20" t="n"/>
      <c r="I126" s="20" t="n"/>
      <c r="J126" s="20" t="n"/>
      <c r="K126" s="20" t="n"/>
      <c r="L126" s="20" t="n"/>
      <c r="M126" s="20" t="n"/>
      <c r="N126" s="20" t="n"/>
      <c r="O126" s="20" t="n"/>
      <c r="P126" s="1947">
        <f>D126*E126</f>
        <v/>
      </c>
      <c r="Q126" s="26" t="n"/>
      <c r="R126" s="2002" t="n"/>
      <c r="V126" s="2002" t="n"/>
      <c r="X126" s="2002" t="n"/>
      <c r="Y126" s="2002" t="n"/>
      <c r="Z126" s="2002" t="n"/>
      <c r="AA126" s="2002" t="n"/>
      <c r="AB126" s="2002" t="n"/>
      <c r="AC126" s="2002" t="n"/>
      <c r="AE126" s="522" t="n"/>
      <c r="AF126" s="93" t="n"/>
      <c r="AG126" s="93" t="n"/>
      <c r="AH126" s="93" t="n"/>
      <c r="AI126" s="775" t="n"/>
      <c r="AJ126" s="775" t="n"/>
      <c r="AK126" s="775" t="n"/>
      <c r="AL126" s="775" t="n"/>
      <c r="AM126" s="775" t="n"/>
      <c r="AN126" s="775" t="n"/>
      <c r="AO126" s="775" t="n"/>
      <c r="AP126" s="775" t="n"/>
    </row>
    <row r="127" ht="15" customFormat="1" customHeight="1" s="7">
      <c r="A127" s="1436" t="n"/>
      <c r="B127" s="311">
        <f>IF(P123&gt;=R123,"Gestion des vêtements","")</f>
        <v/>
      </c>
      <c r="C127" s="93" t="n"/>
      <c r="D127" s="1930" t="n">
        <v>3</v>
      </c>
      <c r="E127" s="1950">
        <f>'TEST_pour application'!B99</f>
        <v/>
      </c>
      <c r="F127" s="20" t="n"/>
      <c r="G127" s="20" t="n"/>
      <c r="H127" s="20" t="n"/>
      <c r="I127" s="20" t="n"/>
      <c r="J127" s="20" t="n"/>
      <c r="K127" s="20" t="n"/>
      <c r="L127" s="20" t="n"/>
      <c r="M127" s="20" t="n"/>
      <c r="N127" s="20" t="n"/>
      <c r="O127" s="20" t="n"/>
      <c r="P127" s="1947">
        <f>D127*E127</f>
        <v/>
      </c>
      <c r="Q127" s="26" t="n"/>
      <c r="R127" s="2002" t="n"/>
      <c r="V127" s="2002" t="n"/>
      <c r="X127" s="2002" t="n"/>
      <c r="Y127" s="2002" t="n"/>
      <c r="Z127" s="2002" t="n"/>
      <c r="AA127" s="2002" t="n"/>
      <c r="AB127" s="2002" t="n"/>
      <c r="AC127" s="2002" t="n"/>
      <c r="AE127" s="522" t="n"/>
      <c r="AF127" s="93" t="n"/>
      <c r="AG127" s="93" t="n"/>
      <c r="AH127" s="93" t="n"/>
      <c r="AI127" s="775" t="n"/>
      <c r="AJ127" s="775" t="n"/>
      <c r="AK127" s="775" t="n"/>
      <c r="AL127" s="775" t="n"/>
      <c r="AM127" s="775" t="n"/>
      <c r="AN127" s="775" t="n"/>
      <c r="AO127" s="775" t="n"/>
      <c r="AP127" s="775" t="n"/>
    </row>
    <row r="128" ht="15" customFormat="1" customHeight="1" s="7">
      <c r="A128" s="1436" t="n"/>
      <c r="B128" s="311">
        <f>IF(P123&gt;=R123,"Choix des activités sportives","")</f>
        <v/>
      </c>
      <c r="C128" s="93" t="n"/>
      <c r="D128" s="1930" t="n">
        <v>4</v>
      </c>
      <c r="E128" s="1950">
        <f>'TEST_pour application'!B100</f>
        <v/>
      </c>
      <c r="F128" s="20" t="n"/>
      <c r="G128" s="20" t="n"/>
      <c r="H128" s="20" t="n"/>
      <c r="I128" s="20" t="n"/>
      <c r="J128" s="20" t="n"/>
      <c r="K128" s="20" t="n"/>
      <c r="L128" s="20" t="n"/>
      <c r="M128" s="20" t="n"/>
      <c r="N128" s="20" t="n"/>
      <c r="O128" s="20" t="n"/>
      <c r="P128" s="1947">
        <f>D128*E128</f>
        <v/>
      </c>
      <c r="Q128" s="26" t="n"/>
      <c r="R128" s="2002" t="n"/>
      <c r="V128" s="2002" t="n"/>
      <c r="X128" s="2002" t="n"/>
      <c r="Y128" s="2002" t="n"/>
      <c r="Z128" s="2002" t="n"/>
      <c r="AA128" s="2002" t="n"/>
      <c r="AB128" s="2002" t="n"/>
      <c r="AC128" s="2002" t="n"/>
      <c r="AE128" s="522" t="n"/>
      <c r="AF128" s="93" t="n"/>
      <c r="AG128" s="93" t="n"/>
      <c r="AH128" s="93" t="n"/>
      <c r="AI128" s="775" t="n"/>
      <c r="AJ128" s="775" t="n"/>
      <c r="AK128" s="775" t="n"/>
      <c r="AL128" s="775" t="n"/>
      <c r="AM128" s="775" t="n"/>
      <c r="AN128" s="775" t="n"/>
      <c r="AO128" s="775" t="n"/>
      <c r="AP128" s="775" t="n"/>
    </row>
    <row r="129" ht="15" customFormat="1" customHeight="1" s="7">
      <c r="A129" s="1436" t="n"/>
      <c r="B129" s="311">
        <f>IF(P123&gt;=R123,"Autre (spécifiez)","")</f>
        <v/>
      </c>
      <c r="C129" s="93" t="n"/>
      <c r="D129" s="1930" t="inlineStr">
        <is>
          <t>Custom</t>
        </is>
      </c>
      <c r="E129" s="1950">
        <f>'TEST_pour application'!B101</f>
        <v/>
      </c>
      <c r="F129" s="20" t="n"/>
      <c r="G129" s="20" t="n"/>
      <c r="H129" s="20" t="n"/>
      <c r="I129" s="20" t="n"/>
      <c r="J129" s="20" t="n"/>
      <c r="K129" s="20" t="n"/>
      <c r="L129" s="20" t="n"/>
      <c r="M129" s="20" t="n"/>
      <c r="N129" s="20" t="n"/>
      <c r="O129" s="20" t="n"/>
      <c r="P129" s="25" t="n"/>
      <c r="Q129" s="26" t="n"/>
      <c r="R129" s="2002" t="n"/>
      <c r="V129" s="2002" t="n"/>
      <c r="X129" s="2002" t="n"/>
      <c r="Y129" s="2002" t="n"/>
      <c r="Z129" s="2002" t="n"/>
      <c r="AA129" s="2002" t="n"/>
      <c r="AB129" s="2002" t="n"/>
      <c r="AC129" s="2002" t="n"/>
      <c r="AE129" s="522" t="n"/>
      <c r="AF129" s="93" t="n"/>
      <c r="AG129" s="93" t="n"/>
      <c r="AH129" s="93" t="n"/>
      <c r="AI129" s="775" t="n"/>
      <c r="AJ129" s="775" t="n"/>
      <c r="AK129" s="775" t="n"/>
      <c r="AL129" s="775" t="n"/>
      <c r="AM129" s="775" t="n"/>
      <c r="AN129" s="775" t="n"/>
      <c r="AO129" s="775" t="n"/>
      <c r="AP129" s="775" t="n"/>
    </row>
    <row r="130" ht="55" customFormat="1" customHeight="1" s="7">
      <c r="A130" s="1435">
        <f>BIBLE!E58</f>
        <v/>
      </c>
      <c r="B130" s="2059">
        <f>BIBLE!F58</f>
        <v/>
      </c>
      <c r="C130" s="2003">
        <f>BIBLE!O58</f>
        <v/>
      </c>
      <c r="D130" s="294">
        <f>BIBLE!L58</f>
        <v/>
      </c>
      <c r="E130" s="20" t="n"/>
      <c r="F130" s="20" t="n"/>
      <c r="G130" s="20" t="n"/>
      <c r="H130" s="20" t="n">
        <v>1</v>
      </c>
      <c r="I130" s="20" t="n"/>
      <c r="J130" s="20" t="n"/>
      <c r="K130" s="20" t="n"/>
      <c r="L130" s="20" t="n"/>
      <c r="M130" s="20" t="n"/>
      <c r="N130" s="20" t="n"/>
      <c r="O130" s="20" t="n"/>
      <c r="P130" s="25">
        <f>'TEST_pour application'!B102</f>
        <v/>
      </c>
      <c r="Q130" s="26">
        <f>P130*D130</f>
        <v/>
      </c>
      <c r="R130" s="2002">
        <f>IF(BIBLE!K58=0,"",BIBLE!K58)</f>
        <v/>
      </c>
      <c r="S130" s="56" t="n"/>
      <c r="T130" s="56" t="n"/>
      <c r="U130" s="56" t="n"/>
      <c r="V130" s="6">
        <f>Q130</f>
        <v/>
      </c>
      <c r="W130" s="56" t="n"/>
      <c r="X130" s="6">
        <f>IF($Q130&gt;0,X$108*$D130,0)</f>
        <v/>
      </c>
      <c r="Y130" s="6">
        <f>IF($Q130&gt;0,Y$108*$D130,0)</f>
        <v/>
      </c>
      <c r="Z130" s="6">
        <f>IF($Q130&gt;0,Z$108*$D130,0)</f>
        <v/>
      </c>
      <c r="AA130" s="6">
        <f>IF($Q130&gt;0,AA$108*$D130,0)</f>
        <v/>
      </c>
      <c r="AB130" s="6">
        <f>IF($Q130&gt;0,AB$108*$D130,0)</f>
        <v/>
      </c>
      <c r="AC130" s="6">
        <f>IF($Q130&gt;0,AC$108*$D130,0)</f>
        <v/>
      </c>
      <c r="AE130" s="522" t="n"/>
      <c r="AF130" s="24">
        <f>$V130*BIBLE!R58</f>
        <v/>
      </c>
      <c r="AG130" s="24">
        <f>$V130*BIBLE!S58</f>
        <v/>
      </c>
      <c r="AH130" s="24">
        <f>$V130*BIBLE!T58</f>
        <v/>
      </c>
      <c r="AI130" s="1539">
        <f>$V130*BIBLE!V58</f>
        <v/>
      </c>
      <c r="AJ130" s="1539">
        <f>$V130*BIBLE!W58</f>
        <v/>
      </c>
      <c r="AK130" s="1539">
        <f>$V130*BIBLE!X58</f>
        <v/>
      </c>
      <c r="AL130" s="1539">
        <f>$V130*BIBLE!Y58</f>
        <v/>
      </c>
      <c r="AM130" s="1539">
        <f>$V130*BIBLE!Z58</f>
        <v/>
      </c>
      <c r="AN130" s="1539">
        <f>$V130*BIBLE!AA58</f>
        <v/>
      </c>
      <c r="AO130" s="1539">
        <f>$V130*BIBLE!AB58</f>
        <v/>
      </c>
      <c r="AP130" s="1539">
        <f>$V130*BIBLE!AC58</f>
        <v/>
      </c>
      <c r="AQ130" s="2002" t="n"/>
    </row>
    <row r="131" ht="55" customFormat="1" customHeight="1" s="7">
      <c r="A131" s="1435">
        <f>BIBLE!E59</f>
        <v/>
      </c>
      <c r="B131" s="2059">
        <f>BIBLE!F59</f>
        <v/>
      </c>
      <c r="C131" s="2003">
        <f>BIBLE!O59</f>
        <v/>
      </c>
      <c r="D131" s="294">
        <f>IF(Test_Bible!P131&gt;=BIBLE!K59,IF(OR(Test_Bible!E28=1,Test_Bible!E29=1,Test_Bible!E40&lt;8),BIBLE!L59,BIBLE!M59),BIBLE!L59)</f>
        <v/>
      </c>
      <c r="E131" s="20" t="n"/>
      <c r="F131" s="20" t="n"/>
      <c r="G131" s="20" t="n"/>
      <c r="H131" s="20" t="n"/>
      <c r="I131" s="20" t="n">
        <v>1</v>
      </c>
      <c r="J131" s="20" t="n"/>
      <c r="K131" s="20" t="n"/>
      <c r="L131" s="20" t="n"/>
      <c r="M131" s="20" t="n"/>
      <c r="N131" s="20" t="n"/>
      <c r="O131" s="20" t="n"/>
      <c r="P131" s="25">
        <f>'TEST_pour application'!B103</f>
        <v/>
      </c>
      <c r="Q131" s="26">
        <f>P131*D131</f>
        <v/>
      </c>
      <c r="R131" s="2002">
        <f>IF(BIBLE!K59=0,"",BIBLE!K59)</f>
        <v/>
      </c>
      <c r="S131" s="55" t="n"/>
      <c r="T131" s="55" t="n"/>
      <c r="U131" s="55" t="n"/>
      <c r="V131" s="6">
        <f>Q131</f>
        <v/>
      </c>
      <c r="W131" s="55" t="n"/>
      <c r="X131" s="6">
        <f>IF($Q131&gt;0,X$108*$D131,0)</f>
        <v/>
      </c>
      <c r="Y131" s="6">
        <f>IF($Q131&gt;0,Y$108*$D131,0)</f>
        <v/>
      </c>
      <c r="Z131" s="6">
        <f>IF($Q131&gt;0,Z$108*$D131,0)</f>
        <v/>
      </c>
      <c r="AA131" s="6">
        <f>IF($Q131&gt;0,AA$108*$D131,0)</f>
        <v/>
      </c>
      <c r="AB131" s="6">
        <f>IF($Q131&gt;0,AB$108*$D131,0)</f>
        <v/>
      </c>
      <c r="AC131" s="6">
        <f>IF($Q131&gt;0,AC$108*$D131,0)</f>
        <v/>
      </c>
      <c r="AE131" s="522" t="n"/>
      <c r="AF131" s="24">
        <f>$V131*BIBLE!R59</f>
        <v/>
      </c>
      <c r="AG131" s="24">
        <f>$V131*BIBLE!S59</f>
        <v/>
      </c>
      <c r="AH131" s="24">
        <f>$V131*BIBLE!T59</f>
        <v/>
      </c>
      <c r="AI131" s="1539">
        <f>$V131*BIBLE!V59</f>
        <v/>
      </c>
      <c r="AJ131" s="1539">
        <f>$V131*BIBLE!W59</f>
        <v/>
      </c>
      <c r="AK131" s="1539">
        <f>$V131*BIBLE!X59</f>
        <v/>
      </c>
      <c r="AL131" s="1539">
        <f>$V131*BIBLE!Y59</f>
        <v/>
      </c>
      <c r="AM131" s="1539">
        <f>$V131*BIBLE!Z59</f>
        <v/>
      </c>
      <c r="AN131" s="1539">
        <f>$V131*BIBLE!AA59</f>
        <v/>
      </c>
      <c r="AO131" s="1539">
        <f>$V131*BIBLE!AB59</f>
        <v/>
      </c>
      <c r="AP131" s="1539">
        <f>$V131*BIBLE!AC59</f>
        <v/>
      </c>
    </row>
    <row r="132" ht="46" customFormat="1" customHeight="1" s="7">
      <c r="A132" s="1435">
        <f>BIBLE!E60</f>
        <v/>
      </c>
      <c r="B132" s="2059">
        <f>BIBLE!F60</f>
        <v/>
      </c>
      <c r="C132" s="2003">
        <f>BIBLE!O60</f>
        <v/>
      </c>
      <c r="D132" s="294">
        <f>IF($E$40&gt;=10,BIBLE!L60,BIBLE!M60)</f>
        <v/>
      </c>
      <c r="E132" s="20" t="n"/>
      <c r="F132" s="20" t="n"/>
      <c r="G132" s="20" t="n"/>
      <c r="H132" s="20" t="n">
        <v>1</v>
      </c>
      <c r="I132" s="20" t="n"/>
      <c r="J132" s="20" t="n"/>
      <c r="K132" s="20" t="n"/>
      <c r="L132" s="20" t="n"/>
      <c r="M132" s="20" t="n"/>
      <c r="N132" s="20" t="n"/>
      <c r="O132" s="20" t="n"/>
      <c r="P132" s="25">
        <f>'TEST_pour application'!B104</f>
        <v/>
      </c>
      <c r="Q132" s="26">
        <f>P132*D132</f>
        <v/>
      </c>
      <c r="R132" s="2002">
        <f>IF(BIBLE!K60=0,"",BIBLE!K60)</f>
        <v/>
      </c>
      <c r="S132" s="56" t="n"/>
      <c r="T132" s="56" t="n"/>
      <c r="U132" s="56" t="n"/>
      <c r="V132" s="6">
        <f>Q132</f>
        <v/>
      </c>
      <c r="W132" s="56" t="n"/>
      <c r="X132" s="6">
        <f>IF($Q132&gt;0,X$108*$D132,0)</f>
        <v/>
      </c>
      <c r="Y132" s="6">
        <f>IF($Q132&gt;0,Y$108*$D132,0)</f>
        <v/>
      </c>
      <c r="Z132" s="6">
        <f>IF($Q132&gt;0,Z$108*$D132,0)</f>
        <v/>
      </c>
      <c r="AA132" s="6">
        <f>IF($Q132&gt;0,AA$108*$D132,0)</f>
        <v/>
      </c>
      <c r="AB132" s="6">
        <f>IF($Q132&gt;0,AB$108*$D132,0)</f>
        <v/>
      </c>
      <c r="AC132" s="6">
        <f>IF($Q132&gt;0,AC$108*$D132,0)</f>
        <v/>
      </c>
      <c r="AE132" s="522" t="n"/>
      <c r="AF132" s="24">
        <f>$V132*BIBLE!R60</f>
        <v/>
      </c>
      <c r="AG132" s="24">
        <f>$V132*BIBLE!S60</f>
        <v/>
      </c>
      <c r="AH132" s="24">
        <f>$V132*BIBLE!T60</f>
        <v/>
      </c>
      <c r="AI132" s="1539">
        <f>$V132*BIBLE!V60</f>
        <v/>
      </c>
      <c r="AJ132" s="1539">
        <f>$V132*BIBLE!W60</f>
        <v/>
      </c>
      <c r="AK132" s="1539">
        <f>$V132*BIBLE!X60</f>
        <v/>
      </c>
      <c r="AL132" s="1539">
        <f>$V132*BIBLE!Y60</f>
        <v/>
      </c>
      <c r="AM132" s="1539">
        <f>$V132*BIBLE!Z60</f>
        <v/>
      </c>
      <c r="AN132" s="1539">
        <f>$V132*BIBLE!AA60</f>
        <v/>
      </c>
      <c r="AO132" s="1539">
        <f>$V132*BIBLE!AB60</f>
        <v/>
      </c>
      <c r="AP132" s="1539">
        <f>$V132*BIBLE!AC60</f>
        <v/>
      </c>
    </row>
    <row r="133" ht="47" customFormat="1" customHeight="1" s="7">
      <c r="A133" s="1435">
        <f>BIBLE!E61</f>
        <v/>
      </c>
      <c r="B133" s="2059">
        <f>BIBLE!F61</f>
        <v/>
      </c>
      <c r="C133" s="1307">
        <f>BIBLE!O61</f>
        <v/>
      </c>
      <c r="D133" s="294">
        <f>BIBLE!L61</f>
        <v/>
      </c>
      <c r="E133" s="20" t="n"/>
      <c r="F133" s="20" t="n"/>
      <c r="G133" s="20" t="n"/>
      <c r="H133" s="20" t="n"/>
      <c r="I133" s="20" t="n">
        <v>1</v>
      </c>
      <c r="J133" s="20" t="n"/>
      <c r="K133" s="20" t="n"/>
      <c r="L133" s="20" t="n"/>
      <c r="M133" s="20" t="n"/>
      <c r="N133" s="20" t="n"/>
      <c r="O133" s="20" t="n"/>
      <c r="P133" s="25">
        <f>'TEST_pour application'!B105</f>
        <v/>
      </c>
      <c r="Q133" s="26">
        <f>P133*D133</f>
        <v/>
      </c>
      <c r="R133" s="2002">
        <f>IF(BIBLE!K61=0,"",BIBLE!K61)</f>
        <v/>
      </c>
      <c r="S133" s="55" t="n"/>
      <c r="T133" s="55" t="n"/>
      <c r="U133" s="55" t="n"/>
      <c r="V133" s="301" t="n"/>
      <c r="W133" s="55" t="n"/>
      <c r="X133" s="6" t="n"/>
      <c r="Y133" s="6" t="n"/>
      <c r="Z133" s="6" t="n"/>
      <c r="AA133" s="6" t="n"/>
      <c r="AB133" s="6" t="n"/>
      <c r="AC133" s="6" t="n"/>
      <c r="AE133" s="522" t="n"/>
      <c r="AF133" s="24">
        <f>$V133*BIBLE!R61</f>
        <v/>
      </c>
      <c r="AG133" s="24">
        <f>$V133*BIBLE!S61</f>
        <v/>
      </c>
      <c r="AH133" s="24">
        <f>$V133*BIBLE!T61</f>
        <v/>
      </c>
      <c r="AI133" s="1539">
        <f>$V133*BIBLE!V61</f>
        <v/>
      </c>
      <c r="AJ133" s="1539">
        <f>$V133*BIBLE!W61</f>
        <v/>
      </c>
      <c r="AK133" s="1539">
        <f>$V133*BIBLE!X61</f>
        <v/>
      </c>
      <c r="AL133" s="1539">
        <f>$V133*BIBLE!Y61</f>
        <v/>
      </c>
      <c r="AM133" s="1539">
        <f>$V133*BIBLE!Z61</f>
        <v/>
      </c>
      <c r="AN133" s="1539">
        <f>$V133*BIBLE!AA61</f>
        <v/>
      </c>
      <c r="AO133" s="1539">
        <f>$V133*BIBLE!AB61</f>
        <v/>
      </c>
      <c r="AP133" s="1539">
        <f>$V133*BIBLE!AC61</f>
        <v/>
      </c>
    </row>
    <row r="134" ht="87" customFormat="1" customHeight="1" s="7">
      <c r="A134" s="1435">
        <f>BIBLE!E62</f>
        <v/>
      </c>
      <c r="B134" s="2059">
        <f>BIBLE!F62</f>
        <v/>
      </c>
      <c r="C134" s="1990">
        <f>BIBLE!O62</f>
        <v/>
      </c>
      <c r="D134" s="294">
        <f>BIBLE!L62</f>
        <v/>
      </c>
      <c r="E134" s="20" t="n"/>
      <c r="F134" s="20" t="n">
        <v>1</v>
      </c>
      <c r="G134" s="20" t="n"/>
      <c r="H134" s="20" t="n"/>
      <c r="I134" s="20" t="n"/>
      <c r="J134" s="20" t="n"/>
      <c r="K134" s="20" t="n"/>
      <c r="L134" s="20" t="n"/>
      <c r="M134" s="20" t="n"/>
      <c r="N134" s="20" t="n"/>
      <c r="O134" s="20" t="n"/>
      <c r="P134" s="25">
        <f>'TEST_pour application'!B106</f>
        <v/>
      </c>
      <c r="Q134" s="26">
        <f>P134*D134</f>
        <v/>
      </c>
      <c r="R134" s="2002">
        <f>IF(BIBLE!K62=0,"",BIBLE!K62)</f>
        <v/>
      </c>
      <c r="S134" s="56" t="n"/>
      <c r="T134" s="56" t="n"/>
      <c r="U134" s="56" t="n"/>
      <c r="V134" s="6">
        <f>Q134</f>
        <v/>
      </c>
      <c r="W134" s="56" t="n"/>
      <c r="X134" s="6">
        <f>IF($Q134&gt;0,X$108*$D134,0)</f>
        <v/>
      </c>
      <c r="Y134" s="6">
        <f>IF($Q134&gt;0,Y$108*$D134,0)</f>
        <v/>
      </c>
      <c r="Z134" s="6">
        <f>IF($Q134&gt;0,Z$108*$D134,0)</f>
        <v/>
      </c>
      <c r="AA134" s="6">
        <f>IF($Q134&gt;0,AA$108*$D134,0)</f>
        <v/>
      </c>
      <c r="AB134" s="6">
        <f>IF($Q134&gt;0,AB$108*$D134,0)</f>
        <v/>
      </c>
      <c r="AC134" s="6">
        <f>IF($Q134&gt;0,AC$108*$D134,0)</f>
        <v/>
      </c>
      <c r="AE134" s="522" t="n"/>
      <c r="AF134" s="24">
        <f>$V134*BIBLE!R62</f>
        <v/>
      </c>
      <c r="AG134" s="24">
        <f>$V134*BIBLE!S62</f>
        <v/>
      </c>
      <c r="AH134" s="24">
        <f>$V134*BIBLE!T62</f>
        <v/>
      </c>
      <c r="AI134" s="1539">
        <f>$V134*BIBLE!V62</f>
        <v/>
      </c>
      <c r="AJ134" s="1539">
        <f>$V134*BIBLE!W62</f>
        <v/>
      </c>
      <c r="AK134" s="1539">
        <f>$V134*BIBLE!X62</f>
        <v/>
      </c>
      <c r="AL134" s="1539">
        <f>$V134*BIBLE!Y62</f>
        <v/>
      </c>
      <c r="AM134" s="1539">
        <f>$V134*BIBLE!Z62</f>
        <v/>
      </c>
      <c r="AN134" s="1539">
        <f>$V134*BIBLE!AA62</f>
        <v/>
      </c>
      <c r="AO134" s="1539">
        <f>$V134*BIBLE!AB62</f>
        <v/>
      </c>
      <c r="AP134" s="1539">
        <f>$V134*BIBLE!AC62</f>
        <v/>
      </c>
    </row>
    <row r="135" ht="87" customFormat="1" customHeight="1" s="7">
      <c r="A135" s="1435">
        <f>BIBLE!E63</f>
        <v/>
      </c>
      <c r="B135" s="2059">
        <f>BIBLE!F63</f>
        <v/>
      </c>
      <c r="C135" s="2003">
        <f>BIBLE!O63</f>
        <v/>
      </c>
      <c r="D135" s="294">
        <f>BIBLE!L63</f>
        <v/>
      </c>
      <c r="E135" s="20" t="n"/>
      <c r="F135" s="20" t="n"/>
      <c r="G135" s="20" t="n">
        <v>1</v>
      </c>
      <c r="H135" s="20" t="n"/>
      <c r="I135" s="20" t="n"/>
      <c r="J135" s="20" t="n"/>
      <c r="K135" s="20" t="n"/>
      <c r="L135" s="20" t="n"/>
      <c r="M135" s="20" t="n"/>
      <c r="N135" s="20" t="n"/>
      <c r="O135" s="20" t="n"/>
      <c r="P135" s="25">
        <f>'TEST_pour application'!B107</f>
        <v/>
      </c>
      <c r="Q135" s="26">
        <f>P135*D135</f>
        <v/>
      </c>
      <c r="R135" s="2002">
        <f>IF(BIBLE!K63=0,"",BIBLE!K63)</f>
        <v/>
      </c>
      <c r="S135" s="55" t="n"/>
      <c r="T135" s="55" t="n"/>
      <c r="U135" s="55" t="n"/>
      <c r="V135" s="6">
        <f>Q135</f>
        <v/>
      </c>
      <c r="W135" s="55" t="n"/>
      <c r="X135" s="6">
        <f>IF($Q135&gt;0,X$108*$D135,0)</f>
        <v/>
      </c>
      <c r="Y135" s="6">
        <f>IF($Q135&gt;0,Y$108*$D135,0)</f>
        <v/>
      </c>
      <c r="Z135" s="6">
        <f>IF($Q135&gt;0,Z$108*$D135,0)</f>
        <v/>
      </c>
      <c r="AA135" s="6">
        <f>IF($Q135&gt;0,AA$108*$D135,0)</f>
        <v/>
      </c>
      <c r="AB135" s="6">
        <f>IF($Q135&gt;0,AB$108*$D135,0)</f>
        <v/>
      </c>
      <c r="AC135" s="6">
        <f>IF($Q135&gt;0,AC$108*$D135,0)</f>
        <v/>
      </c>
      <c r="AE135" s="522" t="n"/>
      <c r="AF135" s="24">
        <f>$V135*BIBLE!R63</f>
        <v/>
      </c>
      <c r="AG135" s="24">
        <f>$V135*BIBLE!S63</f>
        <v/>
      </c>
      <c r="AH135" s="24">
        <f>$V135*BIBLE!T63</f>
        <v/>
      </c>
      <c r="AI135" s="1539">
        <f>$V135*BIBLE!V63</f>
        <v/>
      </c>
      <c r="AJ135" s="1539">
        <f>$V135*BIBLE!W63</f>
        <v/>
      </c>
      <c r="AK135" s="1539">
        <f>$V135*BIBLE!X63</f>
        <v/>
      </c>
      <c r="AL135" s="1539">
        <f>$V135*BIBLE!Y63</f>
        <v/>
      </c>
      <c r="AM135" s="1539">
        <f>$V135*BIBLE!Z63</f>
        <v/>
      </c>
      <c r="AN135" s="1539">
        <f>$V135*BIBLE!AA63</f>
        <v/>
      </c>
      <c r="AO135" s="1539">
        <f>$V135*BIBLE!AB63</f>
        <v/>
      </c>
      <c r="AP135" s="1539">
        <f>$V135*BIBLE!AC63</f>
        <v/>
      </c>
    </row>
    <row r="136" ht="87" customFormat="1" customHeight="1" s="7">
      <c r="A136" s="1435">
        <f>BIBLE!E64</f>
        <v/>
      </c>
      <c r="B136" s="2059">
        <f>BIBLE!F64</f>
        <v/>
      </c>
      <c r="C136" s="2003">
        <f>BIBLE!O64</f>
        <v/>
      </c>
      <c r="D136" s="294">
        <f>BIBLE!L64</f>
        <v/>
      </c>
      <c r="E136" s="20" t="n"/>
      <c r="F136" s="20" t="n"/>
      <c r="G136" s="20" t="n"/>
      <c r="H136" s="20" t="n"/>
      <c r="I136" s="20" t="n"/>
      <c r="J136" s="20" t="n"/>
      <c r="K136" s="20" t="n">
        <v>1</v>
      </c>
      <c r="L136" s="20" t="n"/>
      <c r="M136" s="20" t="n"/>
      <c r="N136" s="20" t="n"/>
      <c r="O136" s="20" t="n"/>
      <c r="P136" s="25">
        <f>'TEST_pour application'!B108</f>
        <v/>
      </c>
      <c r="Q136" s="26">
        <f>P136*D136</f>
        <v/>
      </c>
      <c r="R136" s="2002">
        <f>IF(BIBLE!K64=0,"",BIBLE!K64)</f>
        <v/>
      </c>
      <c r="S136" s="56" t="n"/>
      <c r="T136" s="56" t="n"/>
      <c r="U136" s="56" t="n"/>
      <c r="V136" s="6">
        <f>Q136</f>
        <v/>
      </c>
      <c r="W136" s="56" t="n"/>
      <c r="X136" s="6">
        <f>IF($Q136&gt;0,X$108*$D136,0)</f>
        <v/>
      </c>
      <c r="Y136" s="6">
        <f>IF($Q136&gt;0,Y$108*$D136,0)</f>
        <v/>
      </c>
      <c r="Z136" s="6">
        <f>IF($Q136&gt;0,Z$108*$D136,0)</f>
        <v/>
      </c>
      <c r="AA136" s="6">
        <f>IF($Q136&gt;0,AA$108*$D136,0)</f>
        <v/>
      </c>
      <c r="AB136" s="6">
        <f>IF($Q136&gt;0,AB$108*$D136,0)</f>
        <v/>
      </c>
      <c r="AC136" s="6">
        <f>IF($Q136&gt;0,AC$108*$D136,0)</f>
        <v/>
      </c>
      <c r="AE136" s="522" t="n"/>
      <c r="AF136" s="24">
        <f>$V136*BIBLE!R64</f>
        <v/>
      </c>
      <c r="AG136" s="24">
        <f>$V136*BIBLE!S64</f>
        <v/>
      </c>
      <c r="AH136" s="24">
        <f>$V136*BIBLE!T64</f>
        <v/>
      </c>
      <c r="AI136" s="1539">
        <f>$V136*BIBLE!V64</f>
        <v/>
      </c>
      <c r="AJ136" s="1539">
        <f>$V136*BIBLE!W64</f>
        <v/>
      </c>
      <c r="AK136" s="1539">
        <f>$V136*BIBLE!X64</f>
        <v/>
      </c>
      <c r="AL136" s="1539">
        <f>$V136*BIBLE!Y64</f>
        <v/>
      </c>
      <c r="AM136" s="1539">
        <f>$V136*BIBLE!Z64</f>
        <v/>
      </c>
      <c r="AN136" s="1539">
        <f>$V136*BIBLE!AA64</f>
        <v/>
      </c>
      <c r="AO136" s="1539">
        <f>$V136*BIBLE!AB64</f>
        <v/>
      </c>
      <c r="AP136" s="1539">
        <f>$V136*BIBLE!AC64</f>
        <v/>
      </c>
    </row>
    <row r="137" ht="39" customFormat="1" customHeight="1" s="7">
      <c r="A137" s="1435">
        <f>BIBLE!E65</f>
        <v/>
      </c>
      <c r="B137" s="2004">
        <f>IF(P136&gt;=R136,BIBLE!F65," ")</f>
        <v/>
      </c>
      <c r="C137" s="2003" t="n"/>
      <c r="D137" s="2003" t="n"/>
      <c r="E137" s="1625">
        <f>(D138*E138)+(D139*E139)+(D140*E140)+(D141*E141)+(D142*E142)</f>
        <v/>
      </c>
      <c r="F137" s="20" t="n"/>
      <c r="G137" s="20" t="n"/>
      <c r="H137" s="20" t="n"/>
      <c r="I137" s="20" t="n"/>
      <c r="J137" s="20" t="n"/>
      <c r="K137" s="20" t="n"/>
      <c r="L137" s="20" t="n"/>
      <c r="M137" s="20" t="n"/>
      <c r="N137" s="20" t="n"/>
      <c r="O137" s="20" t="n"/>
      <c r="P137" s="26" t="n"/>
      <c r="Q137" s="26" t="n"/>
      <c r="R137" s="2002">
        <f>IF(BIBLE!K65=0,"",BIBLE!K65)</f>
        <v/>
      </c>
      <c r="S137" s="56" t="n"/>
      <c r="T137" s="56" t="n"/>
      <c r="U137" s="56" t="n"/>
      <c r="V137" s="545" t="n"/>
      <c r="W137" s="56" t="n"/>
      <c r="X137" s="2002" t="n"/>
      <c r="Y137" s="2002" t="n"/>
      <c r="Z137" s="2002" t="n"/>
      <c r="AA137" s="2002" t="n"/>
      <c r="AB137" s="2002" t="n"/>
      <c r="AC137" s="2002" t="n"/>
      <c r="AE137" s="522" t="n"/>
      <c r="AF137" s="93" t="n"/>
      <c r="AG137" s="93" t="n"/>
      <c r="AH137" s="93" t="n"/>
      <c r="AI137" s="775" t="n"/>
      <c r="AJ137" s="775" t="n"/>
      <c r="AK137" s="775" t="n"/>
      <c r="AL137" s="775" t="n"/>
      <c r="AM137" s="775" t="n"/>
      <c r="AN137" s="775" t="n"/>
      <c r="AO137" s="775" t="n"/>
      <c r="AP137" s="775" t="n"/>
    </row>
    <row r="138" ht="21" customFormat="1" customHeight="1" s="7">
      <c r="A138" s="1435" t="n"/>
      <c r="B138" s="162">
        <f>IF(P$136&gt;=R$136,"Choix d'école et/ou inscription (primaire et secondaire)","")</f>
        <v/>
      </c>
      <c r="C138" s="1999">
        <f>IF(BIBLE!H51=0,"",BIBLE!H51)</f>
        <v/>
      </c>
      <c r="D138" s="1930" t="n">
        <v>7</v>
      </c>
      <c r="E138" s="1952">
        <f>'TEST_pour application'!B109</f>
        <v/>
      </c>
      <c r="F138" s="20" t="n"/>
      <c r="G138" s="20" t="n"/>
      <c r="H138" s="20" t="n"/>
      <c r="I138" s="20" t="n"/>
      <c r="J138" s="20" t="n"/>
      <c r="K138" s="20" t="n"/>
      <c r="L138" s="20" t="n"/>
      <c r="M138" s="20" t="n"/>
      <c r="N138" s="20" t="n"/>
      <c r="O138" s="20" t="n"/>
      <c r="P138" s="1949">
        <f>D138*E138</f>
        <v/>
      </c>
      <c r="Q138" s="26" t="n"/>
      <c r="R138" s="2002" t="n"/>
      <c r="S138" s="56" t="n"/>
      <c r="T138" s="56" t="n"/>
      <c r="U138" s="56" t="n"/>
      <c r="V138" s="545" t="n"/>
      <c r="W138" s="56" t="n"/>
      <c r="X138" s="2002" t="n"/>
      <c r="Y138" s="2002" t="n"/>
      <c r="Z138" s="2002" t="n"/>
      <c r="AA138" s="2002" t="n"/>
      <c r="AB138" s="2002" t="n"/>
      <c r="AC138" s="2002" t="n"/>
      <c r="AE138" s="522" t="n"/>
      <c r="AF138" s="93" t="n"/>
      <c r="AG138" s="93" t="n"/>
      <c r="AH138" s="93" t="n"/>
      <c r="AI138" s="775" t="n"/>
      <c r="AJ138" s="775" t="n"/>
      <c r="AK138" s="775" t="n"/>
      <c r="AL138" s="775" t="n"/>
      <c r="AM138" s="775" t="n"/>
      <c r="AN138" s="775" t="n"/>
      <c r="AO138" s="775" t="n"/>
      <c r="AP138" s="775" t="n"/>
    </row>
    <row r="139" ht="21" customFormat="1" customHeight="1" s="7">
      <c r="A139" s="1435" t="n"/>
      <c r="B139" s="162">
        <f>IF(P136&gt;=R136,"Choix de club|programme sportif ou calendrier sportif","")</f>
        <v/>
      </c>
      <c r="C139" s="1999">
        <f>IF(BIBLE!H53=0,"",BIBLE!H53)</f>
        <v/>
      </c>
      <c r="D139" s="1930" t="n">
        <v>3</v>
      </c>
      <c r="E139" s="1952">
        <f>'TEST_pour application'!B110</f>
        <v/>
      </c>
      <c r="F139" s="20" t="n"/>
      <c r="G139" s="20" t="n"/>
      <c r="H139" s="20" t="n"/>
      <c r="I139" s="20" t="n"/>
      <c r="J139" s="20" t="n"/>
      <c r="K139" s="20" t="n"/>
      <c r="L139" s="20" t="n"/>
      <c r="M139" s="20" t="n"/>
      <c r="N139" s="20" t="n"/>
      <c r="O139" s="20" t="n"/>
      <c r="P139" s="1949">
        <f>D139*E139</f>
        <v/>
      </c>
      <c r="Q139" s="26" t="n"/>
      <c r="R139" s="2002">
        <f>IF(BIBLE!K71=0,"",BIBLE!K71)</f>
        <v/>
      </c>
      <c r="S139" s="56" t="n"/>
      <c r="T139" s="56" t="n"/>
      <c r="U139" s="56" t="n"/>
      <c r="V139" s="545" t="n"/>
      <c r="W139" s="56" t="n"/>
      <c r="X139" s="2002" t="n"/>
      <c r="Y139" s="2002" t="n"/>
      <c r="Z139" s="2002" t="n"/>
      <c r="AA139" s="2002" t="n"/>
      <c r="AB139" s="2002" t="n"/>
      <c r="AC139" s="2002" t="n"/>
      <c r="AE139" s="522" t="n"/>
      <c r="AF139" s="93" t="n"/>
      <c r="AG139" s="93" t="n"/>
      <c r="AH139" s="93" t="n"/>
      <c r="AI139" s="775" t="n"/>
      <c r="AJ139" s="775" t="n"/>
      <c r="AK139" s="775" t="n"/>
      <c r="AL139" s="775" t="n"/>
      <c r="AM139" s="775" t="n"/>
      <c r="AN139" s="775" t="n"/>
      <c r="AO139" s="775" t="n"/>
      <c r="AP139" s="775" t="n"/>
    </row>
    <row r="140" ht="21" customFormat="1" customHeight="1" s="7">
      <c r="A140" s="1435" t="n"/>
      <c r="B140" s="162">
        <f>IF(P136&gt;=R136,"Soins médicaux ou dentaires","")</f>
        <v/>
      </c>
      <c r="C140" s="1999" t="n"/>
      <c r="D140" s="1930" t="n">
        <v>3</v>
      </c>
      <c r="E140" s="1952">
        <f>'TEST_pour application'!B111</f>
        <v/>
      </c>
      <c r="F140" s="20" t="n"/>
      <c r="G140" s="20" t="n"/>
      <c r="H140" s="20" t="n"/>
      <c r="I140" s="20" t="n"/>
      <c r="J140" s="20" t="n"/>
      <c r="K140" s="20" t="n"/>
      <c r="L140" s="20" t="n"/>
      <c r="M140" s="20" t="n"/>
      <c r="N140" s="20" t="n"/>
      <c r="O140" s="20" t="n"/>
      <c r="P140" s="1949">
        <f>D140*E140</f>
        <v/>
      </c>
      <c r="Q140" s="26" t="n"/>
      <c r="R140" s="2002">
        <f>IF(BIBLE!K76=0,"",BIBLE!K76)</f>
        <v/>
      </c>
      <c r="S140" s="56" t="n"/>
      <c r="T140" s="56" t="n"/>
      <c r="U140" s="56" t="n"/>
      <c r="V140" s="545" t="n"/>
      <c r="W140" s="56" t="n"/>
      <c r="X140" s="2002" t="n"/>
      <c r="Y140" s="2002" t="n"/>
      <c r="Z140" s="2002" t="n"/>
      <c r="AA140" s="2002" t="n"/>
      <c r="AB140" s="2002" t="n"/>
      <c r="AC140" s="2002" t="n"/>
      <c r="AE140" s="522" t="n"/>
      <c r="AF140" s="93" t="n"/>
      <c r="AG140" s="93" t="n"/>
      <c r="AH140" s="93" t="n"/>
      <c r="AI140" s="775" t="n"/>
      <c r="AJ140" s="775" t="n"/>
      <c r="AK140" s="775" t="n"/>
      <c r="AL140" s="775" t="n"/>
      <c r="AM140" s="775" t="n"/>
      <c r="AN140" s="775" t="n"/>
      <c r="AO140" s="775" t="n"/>
      <c r="AP140" s="775" t="n"/>
    </row>
    <row r="141" ht="21" customFormat="1" customHeight="1" s="7">
      <c r="A141" s="1435" t="n"/>
      <c r="B141" s="162">
        <f>IF(P136&gt;=R136,"Déménagement (forçant un changement majeur ou autres)","")</f>
        <v/>
      </c>
      <c r="C141" s="1999" t="n"/>
      <c r="D141" s="1930" t="n">
        <v>10</v>
      </c>
      <c r="E141" s="1952">
        <f>'TEST_pour application'!B112</f>
        <v/>
      </c>
      <c r="F141" s="20" t="n"/>
      <c r="G141" s="20" t="n"/>
      <c r="H141" s="20" t="n"/>
      <c r="I141" s="20" t="n"/>
      <c r="J141" s="20" t="n"/>
      <c r="K141" s="20" t="n"/>
      <c r="L141" s="20" t="n"/>
      <c r="M141" s="20" t="n"/>
      <c r="N141" s="20" t="n"/>
      <c r="O141" s="20" t="n"/>
      <c r="P141" s="1949">
        <f>D141*E141</f>
        <v/>
      </c>
      <c r="Q141" s="26" t="n"/>
      <c r="R141" s="2002">
        <f>IF(BIBLE!K79=0,"",BIBLE!K79)</f>
        <v/>
      </c>
      <c r="S141" s="56" t="n"/>
      <c r="T141" s="56" t="n"/>
      <c r="U141" s="56" t="n"/>
      <c r="V141" s="545" t="n"/>
      <c r="W141" s="56" t="n"/>
      <c r="X141" s="2002" t="n"/>
      <c r="Y141" s="2002" t="n"/>
      <c r="Z141" s="2002" t="n"/>
      <c r="AA141" s="2002" t="n"/>
      <c r="AB141" s="2002" t="n"/>
      <c r="AC141" s="2002" t="n"/>
      <c r="AE141" s="522" t="n"/>
      <c r="AF141" s="93" t="n"/>
      <c r="AG141" s="93" t="n"/>
      <c r="AH141" s="93" t="n"/>
      <c r="AI141" s="775" t="n"/>
      <c r="AJ141" s="775" t="n"/>
      <c r="AK141" s="775" t="n"/>
      <c r="AL141" s="775" t="n"/>
      <c r="AM141" s="775" t="n"/>
      <c r="AN141" s="775" t="n"/>
      <c r="AO141" s="775" t="n"/>
      <c r="AP141" s="775" t="n"/>
    </row>
    <row r="142" ht="21" customFormat="1" customHeight="1" s="7">
      <c r="A142" s="1435" t="n"/>
      <c r="B142" s="162">
        <f>IF(P136&gt;=R136,"Achat d'une valeur significative (auto, animal,…)","")</f>
        <v/>
      </c>
      <c r="C142" s="1999" t="n"/>
      <c r="D142" s="1930" t="n">
        <v>5</v>
      </c>
      <c r="E142" s="1952">
        <f>'TEST_pour application'!B113</f>
        <v/>
      </c>
      <c r="F142" s="20" t="n"/>
      <c r="G142" s="20" t="n"/>
      <c r="H142" s="20" t="n"/>
      <c r="I142" s="20" t="n"/>
      <c r="J142" s="20" t="n"/>
      <c r="K142" s="20" t="n"/>
      <c r="L142" s="20" t="n"/>
      <c r="M142" s="20" t="n"/>
      <c r="N142" s="20" t="n"/>
      <c r="O142" s="20" t="n"/>
      <c r="P142" s="1949">
        <f>D142*E142</f>
        <v/>
      </c>
      <c r="Q142" s="26" t="n"/>
      <c r="R142" s="2002" t="n"/>
      <c r="S142" s="56" t="n"/>
      <c r="T142" s="56" t="n"/>
      <c r="U142" s="56" t="n"/>
      <c r="V142" s="545" t="n"/>
      <c r="W142" s="56" t="n"/>
      <c r="X142" s="2002" t="n"/>
      <c r="Y142" s="2002" t="n"/>
      <c r="Z142" s="2002" t="n"/>
      <c r="AA142" s="2002" t="n"/>
      <c r="AB142" s="2002" t="n"/>
      <c r="AC142" s="2002" t="n"/>
      <c r="AE142" s="522" t="n"/>
      <c r="AF142" s="93" t="n"/>
      <c r="AG142" s="93" t="n"/>
      <c r="AH142" s="93" t="n"/>
      <c r="AI142" s="775" t="n"/>
      <c r="AJ142" s="775" t="n"/>
      <c r="AK142" s="775" t="n"/>
      <c r="AL142" s="775" t="n"/>
      <c r="AM142" s="775" t="n"/>
      <c r="AN142" s="775" t="n"/>
      <c r="AO142" s="775" t="n"/>
      <c r="AP142" s="775" t="n"/>
    </row>
    <row r="143" ht="21" customFormat="1" customHeight="1" s="7">
      <c r="A143" s="1435" t="n"/>
      <c r="B143" s="162">
        <f>IF(P136&gt;=R136,"Décisions engendrant des coûts significatifs sans votre consentement préalable","")</f>
        <v/>
      </c>
      <c r="C143" s="1999" t="n"/>
      <c r="D143" s="1930" t="n">
        <v>1</v>
      </c>
      <c r="E143" s="1952">
        <f>'TEST_pour application'!B114</f>
        <v/>
      </c>
      <c r="F143" s="20" t="n"/>
      <c r="G143" s="20" t="n"/>
      <c r="H143" s="20" t="n"/>
      <c r="I143" s="20" t="n"/>
      <c r="J143" s="20" t="n"/>
      <c r="K143" s="20" t="n"/>
      <c r="L143" s="20" t="n"/>
      <c r="M143" s="20" t="n"/>
      <c r="N143" s="20" t="n"/>
      <c r="O143" s="20" t="n"/>
      <c r="P143" s="1949">
        <f>D143*E143</f>
        <v/>
      </c>
      <c r="Q143" s="26" t="n"/>
      <c r="R143" s="2002" t="n"/>
      <c r="S143" s="56" t="n"/>
      <c r="T143" s="56" t="n"/>
      <c r="U143" s="56" t="n"/>
      <c r="V143" s="545" t="n"/>
      <c r="W143" s="56" t="n"/>
      <c r="X143" s="2002" t="n"/>
      <c r="Y143" s="2002" t="n"/>
      <c r="Z143" s="2002" t="n"/>
      <c r="AA143" s="2002" t="n"/>
      <c r="AB143" s="2002" t="n"/>
      <c r="AC143" s="2002" t="n"/>
      <c r="AE143" s="522" t="n"/>
      <c r="AF143" s="93" t="n"/>
      <c r="AG143" s="93" t="n"/>
      <c r="AH143" s="93" t="n"/>
      <c r="AI143" s="775" t="n"/>
      <c r="AJ143" s="775" t="n"/>
      <c r="AK143" s="775" t="n"/>
      <c r="AL143" s="775" t="n"/>
      <c r="AM143" s="775" t="n"/>
      <c r="AN143" s="775" t="n"/>
      <c r="AO143" s="775" t="n"/>
      <c r="AP143" s="775" t="n"/>
    </row>
    <row r="144" ht="21" customFormat="1" customHeight="1" s="7">
      <c r="A144" s="1435" t="n"/>
      <c r="B144" s="162">
        <f>IF(P136&gt;=R136,"Autre (spécifiez)","")</f>
        <v/>
      </c>
      <c r="C144" s="1999" t="n"/>
      <c r="D144" s="1930" t="inlineStr">
        <is>
          <t>Custom</t>
        </is>
      </c>
      <c r="E144" s="1952">
        <f>'TEST_pour application'!B115</f>
        <v/>
      </c>
      <c r="F144" s="20" t="n"/>
      <c r="G144" s="20" t="n"/>
      <c r="H144" s="20" t="n"/>
      <c r="I144" s="20" t="n"/>
      <c r="J144" s="20" t="n"/>
      <c r="K144" s="20" t="n"/>
      <c r="L144" s="20" t="n"/>
      <c r="M144" s="20" t="n"/>
      <c r="N144" s="20" t="n"/>
      <c r="O144" s="20" t="n"/>
      <c r="P144" s="1949" t="n"/>
      <c r="Q144" s="26" t="n"/>
      <c r="R144" s="2002" t="n"/>
      <c r="S144" s="56" t="n"/>
      <c r="T144" s="56" t="n"/>
      <c r="U144" s="56" t="n"/>
      <c r="V144" s="545" t="n"/>
      <c r="W144" s="56" t="n"/>
      <c r="X144" s="2002" t="n"/>
      <c r="Y144" s="2002" t="n"/>
      <c r="Z144" s="2002" t="n"/>
      <c r="AA144" s="2002" t="n"/>
      <c r="AB144" s="2002" t="n"/>
      <c r="AC144" s="2002" t="n"/>
      <c r="AE144" s="522" t="n"/>
      <c r="AF144" s="93" t="n"/>
      <c r="AG144" s="93" t="n"/>
      <c r="AH144" s="93" t="n"/>
      <c r="AI144" s="775" t="n"/>
      <c r="AJ144" s="775" t="n"/>
      <c r="AK144" s="775" t="n"/>
      <c r="AL144" s="775" t="n"/>
      <c r="AM144" s="775" t="n"/>
      <c r="AN144" s="775" t="n"/>
      <c r="AO144" s="775" t="n"/>
      <c r="AP144" s="775" t="n"/>
    </row>
    <row r="145" ht="73" customFormat="1" customHeight="1" s="2002">
      <c r="A145" s="1435">
        <f>BIBLE!E66</f>
        <v/>
      </c>
      <c r="B145" s="2059">
        <f>BIBLE!F66</f>
        <v/>
      </c>
      <c r="C145" s="2003">
        <f>BIBLE!O66</f>
        <v/>
      </c>
      <c r="D145" s="294">
        <f>BIBLE!L66</f>
        <v/>
      </c>
      <c r="E145" s="2092" t="n"/>
      <c r="F145" s="20" t="n"/>
      <c r="G145" s="20" t="n"/>
      <c r="H145" s="20" t="n"/>
      <c r="I145" s="20" t="n"/>
      <c r="J145" s="20" t="n">
        <v>1</v>
      </c>
      <c r="K145" s="20" t="n"/>
      <c r="L145" s="20" t="n"/>
      <c r="M145" s="20" t="n"/>
      <c r="N145" s="20" t="n"/>
      <c r="O145" s="20" t="n"/>
      <c r="P145" s="25">
        <f>'TEST_pour application'!B116</f>
        <v/>
      </c>
      <c r="Q145" s="26">
        <f>P145*D145</f>
        <v/>
      </c>
      <c r="R145" s="2002">
        <f>IF(BIBLE!K66=0,"",BIBLE!K66)</f>
        <v/>
      </c>
      <c r="V145" s="6">
        <f>Q145</f>
        <v/>
      </c>
      <c r="X145" s="6">
        <f>IF($Q145&gt;0,X$108*$D145,0)</f>
        <v/>
      </c>
      <c r="Y145" s="6">
        <f>IF($Q145&gt;0,Y$108*$D145,0)</f>
        <v/>
      </c>
      <c r="Z145" s="6">
        <f>IF($Q145&gt;0,Z$108*$D145,0)</f>
        <v/>
      </c>
      <c r="AA145" s="6">
        <f>IF($Q145&gt;0,AA$108*$D145,0)</f>
        <v/>
      </c>
      <c r="AB145" s="6">
        <f>IF($Q145&gt;0,AB$108*$D145,0)</f>
        <v/>
      </c>
      <c r="AC145" s="6">
        <f>IF($Q145&gt;0,AC$108*$D145,0)</f>
        <v/>
      </c>
      <c r="AE145" s="521" t="n"/>
      <c r="AF145" s="24">
        <f>$V145*BIBLE!R66</f>
        <v/>
      </c>
      <c r="AG145" s="24">
        <f>$V145*BIBLE!S66</f>
        <v/>
      </c>
      <c r="AH145" s="24">
        <f>$V145*BIBLE!T66</f>
        <v/>
      </c>
      <c r="AI145" s="1539">
        <f>$V145*BIBLE!V66</f>
        <v/>
      </c>
      <c r="AJ145" s="1539">
        <f>$V145*BIBLE!W66</f>
        <v/>
      </c>
      <c r="AK145" s="1539">
        <f>$V145*BIBLE!X66</f>
        <v/>
      </c>
      <c r="AL145" s="1539">
        <f>$V145*BIBLE!Y66</f>
        <v/>
      </c>
      <c r="AM145" s="1539">
        <f>$V145*BIBLE!Z66</f>
        <v/>
      </c>
      <c r="AN145" s="1539">
        <f>$V145*BIBLE!AA66</f>
        <v/>
      </c>
      <c r="AO145" s="1539">
        <f>$V145*BIBLE!AB66</f>
        <v/>
      </c>
      <c r="AP145" s="1539">
        <f>$V145*BIBLE!AC66</f>
        <v/>
      </c>
    </row>
    <row r="146" ht="73" customFormat="1" customHeight="1" s="2002">
      <c r="A146" s="1435">
        <f>BIBLE!E67</f>
        <v/>
      </c>
      <c r="B146" s="2059">
        <f>BIBLE!F67</f>
        <v/>
      </c>
      <c r="C146" s="2003">
        <f>BIBLE!O67</f>
        <v/>
      </c>
      <c r="D146" s="294">
        <f>IF($E$40&gt;=14,BIBLE!L67,BIBLE!M67)</f>
        <v/>
      </c>
      <c r="E146" s="20" t="n"/>
      <c r="F146" s="20" t="n">
        <v>1</v>
      </c>
      <c r="G146" s="20" t="n"/>
      <c r="H146" s="20" t="n"/>
      <c r="I146" s="20" t="n"/>
      <c r="J146" s="20" t="n"/>
      <c r="K146" s="20" t="n"/>
      <c r="L146" s="20" t="n"/>
      <c r="M146" s="20" t="n"/>
      <c r="N146" s="20" t="n"/>
      <c r="O146" s="20" t="n"/>
      <c r="P146" s="25">
        <f>(E146*$E$108)+(F146*$F$108)+(G146*$G$108)+(H146*$H$108)+(I146*$I$108)+(J146*$J$108)+(K146*$K$108)</f>
        <v/>
      </c>
      <c r="Q146" s="26">
        <f>P146*D146</f>
        <v/>
      </c>
      <c r="R146" s="2002">
        <f>IF(BIBLE!K67=0,"",BIBLE!K67)</f>
        <v/>
      </c>
      <c r="V146" s="6">
        <f>Q146</f>
        <v/>
      </c>
      <c r="X146" s="6">
        <f>IF($Q146&gt;0,X$108*$D146,0)</f>
        <v/>
      </c>
      <c r="Y146" s="6">
        <f>IF($Q146&gt;0,Y$108*$D146,0)</f>
        <v/>
      </c>
      <c r="Z146" s="6">
        <f>IF($Q146&gt;0,Z$108*$D146,0)</f>
        <v/>
      </c>
      <c r="AA146" s="6">
        <f>IF($Q146&gt;0,AA$108*$D146,0)</f>
        <v/>
      </c>
      <c r="AB146" s="6">
        <f>IF($Q146&gt;0,AB$108*$D146,0)</f>
        <v/>
      </c>
      <c r="AC146" s="6">
        <f>IF($Q146&gt;0,AC$108*$D146,0)</f>
        <v/>
      </c>
      <c r="AE146" s="521" t="n"/>
      <c r="AF146" s="24">
        <f>$V146*BIBLE!R67</f>
        <v/>
      </c>
      <c r="AG146" s="24">
        <f>$V146*BIBLE!S67</f>
        <v/>
      </c>
      <c r="AH146" s="24">
        <f>$V146*BIBLE!T67</f>
        <v/>
      </c>
      <c r="AI146" s="1539">
        <f>$V146*BIBLE!V67</f>
        <v/>
      </c>
      <c r="AJ146" s="1539">
        <f>$V146*BIBLE!W67</f>
        <v/>
      </c>
      <c r="AK146" s="1539">
        <f>$V146*BIBLE!X67</f>
        <v/>
      </c>
      <c r="AL146" s="1539">
        <f>$V146*BIBLE!Y67</f>
        <v/>
      </c>
      <c r="AM146" s="1539">
        <f>$V146*BIBLE!Z67</f>
        <v/>
      </c>
      <c r="AN146" s="1539">
        <f>$V146*BIBLE!AA67</f>
        <v/>
      </c>
      <c r="AO146" s="1539">
        <f>$V146*BIBLE!AB67</f>
        <v/>
      </c>
      <c r="AP146" s="1539">
        <f>$V146*BIBLE!AC67</f>
        <v/>
      </c>
    </row>
    <row r="147" ht="73" customFormat="1" customHeight="1" s="2002">
      <c r="A147" s="1435">
        <f>BIBLE!E68</f>
        <v/>
      </c>
      <c r="B147" s="2059">
        <f>BIBLE!F68</f>
        <v/>
      </c>
      <c r="C147" s="2003">
        <f>BIBLE!O68</f>
        <v/>
      </c>
      <c r="D147" s="294">
        <f>IF($E$40&gt;=12,BIBLE!L68,BIBLE!M68)</f>
        <v/>
      </c>
      <c r="E147" s="20" t="n"/>
      <c r="F147" s="20" t="n"/>
      <c r="G147" s="20" t="n"/>
      <c r="H147" s="20" t="n">
        <v>1</v>
      </c>
      <c r="I147" s="20" t="n"/>
      <c r="J147" s="20" t="n"/>
      <c r="K147" s="20" t="n"/>
      <c r="L147" s="20" t="n"/>
      <c r="M147" s="20" t="n"/>
      <c r="N147" s="20" t="n"/>
      <c r="O147" s="20" t="n"/>
      <c r="P147" s="25">
        <f>(E147*$E$108)+(F147*$F$108)+(G147*$G$108)+(H147*$H$108)+(I147*$I$108)+(J147*$J$108)+(K147*$K$108)</f>
        <v/>
      </c>
      <c r="Q147" s="26">
        <f>P147*D147</f>
        <v/>
      </c>
      <c r="R147" s="2002">
        <f>IF(BIBLE!K68=0,"",BIBLE!K68)</f>
        <v/>
      </c>
      <c r="V147" s="6">
        <f>Q147</f>
        <v/>
      </c>
      <c r="X147" s="6">
        <f>IF($Q147&gt;0,X$108*$D147,0)</f>
        <v/>
      </c>
      <c r="Y147" s="6">
        <f>IF($Q147&gt;0,Y$108*$D147,0)</f>
        <v/>
      </c>
      <c r="Z147" s="6">
        <f>IF($Q147&gt;0,Z$108*$D147,0)</f>
        <v/>
      </c>
      <c r="AA147" s="6">
        <f>IF($Q147&gt;0,AA$108*$D147,0)</f>
        <v/>
      </c>
      <c r="AB147" s="6">
        <f>IF($Q147&gt;0,AB$108*$D147,0)</f>
        <v/>
      </c>
      <c r="AC147" s="6">
        <f>IF($Q147&gt;0,AC$108*$D147,0)</f>
        <v/>
      </c>
      <c r="AE147" s="521" t="n"/>
      <c r="AF147" s="24">
        <f>$V147*BIBLE!R68</f>
        <v/>
      </c>
      <c r="AG147" s="24">
        <f>$V147*BIBLE!S68</f>
        <v/>
      </c>
      <c r="AH147" s="24">
        <f>$V147*BIBLE!T68</f>
        <v/>
      </c>
      <c r="AI147" s="1539">
        <f>$V147*BIBLE!V68</f>
        <v/>
      </c>
      <c r="AJ147" s="1539">
        <f>$V147*BIBLE!W68</f>
        <v/>
      </c>
      <c r="AK147" s="1539">
        <f>$V147*BIBLE!X68</f>
        <v/>
      </c>
      <c r="AL147" s="1539">
        <f>$V147*BIBLE!Y68</f>
        <v/>
      </c>
      <c r="AM147" s="1539">
        <f>$V147*BIBLE!Z68</f>
        <v/>
      </c>
      <c r="AN147" s="1539">
        <f>$V147*BIBLE!AA68</f>
        <v/>
      </c>
      <c r="AO147" s="1539">
        <f>$V147*BIBLE!AB68</f>
        <v/>
      </c>
      <c r="AP147" s="1539">
        <f>$V147*BIBLE!AC68</f>
        <v/>
      </c>
    </row>
    <row r="148" ht="39" customFormat="1" customHeight="1" s="2002">
      <c r="A148" s="1435">
        <f>BIBLE!E69</f>
        <v/>
      </c>
      <c r="B148" s="2004">
        <f>IF(P147&gt;=R147,BIBLE!F69," ")</f>
        <v/>
      </c>
      <c r="C148" s="125" t="inlineStr">
        <is>
          <t>Oui</t>
        </is>
      </c>
      <c r="D148" s="1930" t="n">
        <v>1</v>
      </c>
      <c r="E148" s="52">
        <f>IF(P$148=D148,1,"x")</f>
        <v/>
      </c>
      <c r="F148" s="20" t="n"/>
      <c r="G148" s="20" t="n"/>
      <c r="H148" s="20" t="n"/>
      <c r="I148" s="20" t="n"/>
      <c r="J148" s="20" t="n"/>
      <c r="K148" s="20" t="n"/>
      <c r="L148" s="20" t="n"/>
      <c r="M148" s="20" t="n"/>
      <c r="N148" s="20" t="n"/>
      <c r="O148" s="20" t="n"/>
      <c r="P148" s="2093">
        <f>'TEST_pour application'!B119</f>
        <v/>
      </c>
      <c r="Q148" s="26" t="n"/>
      <c r="R148" s="2002">
        <f>IF(BIBLE!K69=0,"",BIBLE!K69)</f>
        <v/>
      </c>
      <c r="AE148" s="521" t="n"/>
      <c r="AF148" s="24" t="n"/>
      <c r="AG148" s="24" t="n"/>
      <c r="AH148" s="24" t="n"/>
      <c r="AI148" s="1539" t="n"/>
      <c r="AJ148" s="1539" t="n"/>
      <c r="AK148" s="1539" t="n"/>
      <c r="AL148" s="1539" t="n"/>
      <c r="AM148" s="1539" t="n"/>
      <c r="AN148" s="1539" t="n"/>
      <c r="AO148" s="1539" t="n"/>
      <c r="AP148" s="1539" t="n"/>
    </row>
    <row r="149" ht="22" customFormat="1" customHeight="1" s="2002">
      <c r="A149" s="1435" t="n"/>
      <c r="B149" s="2097" t="n"/>
      <c r="C149" s="125" t="inlineStr">
        <is>
          <t>Non</t>
        </is>
      </c>
      <c r="D149" s="1930" t="n">
        <v>2</v>
      </c>
      <c r="E149" s="52">
        <f>IF(P$148=D149,1,"x")</f>
        <v/>
      </c>
      <c r="F149" s="20" t="n"/>
      <c r="G149" s="20" t="n"/>
      <c r="H149" s="20" t="n"/>
      <c r="I149" s="20" t="n"/>
      <c r="J149" s="20" t="n"/>
      <c r="K149" s="20" t="n"/>
      <c r="L149" s="20" t="n"/>
      <c r="M149" s="20" t="n"/>
      <c r="N149" s="20" t="n"/>
      <c r="O149" s="20" t="n"/>
      <c r="P149" s="25" t="n"/>
      <c r="Q149" s="26" t="n"/>
      <c r="AE149" s="521" t="n"/>
      <c r="AF149" s="24" t="n"/>
      <c r="AG149" s="24" t="n"/>
      <c r="AH149" s="24" t="n"/>
      <c r="AI149" s="1539" t="n"/>
      <c r="AJ149" s="1539" t="n"/>
      <c r="AK149" s="1539" t="n"/>
      <c r="AL149" s="1539" t="n"/>
      <c r="AM149" s="1539" t="n"/>
      <c r="AN149" s="1539" t="n"/>
      <c r="AO149" s="1539" t="n"/>
      <c r="AP149" s="1539" t="n"/>
    </row>
    <row r="150" ht="50" customFormat="1" customHeight="1" s="2002">
      <c r="A150" s="1435">
        <f>BIBLE!E70</f>
        <v/>
      </c>
      <c r="B150" s="2059">
        <f>BIBLE!F70</f>
        <v/>
      </c>
      <c r="C150" s="1979">
        <f>IF(BIBLE!O70=0,"",BIBLE!O70)</f>
        <v/>
      </c>
      <c r="D150" s="295">
        <f>BIBLE!L70</f>
        <v/>
      </c>
      <c r="E150" s="20" t="n"/>
      <c r="F150" s="20" t="n"/>
      <c r="G150" s="20" t="n"/>
      <c r="H150" s="20" t="n">
        <v>1</v>
      </c>
      <c r="I150" s="20" t="n"/>
      <c r="J150" s="20" t="n"/>
      <c r="K150" s="20" t="n"/>
      <c r="L150" s="20" t="n"/>
      <c r="M150" s="20" t="n"/>
      <c r="N150" s="20" t="n"/>
      <c r="O150" s="20" t="n"/>
      <c r="P150" s="25">
        <f>'TEST_pour application'!B120</f>
        <v/>
      </c>
      <c r="Q150" s="26">
        <f>P150*D150</f>
        <v/>
      </c>
      <c r="R150" s="2002">
        <f>IF(BIBLE!K70=0,"",BIBLE!K70)</f>
        <v/>
      </c>
      <c r="V150" s="6">
        <f>IF(P150&gt;=R150,IF(Q150&gt;Q151,Q150,Q151),Q150)</f>
        <v/>
      </c>
      <c r="X150" s="6">
        <f>IF(($P150&gt;=$R150),IF($Q150&gt;$Q151,X$108*$D150,X$108*$D151),X$108*$D150)</f>
        <v/>
      </c>
      <c r="Y150" s="6">
        <f>IF(($P150&gt;=$R150),IF($Q150&gt;$Q151,Y$108*$D150,Y$108*$D151),Y$108*$D150)</f>
        <v/>
      </c>
      <c r="Z150" s="6">
        <f>IF(($P150&gt;=$R150),IF($Q150&gt;$Q151,Z$108*$D150,Z$108*$D151),Z$108*$D150)</f>
        <v/>
      </c>
      <c r="AA150" s="6">
        <f>IF(($P150&gt;=$R150),IF($Q150&gt;$Q151,AA$108*$D150,AA$108*$D151),AA$108*$D150)</f>
        <v/>
      </c>
      <c r="AB150" s="6">
        <f>IF(($P150&gt;=$R150),IF($Q150&gt;$Q151,AB$108*$D150,AB$108*$D151),AB$108*$D150)</f>
        <v/>
      </c>
      <c r="AC150" s="6">
        <f>IF(($P150&gt;=$R150),IF($Q150&gt;$Q151,AC$108*$D150,AC$108*$D151),AC$108*$D150)</f>
        <v/>
      </c>
      <c r="AE150" s="521" t="n"/>
      <c r="AF150" s="24">
        <f>IF($Q150=$V150,$Q150*BIBLE!R70,$Q151*BIBLE!R71)</f>
        <v/>
      </c>
      <c r="AG150" s="24">
        <f>IF($Q150=$V150,$Q150*BIBLE!S70,$Q151*BIBLE!S71)</f>
        <v/>
      </c>
      <c r="AH150" s="24">
        <f>IF($Q150=$V150,$Q150*BIBLE!T70,$Q151*BIBLE!T71)</f>
        <v/>
      </c>
      <c r="AI150" s="1539">
        <f>IF($Q150=$V150,$Q150*BIBLE!V70,$Q151*BIBLE!V71)</f>
        <v/>
      </c>
      <c r="AJ150" s="1539">
        <f>IF($Q150=$V150,$Q150*BIBLE!W70,$Q151*BIBLE!W71)</f>
        <v/>
      </c>
      <c r="AK150" s="1539">
        <f>IF($Q150=$V150,$Q150*BIBLE!X70,$Q151*BIBLE!X71)</f>
        <v/>
      </c>
      <c r="AL150" s="1539">
        <f>IF($Q150=$V150,$Q150*BIBLE!Y70,$Q151*BIBLE!Y71)</f>
        <v/>
      </c>
      <c r="AM150" s="1539">
        <f>IF($Q150=$V150,$Q150*BIBLE!Z70,$Q151*BIBLE!Z71)</f>
        <v/>
      </c>
      <c r="AN150" s="1539">
        <f>IF($Q150=$V150,$Q150*BIBLE!AA70,$Q151*BIBLE!AA71)</f>
        <v/>
      </c>
      <c r="AO150" s="1539">
        <f>IF($Q150=$V150,$Q150*BIBLE!AB70,$Q151*BIBLE!AB71)</f>
        <v/>
      </c>
      <c r="AP150" s="1539">
        <f>IF($Q150=$V150,$Q150*BIBLE!AC70,$Q151*BIBLE!AC71)</f>
        <v/>
      </c>
    </row>
    <row r="151" ht="50" customFormat="1" customHeight="1" s="2002">
      <c r="A151" s="1435">
        <f>BIBLE!E71</f>
        <v/>
      </c>
      <c r="B151" s="2004">
        <f>IF(P150&gt;=R150,BIBLE!F71," ")</f>
        <v/>
      </c>
      <c r="C151" s="2003">
        <f>BIBLE!O72</f>
        <v/>
      </c>
      <c r="D151" s="294">
        <f>BIBLE!L71</f>
        <v/>
      </c>
      <c r="E151" s="20" t="n"/>
      <c r="F151" s="20" t="n"/>
      <c r="G151" s="20" t="n"/>
      <c r="H151" s="20" t="n"/>
      <c r="I151" s="20" t="n"/>
      <c r="J151" s="20" t="n"/>
      <c r="K151" s="20" t="n"/>
      <c r="L151" s="20" t="n"/>
      <c r="M151" s="20" t="n"/>
      <c r="N151" s="20" t="n"/>
      <c r="O151" s="20" t="n"/>
      <c r="P151" s="25">
        <f>'TEST_pour application'!B121</f>
        <v/>
      </c>
      <c r="Q151" s="26">
        <f>P151*D151</f>
        <v/>
      </c>
      <c r="R151" s="2002">
        <f>IF(BIBLE!K71=0,"",BIBLE!K71)</f>
        <v/>
      </c>
      <c r="V151" s="6" t="n"/>
      <c r="X151" s="6" t="n"/>
      <c r="Y151" s="6" t="n"/>
      <c r="Z151" s="6" t="n"/>
      <c r="AA151" s="6" t="n"/>
      <c r="AB151" s="6" t="n"/>
      <c r="AC151" s="6" t="n"/>
      <c r="AE151" s="521" t="n"/>
      <c r="AF151" s="24" t="n"/>
      <c r="AG151" s="24" t="n"/>
      <c r="AH151" s="24" t="n"/>
      <c r="AI151" s="1539" t="n"/>
      <c r="AJ151" s="1539" t="n"/>
      <c r="AK151" s="1539" t="n"/>
      <c r="AL151" s="1539" t="n"/>
      <c r="AM151" s="1539" t="n"/>
      <c r="AN151" s="1539" t="n"/>
      <c r="AO151" s="1539" t="n"/>
      <c r="AP151" s="1539" t="n"/>
    </row>
    <row r="152" ht="79" customFormat="1" customHeight="1" s="2002">
      <c r="A152" s="1435">
        <f>BIBLE!E72</f>
        <v/>
      </c>
      <c r="B152" s="2059">
        <f>IF(OR($E$44=1,$E$45=1),IF(OR(E61=1,E64=1),BIBLE!K12,""),"")</f>
        <v/>
      </c>
      <c r="C152" s="2003">
        <f>BIBLE!O73</f>
        <v/>
      </c>
      <c r="D152" s="294">
        <f>BIBLE!L72</f>
        <v/>
      </c>
      <c r="E152" s="20" t="n"/>
      <c r="F152" s="20" t="n"/>
      <c r="G152" s="20" t="n"/>
      <c r="H152" s="20" t="n"/>
      <c r="I152" s="20" t="n"/>
      <c r="J152" s="20" t="n"/>
      <c r="K152" s="20" t="n"/>
      <c r="L152" s="20" t="n"/>
      <c r="M152" s="20" t="n"/>
      <c r="N152" s="20" t="n"/>
      <c r="O152" s="20" t="n"/>
      <c r="P152" s="25">
        <f>'TEST_pour application'!B122</f>
        <v/>
      </c>
      <c r="Q152" s="26">
        <f>P152*D152</f>
        <v/>
      </c>
      <c r="R152" s="2002">
        <f>IF(BIBLE!K73=0,"",BIBLE!K73)</f>
        <v/>
      </c>
      <c r="V152" s="6">
        <f>Q152</f>
        <v/>
      </c>
      <c r="X152" s="6">
        <f>IF($Q152&gt;0,X$108*$D152,0)</f>
        <v/>
      </c>
      <c r="Y152" s="6">
        <f>IF($Q152&gt;0,Y$108*$D152,0)</f>
        <v/>
      </c>
      <c r="Z152" s="6">
        <f>IF($Q152&gt;0,Z$108*$D152,0)</f>
        <v/>
      </c>
      <c r="AA152" s="6">
        <f>IF($Q152&gt;0,AA$108*$D152,0)</f>
        <v/>
      </c>
      <c r="AB152" s="6">
        <f>IF($Q152&gt;0,AB$108*$D152,0)</f>
        <v/>
      </c>
      <c r="AC152" s="6">
        <f>IF($Q152&gt;0,AC$108*$D152,0)</f>
        <v/>
      </c>
      <c r="AE152" s="521" t="n"/>
      <c r="AF152" s="24">
        <f>$V152*BIBLE!R72</f>
        <v/>
      </c>
      <c r="AG152" s="24">
        <f>$V152*BIBLE!S72</f>
        <v/>
      </c>
      <c r="AH152" s="24">
        <f>$V152*BIBLE!T72</f>
        <v/>
      </c>
      <c r="AI152" s="1539">
        <f>$V152*BIBLE!V72</f>
        <v/>
      </c>
      <c r="AJ152" s="1539">
        <f>$V152*BIBLE!W72</f>
        <v/>
      </c>
      <c r="AK152" s="1539">
        <f>$V152*BIBLE!X72</f>
        <v/>
      </c>
      <c r="AL152" s="1539">
        <f>$V152*BIBLE!Y72</f>
        <v/>
      </c>
      <c r="AM152" s="1539">
        <f>$V152*BIBLE!Z72</f>
        <v/>
      </c>
      <c r="AN152" s="1539">
        <f>$V152*BIBLE!AA72</f>
        <v/>
      </c>
      <c r="AO152" s="1539">
        <f>$V152*BIBLE!AB72</f>
        <v/>
      </c>
      <c r="AP152" s="1539">
        <f>$V152*BIBLE!AC72</f>
        <v/>
      </c>
    </row>
    <row r="153" ht="43" customFormat="1" customHeight="1" s="2002">
      <c r="A153" s="1435">
        <f>BIBLE!E73</f>
        <v/>
      </c>
      <c r="B153" s="2059">
        <f>IF(OR($E$44=1,$E$45=1),IF(OR(E61=1,E64=1),BIBLE!F73,""),"")</f>
        <v/>
      </c>
      <c r="D153" s="295">
        <f>BIBLE!L73</f>
        <v/>
      </c>
      <c r="E153" s="20" t="n"/>
      <c r="F153" s="20" t="n"/>
      <c r="G153" s="20" t="n"/>
      <c r="H153" s="20" t="n"/>
      <c r="I153" s="20" t="n"/>
      <c r="J153" s="20" t="n"/>
      <c r="K153" s="20" t="n"/>
      <c r="L153" s="20" t="n"/>
      <c r="M153" s="20" t="n"/>
      <c r="N153" s="20" t="n"/>
      <c r="O153" s="20" t="n"/>
      <c r="P153" s="25">
        <f>'TEST_pour application'!B123</f>
        <v/>
      </c>
      <c r="Q153" s="26">
        <f>P153*D153</f>
        <v/>
      </c>
      <c r="R153" s="2002">
        <f>IF(BIBLE!K76=0,"",BIBLE!K76)</f>
        <v/>
      </c>
      <c r="V153" s="6">
        <f>Q153</f>
        <v/>
      </c>
      <c r="X153" s="6">
        <f>IF($Q153&gt;0,X$108*$D153,0)</f>
        <v/>
      </c>
      <c r="Y153" s="6">
        <f>IF($Q153&gt;0,Y$108*$D153,0)</f>
        <v/>
      </c>
      <c r="Z153" s="6">
        <f>IF($Q153&gt;0,Z$108*$D153,0)</f>
        <v/>
      </c>
      <c r="AA153" s="6">
        <f>IF($Q153&gt;0,AA$108*$D153,0)</f>
        <v/>
      </c>
      <c r="AB153" s="6">
        <f>IF($Q153&gt;0,AB$108*$D153,0)</f>
        <v/>
      </c>
      <c r="AC153" s="6">
        <f>IF($Q153&gt;0,AC$108*$D153,0)</f>
        <v/>
      </c>
      <c r="AE153" s="521" t="n"/>
      <c r="AF153" s="24">
        <f>$V153*BIBLE!R73</f>
        <v/>
      </c>
      <c r="AG153" s="24">
        <f>$V153*BIBLE!S73</f>
        <v/>
      </c>
      <c r="AH153" s="24">
        <f>$V153*BIBLE!T73</f>
        <v/>
      </c>
      <c r="AI153" s="1539">
        <f>$V153*BIBLE!V73</f>
        <v/>
      </c>
      <c r="AJ153" s="1539">
        <f>$V153*BIBLE!W73</f>
        <v/>
      </c>
      <c r="AK153" s="1539">
        <f>$V153*BIBLE!X73</f>
        <v/>
      </c>
      <c r="AL153" s="1539">
        <f>$V153*BIBLE!Y73</f>
        <v/>
      </c>
      <c r="AM153" s="1539">
        <f>$V153*BIBLE!Z73</f>
        <v/>
      </c>
      <c r="AN153" s="1539">
        <f>$V153*BIBLE!AA73</f>
        <v/>
      </c>
      <c r="AO153" s="1539">
        <f>$V153*BIBLE!AB73</f>
        <v/>
      </c>
      <c r="AP153" s="1539">
        <f>$V153*BIBLE!AC73</f>
        <v/>
      </c>
    </row>
    <row r="154" ht="30" customFormat="1" customHeight="1" s="2002">
      <c r="A154" s="130" t="n"/>
      <c r="B154" s="2059" t="n"/>
      <c r="D154" s="295" t="n"/>
      <c r="P154" s="90" t="n"/>
      <c r="Q154" s="6" t="n"/>
      <c r="X154" s="6" t="n"/>
      <c r="Y154" s="6" t="n"/>
      <c r="Z154" s="6" t="n"/>
      <c r="AA154" s="6" t="n"/>
      <c r="AB154" s="6" t="n"/>
      <c r="AC154" s="6" t="n"/>
      <c r="AE154" s="521" t="n"/>
      <c r="AF154" s="24" t="n"/>
      <c r="AG154" s="24" t="n"/>
      <c r="AH154" s="24" t="n"/>
      <c r="AI154" s="1539" t="n"/>
      <c r="AJ154" s="1539" t="n"/>
      <c r="AK154" s="1539" t="n"/>
      <c r="AL154" s="1539" t="n"/>
      <c r="AM154" s="1539" t="n"/>
      <c r="AN154" s="1539" t="n"/>
      <c r="AO154" s="1539" t="n"/>
      <c r="AP154" s="1539" t="n"/>
    </row>
    <row r="155" ht="30" customFormat="1" customHeight="1" s="2002">
      <c r="A155" s="130" t="n"/>
      <c r="B155" s="2059" t="n"/>
      <c r="D155" s="295" t="n"/>
      <c r="P155" s="90" t="n"/>
      <c r="V155" s="499">
        <f>SUM(V109:V153)</f>
        <v/>
      </c>
      <c r="X155" s="499">
        <f>SUM(X109:X153)</f>
        <v/>
      </c>
      <c r="Y155" s="499">
        <f>SUM(Y109:Y153)</f>
        <v/>
      </c>
      <c r="Z155" s="499">
        <f>SUM(Z109:Z153)</f>
        <v/>
      </c>
      <c r="AA155" s="499">
        <f>SUM(AA109:AA153)</f>
        <v/>
      </c>
      <c r="AB155" s="499">
        <f>SUM(AB109:AB153)</f>
        <v/>
      </c>
      <c r="AC155" s="499">
        <f>SUM(AC109:AC153)</f>
        <v/>
      </c>
      <c r="AD155" s="979">
        <f>V155/AC155</f>
        <v/>
      </c>
      <c r="AE155" s="1550">
        <f>SUM(AE109:AE154)</f>
        <v/>
      </c>
      <c r="AF155" s="1551">
        <f>SUM(AF109:AF154)</f>
        <v/>
      </c>
      <c r="AG155" s="1551">
        <f>SUM(AG109:AG154)</f>
        <v/>
      </c>
      <c r="AH155" s="1551">
        <f>SUM(AH109:AH154)</f>
        <v/>
      </c>
      <c r="AI155" s="1552">
        <f>SUM(AI109:AI154)</f>
        <v/>
      </c>
      <c r="AJ155" s="1552">
        <f>SUM(AJ109:AJ154)</f>
        <v/>
      </c>
      <c r="AK155" s="1552">
        <f>SUM(AK109:AK154)</f>
        <v/>
      </c>
      <c r="AL155" s="1552">
        <f>SUM(AL109:AL154)</f>
        <v/>
      </c>
      <c r="AM155" s="1552">
        <f>SUM(AM109:AM154)</f>
        <v/>
      </c>
      <c r="AN155" s="1552">
        <f>SUM(AN109:AN154)</f>
        <v/>
      </c>
      <c r="AO155" s="1552">
        <f>SUM(AO109:AO154)</f>
        <v/>
      </c>
      <c r="AP155" s="1552">
        <f>SUM(AP109:AP154)</f>
        <v/>
      </c>
    </row>
    <row r="156" customFormat="1" s="2002">
      <c r="A156" s="287" t="n"/>
      <c r="B156" s="72" t="n"/>
      <c r="C156" s="305" t="n"/>
      <c r="D156" s="297" t="n"/>
      <c r="P156" s="90" t="n"/>
      <c r="Q156" s="6" t="n"/>
      <c r="X156" s="6" t="n"/>
      <c r="Y156" s="6" t="n"/>
      <c r="Z156" s="6" t="n"/>
      <c r="AA156" s="6" t="n"/>
      <c r="AB156" s="6" t="n"/>
      <c r="AC156" s="6" t="n"/>
      <c r="AE156" s="1556" t="n"/>
      <c r="AF156" s="1554">
        <f>AF155/SUM($AF$155:$AH$155)</f>
        <v/>
      </c>
      <c r="AG156" s="1554">
        <f>AG155/SUM($AF$155:$AH$155)</f>
        <v/>
      </c>
      <c r="AH156" s="1554">
        <f>AH155/SUM($AF$155:$AH$155)</f>
        <v/>
      </c>
      <c r="AI156" s="1555">
        <f>AI155/SUM($AI$155:$AP$155)</f>
        <v/>
      </c>
      <c r="AJ156" s="1555">
        <f>AJ155/SUM($AI$155:$AP$155)</f>
        <v/>
      </c>
      <c r="AK156" s="1555">
        <f>AK155/SUM($AI$155:$AP$155)</f>
        <v/>
      </c>
      <c r="AL156" s="1555">
        <f>AL155/SUM($AI$155:$AP$155)</f>
        <v/>
      </c>
      <c r="AM156" s="1555">
        <f>AM155/SUM($AI$155:$AP$155)</f>
        <v/>
      </c>
      <c r="AN156" s="1555">
        <f>AN155/SUM($AI$155:$AP$155)</f>
        <v/>
      </c>
      <c r="AO156" s="1555">
        <f>AO155/SUM($AI$155:$AP$155)</f>
        <v/>
      </c>
      <c r="AP156" s="1555">
        <f>AP155/SUM($AI$155:$AP$155)</f>
        <v/>
      </c>
    </row>
    <row r="157" ht="20" customFormat="1" customHeight="1" s="2002">
      <c r="A157" s="130" t="n"/>
      <c r="B157" s="2066" t="n"/>
      <c r="C157" s="125" t="n"/>
      <c r="D157" s="294" t="n"/>
      <c r="P157" s="25" t="n"/>
      <c r="Q157" s="26" t="n"/>
      <c r="R157" s="2073" t="n"/>
      <c r="S157" s="2073" t="n"/>
      <c r="T157" s="2073" t="n"/>
      <c r="U157" s="2073" t="n"/>
      <c r="V157" s="2073" t="n"/>
      <c r="W157" s="2073" t="n"/>
      <c r="AE157" s="521" t="n"/>
      <c r="AF157" s="24" t="n"/>
      <c r="AG157" s="24" t="n"/>
      <c r="AH157" s="24" t="n"/>
      <c r="AI157" s="1539" t="n"/>
      <c r="AJ157" s="1539" t="n"/>
      <c r="AK157" s="1539" t="n"/>
      <c r="AL157" s="1539" t="n"/>
      <c r="AM157" s="1539" t="n"/>
      <c r="AN157" s="1539" t="n"/>
      <c r="AO157" s="1539" t="n"/>
      <c r="AP157" s="1539" t="n"/>
    </row>
    <row r="158" ht="24" customFormat="1" customHeight="1" s="2002" thickBot="1">
      <c r="A158" s="568" t="inlineStr">
        <is>
          <t>Co-parent</t>
        </is>
      </c>
      <c r="B158" s="2066" t="n"/>
      <c r="C158" s="24" t="n"/>
      <c r="D158" s="294" t="n"/>
      <c r="E158" s="517">
        <f>$E$52</f>
        <v/>
      </c>
      <c r="F158" s="303">
        <f>$F$52</f>
        <v/>
      </c>
      <c r="G158" s="303">
        <f>$G$52</f>
        <v/>
      </c>
      <c r="H158" s="303">
        <f>$H$52</f>
        <v/>
      </c>
      <c r="I158" s="303">
        <f>$I$52</f>
        <v/>
      </c>
      <c r="J158" s="303">
        <f>$J$52</f>
        <v/>
      </c>
      <c r="K158" s="303">
        <f>$K$52</f>
        <v/>
      </c>
      <c r="L158" s="483">
        <f>$L$96</f>
        <v/>
      </c>
      <c r="M158" s="483">
        <f>$M$96</f>
        <v/>
      </c>
      <c r="N158" s="483">
        <f>$N$96</f>
        <v/>
      </c>
      <c r="O158" s="483">
        <f>$O$96</f>
        <v/>
      </c>
      <c r="P158" s="78" t="inlineStr">
        <is>
          <t>Fréquence seul.</t>
        </is>
      </c>
      <c r="Q158" s="78" t="inlineStr">
        <is>
          <t>Fréquence * Intensité
(valeur de base)</t>
        </is>
      </c>
      <c r="R158" s="78" t="inlineStr">
        <is>
          <t>Condition SQ</t>
        </is>
      </c>
      <c r="S158" s="157" t="n"/>
      <c r="T158" s="157" t="n"/>
      <c r="U158" s="157" t="n"/>
      <c r="V158" s="157" t="n"/>
      <c r="W158" s="157" t="n"/>
      <c r="AE158" s="521" t="n"/>
      <c r="AF158" s="24" t="n"/>
      <c r="AG158" s="24" t="n"/>
      <c r="AH158" s="24" t="n"/>
      <c r="AI158" s="1539" t="n"/>
      <c r="AJ158" s="1539" t="n"/>
      <c r="AK158" s="1539" t="n"/>
      <c r="AL158" s="1539" t="n"/>
      <c r="AM158" s="1539" t="n"/>
      <c r="AN158" s="1539" t="n"/>
      <c r="AO158" s="1539" t="n"/>
      <c r="AP158" s="1539" t="n"/>
    </row>
    <row r="159" ht="54" customFormat="1" customHeight="1" s="2002" thickTop="1">
      <c r="A159" s="1437">
        <f>BIBLE!E78</f>
        <v/>
      </c>
      <c r="B159" s="156">
        <f>IF(P53&lt;R53,BIBLE!F78,"")</f>
        <v/>
      </c>
      <c r="C159" s="2003">
        <f>BIBLE!O78</f>
        <v/>
      </c>
      <c r="D159" s="125">
        <f>BIBLE!L78</f>
        <v/>
      </c>
      <c r="E159" s="6" t="n"/>
      <c r="F159" s="6" t="n"/>
      <c r="G159" s="6" t="n"/>
      <c r="H159" s="6" t="n"/>
      <c r="I159" s="6" t="n"/>
      <c r="J159" s="6" t="n"/>
      <c r="K159" s="6" t="n">
        <v>1</v>
      </c>
      <c r="L159" s="6" t="n"/>
      <c r="M159" s="6" t="n"/>
      <c r="N159" s="6" t="n"/>
      <c r="O159" s="483" t="n"/>
      <c r="P159" s="25">
        <f>'TEST_pour application'!B148</f>
        <v/>
      </c>
      <c r="Q159" s="26">
        <f>P159*D159</f>
        <v/>
      </c>
      <c r="S159" s="157" t="n"/>
      <c r="T159" s="157" t="n"/>
      <c r="U159" s="157" t="n"/>
      <c r="V159" s="6">
        <f>Q159</f>
        <v/>
      </c>
      <c r="W159" s="2073" t="n"/>
      <c r="X159" s="6">
        <f>IF($Q159&gt;0,X$108*$D159,0)</f>
        <v/>
      </c>
      <c r="Y159" s="6">
        <f>IF($Q159&gt;0,Y$108*$D159,0)</f>
        <v/>
      </c>
      <c r="Z159" s="6">
        <f>IF($Q159&gt;0,Z$108*$D159,0)</f>
        <v/>
      </c>
      <c r="AA159" s="6">
        <f>IF($Q159&gt;0,AA$108*$D159,0)</f>
        <v/>
      </c>
      <c r="AB159" s="6">
        <f>IF($Q159&gt;0,AB$108*$D159,0)</f>
        <v/>
      </c>
      <c r="AC159" s="6">
        <f>IF($Q159&gt;0,AC$108*$D159,0)</f>
        <v/>
      </c>
      <c r="AE159" s="521" t="n"/>
      <c r="AF159" s="24">
        <f>$V159*BIBLE!R78</f>
        <v/>
      </c>
      <c r="AG159" s="24">
        <f>$V159*BIBLE!S78</f>
        <v/>
      </c>
      <c r="AH159" s="24">
        <f>$V159*BIBLE!T78</f>
        <v/>
      </c>
      <c r="AI159" s="1539">
        <f>$V159*BIBLE!V78</f>
        <v/>
      </c>
      <c r="AJ159" s="1539">
        <f>$V159*BIBLE!W78</f>
        <v/>
      </c>
      <c r="AK159" s="1539">
        <f>$V159*BIBLE!X78</f>
        <v/>
      </c>
      <c r="AL159" s="1539">
        <f>$V159*BIBLE!Y78</f>
        <v/>
      </c>
      <c r="AM159" s="1539">
        <f>$V159*BIBLE!Z78</f>
        <v/>
      </c>
      <c r="AN159" s="1539">
        <f>$V159*BIBLE!AA78</f>
        <v/>
      </c>
      <c r="AO159" s="1539">
        <f>$V159*BIBLE!AB78</f>
        <v/>
      </c>
      <c r="AP159" s="1539">
        <f>$V159*BIBLE!AC78</f>
        <v/>
      </c>
    </row>
    <row r="160" ht="24" customFormat="1" customHeight="1" s="2002" thickBot="1">
      <c r="A160" s="1437" t="n"/>
      <c r="B160" s="158" t="n"/>
      <c r="C160" s="24" t="n"/>
      <c r="D160" s="294" t="n"/>
      <c r="E160" s="303">
        <f>$E$96</f>
        <v/>
      </c>
      <c r="F160" s="303">
        <f>$F$96</f>
        <v/>
      </c>
      <c r="G160" s="303">
        <f>$G$96</f>
        <v/>
      </c>
      <c r="H160" s="303">
        <f>$H$96</f>
        <v/>
      </c>
      <c r="I160" s="303">
        <f>$I$96</f>
        <v/>
      </c>
      <c r="J160" s="303">
        <f>$J$96</f>
        <v/>
      </c>
      <c r="K160" s="303">
        <f>$K$96</f>
        <v/>
      </c>
      <c r="L160" s="303">
        <f>$L$96</f>
        <v/>
      </c>
      <c r="M160" s="303">
        <f>$M$96</f>
        <v/>
      </c>
      <c r="N160" s="303">
        <f>$N$96</f>
        <v/>
      </c>
      <c r="O160" s="303">
        <f>$O$96</f>
        <v/>
      </c>
      <c r="P160" s="1366" t="n"/>
      <c r="Q160" s="1366" t="n"/>
      <c r="R160" s="157" t="n"/>
      <c r="S160" s="157" t="n"/>
      <c r="T160" s="157" t="n"/>
      <c r="U160" s="157" t="n"/>
      <c r="V160" s="157" t="n"/>
      <c r="W160" s="157" t="n"/>
      <c r="AE160" s="521" t="n"/>
      <c r="AF160" s="24" t="n"/>
      <c r="AG160" s="24" t="n"/>
      <c r="AH160" s="24" t="n"/>
      <c r="AI160" s="1539" t="n"/>
      <c r="AJ160" s="1539" t="n"/>
      <c r="AK160" s="1539" t="n"/>
      <c r="AL160" s="1539" t="n"/>
      <c r="AM160" s="1539" t="n"/>
      <c r="AN160" s="1539" t="n"/>
      <c r="AO160" s="1539" t="n"/>
      <c r="AP160" s="1539" t="n"/>
    </row>
    <row r="161" ht="44" customFormat="1" customHeight="1" s="2002" thickTop="1">
      <c r="A161" s="1437">
        <f>BIBLE!E79</f>
        <v/>
      </c>
      <c r="B161" s="158">
        <f>BIBLE!F79</f>
        <v/>
      </c>
      <c r="C161" s="2003">
        <f>BIBLE!O79</f>
        <v/>
      </c>
      <c r="D161" s="125">
        <f>BIBLE!L79</f>
        <v/>
      </c>
      <c r="E161" s="2092" t="n"/>
      <c r="F161" s="2092" t="n"/>
      <c r="G161" s="20" t="n"/>
      <c r="H161" s="20" t="n"/>
      <c r="I161" s="20" t="n"/>
      <c r="J161" s="20" t="n"/>
      <c r="K161" s="7" t="n"/>
      <c r="L161" s="2092" t="n">
        <v>1</v>
      </c>
      <c r="M161" s="2092" t="n"/>
      <c r="N161" s="2092" t="n"/>
      <c r="O161" s="2092" t="n"/>
      <c r="P161" s="25">
        <f>'TEST_pour application'!B149</f>
        <v/>
      </c>
      <c r="Q161" s="26">
        <f>P161*D161</f>
        <v/>
      </c>
      <c r="R161" s="2002">
        <f>IF(BIBLE!K79=0,"",BIBLE!K79)</f>
        <v/>
      </c>
      <c r="S161" s="2073" t="n"/>
      <c r="T161" s="2073" t="n"/>
      <c r="U161" s="2073" t="n"/>
      <c r="V161" s="2073" t="n"/>
      <c r="W161" s="2073" t="n"/>
      <c r="AE161" s="521" t="n"/>
      <c r="AF161" s="24" t="n"/>
      <c r="AG161" s="24" t="n"/>
      <c r="AH161" s="24" t="n"/>
      <c r="AI161" s="1539" t="n"/>
      <c r="AJ161" s="1539" t="n"/>
      <c r="AK161" s="1539" t="n"/>
      <c r="AL161" s="1539" t="n"/>
      <c r="AM161" s="1539" t="n"/>
      <c r="AN161" s="1539" t="n"/>
      <c r="AO161" s="1539" t="n"/>
      <c r="AP161" s="1539" t="n"/>
    </row>
    <row r="162" ht="52" customFormat="1" customHeight="1" s="2002">
      <c r="A162" s="1437">
        <f>BIBLE!E80</f>
        <v/>
      </c>
      <c r="B162" s="158">
        <f>BIBLE!F80</f>
        <v/>
      </c>
      <c r="C162" s="2003">
        <f>BIBLE!O80</f>
        <v/>
      </c>
      <c r="D162" s="125">
        <f>BIBLE!L80</f>
        <v/>
      </c>
      <c r="K162" s="7" t="n">
        <v>1</v>
      </c>
      <c r="P162" s="25">
        <f>'TEST_pour application'!B150</f>
        <v/>
      </c>
      <c r="Q162" s="26">
        <f>P162*D162</f>
        <v/>
      </c>
      <c r="R162" s="2002">
        <f>IF(BIBLE!K80=0,"",BIBLE!K80)</f>
        <v/>
      </c>
      <c r="S162" s="2073" t="n"/>
      <c r="T162" s="2073" t="n"/>
      <c r="U162" s="2073" t="n"/>
      <c r="V162" s="2073" t="n"/>
      <c r="W162" s="2073" t="n"/>
      <c r="AE162" s="521" t="n"/>
      <c r="AF162" s="24" t="n"/>
      <c r="AG162" s="24" t="n"/>
      <c r="AH162" s="24" t="n"/>
      <c r="AI162" s="1539" t="n"/>
      <c r="AJ162" s="1539" t="n"/>
      <c r="AK162" s="1539" t="n"/>
      <c r="AL162" s="1539" t="n"/>
      <c r="AM162" s="1539" t="n"/>
      <c r="AN162" s="1539" t="n"/>
      <c r="AO162" s="1539" t="n"/>
      <c r="AP162" s="1539" t="n"/>
    </row>
    <row r="163" ht="41" customFormat="1" customHeight="1" s="2002">
      <c r="A163" s="1437">
        <f>BIBLE!E81</f>
        <v/>
      </c>
      <c r="B163" s="2113">
        <f>IF(P162&gt;=R162,BIBLE!F81,"")</f>
        <v/>
      </c>
      <c r="C163" s="125" t="inlineStr">
        <is>
          <t>Intentionnelle</t>
        </is>
      </c>
      <c r="D163" s="1930" t="n">
        <v>1</v>
      </c>
      <c r="E163" s="52">
        <f>IF(P$163=D163,1,"x")</f>
        <v/>
      </c>
      <c r="K163" s="7" t="n"/>
      <c r="P163" s="1936">
        <f>'TEST_pour application'!B151</f>
        <v/>
      </c>
      <c r="Q163" s="26" t="n"/>
      <c r="R163" s="2073" t="n"/>
      <c r="S163" s="2073" t="n"/>
      <c r="T163" s="2073" t="n"/>
      <c r="U163" s="2073" t="n"/>
      <c r="V163" s="2073" t="n"/>
      <c r="W163" s="2073" t="n"/>
      <c r="AE163" s="521" t="n"/>
      <c r="AF163" s="24" t="n"/>
      <c r="AG163" s="24" t="n"/>
      <c r="AH163" s="24" t="n"/>
      <c r="AI163" s="1539" t="n"/>
      <c r="AJ163" s="1539" t="n"/>
      <c r="AK163" s="1539" t="n"/>
      <c r="AL163" s="1539" t="n"/>
      <c r="AM163" s="1539" t="n"/>
      <c r="AN163" s="1539" t="n"/>
      <c r="AO163" s="1539" t="n"/>
      <c r="AP163" s="1539" t="n"/>
    </row>
    <row r="164" ht="28" customFormat="1" customHeight="1" s="2002">
      <c r="A164" s="1437" t="n"/>
      <c r="B164" s="2114" t="n"/>
      <c r="C164" s="125" t="inlineStr">
        <is>
          <t>Inconsciente</t>
        </is>
      </c>
      <c r="D164" s="1931" t="n">
        <v>2</v>
      </c>
      <c r="E164" s="52">
        <f>IF(P$163=D164,1,"x")</f>
        <v/>
      </c>
      <c r="K164" s="7" t="n"/>
      <c r="P164" s="25" t="n"/>
      <c r="Q164" s="26" t="n"/>
      <c r="R164" s="2073" t="n"/>
      <c r="S164" s="2073" t="n"/>
      <c r="T164" s="2073" t="n"/>
      <c r="U164" s="2073" t="n"/>
      <c r="V164" s="2073" t="n"/>
      <c r="W164" s="2073" t="n"/>
      <c r="AE164" s="521" t="n"/>
      <c r="AF164" s="24" t="n"/>
      <c r="AG164" s="24" t="n"/>
      <c r="AH164" s="24" t="n"/>
      <c r="AI164" s="1539" t="n"/>
      <c r="AJ164" s="1539" t="n"/>
      <c r="AK164" s="1539" t="n"/>
      <c r="AL164" s="1539" t="n"/>
      <c r="AM164" s="1539" t="n"/>
      <c r="AN164" s="1539" t="n"/>
      <c r="AO164" s="1539" t="n"/>
      <c r="AP164" s="1539" t="n"/>
    </row>
    <row r="165" ht="21" customFormat="1" customHeight="1" s="2002" thickBot="1">
      <c r="A165" s="1437" t="n"/>
      <c r="B165" s="158" t="n"/>
      <c r="C165" s="125" t="n"/>
      <c r="D165" s="294" t="n"/>
      <c r="E165" s="517">
        <f>$E$52</f>
        <v/>
      </c>
      <c r="F165" s="303">
        <f>$F$52</f>
        <v/>
      </c>
      <c r="G165" s="303">
        <f>$G$52</f>
        <v/>
      </c>
      <c r="H165" s="303">
        <f>$H$52</f>
        <v/>
      </c>
      <c r="I165" s="303">
        <f>$I$52</f>
        <v/>
      </c>
      <c r="J165" s="303">
        <f>$J$52</f>
        <v/>
      </c>
      <c r="K165" s="303">
        <f>$K$52</f>
        <v/>
      </c>
      <c r="N165" s="2073" t="n"/>
      <c r="O165" s="2073" t="n"/>
      <c r="P165" s="78" t="inlineStr">
        <is>
          <t>Fréquence seul.</t>
        </is>
      </c>
      <c r="Q165" s="78" t="inlineStr">
        <is>
          <t>Fréquence * Intensité
(valeur de base)</t>
        </is>
      </c>
      <c r="R165" s="78" t="inlineStr">
        <is>
          <t>Condition SQ</t>
        </is>
      </c>
      <c r="S165" s="157" t="n"/>
      <c r="T165" s="157" t="n"/>
      <c r="U165" s="157" t="n"/>
      <c r="V165" s="157" t="n"/>
      <c r="W165" s="157" t="n"/>
      <c r="AE165" s="521" t="n"/>
      <c r="AF165" s="24" t="n"/>
      <c r="AG165" s="24" t="n"/>
      <c r="AH165" s="24" t="n"/>
      <c r="AI165" s="1539" t="n"/>
      <c r="AJ165" s="1539" t="n"/>
      <c r="AK165" s="1539" t="n"/>
      <c r="AL165" s="1539" t="n"/>
      <c r="AM165" s="1539" t="n"/>
      <c r="AN165" s="1539" t="n"/>
      <c r="AO165" s="1539" t="n"/>
      <c r="AP165" s="1539" t="n"/>
    </row>
    <row r="166" ht="66" customFormat="1" customHeight="1" s="2002" thickTop="1">
      <c r="A166" s="1437">
        <f>BIBLE!E82</f>
        <v/>
      </c>
      <c r="B166" s="158">
        <f>BIBLE!F82</f>
        <v/>
      </c>
      <c r="C166" s="2003">
        <f>BIBLE!O82</f>
        <v/>
      </c>
      <c r="D166" s="294">
        <f>IF($E$40&gt;=10,BIBLE!L82,BIBLE!M82)</f>
        <v/>
      </c>
      <c r="E166" s="2092" t="n"/>
      <c r="F166" s="2092" t="n"/>
      <c r="G166" s="2092" t="n"/>
      <c r="H166" s="2092" t="n"/>
      <c r="I166" s="2092" t="n"/>
      <c r="J166" s="2092" t="n">
        <v>1</v>
      </c>
      <c r="K166" s="2092" t="n"/>
      <c r="L166" s="2092" t="n"/>
      <c r="M166" s="2092" t="n"/>
      <c r="N166" s="2092" t="n"/>
      <c r="O166" s="2092" t="n"/>
      <c r="P166" s="25">
        <f>'TEST_pour application'!B152</f>
        <v/>
      </c>
      <c r="Q166" s="26">
        <f>P166*D166</f>
        <v/>
      </c>
      <c r="R166" s="2002">
        <f>IF(BIBLE!K82=0,"",BIBLE!K82)</f>
        <v/>
      </c>
      <c r="S166" s="2073" t="n"/>
      <c r="T166" s="2073" t="n"/>
      <c r="U166" s="2073" t="n"/>
      <c r="V166" s="6">
        <f>Q166</f>
        <v/>
      </c>
      <c r="W166" s="2073" t="n"/>
      <c r="X166" s="6">
        <f>IF($Q166&gt;0,X$108*$D166,0)</f>
        <v/>
      </c>
      <c r="Y166" s="6">
        <f>IF($Q166&gt;0,Y$108*$D166,0)</f>
        <v/>
      </c>
      <c r="Z166" s="6">
        <f>IF($Q166&gt;0,Z$108*$D166,0)</f>
        <v/>
      </c>
      <c r="AA166" s="6">
        <f>IF($Q166&gt;0,AA$108*$D166,0)</f>
        <v/>
      </c>
      <c r="AB166" s="6">
        <f>IF($Q166&gt;0,AB$108*$D166,0)</f>
        <v/>
      </c>
      <c r="AC166" s="6">
        <f>IF($Q166&gt;0,AC$108*$D166,0)</f>
        <v/>
      </c>
      <c r="AE166" s="521" t="n"/>
      <c r="AF166" s="24">
        <f>$V166*BIBLE!R82</f>
        <v/>
      </c>
      <c r="AG166" s="24">
        <f>$V166*BIBLE!S82</f>
        <v/>
      </c>
      <c r="AH166" s="24">
        <f>$V166*BIBLE!T82</f>
        <v/>
      </c>
      <c r="AI166" s="1539">
        <f>$V166*BIBLE!V82</f>
        <v/>
      </c>
      <c r="AJ166" s="1539">
        <f>$V166*BIBLE!W82</f>
        <v/>
      </c>
      <c r="AK166" s="1539">
        <f>$V166*BIBLE!X82</f>
        <v/>
      </c>
      <c r="AL166" s="1539">
        <f>$V166*BIBLE!Y82</f>
        <v/>
      </c>
      <c r="AM166" s="1539">
        <f>$V166*BIBLE!Z82</f>
        <v/>
      </c>
      <c r="AN166" s="1539">
        <f>$V166*BIBLE!AA82</f>
        <v/>
      </c>
      <c r="AO166" s="1539">
        <f>$V166*BIBLE!AB82</f>
        <v/>
      </c>
      <c r="AP166" s="1539">
        <f>$V166*BIBLE!AC82</f>
        <v/>
      </c>
    </row>
    <row r="167" ht="66" customFormat="1" customHeight="1" s="2002">
      <c r="A167" s="1437">
        <f>BIBLE!E83</f>
        <v/>
      </c>
      <c r="B167" s="158">
        <f>BIBLE!F83</f>
        <v/>
      </c>
      <c r="C167" s="2003">
        <f>BIBLE!O83</f>
        <v/>
      </c>
      <c r="D167" s="125">
        <f>BIBLE!L83</f>
        <v/>
      </c>
      <c r="E167" s="2092" t="n"/>
      <c r="F167" s="2092" t="n"/>
      <c r="G167" s="2092" t="n"/>
      <c r="H167" s="2092" t="n"/>
      <c r="I167" s="2092" t="n"/>
      <c r="J167" s="2092" t="n">
        <v>1</v>
      </c>
      <c r="K167" s="2092" t="n"/>
      <c r="L167" s="2092" t="n"/>
      <c r="M167" s="2092" t="n"/>
      <c r="N167" s="2092" t="n"/>
      <c r="O167" s="2092" t="n"/>
      <c r="P167" s="25">
        <f>'TEST_pour application'!B153</f>
        <v/>
      </c>
      <c r="Q167" s="26">
        <f>P167*D167</f>
        <v/>
      </c>
      <c r="R167" s="2002">
        <f>IF(BIBLE!K83=0,"",BIBLE!K83)</f>
        <v/>
      </c>
      <c r="S167" s="2073" t="n"/>
      <c r="T167" s="2073" t="n"/>
      <c r="U167" s="2073" t="n"/>
      <c r="V167" s="6">
        <f>IF(P167&gt;=R167,IF(Q167&gt;Q168,Q167,Q168),Q167)</f>
        <v/>
      </c>
      <c r="X167" s="6">
        <f>IF(($P167&gt;=$R167),IF($Q167&gt;$Q168,X$108*$D167,X$108*$D168),X$108*$D167)</f>
        <v/>
      </c>
      <c r="Y167" s="6">
        <f>IF(($P167&gt;=$R167),IF($Q167&gt;$Q168,Y$108*$D167,Y$108*$D168),Y$108*$D167)</f>
        <v/>
      </c>
      <c r="Z167" s="6">
        <f>IF(($P167&gt;=$R167),IF($Q167&gt;$Q168,Z$108*$D167,Z$108*$D168),Z$108*$D167)</f>
        <v/>
      </c>
      <c r="AA167" s="6">
        <f>IF(($P167&gt;=$R167),IF($Q167&gt;$Q168,AA$108*$D167,AA$108*$D168),AA$108*$D167)</f>
        <v/>
      </c>
      <c r="AB167" s="6">
        <f>IF(($P167&gt;=$R167),IF($Q167&gt;$Q168,AB$108*$D167,AB$108*$D168),AB$108*$D167)</f>
        <v/>
      </c>
      <c r="AC167" s="6">
        <f>IF(($P167&gt;=$R167),IF($Q167&gt;$Q168,AC$108*$D167,AC$108*$D168),AC$108*$D167)</f>
        <v/>
      </c>
      <c r="AE167" s="521" t="n"/>
      <c r="AF167" s="24">
        <f>IF($Q167=$V167,$Q167*BIBLE!R83,$Q168*BIBLE!R84)</f>
        <v/>
      </c>
      <c r="AG167" s="24">
        <f>IF($Q167=$V167,$Q167*BIBLE!S83,$Q168*BIBLE!S84)</f>
        <v/>
      </c>
      <c r="AH167" s="24">
        <f>IF($Q167=$V167,$Q167*BIBLE!T83,$Q168*BIBLE!T84)</f>
        <v/>
      </c>
      <c r="AI167" s="1539">
        <f>IF($Q167=$V167,$Q167*BIBLE!V83,$Q168*BIBLE!V84)</f>
        <v/>
      </c>
      <c r="AJ167" s="1539">
        <f>IF($Q167=$V167,$Q167*BIBLE!W83,$Q168*BIBLE!W84)</f>
        <v/>
      </c>
      <c r="AK167" s="1539">
        <f>IF($Q167=$V167,$Q167*BIBLE!X83,$Q168*BIBLE!X84)</f>
        <v/>
      </c>
      <c r="AL167" s="1539">
        <f>IF($Q167=$V167,$Q167*BIBLE!Y83,$Q168*BIBLE!Y84)</f>
        <v/>
      </c>
      <c r="AM167" s="1539">
        <f>IF($Q167=$V167,$Q167*BIBLE!Z83,$Q168*BIBLE!Z84)</f>
        <v/>
      </c>
      <c r="AN167" s="1539">
        <f>IF($Q167=$V167,$Q167*BIBLE!AA83,$Q168*BIBLE!AA84)</f>
        <v/>
      </c>
      <c r="AO167" s="1539">
        <f>IF($Q167=$V167,$Q167*BIBLE!AB83,$Q168*BIBLE!AB84)</f>
        <v/>
      </c>
      <c r="AP167" s="1539">
        <f>IF($Q167=$V167,$Q167*BIBLE!AC83,$Q168*BIBLE!AC84)</f>
        <v/>
      </c>
    </row>
    <row r="168" ht="66" customFormat="1" customHeight="1" s="2002">
      <c r="A168" s="1437">
        <f>BIBLE!E84</f>
        <v/>
      </c>
      <c r="B168" s="159">
        <f>IF(P167&gt;=R167,BIBLE!F84,"")</f>
        <v/>
      </c>
      <c r="C168" s="2003">
        <f>BIBLE!O84</f>
        <v/>
      </c>
      <c r="D168" s="125">
        <f>BIBLE!L84</f>
        <v/>
      </c>
      <c r="E168" s="2092" t="n"/>
      <c r="F168" s="2092" t="n"/>
      <c r="G168" s="2092" t="n"/>
      <c r="H168" s="2092" t="n"/>
      <c r="I168" s="2092" t="n">
        <v>1</v>
      </c>
      <c r="J168" s="2092" t="n"/>
      <c r="K168" s="2092" t="n"/>
      <c r="L168" s="2092" t="n"/>
      <c r="M168" s="2092" t="n"/>
      <c r="N168" s="2092" t="n"/>
      <c r="O168" s="2092" t="n"/>
      <c r="P168" s="25">
        <f>'TEST_pour application'!B154</f>
        <v/>
      </c>
      <c r="Q168" s="26">
        <f>P168*D168</f>
        <v/>
      </c>
      <c r="R168" s="2002">
        <f>IF(BIBLE!K84=0,"",BIBLE!K84)</f>
        <v/>
      </c>
      <c r="S168" s="2073" t="n"/>
      <c r="T168" s="2073" t="n"/>
      <c r="U168" s="2073" t="n"/>
      <c r="V168" s="6" t="n"/>
      <c r="W168" s="2073" t="n"/>
      <c r="X168" s="6" t="n"/>
      <c r="Y168" s="6" t="n"/>
      <c r="Z168" s="6" t="n"/>
      <c r="AA168" s="6" t="n"/>
      <c r="AB168" s="6" t="n"/>
      <c r="AC168" s="6" t="n"/>
      <c r="AE168" s="521" t="n"/>
      <c r="AF168" s="24" t="n"/>
      <c r="AG168" s="24" t="n"/>
      <c r="AH168" s="24" t="n"/>
      <c r="AI168" s="1539" t="n"/>
      <c r="AJ168" s="1539" t="n"/>
      <c r="AK168" s="1539" t="n"/>
      <c r="AL168" s="1539" t="n"/>
      <c r="AM168" s="1539" t="n"/>
      <c r="AN168" s="1539" t="n"/>
      <c r="AO168" s="1539" t="n"/>
      <c r="AP168" s="1539" t="n"/>
    </row>
    <row r="169" ht="66" customFormat="1" customHeight="1" s="2002">
      <c r="A169" s="1437">
        <f>BIBLE!E85</f>
        <v/>
      </c>
      <c r="B169" s="158">
        <f>BIBLE!F85</f>
        <v/>
      </c>
      <c r="C169" s="2003">
        <f>BIBLE!O85</f>
        <v/>
      </c>
      <c r="D169" s="125">
        <f>BIBLE!L85</f>
        <v/>
      </c>
      <c r="E169" s="2092" t="n"/>
      <c r="F169" s="2092" t="n"/>
      <c r="G169" s="2092" t="n"/>
      <c r="H169" s="61" t="n"/>
      <c r="I169" s="61" t="n"/>
      <c r="J169" s="61" t="n">
        <v>1</v>
      </c>
      <c r="K169" s="61" t="n"/>
      <c r="L169" s="61" t="n"/>
      <c r="M169" s="61" t="n"/>
      <c r="N169" s="61" t="n"/>
      <c r="O169" s="61" t="n"/>
      <c r="P169" s="25">
        <f>'TEST_pour application'!B155</f>
        <v/>
      </c>
      <c r="Q169" s="26">
        <f>P169*D169</f>
        <v/>
      </c>
      <c r="R169" s="2002">
        <f>IF(BIBLE!K85=0,"",BIBLE!K85)</f>
        <v/>
      </c>
      <c r="S169" s="2073" t="n"/>
      <c r="T169" s="2073" t="n"/>
      <c r="U169" s="2073" t="n"/>
      <c r="V169" s="6">
        <f>IF(P169&gt;=R169,IF(Q169&gt;Q170,Q169,Q170),Q169)</f>
        <v/>
      </c>
      <c r="X169" s="6">
        <f>IF(($P169&gt;=$R169),IF($Q169&gt;$Q170,X$108*$D169,X$108*$D170),X$108*$D169)</f>
        <v/>
      </c>
      <c r="Y169" s="6">
        <f>IF(($P169&gt;=$R169),IF($Q169&gt;$Q170,Y$108*$D169,Y$108*$D170),Y$108*$D169)</f>
        <v/>
      </c>
      <c r="Z169" s="6">
        <f>IF(($P169&gt;=$R169),IF($Q169&gt;$Q170,Z$108*$D169,Z$108*$D170),Z$108*$D169)</f>
        <v/>
      </c>
      <c r="AA169" s="6">
        <f>IF(($P169&gt;=$R169),IF($Q169&gt;$Q170,AA$108*$D169,AA$108*$D170),AA$108*$D169)</f>
        <v/>
      </c>
      <c r="AB169" s="6">
        <f>IF(($P169&gt;=$R169),IF($Q169&gt;$Q170,AB$108*$D169,AB$108*$D170),AB$108*$D169)</f>
        <v/>
      </c>
      <c r="AC169" s="6">
        <f>IF(($P169&gt;=$R169),IF($Q169&gt;$Q170,AC$108*$D169,AC$108*$D170),AC$108*$D169)</f>
        <v/>
      </c>
      <c r="AE169" s="521" t="n"/>
      <c r="AF169" s="1560">
        <f>IF($Q169=$V169,$Q169*BIBLE!R85,$Q170*BIBLE!R86)</f>
        <v/>
      </c>
      <c r="AG169" s="1560">
        <f>IF($Q169=$V169,$Q169*BIBLE!S85,$Q170*BIBLE!S86)</f>
        <v/>
      </c>
      <c r="AH169" s="1560">
        <f>IF($Q169=$V169,$Q169*BIBLE!T85,$Q170*BIBLE!T86)</f>
        <v/>
      </c>
      <c r="AI169" s="1542">
        <f>IF($Q169=$V169,$Q169*BIBLE!V85,$Q170*BIBLE!V86)</f>
        <v/>
      </c>
      <c r="AJ169" s="1542">
        <f>IF($Q169=$V169,$Q169*BIBLE!W85,$Q170*BIBLE!W86)</f>
        <v/>
      </c>
      <c r="AK169" s="1542">
        <f>IF($Q169=$V169,$Q169*BIBLE!X85,$Q170*BIBLE!X86)</f>
        <v/>
      </c>
      <c r="AL169" s="1542">
        <f>IF($Q169=$V169,$Q169*BIBLE!Y85,$Q170*BIBLE!Y86)</f>
        <v/>
      </c>
      <c r="AM169" s="1542">
        <f>IF($Q169=$V169,$Q169*BIBLE!Z85,$Q170*BIBLE!Z86)</f>
        <v/>
      </c>
      <c r="AN169" s="1542">
        <f>IF($Q169=$V169,$Q169*BIBLE!AA85,$Q170*BIBLE!AA86)</f>
        <v/>
      </c>
      <c r="AO169" s="1542">
        <f>IF($Q169=$V169,$Q169*BIBLE!AB85,$Q170*BIBLE!AB86)</f>
        <v/>
      </c>
      <c r="AP169" s="1542">
        <f>IF($Q169=$V169,$Q169*BIBLE!AC85,$Q170*BIBLE!AC86)</f>
        <v/>
      </c>
    </row>
    <row r="170" ht="66" customFormat="1" customHeight="1" s="2002">
      <c r="A170" s="1437">
        <f>BIBLE!E86</f>
        <v/>
      </c>
      <c r="B170" s="159">
        <f>IF(P169&gt;=R169,BIBLE!F86,"")</f>
        <v/>
      </c>
      <c r="C170" s="2003">
        <f>BIBLE!O86</f>
        <v/>
      </c>
      <c r="D170" s="125">
        <f>BIBLE!L86</f>
        <v/>
      </c>
      <c r="E170" s="2092" t="n"/>
      <c r="F170" s="2092" t="n"/>
      <c r="G170" s="2092" t="n"/>
      <c r="H170" s="660" t="n"/>
      <c r="I170" s="660" t="n"/>
      <c r="J170" s="660" t="n"/>
      <c r="K170" s="660" t="n">
        <v>1</v>
      </c>
      <c r="L170" s="660" t="n"/>
      <c r="M170" s="660" t="n"/>
      <c r="N170" s="660" t="n"/>
      <c r="O170" s="660" t="n"/>
      <c r="P170" s="25">
        <f>'TEST_pour application'!B156</f>
        <v/>
      </c>
      <c r="Q170" s="26">
        <f>P170*D170</f>
        <v/>
      </c>
      <c r="R170" s="2002">
        <f>IF(BIBLE!K86=0,"",BIBLE!K86)</f>
        <v/>
      </c>
      <c r="S170" s="2073" t="n"/>
      <c r="T170" s="2073" t="n"/>
      <c r="U170" s="2073" t="n"/>
      <c r="V170" s="6" t="n"/>
      <c r="W170" s="2073" t="n"/>
      <c r="X170" s="6" t="n"/>
      <c r="Y170" s="6" t="n"/>
      <c r="Z170" s="6" t="n"/>
      <c r="AA170" s="6" t="n"/>
      <c r="AB170" s="6" t="n"/>
      <c r="AC170" s="6" t="n"/>
      <c r="AE170" s="521" t="n"/>
      <c r="AF170" s="24" t="n"/>
      <c r="AG170" s="24" t="n"/>
      <c r="AH170" s="24" t="n"/>
      <c r="AI170" s="1539" t="n"/>
      <c r="AJ170" s="1539" t="n"/>
      <c r="AK170" s="1539" t="n"/>
      <c r="AL170" s="1539" t="n"/>
      <c r="AM170" s="1539" t="n"/>
      <c r="AN170" s="1539" t="n"/>
      <c r="AO170" s="1539" t="n"/>
      <c r="AP170" s="1539" t="n"/>
    </row>
    <row r="171" ht="66" customFormat="1" customHeight="1" s="2002">
      <c r="A171" s="1437">
        <f>BIBLE!E87</f>
        <v/>
      </c>
      <c r="B171" s="158">
        <f>BIBLE!F87</f>
        <v/>
      </c>
      <c r="C171" s="2003">
        <f>BIBLE!O87</f>
        <v/>
      </c>
      <c r="D171" s="125">
        <f>BIBLE!L87</f>
        <v/>
      </c>
      <c r="E171" s="2092" t="n"/>
      <c r="F171" s="2092" t="n"/>
      <c r="G171" s="2092" t="n"/>
      <c r="H171" s="660" t="n"/>
      <c r="I171" s="660" t="n"/>
      <c r="J171" s="660" t="n">
        <v>1</v>
      </c>
      <c r="K171" s="660" t="n"/>
      <c r="L171" s="660" t="n"/>
      <c r="M171" s="660" t="n"/>
      <c r="N171" s="660" t="n"/>
      <c r="O171" s="660" t="n"/>
      <c r="P171" s="25">
        <f>'TEST_pour application'!B157</f>
        <v/>
      </c>
      <c r="Q171" s="26">
        <f>P171*D171</f>
        <v/>
      </c>
      <c r="R171" s="2002">
        <f>IF(BIBLE!K87=0,"",BIBLE!K87)</f>
        <v/>
      </c>
      <c r="S171" s="2073" t="n"/>
      <c r="T171" s="2073" t="n"/>
      <c r="U171" s="2073" t="n"/>
      <c r="V171" s="6">
        <f>IF(P171&gt;=R171,IF(Q171&gt;Q172,Q171,Q172),Q171)</f>
        <v/>
      </c>
      <c r="X171" s="6">
        <f>IF(($P171&gt;=$R171),IF($Q171&gt;$Q172,X$108*$D171,X$108*$D172),X$108*$D171)</f>
        <v/>
      </c>
      <c r="Y171" s="6">
        <f>IF(($P171&gt;=$R171),IF($Q171&gt;$Q172,Y$108*$D171,Y$108*$D172),Y$108*$D171)</f>
        <v/>
      </c>
      <c r="Z171" s="6">
        <f>IF(($P171&gt;=$R171),IF($Q171&gt;$Q172,Z$108*$D171,Z$108*$D172),Z$108*$D171)</f>
        <v/>
      </c>
      <c r="AA171" s="6">
        <f>IF(($P171&gt;=$R171),IF($Q171&gt;$Q172,AA$108*$D171,AA$108*$D172),AA$108*$D171)</f>
        <v/>
      </c>
      <c r="AB171" s="6">
        <f>IF(($P171&gt;=$R171),IF($Q171&gt;$Q172,AB$108*$D171,AB$108*$D172),AB$108*$D171)</f>
        <v/>
      </c>
      <c r="AC171" s="6">
        <f>IF(($P171&gt;=$R171),IF($Q171&gt;$Q172,AC$108*$D171,AC$108*$D172),AC$108*$D171)</f>
        <v/>
      </c>
      <c r="AE171" s="521" t="n"/>
      <c r="AF171" s="1560">
        <f>IF($Q171=$V171,$Q171*BIBLE!R87,$Q172*BIBLE!R88)</f>
        <v/>
      </c>
      <c r="AG171" s="1560">
        <f>IF($Q171=$V171,$Q171*BIBLE!S87,$Q172*BIBLE!S88)</f>
        <v/>
      </c>
      <c r="AH171" s="1560">
        <f>IF($Q171=$V171,$Q171*BIBLE!T87,$Q172*BIBLE!T88)</f>
        <v/>
      </c>
      <c r="AI171" s="1542">
        <f>IF($Q171=$V171,$Q171*BIBLE!V87,$Q172*BIBLE!V88)</f>
        <v/>
      </c>
      <c r="AJ171" s="1542">
        <f>IF($Q171=$V171,$Q171*BIBLE!W87,$Q172*BIBLE!W88)</f>
        <v/>
      </c>
      <c r="AK171" s="1542">
        <f>IF($Q171=$V171,$Q171*BIBLE!X87,$Q172*BIBLE!X88)</f>
        <v/>
      </c>
      <c r="AL171" s="1542">
        <f>IF($Q171=$V171,$Q171*BIBLE!Y87,$Q172*BIBLE!Y88)</f>
        <v/>
      </c>
      <c r="AM171" s="1542">
        <f>IF($Q171=$V171,$Q171*BIBLE!Z87,$Q172*BIBLE!Z88)</f>
        <v/>
      </c>
      <c r="AN171" s="1542">
        <f>IF($Q171=$V171,$Q171*BIBLE!AA87,$Q172*BIBLE!AA88)</f>
        <v/>
      </c>
      <c r="AO171" s="1542">
        <f>IF($Q171=$V171,$Q171*BIBLE!AB87,$Q172*BIBLE!AB88)</f>
        <v/>
      </c>
      <c r="AP171" s="1542">
        <f>IF($Q171=$V171,$Q171*BIBLE!AC87,$Q172*BIBLE!AC88)</f>
        <v/>
      </c>
    </row>
    <row r="172" ht="66" customFormat="1" customHeight="1" s="2002">
      <c r="A172" s="1437">
        <f>BIBLE!E88</f>
        <v/>
      </c>
      <c r="B172" s="159">
        <f>IF(P171&gt;=R171,BIBLE!F88,"")</f>
        <v/>
      </c>
      <c r="C172" s="2003">
        <f>BIBLE!O88</f>
        <v/>
      </c>
      <c r="D172" s="125">
        <f>BIBLE!L88</f>
        <v/>
      </c>
      <c r="E172" s="2092" t="n"/>
      <c r="F172" s="2092" t="n"/>
      <c r="G172" s="2092" t="n"/>
      <c r="H172" s="20" t="n"/>
      <c r="I172" s="20" t="n"/>
      <c r="J172" s="20" t="n">
        <v>1</v>
      </c>
      <c r="K172" s="20" t="n"/>
      <c r="L172" s="20" t="n"/>
      <c r="M172" s="20" t="n"/>
      <c r="N172" s="20" t="n"/>
      <c r="O172" s="20" t="n"/>
      <c r="P172" s="25">
        <f>'TEST_pour application'!B158</f>
        <v/>
      </c>
      <c r="Q172" s="26">
        <f>P172*D172</f>
        <v/>
      </c>
      <c r="R172" s="2002">
        <f>IF(BIBLE!K88=0,"",BIBLE!K88)</f>
        <v/>
      </c>
      <c r="S172" s="2073" t="n"/>
      <c r="T172" s="2073" t="n"/>
      <c r="U172" s="2073" t="n"/>
      <c r="V172" s="6" t="n"/>
      <c r="W172" s="2073" t="n"/>
      <c r="X172" s="6" t="n"/>
      <c r="Y172" s="6" t="n"/>
      <c r="Z172" s="6" t="n"/>
      <c r="AA172" s="6" t="n"/>
      <c r="AB172" s="6" t="n"/>
      <c r="AC172" s="6" t="n"/>
      <c r="AE172" s="521" t="n"/>
      <c r="AF172" s="24" t="n"/>
      <c r="AG172" s="24" t="n"/>
      <c r="AH172" s="24" t="n"/>
      <c r="AI172" s="1539" t="n"/>
      <c r="AJ172" s="1539" t="n"/>
      <c r="AK172" s="1539" t="n"/>
      <c r="AL172" s="1539" t="n"/>
      <c r="AM172" s="1539" t="n"/>
      <c r="AN172" s="1539" t="n"/>
      <c r="AO172" s="1539" t="n"/>
      <c r="AP172" s="1539" t="n"/>
    </row>
    <row r="173" ht="66" customFormat="1" customHeight="1" s="2002">
      <c r="A173" s="1437">
        <f>BIBLE!E89</f>
        <v/>
      </c>
      <c r="B173" s="512">
        <f>BIBLE!F89</f>
        <v/>
      </c>
      <c r="C173" s="2003">
        <f>BIBLE!O89</f>
        <v/>
      </c>
      <c r="D173" s="125">
        <f>BIBLE!L89</f>
        <v/>
      </c>
      <c r="E173" s="2092" t="n"/>
      <c r="F173" s="2092" t="n"/>
      <c r="G173" s="2092" t="n"/>
      <c r="H173" s="2092" t="n"/>
      <c r="I173" s="2092" t="n"/>
      <c r="J173" s="2092" t="n">
        <v>1</v>
      </c>
      <c r="K173" s="2092" t="n"/>
      <c r="L173" s="2092" t="n"/>
      <c r="M173" s="2092" t="n"/>
      <c r="N173" s="2092" t="n"/>
      <c r="O173" s="2092" t="n"/>
      <c r="P173" s="25">
        <f>'TEST_pour application'!B159</f>
        <v/>
      </c>
      <c r="Q173" s="26">
        <f>P173*D173</f>
        <v/>
      </c>
      <c r="R173" s="2002">
        <f>IF(BIBLE!K89=0,"",BIBLE!K89)</f>
        <v/>
      </c>
      <c r="S173" s="2073" t="n"/>
      <c r="T173" s="2073" t="n"/>
      <c r="U173" s="2073" t="n"/>
      <c r="V173" s="6">
        <f>MAX(AQ173:AQ175)</f>
        <v/>
      </c>
      <c r="X173" s="6">
        <f>MAX(AS173:AS175)</f>
        <v/>
      </c>
      <c r="Y173" s="6">
        <f>MAX(AT173:AT175)</f>
        <v/>
      </c>
      <c r="Z173" s="6">
        <f>MAX(AU173:AU175)</f>
        <v/>
      </c>
      <c r="AA173" s="6">
        <f>MAX(AV173:AV175)</f>
        <v/>
      </c>
      <c r="AB173" s="6">
        <f>MAX(AW173:AW175)</f>
        <v/>
      </c>
      <c r="AC173" s="6">
        <f>MAX(AX173:AX175)</f>
        <v/>
      </c>
      <c r="AE173" s="521" t="n"/>
      <c r="AF173" s="24">
        <f>IF($Q173=$V173,$Q173*BIBLE!R89,IF(Test_Bible!$Q174=Test_Bible!$V173,Test_Bible!$Q174*BIBLE!R90,Test_Bible!$Q175*BIBLE!R91))</f>
        <v/>
      </c>
      <c r="AG173" s="24">
        <f>IF($Q173=$V173,$Q173*BIBLE!S89,IF(Test_Bible!$Q174=Test_Bible!$V173,Test_Bible!$Q174*BIBLE!S90,Test_Bible!$Q175*BIBLE!S91))</f>
        <v/>
      </c>
      <c r="AH173" s="24">
        <f>IF($Q173=$V173,$Q173*BIBLE!T89,IF(Test_Bible!$Q174=Test_Bible!$V173,Test_Bible!$Q174*BIBLE!T90,Test_Bible!$Q175*BIBLE!T91))</f>
        <v/>
      </c>
      <c r="AI173" s="1539">
        <f>IF($Q173=$V173,$Q173*BIBLE!V89,IF(Test_Bible!$Q174=Test_Bible!$V173,Test_Bible!$Q174*BIBLE!V90,Test_Bible!$Q175*BIBLE!V91))</f>
        <v/>
      </c>
      <c r="AJ173" s="1539">
        <f>IF($Q173=$V173,$Q173*BIBLE!W89,IF(Test_Bible!$Q174=Test_Bible!$V173,Test_Bible!$Q174*BIBLE!W90,Test_Bible!$Q175*BIBLE!W91))</f>
        <v/>
      </c>
      <c r="AK173" s="1539">
        <f>IF($Q173=$V173,$Q173*BIBLE!X89,IF(Test_Bible!$Q174=Test_Bible!$V173,Test_Bible!$Q174*BIBLE!X90,Test_Bible!$Q175*BIBLE!X91))</f>
        <v/>
      </c>
      <c r="AL173" s="1539">
        <f>IF($Q173=$V173,$Q173*BIBLE!Y89,IF(Test_Bible!$Q174=Test_Bible!$V173,Test_Bible!$Q174*BIBLE!Y90,Test_Bible!$Q175*BIBLE!Y91))</f>
        <v/>
      </c>
      <c r="AM173" s="1539">
        <f>IF($Q173=$V173,$Q173*BIBLE!Z89,IF(Test_Bible!$Q174=Test_Bible!$V173,Test_Bible!$Q174*BIBLE!Z90,Test_Bible!$Q175*BIBLE!Z91))</f>
        <v/>
      </c>
      <c r="AN173" s="1539">
        <f>IF($Q173=$V173,$Q173*BIBLE!AA89,IF(Test_Bible!$Q174=Test_Bible!$V173,Test_Bible!$Q174*BIBLE!AA90,Test_Bible!$Q175*BIBLE!AA91))</f>
        <v/>
      </c>
      <c r="AO173" s="1539">
        <f>IF($Q173=$V173,$Q173*BIBLE!AB89,IF(Test_Bible!$Q174=Test_Bible!$V173,Test_Bible!$Q174*BIBLE!AB90,Test_Bible!$Q175*BIBLE!AB91))</f>
        <v/>
      </c>
      <c r="AP173" s="1539">
        <f>IF($Q173=$V173,$Q173*BIBLE!AC89,IF(Test_Bible!$Q174=Test_Bible!$V173,Test_Bible!$Q174*BIBLE!AC90,Test_Bible!$Q175*BIBLE!AC91))</f>
        <v/>
      </c>
      <c r="AQ173" s="6">
        <f>Q173</f>
        <v/>
      </c>
      <c r="AR173" s="2073" t="n"/>
      <c r="AS173" s="6">
        <f>IF($Q173&gt;0,X$108*$D173,0)</f>
        <v/>
      </c>
      <c r="AT173" s="6">
        <f>IF($Q173&gt;0,Y$108*$D173,0)</f>
        <v/>
      </c>
      <c r="AU173" s="6">
        <f>IF($Q173&gt;0,Z$108*$D173,0)</f>
        <v/>
      </c>
      <c r="AV173" s="6">
        <f>IF($Q173&gt;0,AA$108*$D173,0)</f>
        <v/>
      </c>
      <c r="AW173" s="6">
        <f>IF($Q173&gt;0,AB$108*$D173,0)</f>
        <v/>
      </c>
      <c r="AX173" s="6">
        <f>IF($Q173&gt;0,AC$108*$D173,0)</f>
        <v/>
      </c>
      <c r="AZ173" s="17" t="inlineStr">
        <is>
          <t>Deux SQ, mais à un niveau différent, on prend le max entre la Q et les SQ</t>
        </is>
      </c>
    </row>
    <row r="174" ht="66" customFormat="1" customHeight="1" s="2002">
      <c r="A174" s="1437">
        <f>BIBLE!E90</f>
        <v/>
      </c>
      <c r="B174" s="159">
        <f>IF(P173&gt;=R173,BIBLE!F90,"")</f>
        <v/>
      </c>
      <c r="C174" s="2003">
        <f>BIBLE!O90</f>
        <v/>
      </c>
      <c r="D174" s="125">
        <f>BIBLE!L90</f>
        <v/>
      </c>
      <c r="E174" s="2092" t="n"/>
      <c r="F174" s="2092" t="n"/>
      <c r="G174" s="2092" t="n"/>
      <c r="H174" s="2092" t="n">
        <v>1</v>
      </c>
      <c r="I174" s="2092" t="n"/>
      <c r="J174" s="2092" t="n"/>
      <c r="K174" s="2092" t="n"/>
      <c r="L174" s="2092" t="n"/>
      <c r="M174" s="2092" t="n"/>
      <c r="N174" s="2092" t="n"/>
      <c r="O174" s="2092" t="n"/>
      <c r="P174" s="25">
        <f>'TEST_pour application'!B160</f>
        <v/>
      </c>
      <c r="Q174" s="26">
        <f>P174*D174</f>
        <v/>
      </c>
      <c r="R174" s="2002">
        <f>IF(BIBLE!K90=0,"",BIBLE!K90)</f>
        <v/>
      </c>
      <c r="S174" s="2073" t="n"/>
      <c r="T174" s="2073" t="n"/>
      <c r="U174" s="2073" t="n"/>
      <c r="AE174" s="521" t="n"/>
      <c r="AF174" s="24" t="n"/>
      <c r="AG174" s="24" t="n"/>
      <c r="AH174" s="24" t="n"/>
      <c r="AI174" s="1539" t="n"/>
      <c r="AJ174" s="1539" t="n"/>
      <c r="AK174" s="1539" t="n"/>
      <c r="AL174" s="1539" t="n"/>
      <c r="AM174" s="1539" t="n"/>
      <c r="AN174" s="1539" t="n"/>
      <c r="AO174" s="1539" t="n"/>
      <c r="AP174" s="1539" t="n"/>
      <c r="AQ174" s="6">
        <f>Q174</f>
        <v/>
      </c>
      <c r="AR174" s="2073" t="n"/>
      <c r="AS174" s="6">
        <f>IF($Q174&gt;0,X$108*$D174,0)</f>
        <v/>
      </c>
      <c r="AT174" s="6">
        <f>IF($Q174&gt;0,Y$108*$D174,0)</f>
        <v/>
      </c>
      <c r="AU174" s="6">
        <f>IF($Q174&gt;0,Z$108*$D174,0)</f>
        <v/>
      </c>
      <c r="AV174" s="6">
        <f>IF($Q174&gt;0,AA$108*$D174,0)</f>
        <v/>
      </c>
      <c r="AW174" s="6">
        <f>IF($Q174&gt;0,AB$108*$D174,0)</f>
        <v/>
      </c>
      <c r="AX174" s="6">
        <f>IF($Q174&gt;0,AC$108*$D174,0)</f>
        <v/>
      </c>
    </row>
    <row r="175" ht="66" customFormat="1" customHeight="1" s="2002">
      <c r="A175" s="1437">
        <f>BIBLE!E91</f>
        <v/>
      </c>
      <c r="B175" s="159">
        <f>IF(P174&gt;=R174,BIBLE!F91,"")</f>
        <v/>
      </c>
      <c r="C175" s="2003">
        <f>BIBLE!O91</f>
        <v/>
      </c>
      <c r="D175" s="125">
        <f>BIBLE!L91</f>
        <v/>
      </c>
      <c r="E175" s="2092" t="n"/>
      <c r="F175" s="2092" t="n"/>
      <c r="G175" s="2092" t="n"/>
      <c r="H175" s="2002" t="n">
        <v>1</v>
      </c>
      <c r="P175" s="25">
        <f>'TEST_pour application'!B161</f>
        <v/>
      </c>
      <c r="Q175" s="26">
        <f>P175*D175</f>
        <v/>
      </c>
      <c r="R175" s="2002">
        <f>IF(BIBLE!K91=0,"",BIBLE!K91)</f>
        <v/>
      </c>
      <c r="S175" s="2073" t="n"/>
      <c r="T175" s="2073" t="n"/>
      <c r="U175" s="2073" t="n"/>
      <c r="AE175" s="521" t="n"/>
      <c r="AF175" s="24" t="n"/>
      <c r="AG175" s="24" t="n"/>
      <c r="AH175" s="24" t="n"/>
      <c r="AI175" s="1539" t="n"/>
      <c r="AJ175" s="1539" t="n"/>
      <c r="AK175" s="1539" t="n"/>
      <c r="AL175" s="1539" t="n"/>
      <c r="AM175" s="1539" t="n"/>
      <c r="AN175" s="1539" t="n"/>
      <c r="AO175" s="1539" t="n"/>
      <c r="AP175" s="1539" t="n"/>
      <c r="AQ175" s="6">
        <f>Q175</f>
        <v/>
      </c>
      <c r="AR175" s="2073" t="n"/>
      <c r="AS175" s="6">
        <f>IF($Q175&gt;0,X$108*$D175,0)</f>
        <v/>
      </c>
      <c r="AT175" s="6">
        <f>IF($Q175&gt;0,Y$108*$D175,0)</f>
        <v/>
      </c>
      <c r="AU175" s="6">
        <f>IF($Q175&gt;0,Z$108*$D175,0)</f>
        <v/>
      </c>
      <c r="AV175" s="6">
        <f>IF($Q175&gt;0,AA$108*$D175,0)</f>
        <v/>
      </c>
      <c r="AW175" s="6">
        <f>IF($Q175&gt;0,AB$108*$D175,0)</f>
        <v/>
      </c>
      <c r="AX175" s="6">
        <f>IF($Q175&gt;0,AC$108*$D175,0)</f>
        <v/>
      </c>
    </row>
    <row r="176" ht="66" customFormat="1" customHeight="1" s="2002">
      <c r="A176" s="1437">
        <f>BIBLE!E92</f>
        <v/>
      </c>
      <c r="B176" s="158">
        <f>BIBLE!F92</f>
        <v/>
      </c>
      <c r="C176" s="2003">
        <f>BIBLE!O92</f>
        <v/>
      </c>
      <c r="D176" s="125">
        <f>BIBLE!L92</f>
        <v/>
      </c>
      <c r="E176" s="2092" t="n"/>
      <c r="F176" s="2092" t="n"/>
      <c r="G176" s="2092" t="n"/>
      <c r="H176" s="2092" t="n"/>
      <c r="I176" s="2092" t="n"/>
      <c r="J176" s="2092" t="n">
        <v>1</v>
      </c>
      <c r="K176" s="2092" t="n"/>
      <c r="L176" s="2092" t="n"/>
      <c r="M176" s="2092" t="n"/>
      <c r="N176" s="2092" t="n"/>
      <c r="O176" s="2092" t="n"/>
      <c r="P176" s="25">
        <f>'TEST_pour application'!B162</f>
        <v/>
      </c>
      <c r="Q176" s="26">
        <f>P176*D176</f>
        <v/>
      </c>
      <c r="R176" s="2002">
        <f>IF(BIBLE!K92=0,"",BIBLE!K92)</f>
        <v/>
      </c>
      <c r="S176" s="2073" t="n"/>
      <c r="T176" s="2073" t="n"/>
      <c r="U176" s="2073" t="n"/>
      <c r="V176" s="6">
        <f>IF(P176&gt;=R176,IF(Q176&gt;Q177,Q176,Q177),Q176)</f>
        <v/>
      </c>
      <c r="X176" s="6">
        <f>IF(($P176&gt;=$R176),IF($Q176&gt;$Q177,X$108*$D176,X$108*$D177),X$108*$D176)</f>
        <v/>
      </c>
      <c r="Y176" s="6">
        <f>IF(($P176&gt;=$R176),IF($Q176&gt;$Q177,Y$108*$D176,Y$108*$D177),Y$108*$D176)</f>
        <v/>
      </c>
      <c r="Z176" s="6">
        <f>IF(($P176&gt;=$R176),IF($Q176&gt;$Q177,Z$108*$D176,Z$108*$D177),Z$108*$D176)</f>
        <v/>
      </c>
      <c r="AA176" s="6">
        <f>IF(($P176&gt;=$R176),IF($Q176&gt;$Q177,AA$108*$D176,AA$108*$D177),AA$108*$D176)</f>
        <v/>
      </c>
      <c r="AB176" s="6">
        <f>IF(($P176&gt;=$R176),IF($Q176&gt;$Q177,AB$108*$D176,AB$108*$D177),AB$108*$D176)</f>
        <v/>
      </c>
      <c r="AC176" s="6">
        <f>IF(($P176&gt;=$R176),IF($Q176&gt;$Q177,AC$108*$D176,AC$108*$D177),AC$108*$D176)</f>
        <v/>
      </c>
      <c r="AE176" s="521" t="n"/>
      <c r="AF176" s="24">
        <f>IF($Q176=$V176,$Q176*BIBLE!R92,$Q177*BIBLE!R93)</f>
        <v/>
      </c>
      <c r="AG176" s="24">
        <f>IF($Q176=$V176,$Q176*BIBLE!S92,$Q177*BIBLE!S93)</f>
        <v/>
      </c>
      <c r="AH176" s="24">
        <f>IF($Q176=$V176,$Q176*BIBLE!T92,$Q177*BIBLE!T93)</f>
        <v/>
      </c>
      <c r="AI176" s="1539">
        <f>IF($Q176=$V176,$Q176*BIBLE!V92,$Q177*BIBLE!V93)</f>
        <v/>
      </c>
      <c r="AJ176" s="1539">
        <f>IF($Q176=$V176,$Q176*BIBLE!W92,$Q177*BIBLE!W93)</f>
        <v/>
      </c>
      <c r="AK176" s="1539">
        <f>IF($Q176=$V176,$Q176*BIBLE!X92,$Q177*BIBLE!X93)</f>
        <v/>
      </c>
      <c r="AL176" s="1539">
        <f>IF($Q176=$V176,$Q176*BIBLE!Y92,$Q177*BIBLE!Y93)</f>
        <v/>
      </c>
      <c r="AM176" s="1539">
        <f>IF($Q176=$V176,$Q176*BIBLE!Z92,$Q177*BIBLE!Z93)</f>
        <v/>
      </c>
      <c r="AN176" s="1539">
        <f>IF($Q176=$V176,$Q176*BIBLE!AA92,$Q177*BIBLE!AA93)</f>
        <v/>
      </c>
      <c r="AO176" s="1539">
        <f>IF($Q176=$V176,$Q176*BIBLE!AB92,$Q177*BIBLE!AB93)</f>
        <v/>
      </c>
      <c r="AP176" s="1539">
        <f>IF($Q176=$V176,$Q176*BIBLE!AC92,$Q177*BIBLE!AC93)</f>
        <v/>
      </c>
    </row>
    <row r="177" ht="66" customFormat="1" customHeight="1" s="2002">
      <c r="A177" s="1437">
        <f>BIBLE!E93</f>
        <v/>
      </c>
      <c r="B177" s="1452">
        <f>IF(P176&gt;=R176,BIBLE!F93,"")</f>
        <v/>
      </c>
      <c r="C177" s="2003">
        <f>BIBLE!O93</f>
        <v/>
      </c>
      <c r="D177" s="125">
        <f>BIBLE!L93</f>
        <v/>
      </c>
      <c r="E177" s="2092" t="n"/>
      <c r="F177" s="2092" t="n"/>
      <c r="G177" s="2092" t="n"/>
      <c r="H177" s="61" t="n"/>
      <c r="I177" s="61" t="n">
        <v>1</v>
      </c>
      <c r="J177" s="61" t="n"/>
      <c r="K177" s="61" t="n"/>
      <c r="L177" s="61" t="n"/>
      <c r="M177" s="61" t="n"/>
      <c r="N177" s="61" t="n"/>
      <c r="O177" s="61" t="n"/>
      <c r="P177" s="25">
        <f>'TEST_pour application'!B163</f>
        <v/>
      </c>
      <c r="Q177" s="26">
        <f>P177*D177</f>
        <v/>
      </c>
      <c r="R177" s="2002">
        <f>IF(BIBLE!K93=0,"",BIBLE!K93)</f>
        <v/>
      </c>
      <c r="S177" s="2073" t="n"/>
      <c r="T177" s="2073" t="n"/>
      <c r="U177" s="2073" t="n"/>
      <c r="V177" s="6" t="n"/>
      <c r="W177" s="2073" t="n"/>
      <c r="AE177" s="494">
        <f>Q177</f>
        <v/>
      </c>
      <c r="AF177" s="26" t="n"/>
      <c r="AG177" s="26" t="n"/>
      <c r="AH177" s="26" t="n"/>
      <c r="AI177" s="1541" t="n"/>
      <c r="AJ177" s="1541" t="n"/>
      <c r="AK177" s="1541" t="n"/>
      <c r="AL177" s="1541" t="n"/>
      <c r="AM177" s="1541" t="n"/>
      <c r="AN177" s="1541" t="n"/>
      <c r="AO177" s="1541" t="n"/>
      <c r="AP177" s="1541" t="n"/>
    </row>
    <row r="178" ht="66" customFormat="1" customHeight="1" s="2002">
      <c r="A178" s="1437">
        <f>BIBLE!E94</f>
        <v/>
      </c>
      <c r="B178" s="158">
        <f>BIBLE!F94</f>
        <v/>
      </c>
      <c r="C178" s="2003">
        <f>BIBLE!O94</f>
        <v/>
      </c>
      <c r="D178" s="125">
        <f>BIBLE!L94</f>
        <v/>
      </c>
      <c r="E178" s="2092" t="n"/>
      <c r="F178" s="2092" t="n"/>
      <c r="G178" s="2092" t="n"/>
      <c r="H178" s="660" t="n"/>
      <c r="I178" s="660" t="n">
        <v>1</v>
      </c>
      <c r="J178" s="660" t="n"/>
      <c r="K178" s="660" t="n"/>
      <c r="L178" s="660" t="n"/>
      <c r="M178" s="660" t="n"/>
      <c r="N178" s="660" t="n"/>
      <c r="O178" s="660" t="n"/>
      <c r="P178" s="25">
        <f>'TEST_pour application'!B164</f>
        <v/>
      </c>
      <c r="Q178" s="26">
        <f>P178*D178</f>
        <v/>
      </c>
      <c r="R178" s="2002">
        <f>IF(BIBLE!K94=0,"",BIBLE!K94)</f>
        <v/>
      </c>
      <c r="S178" s="2073" t="n"/>
      <c r="T178" s="2073" t="n"/>
      <c r="U178" s="2073" t="n"/>
      <c r="V178" s="6">
        <f>Q178</f>
        <v/>
      </c>
      <c r="W178" s="2073" t="n"/>
      <c r="X178" s="6">
        <f>IF($Q178&gt;0,X$108*$D178,0)</f>
        <v/>
      </c>
      <c r="Y178" s="6">
        <f>IF($Q178&gt;0,Y$108*$D178,0)</f>
        <v/>
      </c>
      <c r="Z178" s="6">
        <f>IF($Q178&gt;0,Z$108*$D178,0)</f>
        <v/>
      </c>
      <c r="AA178" s="6">
        <f>IF($Q178&gt;0,AA$108*$D178,0)</f>
        <v/>
      </c>
      <c r="AB178" s="6">
        <f>IF($Q178&gt;0,AB$108*$D178,0)</f>
        <v/>
      </c>
      <c r="AC178" s="6">
        <f>IF($Q178&gt;0,AC$108*$D178,0)</f>
        <v/>
      </c>
      <c r="AE178" s="521" t="n"/>
      <c r="AF178" s="24">
        <f>$V178*BIBLE!R94</f>
        <v/>
      </c>
      <c r="AG178" s="24">
        <f>$V178*BIBLE!S94</f>
        <v/>
      </c>
      <c r="AH178" s="24">
        <f>$V178*BIBLE!T94</f>
        <v/>
      </c>
      <c r="AI178" s="1539">
        <f>$V178*BIBLE!V94</f>
        <v/>
      </c>
      <c r="AJ178" s="1539">
        <f>$V178*BIBLE!W94</f>
        <v/>
      </c>
      <c r="AK178" s="1539">
        <f>$V178*BIBLE!X94</f>
        <v/>
      </c>
      <c r="AL178" s="1539">
        <f>$V178*BIBLE!Y94</f>
        <v/>
      </c>
      <c r="AM178" s="1539">
        <f>$V178*BIBLE!Z94</f>
        <v/>
      </c>
      <c r="AN178" s="1539">
        <f>$V178*BIBLE!AA94</f>
        <v/>
      </c>
      <c r="AO178" s="1539">
        <f>$V178*BIBLE!AB94</f>
        <v/>
      </c>
      <c r="AP178" s="1539">
        <f>$V178*BIBLE!AC94</f>
        <v/>
      </c>
    </row>
    <row r="179" ht="66" customFormat="1" customHeight="1" s="2002">
      <c r="A179" s="1437">
        <f>BIBLE!E95</f>
        <v/>
      </c>
      <c r="B179" s="158">
        <f>BIBLE!F95</f>
        <v/>
      </c>
      <c r="C179" s="2003">
        <f>BIBLE!O95</f>
        <v/>
      </c>
      <c r="D179" s="294">
        <f>IF($E$40&gt;=11,BIBLE!L95,BIBLE!M95)</f>
        <v/>
      </c>
      <c r="E179" s="2092" t="n"/>
      <c r="F179" s="2092" t="n"/>
      <c r="G179" s="2092" t="n"/>
      <c r="H179" s="660" t="n"/>
      <c r="I179" s="660" t="n"/>
      <c r="J179" s="660" t="n"/>
      <c r="K179" s="660" t="n">
        <v>1</v>
      </c>
      <c r="L179" s="660" t="n"/>
      <c r="M179" s="660" t="n"/>
      <c r="N179" s="660" t="n"/>
      <c r="O179" s="660" t="n"/>
      <c r="P179" s="25">
        <f>'TEST_pour application'!B165</f>
        <v/>
      </c>
      <c r="Q179" s="26">
        <f>P179*D179</f>
        <v/>
      </c>
      <c r="R179" s="2002">
        <f>IF(BIBLE!K95=0,"",BIBLE!K95)</f>
        <v/>
      </c>
      <c r="S179" s="2073" t="n"/>
      <c r="T179" s="2073" t="n"/>
      <c r="U179" s="2073" t="n"/>
      <c r="V179" s="6">
        <f>IF(P179&gt;=R179,IF(Q179&gt;Q180,Q179,Q180),Q179)</f>
        <v/>
      </c>
      <c r="X179" s="6">
        <f>IF(($P179&gt;=$R179),IF($Q179&gt;$Q180,X$108*$D179,X$108*$D180),X$108*$D179)</f>
        <v/>
      </c>
      <c r="Y179" s="6">
        <f>IF(($P179&gt;=$R179),IF($Q179&gt;$Q180,Y$108*$D179,Y$108*$D180),Y$108*$D179)</f>
        <v/>
      </c>
      <c r="Z179" s="6">
        <f>IF(($P179&gt;=$R179),IF($Q179&gt;$Q180,Z$108*$D179,Z$108*$D180),Z$108*$D179)</f>
        <v/>
      </c>
      <c r="AA179" s="6">
        <f>IF(($P179&gt;=$R179),IF($Q179&gt;$Q180,AA$108*$D179,AA$108*$D180),AA$108*$D179)</f>
        <v/>
      </c>
      <c r="AB179" s="6">
        <f>IF(($P179&gt;=$R179),IF($Q179&gt;$Q180,AB$108*$D179,AB$108*$D180),AB$108*$D179)</f>
        <v/>
      </c>
      <c r="AC179" s="6">
        <f>IF(($P179&gt;=$R179),IF($Q179&gt;$Q180,AC$108*$D179,AC$108*$D180),AC$108*$D179)</f>
        <v/>
      </c>
      <c r="AE179" s="521" t="n"/>
      <c r="AF179" s="24">
        <f>IF($Q179=$V179,$Q179*BIBLE!R95,$Q180*BIBLE!R96)</f>
        <v/>
      </c>
      <c r="AG179" s="24">
        <f>IF($Q179=$V179,$Q179*BIBLE!S95,$Q180*BIBLE!S96)</f>
        <v/>
      </c>
      <c r="AH179" s="24">
        <f>IF($Q179=$V179,$Q179*BIBLE!T95,$Q180*BIBLE!T96)</f>
        <v/>
      </c>
      <c r="AI179" s="1539">
        <f>IF($Q179=$V179,$Q179*BIBLE!V95,$Q180*BIBLE!V96)</f>
        <v/>
      </c>
      <c r="AJ179" s="1539">
        <f>IF($Q179=$V179,$Q179*BIBLE!W95,$Q180*BIBLE!W96)</f>
        <v/>
      </c>
      <c r="AK179" s="1539">
        <f>IF($Q179=$V179,$Q179*BIBLE!X95,$Q180*BIBLE!X96)</f>
        <v/>
      </c>
      <c r="AL179" s="1539">
        <f>IF($Q179=$V179,$Q179*BIBLE!Y95,$Q180*BIBLE!Y96)</f>
        <v/>
      </c>
      <c r="AM179" s="1539">
        <f>IF($Q179=$V179,$Q179*BIBLE!Z95,$Q180*BIBLE!Z96)</f>
        <v/>
      </c>
      <c r="AN179" s="1539">
        <f>IF($Q179=$V179,$Q179*BIBLE!AA95,$Q180*BIBLE!AA96)</f>
        <v/>
      </c>
      <c r="AO179" s="1539">
        <f>IF($Q179=$V179,$Q179*BIBLE!AB95,$Q180*BIBLE!AB96)</f>
        <v/>
      </c>
      <c r="AP179" s="1539">
        <f>IF($Q179=$V179,$Q179*BIBLE!AC95,$Q180*BIBLE!AC96)</f>
        <v/>
      </c>
    </row>
    <row r="180" ht="66" customFormat="1" customHeight="1" s="2002">
      <c r="A180" s="1437">
        <f>BIBLE!E96</f>
        <v/>
      </c>
      <c r="B180" s="159">
        <f>IF(P179&gt;=R179,BIBLE!F96,"")</f>
        <v/>
      </c>
      <c r="C180" s="2003">
        <f>BIBLE!O96</f>
        <v/>
      </c>
      <c r="D180" s="125">
        <f>BIBLE!L96</f>
        <v/>
      </c>
      <c r="E180" s="2092" t="n"/>
      <c r="F180" s="2092" t="n"/>
      <c r="G180" s="2092" t="n"/>
      <c r="H180" s="660" t="n"/>
      <c r="I180" s="660" t="n"/>
      <c r="J180" s="660" t="n">
        <v>1</v>
      </c>
      <c r="K180" s="660" t="n"/>
      <c r="L180" s="660" t="n"/>
      <c r="M180" s="660" t="n"/>
      <c r="N180" s="660" t="n"/>
      <c r="O180" s="660" t="n"/>
      <c r="P180" s="25">
        <f>'TEST_pour application'!B166</f>
        <v/>
      </c>
      <c r="Q180" s="26">
        <f>P180*D180</f>
        <v/>
      </c>
      <c r="R180" s="2002">
        <f>IF(BIBLE!K96=0,"",BIBLE!K96)</f>
        <v/>
      </c>
      <c r="S180" s="2073" t="n"/>
      <c r="T180" s="2073" t="n"/>
      <c r="U180" s="2073" t="n"/>
      <c r="V180" s="6" t="n"/>
      <c r="W180" s="2073" t="n"/>
      <c r="X180" s="6" t="n"/>
      <c r="Y180" s="6" t="n"/>
      <c r="Z180" s="6" t="n"/>
      <c r="AA180" s="6" t="n"/>
      <c r="AB180" s="6" t="n"/>
      <c r="AC180" s="6" t="n"/>
      <c r="AE180" s="521" t="n"/>
      <c r="AF180" s="24" t="n"/>
      <c r="AG180" s="24" t="n"/>
      <c r="AH180" s="24" t="n"/>
      <c r="AI180" s="1539" t="n"/>
      <c r="AJ180" s="1539" t="n"/>
      <c r="AK180" s="1539" t="n"/>
      <c r="AL180" s="1539" t="n"/>
      <c r="AM180" s="1539" t="n"/>
      <c r="AN180" s="1539" t="n"/>
      <c r="AO180" s="1539" t="n"/>
      <c r="AP180" s="1539" t="n"/>
    </row>
    <row r="181" ht="66" customFormat="1" customHeight="1" s="2002">
      <c r="A181" s="1437">
        <f>BIBLE!E97</f>
        <v/>
      </c>
      <c r="B181" s="158">
        <f>BIBLE!F97</f>
        <v/>
      </c>
      <c r="C181" s="2003">
        <f>BIBLE!O97</f>
        <v/>
      </c>
      <c r="D181" s="125">
        <f>BIBLE!L97</f>
        <v/>
      </c>
      <c r="E181" s="2092" t="n"/>
      <c r="F181" s="2092" t="n"/>
      <c r="G181" s="2092" t="n"/>
      <c r="H181" s="20" t="n"/>
      <c r="I181" s="20" t="n"/>
      <c r="J181" s="20" t="n"/>
      <c r="K181" s="20" t="n">
        <v>1</v>
      </c>
      <c r="L181" s="20" t="n"/>
      <c r="M181" s="20" t="n"/>
      <c r="N181" s="20" t="n"/>
      <c r="O181" s="20" t="n"/>
      <c r="P181" s="25">
        <f>'TEST_pour application'!B167</f>
        <v/>
      </c>
      <c r="Q181" s="26">
        <f>P181*D181</f>
        <v/>
      </c>
      <c r="R181" s="2002">
        <f>IF(BIBLE!K97=0,"",BIBLE!K97)</f>
        <v/>
      </c>
      <c r="S181" s="2073" t="n"/>
      <c r="T181" s="2073" t="n"/>
      <c r="U181" s="2073" t="n"/>
      <c r="V181" s="6">
        <f>Q181</f>
        <v/>
      </c>
      <c r="W181" s="2073" t="n"/>
      <c r="X181" s="6">
        <f>IF($Q181&gt;0,X$108*$D181,0)</f>
        <v/>
      </c>
      <c r="Y181" s="6">
        <f>IF($Q181&gt;0,Y$108*$D181,0)</f>
        <v/>
      </c>
      <c r="Z181" s="6">
        <f>IF($Q181&gt;0,Z$108*$D181,0)</f>
        <v/>
      </c>
      <c r="AA181" s="6">
        <f>IF($Q181&gt;0,AA$108*$D181,0)</f>
        <v/>
      </c>
      <c r="AB181" s="6">
        <f>IF($Q181&gt;0,AB$108*$D181,0)</f>
        <v/>
      </c>
      <c r="AC181" s="6">
        <f>IF($Q181&gt;0,AC$108*$D181,0)</f>
        <v/>
      </c>
      <c r="AE181" s="521" t="n"/>
      <c r="AF181" s="24">
        <f>$V181*BIBLE!R97</f>
        <v/>
      </c>
      <c r="AG181" s="24">
        <f>$V181*BIBLE!S97</f>
        <v/>
      </c>
      <c r="AH181" s="24">
        <f>$V181*BIBLE!T97</f>
        <v/>
      </c>
      <c r="AI181" s="1539">
        <f>$V181*BIBLE!V97</f>
        <v/>
      </c>
      <c r="AJ181" s="1539">
        <f>$V181*BIBLE!W97</f>
        <v/>
      </c>
      <c r="AK181" s="1539">
        <f>$V181*BIBLE!X97</f>
        <v/>
      </c>
      <c r="AL181" s="1539">
        <f>$V181*BIBLE!Y97</f>
        <v/>
      </c>
      <c r="AM181" s="1539">
        <f>$V181*BIBLE!Z97</f>
        <v/>
      </c>
      <c r="AN181" s="1539">
        <f>$V181*BIBLE!AA97</f>
        <v/>
      </c>
      <c r="AO181" s="1539">
        <f>$V181*BIBLE!AB97</f>
        <v/>
      </c>
      <c r="AP181" s="1539">
        <f>$V181*BIBLE!AC97</f>
        <v/>
      </c>
    </row>
    <row r="182" ht="66" customFormat="1" customHeight="1" s="2002">
      <c r="A182" s="1437">
        <f>BIBLE!E98</f>
        <v/>
      </c>
      <c r="B182" s="158">
        <f>BIBLE!F98</f>
        <v/>
      </c>
      <c r="C182" s="2003">
        <f>BIBLE!O98</f>
        <v/>
      </c>
      <c r="D182" s="125">
        <f>BIBLE!L98</f>
        <v/>
      </c>
      <c r="E182" s="2092" t="n"/>
      <c r="F182" s="2092" t="n"/>
      <c r="G182" s="2092" t="n"/>
      <c r="H182" s="2092" t="n"/>
      <c r="I182" s="2092" t="n">
        <v>1</v>
      </c>
      <c r="J182" s="2092" t="n"/>
      <c r="K182" s="2092" t="n"/>
      <c r="L182" s="2092" t="n"/>
      <c r="M182" s="2092" t="n"/>
      <c r="N182" s="2092" t="n"/>
      <c r="O182" s="2092" t="n"/>
      <c r="P182" s="25">
        <f>'TEST_pour application'!B168</f>
        <v/>
      </c>
      <c r="Q182" s="26">
        <f>P182*D182</f>
        <v/>
      </c>
      <c r="R182" s="2002">
        <f>IF(BIBLE!K98=0,"",BIBLE!K98)</f>
        <v/>
      </c>
      <c r="S182" s="2073" t="n"/>
      <c r="T182" s="2073" t="n"/>
      <c r="U182" s="2073" t="n"/>
      <c r="V182" s="6">
        <f>IF(P182&gt;=R182,IF(SUM(Q183:Q185)&gt;Q182,SUM(Q183:Q185),Q182),Q182)</f>
        <v/>
      </c>
      <c r="X182" s="6">
        <f>IF(Q182&gt;SUM(Q183:Q185),AS182,SUM(AS183:AS185))</f>
        <v/>
      </c>
      <c r="Y182" s="6">
        <f>IF(Q182&gt;SUM(Q183:Q185),AT182,SUM(AT183:AT185))</f>
        <v/>
      </c>
      <c r="Z182" s="6">
        <f>IF(Q182&gt;SUM(Q183:Q185),AU182,SUM(AU183:AU185))</f>
        <v/>
      </c>
      <c r="AA182" s="6">
        <f>IF(Q182&gt;SUM(Q183:Q185),AV182,SUM(AV183:AV185))</f>
        <v/>
      </c>
      <c r="AB182" s="6">
        <f>IF(Q182&gt;SUM(Q183:Q185),AW182,SUM(AW183:AW185))</f>
        <v/>
      </c>
      <c r="AC182" s="6">
        <f>IF(Q182&gt;SUM(Q183:Q185),AX182,SUM(AX183:AX185))</f>
        <v/>
      </c>
      <c r="AE182" s="521" t="n"/>
      <c r="AF182" s="24">
        <f>IF($Q182=$V182,$Q182*BIBLE!R98,(Test_Bible!$Q183*BIBLE!R99+Test_Bible!$Q184*BIBLE!R100+$Q185*BIBLE!R101))</f>
        <v/>
      </c>
      <c r="AG182" s="24">
        <f>IF($Q182=$V182,$Q182*BIBLE!S98,(Test_Bible!$Q183*BIBLE!S99+Test_Bible!$Q184*BIBLE!S100+$Q185*BIBLE!S101))</f>
        <v/>
      </c>
      <c r="AH182" s="24">
        <f>IF($Q182=$V182,$Q182*BIBLE!T98,(Test_Bible!$Q183*BIBLE!T99+Test_Bible!$Q184*BIBLE!T100+$Q185*BIBLE!T101))</f>
        <v/>
      </c>
      <c r="AI182" s="1539">
        <f>IF($Q182=$V182,$Q182*BIBLE!V98,(Test_Bible!$Q183*BIBLE!V99+Test_Bible!$Q184*BIBLE!V100+$Q185*BIBLE!V101))</f>
        <v/>
      </c>
      <c r="AJ182" s="1539">
        <f>IF($Q182=$V182,$Q182*BIBLE!W98,(Test_Bible!$Q183*BIBLE!W99+Test_Bible!$Q184*BIBLE!W100+$Q185*BIBLE!W101))</f>
        <v/>
      </c>
      <c r="AK182" s="1539">
        <f>IF($Q182=$V182,$Q182*BIBLE!X98,(Test_Bible!$Q183*BIBLE!X99+Test_Bible!$Q184*BIBLE!X100+$Q185*BIBLE!X101))</f>
        <v/>
      </c>
      <c r="AL182" s="1539">
        <f>IF($Q182=$V182,$Q182*BIBLE!Y98,(Test_Bible!$Q183*BIBLE!Y99+Test_Bible!$Q184*BIBLE!Y100+$Q185*BIBLE!Y101))</f>
        <v/>
      </c>
      <c r="AM182" s="1539">
        <f>IF($Q182=$V182,$Q182*BIBLE!Z98,(Test_Bible!$Q183*BIBLE!Z99+Test_Bible!$Q184*BIBLE!Z100+$Q185*BIBLE!Z101))</f>
        <v/>
      </c>
      <c r="AN182" s="1539">
        <f>IF($Q182=$V182,$Q182*BIBLE!AA98,(Test_Bible!$Q183*BIBLE!AA99+Test_Bible!$Q184*BIBLE!AA100+$Q185*BIBLE!AA101))</f>
        <v/>
      </c>
      <c r="AO182" s="1539">
        <f>IF($Q182=$V182,$Q182*BIBLE!AB98,(Test_Bible!$Q183*BIBLE!AB99+Test_Bible!$Q184*BIBLE!AB100+$Q185*BIBLE!AB101))</f>
        <v/>
      </c>
      <c r="AP182" s="1539">
        <f>IF($Q182=$V182,$Q182*BIBLE!AC98,(Test_Bible!$Q183*BIBLE!AC99+Test_Bible!$Q184*BIBLE!AC100+$Q185*BIBLE!AC101))</f>
        <v/>
      </c>
      <c r="AQ182" s="6">
        <f>Q182</f>
        <v/>
      </c>
      <c r="AR182" s="2073" t="n"/>
      <c r="AS182" s="6">
        <f>IF($Q182&gt;0,X$108*$D182,0)</f>
        <v/>
      </c>
      <c r="AT182" s="6">
        <f>IF($Q182&gt;0,Y$108*$D182,0)</f>
        <v/>
      </c>
      <c r="AU182" s="6">
        <f>IF($Q182&gt;0,Z$108*$D182,0)</f>
        <v/>
      </c>
      <c r="AV182" s="6">
        <f>IF($Q182&gt;0,AA$108*$D182,0)</f>
        <v/>
      </c>
      <c r="AW182" s="6">
        <f>IF($Q182&gt;0,AB$108*$D182,0)</f>
        <v/>
      </c>
      <c r="AX182" s="6">
        <f>IF($Q182&gt;0,AC$108*$D182,0)</f>
        <v/>
      </c>
      <c r="AZ182" s="17" t="inlineStr">
        <is>
          <t>Plusieurs SQ à un même niveau, on additionne les SQ et on prend le max entre la Q et les SQ</t>
        </is>
      </c>
    </row>
    <row r="183" ht="66" customFormat="1" customHeight="1" s="2002">
      <c r="A183" s="1437">
        <f>BIBLE!E99</f>
        <v/>
      </c>
      <c r="B183" s="1452">
        <f>IF($P$182&gt;=$R$182,BIBLE!F99,"")</f>
        <v/>
      </c>
      <c r="C183" s="2003">
        <f>BIBLE!O99</f>
        <v/>
      </c>
      <c r="D183" s="125">
        <f>BIBLE!L99</f>
        <v/>
      </c>
      <c r="E183" s="2092" t="n"/>
      <c r="F183" s="2092" t="n"/>
      <c r="G183" s="2092" t="n"/>
      <c r="H183" s="2092" t="n"/>
      <c r="I183" s="2092" t="n">
        <v>1</v>
      </c>
      <c r="J183" s="2092" t="n"/>
      <c r="K183" s="2092" t="n"/>
      <c r="L183" s="2092" t="n"/>
      <c r="M183" s="2092" t="n"/>
      <c r="N183" s="2092" t="n"/>
      <c r="O183" s="2092" t="n"/>
      <c r="P183" s="25">
        <f>'TEST_pour application'!B169</f>
        <v/>
      </c>
      <c r="Q183" s="26">
        <f>P183*D183</f>
        <v/>
      </c>
      <c r="R183" s="2002">
        <f>IF(BIBLE!K99=0,"",BIBLE!K99)</f>
        <v/>
      </c>
      <c r="S183" s="2073" t="n"/>
      <c r="T183" s="2073" t="n"/>
      <c r="U183" s="2073" t="n"/>
      <c r="AE183" s="494">
        <f>Q183</f>
        <v/>
      </c>
      <c r="AF183" s="26" t="n"/>
      <c r="AG183" s="26" t="n"/>
      <c r="AH183" s="26" t="n"/>
      <c r="AI183" s="1541" t="n"/>
      <c r="AJ183" s="1541" t="n"/>
      <c r="AK183" s="1541" t="n"/>
      <c r="AL183" s="1541" t="n"/>
      <c r="AM183" s="1541" t="n"/>
      <c r="AN183" s="1541" t="n"/>
      <c r="AO183" s="1541" t="n"/>
      <c r="AP183" s="1541" t="n"/>
      <c r="AQ183" s="6">
        <f>Q183</f>
        <v/>
      </c>
      <c r="AR183" s="2073" t="n"/>
      <c r="AS183" s="6">
        <f>IF($Q183&gt;0,X$108*$D183,0)</f>
        <v/>
      </c>
      <c r="AT183" s="6">
        <f>IF($Q183&gt;0,Y$108*$D183,0)</f>
        <v/>
      </c>
      <c r="AU183" s="6">
        <f>IF($Q183&gt;0,Z$108*$D183,0)</f>
        <v/>
      </c>
      <c r="AV183" s="6">
        <f>IF($Q183&gt;0,AA$108*$D183,0)</f>
        <v/>
      </c>
      <c r="AW183" s="6">
        <f>IF($Q183&gt;0,AB$108*$D183,0)</f>
        <v/>
      </c>
      <c r="AX183" s="6">
        <f>IF($Q183&gt;0,AC$108*$D183,0)</f>
        <v/>
      </c>
      <c r="AZ183" s="6">
        <f>AQ182</f>
        <v/>
      </c>
      <c r="BB183" s="6">
        <f>AS182</f>
        <v/>
      </c>
      <c r="BC183" s="6">
        <f>AT182</f>
        <v/>
      </c>
      <c r="BD183" s="6">
        <f>AU182</f>
        <v/>
      </c>
      <c r="BE183" s="6">
        <f>AV182</f>
        <v/>
      </c>
      <c r="BF183" s="6">
        <f>AW182</f>
        <v/>
      </c>
      <c r="BG183" s="6">
        <f>AX182</f>
        <v/>
      </c>
      <c r="BH183" s="6">
        <f>AY182</f>
        <v/>
      </c>
      <c r="BI183" s="6">
        <f>AZ183</f>
        <v/>
      </c>
    </row>
    <row r="184" ht="66" customFormat="1" customHeight="1" s="2002">
      <c r="A184" s="1437">
        <f>BIBLE!E100</f>
        <v/>
      </c>
      <c r="B184" s="1452">
        <f>IF($P$182&gt;=$R$182,IF($P$177=0,BIBLE!F100,""),"")</f>
        <v/>
      </c>
      <c r="C184" s="2003">
        <f>BIBLE!O100</f>
        <v/>
      </c>
      <c r="D184" s="125">
        <f>BIBLE!L100</f>
        <v/>
      </c>
      <c r="E184" s="2092" t="n"/>
      <c r="F184" s="2092" t="n"/>
      <c r="G184" s="2092" t="n"/>
      <c r="H184" s="2092" t="n"/>
      <c r="I184" s="2092" t="n"/>
      <c r="J184" s="2092" t="n"/>
      <c r="K184" s="2092" t="n"/>
      <c r="L184" s="2092" t="n"/>
      <c r="M184" s="2092" t="n"/>
      <c r="N184" s="2092" t="n"/>
      <c r="O184" s="2092" t="n"/>
      <c r="P184" s="25">
        <f>'TEST_pour application'!B170</f>
        <v/>
      </c>
      <c r="Q184" s="26">
        <f>P184*D184</f>
        <v/>
      </c>
      <c r="R184" s="2002">
        <f>IF(BIBLE!K100=0,"",BIBLE!K100)</f>
        <v/>
      </c>
      <c r="AE184" s="494">
        <f>Q184</f>
        <v/>
      </c>
      <c r="AF184" s="26" t="n"/>
      <c r="AG184" s="26" t="n"/>
      <c r="AH184" s="26" t="n"/>
      <c r="AI184" s="1541" t="n"/>
      <c r="AJ184" s="1541" t="n"/>
      <c r="AK184" s="1541" t="n"/>
      <c r="AL184" s="1541" t="n"/>
      <c r="AM184" s="1541" t="n"/>
      <c r="AN184" s="1541" t="n"/>
      <c r="AO184" s="1541" t="n"/>
      <c r="AP184" s="1541" t="n"/>
      <c r="AQ184" s="6">
        <f>Q184</f>
        <v/>
      </c>
      <c r="AS184" s="6">
        <f>IF($Q184&gt;0,X$108*$D184,0)</f>
        <v/>
      </c>
      <c r="AT184" s="6">
        <f>IF($Q184&gt;0,Y$108*$D184,0)</f>
        <v/>
      </c>
      <c r="AU184" s="6">
        <f>IF($Q184&gt;0,Z$108*$D184,0)</f>
        <v/>
      </c>
      <c r="AV184" s="6">
        <f>IF($Q184&gt;0,AA$108*$D184,0)</f>
        <v/>
      </c>
      <c r="AW184" s="6">
        <f>IF($Q184&gt;0,AB$108*$D184,0)</f>
        <v/>
      </c>
      <c r="AX184" s="6">
        <f>IF($Q184&gt;0,AC$108*$D184,0)</f>
        <v/>
      </c>
      <c r="AZ184" s="6">
        <f>SUM(AQ183:AQ185)</f>
        <v/>
      </c>
      <c r="BB184" s="6">
        <f>SUM(AS183:AS185)</f>
        <v/>
      </c>
      <c r="BC184" s="6">
        <f>SUM(AT183:AT185)</f>
        <v/>
      </c>
      <c r="BD184" s="6">
        <f>SUM(AU183:AU185)</f>
        <v/>
      </c>
      <c r="BE184" s="6">
        <f>SUM(AV183:AV185)</f>
        <v/>
      </c>
      <c r="BF184" s="6">
        <f>SUM(AW183:AW185)</f>
        <v/>
      </c>
      <c r="BG184" s="6">
        <f>SUM(AX183:AX185)</f>
        <v/>
      </c>
      <c r="BH184" s="6">
        <f>SUM(AY183:AY185)</f>
        <v/>
      </c>
      <c r="BI184" s="6">
        <f>SUM(AZ184:AZ185)</f>
        <v/>
      </c>
    </row>
    <row r="185" ht="66" customFormat="1" customHeight="1" s="2002">
      <c r="A185" s="1437">
        <f>BIBLE!E101</f>
        <v/>
      </c>
      <c r="B185" s="1452">
        <f>IF($P$182&gt;=$R$182,BIBLE!F101,"")</f>
        <v/>
      </c>
      <c r="C185" s="2003">
        <f>BIBLE!O101</f>
        <v/>
      </c>
      <c r="D185" s="125">
        <f>BIBLE!L101</f>
        <v/>
      </c>
      <c r="E185" s="2092" t="n"/>
      <c r="F185" s="2092" t="n"/>
      <c r="G185" s="2092" t="n"/>
      <c r="H185" s="2092" t="n"/>
      <c r="I185" s="2092" t="n"/>
      <c r="J185" s="2092" t="n">
        <v>1</v>
      </c>
      <c r="K185" s="2092" t="n"/>
      <c r="L185" s="2092" t="n"/>
      <c r="M185" s="2092" t="n"/>
      <c r="N185" s="2092" t="n"/>
      <c r="O185" s="2092" t="n"/>
      <c r="P185" s="25">
        <f>'TEST_pour application'!B171</f>
        <v/>
      </c>
      <c r="Q185" s="26">
        <f>P185*D185</f>
        <v/>
      </c>
      <c r="R185" s="2002">
        <f>IF(BIBLE!K101=0,"",BIBLE!K101)</f>
        <v/>
      </c>
      <c r="AE185" s="494">
        <f>Q185</f>
        <v/>
      </c>
      <c r="AF185" s="26" t="n"/>
      <c r="AG185" s="26" t="n"/>
      <c r="AH185" s="26" t="n"/>
      <c r="AI185" s="1541" t="n"/>
      <c r="AJ185" s="1541" t="n"/>
      <c r="AK185" s="1541" t="n"/>
      <c r="AL185" s="1541" t="n"/>
      <c r="AM185" s="1541" t="n"/>
      <c r="AN185" s="1541" t="n"/>
      <c r="AO185" s="1541" t="n"/>
      <c r="AP185" s="1541" t="n"/>
      <c r="AQ185" s="6">
        <f>Q185</f>
        <v/>
      </c>
      <c r="AS185" s="6">
        <f>IF($Q185&gt;0,X$108*$D185,0)</f>
        <v/>
      </c>
      <c r="AT185" s="6">
        <f>IF($Q185&gt;0,Y$108*$D185,0)</f>
        <v/>
      </c>
      <c r="AU185" s="6">
        <f>IF($Q185&gt;0,Z$108*$D185,0)</f>
        <v/>
      </c>
      <c r="AV185" s="6">
        <f>IF($Q185&gt;0,AA$108*$D185,0)</f>
        <v/>
      </c>
      <c r="AW185" s="6">
        <f>IF($Q185&gt;0,AB$108*$D185,0)</f>
        <v/>
      </c>
      <c r="AX185" s="6">
        <f>IF($Q185&gt;0,AC$108*$D185,0)</f>
        <v/>
      </c>
    </row>
    <row r="186" ht="63" customFormat="1" customHeight="1" s="2002">
      <c r="A186" s="1437">
        <f>BIBLE!E102</f>
        <v/>
      </c>
      <c r="B186" s="158">
        <f>IF(OR($E$44=1,$E$45=1),BIBLE!F102,"")</f>
        <v/>
      </c>
      <c r="C186" s="2003">
        <f>BIBLE!O102</f>
        <v/>
      </c>
      <c r="D186" s="125">
        <f>BIBLE!L102</f>
        <v/>
      </c>
      <c r="E186" s="2092" t="n"/>
      <c r="F186" s="2092" t="n"/>
      <c r="G186" s="2092" t="n"/>
      <c r="H186" s="2092" t="n"/>
      <c r="I186" s="2092" t="n"/>
      <c r="J186" s="2092" t="n"/>
      <c r="K186" s="2092" t="n"/>
      <c r="L186" s="2092" t="n"/>
      <c r="M186" s="2092" t="n"/>
      <c r="N186" s="2092" t="n"/>
      <c r="O186" s="2092" t="n"/>
      <c r="P186" s="25">
        <f>'TEST_pour application'!B172</f>
        <v/>
      </c>
      <c r="Q186" s="26">
        <f>P186*D186</f>
        <v/>
      </c>
      <c r="R186" s="2002">
        <f>IF(BIBLE!K102=0,"",BIBLE!K102)</f>
        <v/>
      </c>
      <c r="V186" s="6">
        <f>Q186</f>
        <v/>
      </c>
      <c r="X186" s="6">
        <f>IF($Q186&gt;0,X$108*$D186,0)</f>
        <v/>
      </c>
      <c r="Y186" s="6">
        <f>IF($Q186&gt;0,Y$108*$D186,0)</f>
        <v/>
      </c>
      <c r="Z186" s="6">
        <f>IF($Q186&gt;0,Z$108*$D186,0)</f>
        <v/>
      </c>
      <c r="AA186" s="6">
        <f>IF($Q186&gt;0,AA$108*$D186,0)</f>
        <v/>
      </c>
      <c r="AB186" s="6">
        <f>IF($Q186&gt;0,AB$108*$D186,0)</f>
        <v/>
      </c>
      <c r="AC186" s="6">
        <f>IF($Q186&gt;0,AC$108*$D186,0)</f>
        <v/>
      </c>
      <c r="AE186" s="521" t="n"/>
      <c r="AF186" s="24">
        <f>$V186*BIBLE!R102</f>
        <v/>
      </c>
      <c r="AG186" s="24">
        <f>$V186*BIBLE!S102</f>
        <v/>
      </c>
      <c r="AH186" s="24">
        <f>$V186*BIBLE!T102</f>
        <v/>
      </c>
      <c r="AI186" s="1539">
        <f>$V186*BIBLE!V102</f>
        <v/>
      </c>
      <c r="AJ186" s="1539">
        <f>$V186*BIBLE!W102</f>
        <v/>
      </c>
      <c r="AK186" s="1539">
        <f>$V186*BIBLE!X102</f>
        <v/>
      </c>
      <c r="AL186" s="1539">
        <f>$V186*BIBLE!Y102</f>
        <v/>
      </c>
      <c r="AM186" s="1539">
        <f>$V186*BIBLE!Z102</f>
        <v/>
      </c>
      <c r="AN186" s="1539">
        <f>$V186*BIBLE!AA102</f>
        <v/>
      </c>
      <c r="AO186" s="1539">
        <f>$V186*BIBLE!AB102</f>
        <v/>
      </c>
      <c r="AP186" s="1539">
        <f>$V186*BIBLE!AC102</f>
        <v/>
      </c>
    </row>
    <row r="187" ht="63" customFormat="1" customHeight="1" s="7">
      <c r="A187" s="1437">
        <f>BIBLE!E103</f>
        <v/>
      </c>
      <c r="B187" s="158">
        <f>IF(OR($E$48=1,$E$49=1),BIBLE!F103,"")</f>
        <v/>
      </c>
      <c r="C187" s="2003">
        <f>BIBLE!O103</f>
        <v/>
      </c>
      <c r="D187" s="125">
        <f>BIBLE!L103</f>
        <v/>
      </c>
      <c r="E187" s="2092" t="n"/>
      <c r="F187" s="2092" t="n"/>
      <c r="G187" s="2092" t="n"/>
      <c r="H187" s="660" t="n">
        <v>1</v>
      </c>
      <c r="I187" s="660" t="n"/>
      <c r="J187" s="660" t="n"/>
      <c r="K187" s="660" t="n"/>
      <c r="L187" s="660" t="n"/>
      <c r="M187" s="660" t="n"/>
      <c r="N187" s="660" t="n"/>
      <c r="O187" s="660" t="n"/>
      <c r="P187" s="25">
        <f>'TEST_pour application'!B173</f>
        <v/>
      </c>
      <c r="Q187" s="26">
        <f>P187*D187</f>
        <v/>
      </c>
      <c r="R187" s="2002">
        <f>IF(BIBLE!K103=0,"",BIBLE!K103)</f>
        <v/>
      </c>
      <c r="S187" s="2073" t="n"/>
      <c r="T187" s="2073" t="n"/>
      <c r="U187" s="2073" t="n"/>
      <c r="V187" s="6">
        <f>IF(P187&gt;=R187,IF(Q187&gt;Q188,Q187,Q188),Q187)</f>
        <v/>
      </c>
      <c r="W187" s="2002" t="n"/>
      <c r="X187" s="6">
        <f>IF(($P187&gt;=$R187),IF($Q187&gt;$Q188,X$108*$D187,X$108*$D188),X$108*$D187)</f>
        <v/>
      </c>
      <c r="Y187" s="6">
        <f>IF(($P187&gt;=$R187),IF($Q187&gt;$Q188,Y$108*$D187,Y$108*$D188),Y$108*$D187)</f>
        <v/>
      </c>
      <c r="Z187" s="6">
        <f>IF(($P187&gt;=$R187),IF($Q187&gt;$Q188,Z$108*$D187,Z$108*$D188),Z$108*$D187)</f>
        <v/>
      </c>
      <c r="AA187" s="6">
        <f>IF(($P187&gt;=$R187),IF($Q187&gt;$Q188,AA$108*$D187,AA$108*$D188),AA$108*$D187)</f>
        <v/>
      </c>
      <c r="AB187" s="6">
        <f>IF(($P187&gt;=$R187),IF($Q187&gt;$Q188,AB$108*$D187,AB$108*$D188),AB$108*$D187)</f>
        <v/>
      </c>
      <c r="AC187" s="6">
        <f>IF(($P187&gt;=$R187),IF($Q187&gt;$Q188,AC$108*$D187,AC$108*$D188),AC$108*$D187)</f>
        <v/>
      </c>
      <c r="AE187" s="522" t="n"/>
      <c r="AF187" s="24">
        <f>IF($Q187=$V187,$Q187*BIBLE!R103,$Q188*BIBLE!R104)</f>
        <v/>
      </c>
      <c r="AG187" s="24">
        <f>IF($Q187=$V187,$Q187*BIBLE!S103,$Q188*BIBLE!S104)</f>
        <v/>
      </c>
      <c r="AH187" s="24">
        <f>IF($Q187=$V187,$Q187*BIBLE!T103,$Q188*BIBLE!T104)</f>
        <v/>
      </c>
      <c r="AI187" s="1539">
        <f>IF($Q187=$V187,$Q187*BIBLE!V103,$Q188*BIBLE!V104)</f>
        <v/>
      </c>
      <c r="AJ187" s="1539">
        <f>IF($Q187=$V187,$Q187*BIBLE!W103,$Q188*BIBLE!W104)</f>
        <v/>
      </c>
      <c r="AK187" s="1539">
        <f>IF($Q187=$V187,$Q187*BIBLE!X103,$Q188*BIBLE!X104)</f>
        <v/>
      </c>
      <c r="AL187" s="1539">
        <f>IF($Q187=$V187,$Q187*BIBLE!Y103,$Q188*BIBLE!Y104)</f>
        <v/>
      </c>
      <c r="AM187" s="1539">
        <f>IF($Q187=$V187,$Q187*BIBLE!Z103,$Q188*BIBLE!Z104)</f>
        <v/>
      </c>
      <c r="AN187" s="1539">
        <f>IF($Q187=$V187,$Q187*BIBLE!AA103,$Q188*BIBLE!AA104)</f>
        <v/>
      </c>
      <c r="AO187" s="1539">
        <f>IF($Q187=$V187,$Q187*BIBLE!AB103,$Q188*BIBLE!AB104)</f>
        <v/>
      </c>
      <c r="AP187" s="1539">
        <f>IF($Q187=$V187,$Q187*BIBLE!AC103,$Q188*BIBLE!AC104)</f>
        <v/>
      </c>
    </row>
    <row r="188" ht="63" customFormat="1" customHeight="1" s="7">
      <c r="A188" s="1437">
        <f>BIBLE!E104</f>
        <v/>
      </c>
      <c r="B188" s="159">
        <f>IF(P187&gt;=R187,BIBLE!F104,"")</f>
        <v/>
      </c>
      <c r="C188" s="2003">
        <f>BIBLE!O104</f>
        <v/>
      </c>
      <c r="D188" s="125">
        <f>BIBLE!L104</f>
        <v/>
      </c>
      <c r="E188" s="2092" t="n"/>
      <c r="F188" s="2092" t="n"/>
      <c r="G188" s="2092" t="n"/>
      <c r="H188" s="20" t="n"/>
      <c r="I188" s="20" t="n"/>
      <c r="J188" s="20" t="n"/>
      <c r="K188" s="20" t="n"/>
      <c r="L188" s="20" t="n"/>
      <c r="M188" s="20" t="n"/>
      <c r="N188" s="20" t="n"/>
      <c r="O188" s="20" t="n"/>
      <c r="P188" s="25">
        <f>'TEST_pour application'!B174</f>
        <v/>
      </c>
      <c r="Q188" s="26">
        <f>P188*D188</f>
        <v/>
      </c>
      <c r="R188" s="2002">
        <f>IF(BIBLE!K104=0,"",BIBLE!K104)</f>
        <v/>
      </c>
      <c r="S188" s="2002" t="n"/>
      <c r="T188" s="2002" t="n"/>
      <c r="U188" s="2002" t="n"/>
      <c r="V188" s="6" t="n"/>
      <c r="W188" s="2002" t="n"/>
      <c r="X188" s="6" t="n"/>
      <c r="Y188" s="6" t="n"/>
      <c r="Z188" s="6" t="n"/>
      <c r="AA188" s="6" t="n"/>
      <c r="AB188" s="6" t="n"/>
      <c r="AC188" s="6" t="n"/>
      <c r="AE188" s="522" t="n"/>
      <c r="AF188" s="93" t="n"/>
      <c r="AG188" s="93" t="n"/>
      <c r="AH188" s="93" t="n"/>
      <c r="AI188" s="775" t="n"/>
      <c r="AJ188" s="775" t="n"/>
      <c r="AK188" s="775" t="n"/>
      <c r="AL188" s="775" t="n"/>
      <c r="AM188" s="775" t="n"/>
      <c r="AN188" s="775" t="n"/>
      <c r="AO188" s="775" t="n"/>
      <c r="AP188" s="775" t="n"/>
      <c r="AS188" s="1564" t="n"/>
      <c r="AT188" s="1564" t="n"/>
      <c r="AU188" s="1564" t="n"/>
      <c r="AV188" s="1564" t="n"/>
      <c r="AW188" s="1564" t="n"/>
      <c r="AX188" s="1564" t="n"/>
      <c r="AY188" s="1564" t="n"/>
      <c r="AZ188" s="7" t="inlineStr">
        <is>
          <t>On prend le MAX entre PFAb et PFAb1</t>
        </is>
      </c>
      <c r="BA188" s="1564" t="n"/>
      <c r="BB188" s="1564" t="n"/>
      <c r="BC188" s="1564" t="n"/>
      <c r="BD188" s="1564" t="n"/>
      <c r="BE188" s="1564" t="n"/>
      <c r="BF188" s="1564" t="n"/>
      <c r="BG188" s="1564" t="n"/>
      <c r="BH188" s="1564" t="n"/>
      <c r="BI188" s="1564" t="n"/>
      <c r="BJ188" s="1564" t="n"/>
      <c r="BK188" s="7" t="inlineStr">
        <is>
          <t>On prend la somme des SQ a et b</t>
        </is>
      </c>
      <c r="BS188" s="7" t="inlineStr">
        <is>
          <t>On prend alors le MAX</t>
        </is>
      </c>
    </row>
    <row r="189" ht="63" customFormat="1" customHeight="1" s="7">
      <c r="A189" s="1437">
        <f>BIBLE!E105</f>
        <v/>
      </c>
      <c r="B189" s="158">
        <f>BIBLE!F105</f>
        <v/>
      </c>
      <c r="C189" s="2003">
        <f>BIBLE!O105</f>
        <v/>
      </c>
      <c r="D189" s="125">
        <f>BIBLE!L105</f>
        <v/>
      </c>
      <c r="E189" s="2092" t="n"/>
      <c r="F189" s="2092" t="n"/>
      <c r="G189" s="2092" t="n"/>
      <c r="H189" s="2092" t="n"/>
      <c r="I189" s="2092" t="n"/>
      <c r="J189" s="2092" t="n">
        <v>1</v>
      </c>
      <c r="K189" s="2092" t="n"/>
      <c r="L189" s="2092" t="n"/>
      <c r="M189" s="2092" t="n"/>
      <c r="N189" s="2092" t="n"/>
      <c r="O189" s="2092" t="n"/>
      <c r="P189" s="25">
        <f>'TEST_pour application'!B175</f>
        <v/>
      </c>
      <c r="Q189" s="26">
        <f>P189*D189</f>
        <v/>
      </c>
      <c r="R189" s="2002">
        <f>IF(BIBLE!K105=0,"",BIBLE!K105)</f>
        <v/>
      </c>
      <c r="S189" s="2002" t="n"/>
      <c r="T189" s="2002" t="n"/>
      <c r="U189" s="2002" t="n"/>
      <c r="V189" s="6">
        <f>MAX(AQ189,SUM(BB190:BB191))</f>
        <v/>
      </c>
      <c r="X189" s="6">
        <f>MAX(BD189,SUM(BD190:BD191))</f>
        <v/>
      </c>
      <c r="Y189" s="6">
        <f>MAX(BE189,SUM(BE190:BE191))</f>
        <v/>
      </c>
      <c r="Z189" s="6">
        <f>MAX(BF189,SUM(BF190:BF191))</f>
        <v/>
      </c>
      <c r="AA189" s="6">
        <f>MAX(BG189,SUM(BG190:BG191))</f>
        <v/>
      </c>
      <c r="AB189" s="6">
        <f>MAX(BH189,SUM(BH190:BH191))</f>
        <v/>
      </c>
      <c r="AC189" s="6">
        <f>MAX(BI189,SUM(BI190:BI191))</f>
        <v/>
      </c>
      <c r="AE189" s="522" t="n"/>
      <c r="AF189" s="93">
        <f>IF($Q189=$V189,$Q189*BIBLE!R105,IF($Q192&gt;=$Q191,(Test_Bible!$Q192*BIBLE!R108+Test_Bible!$Q190*BIBLE!R106),(Test_Bible!$Q191*BIBLE!R107+Test_Bible!$Q190*BIBLE!R106)))</f>
        <v/>
      </c>
      <c r="AG189" s="93">
        <f>IF($Q189=$V189,$Q189*BIBLE!S105,IF($Q192&gt;=$Q191,(Test_Bible!$Q192*BIBLE!S108+Test_Bible!$Q190*BIBLE!S106),(Test_Bible!$Q191*BIBLE!S107+Test_Bible!$Q190*BIBLE!S106)))</f>
        <v/>
      </c>
      <c r="AH189" s="93">
        <f>IF($Q189=$V189,$Q189*BIBLE!T105,IF($Q192&gt;=$Q191,(Test_Bible!$Q192*BIBLE!T108+Test_Bible!$Q190*BIBLE!T106),(Test_Bible!$Q191*BIBLE!T107+Test_Bible!$Q190*BIBLE!T106)))</f>
        <v/>
      </c>
      <c r="AI189" s="775">
        <f>IF($Q189=$V189,$Q189*BIBLE!V105,IF($Q192&gt;=$Q191,(Test_Bible!$Q192*BIBLE!V108+Test_Bible!$Q190*BIBLE!V106),(Test_Bible!$Q191*BIBLE!V107+Test_Bible!$Q190*BIBLE!V106)))</f>
        <v/>
      </c>
      <c r="AJ189" s="775">
        <f>IF($Q189=$V189,$Q189*BIBLE!W105,IF($Q192&gt;=$Q191,(Test_Bible!$Q192*BIBLE!W108+Test_Bible!$Q190*BIBLE!W106),(Test_Bible!$Q191*BIBLE!W107+Test_Bible!$Q190*BIBLE!W106)))</f>
        <v/>
      </c>
      <c r="AK189" s="775">
        <f>IF($Q189=$V189,$Q189*BIBLE!X105,IF($Q192&gt;=$Q191,(Test_Bible!$Q192*BIBLE!X108+Test_Bible!$Q190*BIBLE!X106),(Test_Bible!$Q191*BIBLE!X107+Test_Bible!$Q190*BIBLE!X106)))</f>
        <v/>
      </c>
      <c r="AL189" s="775">
        <f>IF($Q189=$V189,$Q189*BIBLE!Y105,IF($Q192&gt;=$Q191,(Test_Bible!$Q192*BIBLE!Y108+Test_Bible!$Q190*BIBLE!Y106),(Test_Bible!$Q191*BIBLE!Y107+Test_Bible!$Q190*BIBLE!Y106)))</f>
        <v/>
      </c>
      <c r="AM189" s="775">
        <f>IF($Q189=$V189,$Q189*BIBLE!Z105,IF($Q192&gt;=$Q191,(Test_Bible!$Q192*BIBLE!Z108+Test_Bible!$Q190*BIBLE!Z106),(Test_Bible!$Q191*BIBLE!Z107+Test_Bible!$Q190*BIBLE!Z106)))</f>
        <v/>
      </c>
      <c r="AN189" s="775">
        <f>IF($Q189=$V189,$Q189*BIBLE!AA105,IF($Q192&gt;=$Q191,(Test_Bible!$Q192*BIBLE!AA108+Test_Bible!$Q190*BIBLE!AA106),(Test_Bible!$Q191*BIBLE!AA107+Test_Bible!$Q190*BIBLE!AA106)))</f>
        <v/>
      </c>
      <c r="AO189" s="775">
        <f>IF($Q189=$V189,$Q189*BIBLE!AB105,IF($Q192&gt;=$Q191,(Test_Bible!$Q192*BIBLE!AB108+Test_Bible!$Q190*BIBLE!AB106),(Test_Bible!$Q191*BIBLE!AB107+Test_Bible!$Q190*BIBLE!AB106)))</f>
        <v/>
      </c>
      <c r="AP189" s="775">
        <f>IF($Q189=$V189,$Q189*BIBLE!AC105,IF($Q192&gt;=$Q191,(Test_Bible!$Q192*BIBLE!AC108+Test_Bible!$Q190*BIBLE!AC106),(Test_Bible!$Q191*BIBLE!AC107+Test_Bible!$Q190*BIBLE!AC106)))</f>
        <v/>
      </c>
      <c r="AQ189" s="6">
        <f>Q189</f>
        <v/>
      </c>
      <c r="AR189" s="2002" t="n"/>
      <c r="AS189" s="6">
        <f>IF($Q189&gt;0,X$108*$D189,0)</f>
        <v/>
      </c>
      <c r="AT189" s="6">
        <f>IF($Q189&gt;0,Y$108*$D189,0)</f>
        <v/>
      </c>
      <c r="AU189" s="6">
        <f>IF($Q189&gt;0,Z$108*$D189,0)</f>
        <v/>
      </c>
      <c r="AV189" s="6">
        <f>IF($Q189&gt;0,AA$108*$D189,0)</f>
        <v/>
      </c>
      <c r="AW189" s="6">
        <f>IF($Q189&gt;0,AB$108*$D189,0)</f>
        <v/>
      </c>
      <c r="AX189" s="6">
        <f>IF($Q189&gt;0,AC$108*$D189,0)</f>
        <v/>
      </c>
      <c r="BB189" s="6">
        <f>IF(P189&gt;R189,IF(Q189&gt;Q190,Q189,Q190),0)</f>
        <v/>
      </c>
      <c r="BC189" s="2002" t="n"/>
      <c r="BD189" s="6">
        <f>IF(($P189&gt;$R189),IF($Q189&gt;$Q190,X$108*$D189,X$108*$D190),0)</f>
        <v/>
      </c>
      <c r="BE189" s="6">
        <f>IF(($P189&gt;$R189),IF($Q189&gt;$Q190,Y$108*$D189,Y$108*$D190),0)</f>
        <v/>
      </c>
      <c r="BF189" s="6">
        <f>IF(($P189&gt;$R189),IF($Q189&gt;$Q190,Z$108*$D189,Z$108*$D190),0)</f>
        <v/>
      </c>
      <c r="BG189" s="6">
        <f>IF(($P189&gt;$R189),IF($Q189&gt;$Q190,AA$108*$D189,AA$108*$D190),0)</f>
        <v/>
      </c>
      <c r="BH189" s="6">
        <f>IF(($P189&gt;$R189),IF($Q189&gt;$Q190,AB$108*$D189,AB$108*$D190),0)</f>
        <v/>
      </c>
      <c r="BI189" s="6">
        <f>IF(($P189&gt;$R189),IF($Q189&gt;$Q190,AC$108*$D189,AC$108*$D190),0)</f>
        <v/>
      </c>
      <c r="BK189" s="575">
        <f>BB189</f>
        <v/>
      </c>
      <c r="BM189" s="575">
        <f>BD189</f>
        <v/>
      </c>
      <c r="BN189" s="575">
        <f>BE189</f>
        <v/>
      </c>
      <c r="BO189" s="575">
        <f>BF189</f>
        <v/>
      </c>
      <c r="BP189" s="575">
        <f>BG189</f>
        <v/>
      </c>
      <c r="BQ189" s="575">
        <f>BH189</f>
        <v/>
      </c>
      <c r="BR189" s="575">
        <f>BI189</f>
        <v/>
      </c>
    </row>
    <row r="190" ht="63" customFormat="1" customHeight="1" s="7">
      <c r="A190" s="1437">
        <f>BIBLE!E106</f>
        <v/>
      </c>
      <c r="B190" s="159">
        <f>IF(P189&gt;=R189,BIBLE!F106,"")</f>
        <v/>
      </c>
      <c r="C190" s="2003">
        <f>BIBLE!O106</f>
        <v/>
      </c>
      <c r="D190" s="125">
        <f>BIBLE!L106</f>
        <v/>
      </c>
      <c r="E190" s="2092" t="n"/>
      <c r="F190" s="2092" t="n"/>
      <c r="G190" s="2092" t="n"/>
      <c r="H190" s="2092" t="n"/>
      <c r="I190" s="2092" t="n">
        <v>1</v>
      </c>
      <c r="J190" s="2092" t="n"/>
      <c r="K190" s="2092" t="n"/>
      <c r="L190" s="2092" t="n"/>
      <c r="M190" s="2092" t="n"/>
      <c r="N190" s="2092" t="n"/>
      <c r="O190" s="2092" t="n"/>
      <c r="P190" s="25">
        <f>'TEST_pour application'!B176</f>
        <v/>
      </c>
      <c r="Q190" s="26">
        <f>P190*D190</f>
        <v/>
      </c>
      <c r="R190" s="2002">
        <f>IF(BIBLE!K106=0,"",BIBLE!K106)</f>
        <v/>
      </c>
      <c r="S190" s="2002" t="n"/>
      <c r="T190" s="2002" t="n"/>
      <c r="U190" s="2002" t="n"/>
      <c r="V190" s="2002" t="n"/>
      <c r="AE190" s="522" t="n"/>
      <c r="AF190" s="93" t="n"/>
      <c r="AG190" s="93" t="n"/>
      <c r="AH190" s="93" t="n"/>
      <c r="AI190" s="775" t="n"/>
      <c r="AJ190" s="775" t="n"/>
      <c r="AK190" s="775" t="n"/>
      <c r="AL190" s="775" t="n"/>
      <c r="AM190" s="775" t="n"/>
      <c r="AN190" s="775" t="n"/>
      <c r="AO190" s="775" t="n"/>
      <c r="AP190" s="775" t="n"/>
      <c r="AQ190" s="6">
        <f>Q190</f>
        <v/>
      </c>
      <c r="AR190" s="2002" t="n"/>
      <c r="AS190" s="6">
        <f>IF($Q190&gt;0,X$108*$D190,0)</f>
        <v/>
      </c>
      <c r="AT190" s="6">
        <f>IF($Q190&gt;0,Y$108*$D190,0)</f>
        <v/>
      </c>
      <c r="AU190" s="6">
        <f>IF($Q190&gt;0,Z$108*$D190,0)</f>
        <v/>
      </c>
      <c r="AV190" s="6">
        <f>IF($Q190&gt;0,AA$108*$D190,0)</f>
        <v/>
      </c>
      <c r="AW190" s="6">
        <f>IF($Q190&gt;0,AB$108*$D190,0)</f>
        <v/>
      </c>
      <c r="AX190" s="6">
        <f>IF($Q190&gt;0,AC$108*$D190,0)</f>
        <v/>
      </c>
      <c r="AZ190" s="7" t="inlineStr">
        <is>
          <t>Niveau SQ1</t>
        </is>
      </c>
      <c r="BB190" s="6">
        <f>Q190</f>
        <v/>
      </c>
      <c r="BC190" s="2002" t="n"/>
      <c r="BD190" s="6">
        <f>IF($Q190&gt;0,X$108*$D190,0)</f>
        <v/>
      </c>
      <c r="BE190" s="6">
        <f>IF($Q190&gt;0,Y$108*$D190,0)</f>
        <v/>
      </c>
      <c r="BF190" s="6">
        <f>IF($Q190&gt;0,Z$108*$D190,0)</f>
        <v/>
      </c>
      <c r="BG190" s="6">
        <f>IF($Q190&gt;0,AA$108*$D190,0)</f>
        <v/>
      </c>
      <c r="BH190" s="6">
        <f>IF($Q190&gt;0,AB$108*$D190,0)</f>
        <v/>
      </c>
      <c r="BI190" s="6">
        <f>IF($Q190&gt;0,AC$108*$D190,0)</f>
        <v/>
      </c>
      <c r="BK190" s="575">
        <f>SUM(BB190:BB191)</f>
        <v/>
      </c>
      <c r="BM190" s="575">
        <f>SUM(BD190:BD191)</f>
        <v/>
      </c>
      <c r="BN190" s="575">
        <f>SUM(BE190:BE191)</f>
        <v/>
      </c>
      <c r="BO190" s="575">
        <f>SUM(BF190:BF191)</f>
        <v/>
      </c>
      <c r="BP190" s="575">
        <f>SUM(BG190:BG191)</f>
        <v/>
      </c>
      <c r="BQ190" s="575">
        <f>SUM(BH190:BH191)</f>
        <v/>
      </c>
      <c r="BR190" s="575">
        <f>SUM(BI190:BI191)</f>
        <v/>
      </c>
    </row>
    <row r="191" ht="63" customFormat="1" customHeight="1" s="7">
      <c r="A191" s="1437">
        <f>BIBLE!E107</f>
        <v/>
      </c>
      <c r="B191" s="159">
        <f>IF(P189&gt;=R189,BIBLE!F107,"")</f>
        <v/>
      </c>
      <c r="C191" s="2003">
        <f>BIBLE!O107</f>
        <v/>
      </c>
      <c r="D191" s="125">
        <f>BIBLE!L107</f>
        <v/>
      </c>
      <c r="E191" s="2092" t="n"/>
      <c r="F191" s="2092" t="n"/>
      <c r="G191" s="2092" t="n"/>
      <c r="H191" s="2092" t="n"/>
      <c r="I191" s="2092" t="n"/>
      <c r="J191" s="2092" t="n">
        <v>1</v>
      </c>
      <c r="K191" s="2092" t="n"/>
      <c r="L191" s="2092" t="n"/>
      <c r="M191" s="2092" t="n"/>
      <c r="N191" s="2092" t="n"/>
      <c r="O191" s="2092" t="n"/>
      <c r="P191" s="25">
        <f>'TEST_pour application'!B177</f>
        <v/>
      </c>
      <c r="Q191" s="26">
        <f>P191*D191</f>
        <v/>
      </c>
      <c r="R191" s="2002">
        <f>IF(BIBLE!K107=0,"",BIBLE!K107)</f>
        <v/>
      </c>
      <c r="S191" s="2002" t="n"/>
      <c r="T191" s="2002" t="n"/>
      <c r="U191" s="2002" t="n"/>
      <c r="V191" s="2002" t="n"/>
      <c r="AE191" s="522" t="n"/>
      <c r="AF191" s="93" t="n"/>
      <c r="AG191" s="93" t="n"/>
      <c r="AH191" s="93" t="n"/>
      <c r="AI191" s="775" t="n"/>
      <c r="AJ191" s="775" t="n"/>
      <c r="AK191" s="775" t="n"/>
      <c r="AL191" s="775" t="n"/>
      <c r="AM191" s="775" t="n"/>
      <c r="AN191" s="775" t="n"/>
      <c r="AO191" s="775" t="n"/>
      <c r="AP191" s="775" t="n"/>
      <c r="AQ191" s="6">
        <f>Q191</f>
        <v/>
      </c>
      <c r="AR191" s="2002" t="n"/>
      <c r="AS191" s="6">
        <f>IF($Q191&gt;0,X$108*$D191,0)</f>
        <v/>
      </c>
      <c r="AT191" s="6">
        <f>IF($Q191&gt;0,Y$108*$D191,0)</f>
        <v/>
      </c>
      <c r="AU191" s="6">
        <f>IF($Q191&gt;0,Z$108*$D191,0)</f>
        <v/>
      </c>
      <c r="AV191" s="6">
        <f>IF($Q191&gt;0,AA$108*$D191,0)</f>
        <v/>
      </c>
      <c r="AW191" s="6">
        <f>IF($Q191&gt;0,AB$108*$D191,0)</f>
        <v/>
      </c>
      <c r="AX191" s="6">
        <f>IF($Q191&gt;0,AC$108*$D191,0)</f>
        <v/>
      </c>
      <c r="AZ191" s="7" t="inlineStr">
        <is>
          <t>Niveau SQ1</t>
        </is>
      </c>
      <c r="BB191" s="6">
        <f>MAX(AQ191:AQ192)</f>
        <v/>
      </c>
      <c r="BC191" s="2002" t="n"/>
      <c r="BD191" s="6">
        <f>MAX(AS191:AS192)</f>
        <v/>
      </c>
      <c r="BE191" s="6">
        <f>MAX(AT191:AT192)</f>
        <v/>
      </c>
      <c r="BF191" s="6">
        <f>MAX(AU191:AU192)</f>
        <v/>
      </c>
      <c r="BG191" s="6">
        <f>MAX(AV191:AV192)</f>
        <v/>
      </c>
      <c r="BH191" s="6">
        <f>MAX(AW191:AW192)</f>
        <v/>
      </c>
      <c r="BI191" s="6">
        <f>MAX(AX191:AX192)</f>
        <v/>
      </c>
    </row>
    <row r="192" ht="63" customFormat="1" customHeight="1" s="7">
      <c r="A192" s="1437">
        <f>BIBLE!E108</f>
        <v/>
      </c>
      <c r="B192" s="159">
        <f>IF(P191&gt;=R191,BIBLE!F108,"")</f>
        <v/>
      </c>
      <c r="C192" s="2003">
        <f>BIBLE!O108</f>
        <v/>
      </c>
      <c r="D192" s="125">
        <f>BIBLE!L108</f>
        <v/>
      </c>
      <c r="E192" s="2092" t="n"/>
      <c r="F192" s="2092" t="n"/>
      <c r="G192" s="2092" t="n"/>
      <c r="H192" s="2092" t="n"/>
      <c r="I192" s="2092" t="n"/>
      <c r="J192" s="2092" t="n">
        <v>1</v>
      </c>
      <c r="K192" s="2092" t="n"/>
      <c r="L192" s="2092" t="n"/>
      <c r="M192" s="2092" t="n"/>
      <c r="N192" s="2092" t="n"/>
      <c r="O192" s="2092" t="n"/>
      <c r="P192" s="25">
        <f>'TEST_pour application'!B178</f>
        <v/>
      </c>
      <c r="Q192" s="26">
        <f>P192*D192</f>
        <v/>
      </c>
      <c r="R192" s="2002">
        <f>IF(BIBLE!K108=0,"",BIBLE!K108)</f>
        <v/>
      </c>
      <c r="S192" s="301" t="n"/>
      <c r="T192" s="301" t="n"/>
      <c r="U192" s="301" t="n"/>
      <c r="V192" s="2002" t="n"/>
      <c r="AE192" s="522" t="n"/>
      <c r="AF192" s="93" t="n"/>
      <c r="AG192" s="93" t="n"/>
      <c r="AH192" s="93" t="n"/>
      <c r="AI192" s="775" t="n"/>
      <c r="AJ192" s="775" t="n"/>
      <c r="AK192" s="775" t="n"/>
      <c r="AL192" s="775" t="n"/>
      <c r="AM192" s="775" t="n"/>
      <c r="AN192" s="775" t="n"/>
      <c r="AO192" s="775" t="n"/>
      <c r="AP192" s="775" t="n"/>
      <c r="AQ192" s="6">
        <f>Q192</f>
        <v/>
      </c>
      <c r="AR192" s="2002" t="n"/>
      <c r="AS192" s="6">
        <f>IF($Q192&gt;0,X$108*$D192,0)</f>
        <v/>
      </c>
      <c r="AT192" s="6">
        <f>IF($Q192&gt;0,Y$108*$D192,0)</f>
        <v/>
      </c>
      <c r="AU192" s="6">
        <f>IF($Q192&gt;0,Z$108*$D192,0)</f>
        <v/>
      </c>
      <c r="AV192" s="6">
        <f>IF($Q192&gt;0,AA$108*$D192,0)</f>
        <v/>
      </c>
      <c r="AW192" s="6">
        <f>IF($Q192&gt;0,AB$108*$D192,0)</f>
        <v/>
      </c>
      <c r="AX192" s="6">
        <f>IF($Q192&gt;0,AC$108*$D192,0)</f>
        <v/>
      </c>
      <c r="BB192" s="6" t="n"/>
      <c r="BC192" s="2073" t="n"/>
      <c r="BD192" s="6" t="n"/>
      <c r="BE192" s="6" t="n"/>
      <c r="BF192" s="6" t="n"/>
      <c r="BG192" s="6" t="n"/>
      <c r="BH192" s="6" t="n"/>
      <c r="BI192" s="6" t="n"/>
    </row>
    <row r="193" ht="63" customFormat="1" customHeight="1" s="7">
      <c r="A193" s="1437">
        <f>BIBLE!E109</f>
        <v/>
      </c>
      <c r="B193" s="158">
        <f>BIBLE!F109</f>
        <v/>
      </c>
      <c r="C193" s="2003">
        <f>BIBLE!O109</f>
        <v/>
      </c>
      <c r="D193" s="125">
        <f>BIBLE!L109</f>
        <v/>
      </c>
      <c r="E193" s="2092" t="n"/>
      <c r="F193" s="2092" t="n"/>
      <c r="G193" s="2092" t="n">
        <v>1</v>
      </c>
      <c r="H193" s="2092" t="n"/>
      <c r="I193" s="2092" t="n"/>
      <c r="J193" s="2092" t="n"/>
      <c r="K193" s="2092" t="n"/>
      <c r="L193" s="2092" t="n"/>
      <c r="M193" s="2092" t="n"/>
      <c r="N193" s="2092" t="n"/>
      <c r="O193" s="2092" t="n"/>
      <c r="P193" s="25">
        <f>'TEST_pour application'!B179</f>
        <v/>
      </c>
      <c r="Q193" s="26">
        <f>P193*D193</f>
        <v/>
      </c>
      <c r="R193" s="2002">
        <f>IF(BIBLE!K109=0,"",BIBLE!K109)</f>
        <v/>
      </c>
      <c r="S193" s="500" t="n"/>
      <c r="T193" s="500" t="n"/>
      <c r="U193" s="500" t="n"/>
      <c r="V193" s="6">
        <f>Q193</f>
        <v/>
      </c>
      <c r="W193" s="500" t="n"/>
      <c r="X193" s="6">
        <f>IF($Q193&gt;0,X$108*$D193,0)</f>
        <v/>
      </c>
      <c r="Y193" s="6">
        <f>IF($Q193&gt;0,Y$108*$D193,0)</f>
        <v/>
      </c>
      <c r="Z193" s="6">
        <f>IF($Q193&gt;0,Z$108*$D193,0)</f>
        <v/>
      </c>
      <c r="AA193" s="6">
        <f>IF($Q193&gt;0,AA$108*$D193,0)</f>
        <v/>
      </c>
      <c r="AB193" s="6">
        <f>IF($Q193&gt;0,AB$108*$D193,0)</f>
        <v/>
      </c>
      <c r="AC193" s="6">
        <f>IF($Q193&gt;0,AC$108*$D193,0)</f>
        <v/>
      </c>
      <c r="AE193" s="522" t="n"/>
      <c r="AF193" s="24">
        <f>$V193*BIBLE!R109</f>
        <v/>
      </c>
      <c r="AG193" s="24">
        <f>$V193*BIBLE!S109</f>
        <v/>
      </c>
      <c r="AH193" s="24">
        <f>$V193*BIBLE!T109</f>
        <v/>
      </c>
      <c r="AI193" s="1539">
        <f>$V193*BIBLE!V109</f>
        <v/>
      </c>
      <c r="AJ193" s="1539">
        <f>$V193*BIBLE!W109</f>
        <v/>
      </c>
      <c r="AK193" s="1539">
        <f>$V193*BIBLE!X109</f>
        <v/>
      </c>
      <c r="AL193" s="1539">
        <f>$V193*BIBLE!Y109</f>
        <v/>
      </c>
      <c r="AM193" s="1539">
        <f>$V193*BIBLE!Z109</f>
        <v/>
      </c>
      <c r="AN193" s="1539">
        <f>$V193*BIBLE!AA109</f>
        <v/>
      </c>
      <c r="AO193" s="1539">
        <f>$V193*BIBLE!AB109</f>
        <v/>
      </c>
      <c r="AP193" s="1539">
        <f>$V193*BIBLE!AC109</f>
        <v/>
      </c>
    </row>
    <row r="194" ht="63" customFormat="1" customHeight="1" s="7">
      <c r="A194" s="1437">
        <f>BIBLE!E110</f>
        <v/>
      </c>
      <c r="B194" s="158">
        <f>BIBLE!F110</f>
        <v/>
      </c>
      <c r="C194" s="2003">
        <f>BIBLE!O110</f>
        <v/>
      </c>
      <c r="D194" s="294">
        <f>IF(P194&gt;=BIBLE!K110,IF(OR(Test_Bible!E28=1,Test_Bible!E29=1,E40&lt;8),BIBLE!L110,BIBLE!M110),BIBLE!L110)</f>
        <v/>
      </c>
      <c r="E194" s="2092" t="n"/>
      <c r="F194" s="2092" t="n"/>
      <c r="G194" s="2092" t="n"/>
      <c r="H194" s="2092" t="n"/>
      <c r="I194" s="2092" t="n"/>
      <c r="J194" s="2092" t="n">
        <v>1</v>
      </c>
      <c r="K194" s="2092" t="n"/>
      <c r="L194" s="2092" t="n"/>
      <c r="M194" s="2092" t="n"/>
      <c r="N194" s="2092" t="n"/>
      <c r="O194" s="2092" t="n"/>
      <c r="P194" s="25">
        <f>'TEST_pour application'!B180</f>
        <v/>
      </c>
      <c r="Q194" s="26">
        <f>P194*D194</f>
        <v/>
      </c>
      <c r="R194" s="2002">
        <f>IF(BIBLE!K110=0,"",BIBLE!K110)</f>
        <v/>
      </c>
      <c r="S194" s="301" t="n"/>
      <c r="T194" s="301" t="n"/>
      <c r="U194" s="301" t="n"/>
      <c r="V194" s="6">
        <f>Q194</f>
        <v/>
      </c>
      <c r="W194" s="301" t="n"/>
      <c r="X194" s="6">
        <f>IF($Q194&gt;0,X$108*$D194,0)</f>
        <v/>
      </c>
      <c r="Y194" s="6">
        <f>IF($Q194&gt;0,Y$108*$D194,0)</f>
        <v/>
      </c>
      <c r="Z194" s="6">
        <f>IF($Q194&gt;0,Z$108*$D194,0)</f>
        <v/>
      </c>
      <c r="AA194" s="6">
        <f>IF($Q194&gt;0,AA$108*$D194,0)</f>
        <v/>
      </c>
      <c r="AB194" s="6">
        <f>IF($Q194&gt;0,AB$108*$D194,0)</f>
        <v/>
      </c>
      <c r="AC194" s="6">
        <f>IF($Q194&gt;0,AC$108*$D194,0)</f>
        <v/>
      </c>
      <c r="AE194" s="522" t="n"/>
      <c r="AF194" s="24">
        <f>$V194*BIBLE!R110</f>
        <v/>
      </c>
      <c r="AG194" s="24">
        <f>$V194*BIBLE!S110</f>
        <v/>
      </c>
      <c r="AH194" s="24">
        <f>$V194*BIBLE!T110</f>
        <v/>
      </c>
      <c r="AI194" s="1539">
        <f>$V194*BIBLE!V110</f>
        <v/>
      </c>
      <c r="AJ194" s="1539">
        <f>$V194*BIBLE!W110</f>
        <v/>
      </c>
      <c r="AK194" s="1539">
        <f>$V194*BIBLE!X110</f>
        <v/>
      </c>
      <c r="AL194" s="1539">
        <f>$V194*BIBLE!Y110</f>
        <v/>
      </c>
      <c r="AM194" s="1539">
        <f>$V194*BIBLE!Z110</f>
        <v/>
      </c>
      <c r="AN194" s="1539">
        <f>$V194*BIBLE!AA110</f>
        <v/>
      </c>
      <c r="AO194" s="1539">
        <f>$V194*BIBLE!AB110</f>
        <v/>
      </c>
      <c r="AP194" s="1539">
        <f>$V194*BIBLE!AC110</f>
        <v/>
      </c>
    </row>
    <row r="195" ht="63" customFormat="1" customHeight="1" s="7">
      <c r="A195" s="1437">
        <f>BIBLE!E111</f>
        <v/>
      </c>
      <c r="B195" s="158">
        <f>BIBLE!F111</f>
        <v/>
      </c>
      <c r="C195" s="2003">
        <f>BIBLE!O111</f>
        <v/>
      </c>
      <c r="D195" s="125">
        <f>BIBLE!L111</f>
        <v/>
      </c>
      <c r="E195" s="2092" t="n"/>
      <c r="F195" s="2092" t="n"/>
      <c r="G195" s="2092" t="n"/>
      <c r="H195" s="2092" t="n"/>
      <c r="I195" s="2092" t="n"/>
      <c r="J195" s="2092" t="n">
        <v>1</v>
      </c>
      <c r="K195" s="2092" t="n"/>
      <c r="L195" s="2092" t="n"/>
      <c r="M195" s="2092" t="n"/>
      <c r="N195" s="2092" t="n"/>
      <c r="O195" s="2092" t="n"/>
      <c r="P195" s="25">
        <f>'TEST_pour application'!B181</f>
        <v/>
      </c>
      <c r="Q195" s="26">
        <f>P195*D195</f>
        <v/>
      </c>
      <c r="R195" s="2002">
        <f>IF(BIBLE!K111=0,"",BIBLE!K111)</f>
        <v/>
      </c>
      <c r="S195" s="301" t="n"/>
      <c r="T195" s="301" t="n"/>
      <c r="U195" s="301" t="n"/>
      <c r="V195" s="6">
        <f>IF(P195&gt;=R195,IF(Q195&gt;Q196,Q195,Q196),Q195)</f>
        <v/>
      </c>
      <c r="W195" s="2002" t="n"/>
      <c r="X195" s="6">
        <f>IF(($P195&gt;=$R195),IF($Q195&gt;$Q196,X$108*$D195,X$108*$D196),X$108*$D195)</f>
        <v/>
      </c>
      <c r="Y195" s="6">
        <f>IF(($P195&gt;=$R195),IF($Q195&gt;$Q196,Y$108*$D195,Y$108*$D196),Y$108*$D195)</f>
        <v/>
      </c>
      <c r="Z195" s="6">
        <f>IF(($P195&gt;=$R195),IF($Q195&gt;$Q196,Z$108*$D195,Z$108*$D196),Z$108*$D195)</f>
        <v/>
      </c>
      <c r="AA195" s="6">
        <f>IF(($P195&gt;=$R195),IF($Q195&gt;$Q196,AA$108*$D195,AA$108*$D196),AA$108*$D195)</f>
        <v/>
      </c>
      <c r="AB195" s="6">
        <f>IF(($P195&gt;=$R195),IF($Q195&gt;$Q196,AB$108*$D195,AB$108*$D196),AB$108*$D195)</f>
        <v/>
      </c>
      <c r="AC195" s="6">
        <f>IF(($P195&gt;=$R195),IF($Q195&gt;$Q196,AC$108*$D195,AC$108*$D196),AC$108*$D195)</f>
        <v/>
      </c>
      <c r="AE195" s="522" t="n"/>
      <c r="AF195" s="24">
        <f>IF($Q195=$V195,$Q195*BIBLE!R111,$Q196*BIBLE!R112)</f>
        <v/>
      </c>
      <c r="AG195" s="24">
        <f>IF($Q195=$V195,$Q195*BIBLE!S111,$Q196*BIBLE!S112)</f>
        <v/>
      </c>
      <c r="AH195" s="24">
        <f>IF($Q195=$V195,$Q195*BIBLE!T111,$Q196*BIBLE!T112)</f>
        <v/>
      </c>
      <c r="AI195" s="1539">
        <f>IF($Q195=$V195,$Q195*BIBLE!V111,$Q196*BIBLE!V112)</f>
        <v/>
      </c>
      <c r="AJ195" s="1539">
        <f>IF($Q195=$V195,$Q195*BIBLE!W111,$Q196*BIBLE!W112)</f>
        <v/>
      </c>
      <c r="AK195" s="1539">
        <f>IF($Q195=$V195,$Q195*BIBLE!X111,$Q196*BIBLE!X112)</f>
        <v/>
      </c>
      <c r="AL195" s="1539">
        <f>IF($Q195=$V195,$Q195*BIBLE!Y111,$Q196*BIBLE!Y112)</f>
        <v/>
      </c>
      <c r="AM195" s="1539">
        <f>IF($Q195=$V195,$Q195*BIBLE!Z111,$Q196*BIBLE!Z112)</f>
        <v/>
      </c>
      <c r="AN195" s="1539">
        <f>IF($Q195=$V195,$Q195*BIBLE!AA111,$Q196*BIBLE!AA112)</f>
        <v/>
      </c>
      <c r="AO195" s="1539">
        <f>IF($Q195=$V195,$Q195*BIBLE!AB111,$Q196*BIBLE!AB112)</f>
        <v/>
      </c>
      <c r="AP195" s="1539">
        <f>IF($Q195=$V195,$Q195*BIBLE!AC111,$Q196*BIBLE!AC112)</f>
        <v/>
      </c>
    </row>
    <row r="196" ht="63" customFormat="1" customHeight="1" s="7">
      <c r="A196" s="1437">
        <f>BIBLE!E112</f>
        <v/>
      </c>
      <c r="B196" s="159">
        <f>IF(P195&gt;=R195,BIBLE!F112,"")</f>
        <v/>
      </c>
      <c r="C196" s="2003">
        <f>BIBLE!O112</f>
        <v/>
      </c>
      <c r="D196" s="125">
        <f>BIBLE!L112</f>
        <v/>
      </c>
      <c r="E196" s="2092" t="n"/>
      <c r="F196" s="2092" t="n"/>
      <c r="G196" s="2092" t="n"/>
      <c r="H196" s="2092" t="n"/>
      <c r="I196" s="2092" t="n">
        <v>1</v>
      </c>
      <c r="J196" s="2092" t="n"/>
      <c r="K196" s="2092" t="n"/>
      <c r="L196" s="2092" t="n"/>
      <c r="M196" s="2092" t="n"/>
      <c r="N196" s="2092" t="n"/>
      <c r="O196" s="2092" t="n"/>
      <c r="P196" s="25">
        <f>'TEST_pour application'!B182</f>
        <v/>
      </c>
      <c r="Q196" s="26">
        <f>P196*D196</f>
        <v/>
      </c>
      <c r="R196" s="2002">
        <f>IF(BIBLE!K112=0,"",BIBLE!K112)</f>
        <v/>
      </c>
      <c r="S196" s="301" t="n"/>
      <c r="T196" s="301" t="n"/>
      <c r="U196" s="301" t="n"/>
      <c r="V196" s="6" t="n"/>
      <c r="W196" s="301" t="n"/>
      <c r="X196" s="6" t="n"/>
      <c r="Y196" s="6" t="n"/>
      <c r="Z196" s="6" t="n"/>
      <c r="AA196" s="6" t="n"/>
      <c r="AB196" s="6" t="n"/>
      <c r="AC196" s="6" t="n"/>
      <c r="AE196" s="522" t="n"/>
      <c r="AF196" s="93" t="n"/>
      <c r="AG196" s="93" t="n"/>
      <c r="AH196" s="93" t="n"/>
      <c r="AI196" s="775" t="n"/>
      <c r="AJ196" s="775" t="n"/>
      <c r="AK196" s="775" t="n"/>
      <c r="AL196" s="775" t="n"/>
      <c r="AM196" s="775" t="n"/>
      <c r="AN196" s="775" t="n"/>
      <c r="AO196" s="775" t="n"/>
      <c r="AP196" s="775" t="n"/>
      <c r="AZ196" s="17" t="inlineStr">
        <is>
          <t>Plusieurs SQ au même niveau, les additionner</t>
        </is>
      </c>
    </row>
    <row r="197" ht="63" customFormat="1" customHeight="1" s="7">
      <c r="A197" s="1437">
        <f>BIBLE!E113</f>
        <v/>
      </c>
      <c r="B197" s="158">
        <f>BIBLE!F113</f>
        <v/>
      </c>
      <c r="C197" s="2003">
        <f>BIBLE!O113</f>
        <v/>
      </c>
      <c r="D197" s="125">
        <f>BIBLE!L113</f>
        <v/>
      </c>
      <c r="E197" s="2092" t="n"/>
      <c r="F197" s="2092" t="n"/>
      <c r="G197" s="2092" t="n"/>
      <c r="H197" s="2092" t="n"/>
      <c r="I197" s="2092" t="n"/>
      <c r="J197" s="2092" t="n"/>
      <c r="K197" s="2092" t="n">
        <v>1</v>
      </c>
      <c r="L197" s="2092" t="n"/>
      <c r="M197" s="2092" t="n"/>
      <c r="N197" s="2092" t="n"/>
      <c r="O197" s="2092" t="n"/>
      <c r="P197" s="25">
        <f>'TEST_pour application'!B183</f>
        <v/>
      </c>
      <c r="Q197" s="26">
        <f>P197*D197</f>
        <v/>
      </c>
      <c r="R197" s="2002">
        <f>IF(BIBLE!K113=0,"",BIBLE!K113)</f>
        <v/>
      </c>
      <c r="S197" s="2073" t="n"/>
      <c r="T197" s="2073" t="n"/>
      <c r="U197" s="2073" t="n"/>
      <c r="V197" s="6">
        <f>MAX(AQ197:AQ200)</f>
        <v/>
      </c>
      <c r="W197" s="2002" t="n"/>
      <c r="X197" s="6">
        <f>MAX(AS197:AS200)</f>
        <v/>
      </c>
      <c r="Y197" s="6">
        <f>MAX(AT197:AT200)</f>
        <v/>
      </c>
      <c r="Z197" s="6">
        <f>MAX(AU197:AU200)</f>
        <v/>
      </c>
      <c r="AA197" s="6">
        <f>MAX(AV197:AV200)</f>
        <v/>
      </c>
      <c r="AB197" s="6">
        <f>MAX(AW197:AW200)</f>
        <v/>
      </c>
      <c r="AC197" s="6">
        <f>MAX(AX197:AX200)</f>
        <v/>
      </c>
      <c r="AD197" s="2002" t="n"/>
      <c r="AE197" s="521" t="n"/>
      <c r="AF197" s="24">
        <f>IF($Q197=$V197,$Q197*BIBLE!R113,(Test_Bible!$Q198*BIBLE!R114+Test_Bible!$Q200*BIBLE!R116+$Q199*BIBLE!R115))</f>
        <v/>
      </c>
      <c r="AG197" s="24">
        <f>IF($Q197=$V197,$Q197*BIBLE!S113,(Test_Bible!$Q198*BIBLE!S114+Test_Bible!$Q200*BIBLE!S116+$Q199*BIBLE!S115))</f>
        <v/>
      </c>
      <c r="AH197" s="24">
        <f>IF($Q197=$V197,$Q197*BIBLE!T113,(Test_Bible!$Q198*BIBLE!T114+Test_Bible!$Q200*BIBLE!T116+$Q199*BIBLE!T115))</f>
        <v/>
      </c>
      <c r="AI197" s="1539">
        <f>IF($Q197=$V197,$Q197*BIBLE!V113,(Test_Bible!$Q198*BIBLE!V114+Test_Bible!$Q200*BIBLE!V116+$Q199*BIBLE!V115))</f>
        <v/>
      </c>
      <c r="AJ197" s="1539">
        <f>IF($Q197=$V197,$Q197*BIBLE!W113,(Test_Bible!$Q198*BIBLE!W114+Test_Bible!$Q200*BIBLE!W116+$Q199*BIBLE!W115))</f>
        <v/>
      </c>
      <c r="AK197" s="1539">
        <f>IF($Q197=$V197,$Q197*BIBLE!X113,(Test_Bible!$Q198*BIBLE!X114+Test_Bible!$Q200*BIBLE!X116+$Q199*BIBLE!X115))</f>
        <v/>
      </c>
      <c r="AL197" s="1539">
        <f>IF($Q197=$V197,$Q197*BIBLE!Y113,(Test_Bible!$Q198*BIBLE!Y114+Test_Bible!$Q200*BIBLE!Y116+$Q199*BIBLE!Y115))</f>
        <v/>
      </c>
      <c r="AM197" s="1539">
        <f>IF($Q197=$V197,$Q197*BIBLE!Z113,(Test_Bible!$Q198*BIBLE!Z114+Test_Bible!$Q200*BIBLE!Z116+$Q199*BIBLE!Z115))</f>
        <v/>
      </c>
      <c r="AN197" s="1539">
        <f>IF($Q197=$V197,$Q197*BIBLE!AA113,(Test_Bible!$Q198*BIBLE!AA114+Test_Bible!$Q200*BIBLE!AA116+$Q199*BIBLE!AA115))</f>
        <v/>
      </c>
      <c r="AO197" s="1539">
        <f>IF($Q197=$V197,$Q197*BIBLE!AB113,(Test_Bible!$Q198*BIBLE!AB114+Test_Bible!$Q200*BIBLE!AB116+$Q199*BIBLE!AB115))</f>
        <v/>
      </c>
      <c r="AP197" s="1539">
        <f>IF($Q197=$V197,$Q197*BIBLE!AC113,(Test_Bible!$Q198*BIBLE!AC114+Test_Bible!$Q200*BIBLE!AC116+$Q199*BIBLE!AC115))</f>
        <v/>
      </c>
      <c r="AQ197" s="6">
        <f>Q197</f>
        <v/>
      </c>
      <c r="AR197" s="2073" t="n"/>
      <c r="AS197" s="6">
        <f>IF($Q197&gt;0,X$108*$D197,0)</f>
        <v/>
      </c>
      <c r="AT197" s="6">
        <f>IF($Q197&gt;0,Y$108*$D197,0)</f>
        <v/>
      </c>
      <c r="AU197" s="6">
        <f>IF($Q197&gt;0,Z$108*$D197,0)</f>
        <v/>
      </c>
      <c r="AV197" s="6">
        <f>IF($Q197&gt;0,AA$108*$D197,0)</f>
        <v/>
      </c>
      <c r="AW197" s="6">
        <f>IF($Q197&gt;0,AB$108*$D197,0)</f>
        <v/>
      </c>
      <c r="AX197" s="6">
        <f>IF($Q197&gt;0,AC$108*$D197,0)</f>
        <v/>
      </c>
      <c r="AY197" s="2002" t="n"/>
      <c r="AZ197" s="6">
        <f>AQ197</f>
        <v/>
      </c>
      <c r="BA197" s="2002" t="n"/>
      <c r="BB197" s="6">
        <f>AS197</f>
        <v/>
      </c>
      <c r="BC197" s="6">
        <f>AT197</f>
        <v/>
      </c>
      <c r="BD197" s="6">
        <f>AU197</f>
        <v/>
      </c>
      <c r="BE197" s="6">
        <f>AV197</f>
        <v/>
      </c>
      <c r="BF197" s="6">
        <f>AW197</f>
        <v/>
      </c>
      <c r="BG197" s="6">
        <f>AX197</f>
        <v/>
      </c>
      <c r="BH197" s="6" t="n"/>
      <c r="BI197" s="6" t="n"/>
    </row>
    <row r="198" ht="63" customFormat="1" customHeight="1" s="7">
      <c r="A198" s="1437">
        <f>BIBLE!E114</f>
        <v/>
      </c>
      <c r="B198" s="159">
        <f>IF(P197&gt;=R197,BIBLE!F114,"")</f>
        <v/>
      </c>
      <c r="C198" s="2003">
        <f>BIBLE!O114</f>
        <v/>
      </c>
      <c r="D198" s="125">
        <f>BIBLE!L114</f>
        <v/>
      </c>
      <c r="E198" s="2092" t="n"/>
      <c r="F198" s="2092" t="n"/>
      <c r="G198" s="2092" t="n"/>
      <c r="H198" s="2092" t="n"/>
      <c r="I198" s="2092" t="n"/>
      <c r="J198" s="2092" t="n">
        <v>1</v>
      </c>
      <c r="K198" s="2092" t="n"/>
      <c r="L198" s="2092" t="n"/>
      <c r="M198" s="2092" t="n"/>
      <c r="N198" s="2092" t="n"/>
      <c r="O198" s="2092" t="n"/>
      <c r="P198" s="25">
        <f>'TEST_pour application'!B184</f>
        <v/>
      </c>
      <c r="Q198" s="26">
        <f>P198*D198</f>
        <v/>
      </c>
      <c r="R198" s="2002">
        <f>IF(BIBLE!K114=0,"",BIBLE!K114)</f>
        <v/>
      </c>
      <c r="S198" s="2073" t="n"/>
      <c r="T198" s="2073" t="n"/>
      <c r="U198" s="2073" t="n"/>
      <c r="V198" s="2002" t="n"/>
      <c r="W198" s="2002" t="n"/>
      <c r="X198" s="2002" t="n"/>
      <c r="Y198" s="2002" t="n"/>
      <c r="Z198" s="2002" t="n"/>
      <c r="AA198" s="2002" t="n"/>
      <c r="AB198" s="2002" t="n"/>
      <c r="AC198" s="2002" t="n"/>
      <c r="AD198" s="2002" t="n"/>
      <c r="AE198" s="521" t="n"/>
      <c r="AF198" s="24" t="n"/>
      <c r="AG198" s="24" t="n"/>
      <c r="AH198" s="24" t="n"/>
      <c r="AI198" s="1539" t="n"/>
      <c r="AJ198" s="1539" t="n"/>
      <c r="AK198" s="1539" t="n"/>
      <c r="AL198" s="1539" t="n"/>
      <c r="AM198" s="1539" t="n"/>
      <c r="AN198" s="1539" t="n"/>
      <c r="AO198" s="1539" t="n"/>
      <c r="AP198" s="1539" t="n"/>
      <c r="AQ198" s="6">
        <f>Q198</f>
        <v/>
      </c>
      <c r="AR198" s="2073" t="n"/>
      <c r="AS198" s="6">
        <f>IF($Q198&gt;0,X$108*$D198,0)</f>
        <v/>
      </c>
      <c r="AT198" s="6">
        <f>IF($Q198&gt;0,Y$108*$D198,0)</f>
        <v/>
      </c>
      <c r="AU198" s="6">
        <f>IF($Q198&gt;0,Z$108*$D198,0)</f>
        <v/>
      </c>
      <c r="AV198" s="6">
        <f>IF($Q198&gt;0,AA$108*$D198,0)</f>
        <v/>
      </c>
      <c r="AW198" s="6">
        <f>IF($Q198&gt;0,AB$108*$D198,0)</f>
        <v/>
      </c>
      <c r="AX198" s="6">
        <f>IF($Q198&gt;0,AC$108*$D198,0)</f>
        <v/>
      </c>
      <c r="AY198" s="2002" t="n"/>
      <c r="AZ198" s="6">
        <f>SUM(AQ198:AQ199)</f>
        <v/>
      </c>
      <c r="BA198" s="2002" t="n"/>
      <c r="BB198" s="6">
        <f>SUM(AS198:AS199)</f>
        <v/>
      </c>
      <c r="BC198" s="6">
        <f>SUM(AT198:AT199)</f>
        <v/>
      </c>
      <c r="BD198" s="6">
        <f>SUM(AU198:AU199)</f>
        <v/>
      </c>
      <c r="BE198" s="6">
        <f>SUM(AV198:AV199)</f>
        <v/>
      </c>
      <c r="BF198" s="6">
        <f>SUM(AW198:AW199)</f>
        <v/>
      </c>
      <c r="BG198" s="6">
        <f>SUM(AX198:AX199)</f>
        <v/>
      </c>
      <c r="BH198" s="6" t="n"/>
      <c r="BI198" s="6" t="n"/>
    </row>
    <row r="199" ht="51" customFormat="1" customHeight="1" s="7">
      <c r="A199" s="1437">
        <f>BIBLE!E115</f>
        <v/>
      </c>
      <c r="B199" s="1452">
        <f>IF(P198&gt;=R198,BIBLE!F115,"")</f>
        <v/>
      </c>
      <c r="C199" s="2003">
        <f>BIBLE!O115</f>
        <v/>
      </c>
      <c r="D199" s="125">
        <f>BIBLE!L115</f>
        <v/>
      </c>
      <c r="E199" s="2092" t="n"/>
      <c r="F199" s="2092" t="n"/>
      <c r="G199" s="2092" t="n"/>
      <c r="H199" s="2092" t="n">
        <v>1</v>
      </c>
      <c r="I199" s="2092" t="n"/>
      <c r="J199" s="2092" t="n"/>
      <c r="K199" s="2092" t="n"/>
      <c r="L199" s="2092" t="n"/>
      <c r="M199" s="2092" t="n"/>
      <c r="N199" s="2092" t="n"/>
      <c r="O199" s="2092" t="n"/>
      <c r="P199" s="25">
        <f>'TEST_pour application'!B185</f>
        <v/>
      </c>
      <c r="Q199" s="26">
        <f>P199*D199</f>
        <v/>
      </c>
      <c r="R199" s="2002">
        <f>IF(BIBLE!K115=0,"",BIBLE!K115)</f>
        <v/>
      </c>
      <c r="S199" s="2002" t="n"/>
      <c r="T199" s="2002" t="n"/>
      <c r="U199" s="2002" t="n"/>
      <c r="V199" s="2002" t="n"/>
      <c r="W199" s="2002" t="n"/>
      <c r="X199" s="2002" t="n"/>
      <c r="Y199" s="2002" t="n"/>
      <c r="Z199" s="2002" t="n"/>
      <c r="AA199" s="2002" t="n"/>
      <c r="AB199" s="2002" t="n"/>
      <c r="AC199" s="2002" t="n"/>
      <c r="AD199" s="2002" t="n"/>
      <c r="AE199" s="494">
        <f>Q199</f>
        <v/>
      </c>
      <c r="AF199" s="26" t="n"/>
      <c r="AG199" s="26" t="n"/>
      <c r="AH199" s="26" t="n"/>
      <c r="AI199" s="1541" t="n"/>
      <c r="AJ199" s="1541" t="n"/>
      <c r="AK199" s="1541" t="n"/>
      <c r="AL199" s="1541" t="n"/>
      <c r="AM199" s="1541" t="n"/>
      <c r="AN199" s="1541" t="n"/>
      <c r="AO199" s="1541" t="n"/>
      <c r="AP199" s="1541" t="n"/>
      <c r="AQ199" s="6">
        <f>Q199</f>
        <v/>
      </c>
      <c r="AR199" s="2002" t="n"/>
      <c r="AS199" s="6">
        <f>IF($Q199&gt;0,X$108*$D199,0)</f>
        <v/>
      </c>
      <c r="AT199" s="6">
        <f>IF($Q199&gt;0,Y$108*$D199,0)</f>
        <v/>
      </c>
      <c r="AU199" s="6">
        <f>IF($Q199&gt;0,Z$108*$D199,0)</f>
        <v/>
      </c>
      <c r="AV199" s="6">
        <f>IF($Q199&gt;0,AA$108*$D199,0)</f>
        <v/>
      </c>
      <c r="AW199" s="6">
        <f>IF($Q199&gt;0,AB$108*$D199,0)</f>
        <v/>
      </c>
      <c r="AX199" s="6">
        <f>IF($Q199&gt;0,AC$108*$D199,0)</f>
        <v/>
      </c>
      <c r="AY199" s="2002" t="n"/>
      <c r="AZ199" s="2002" t="n"/>
      <c r="BA199" s="2002" t="n"/>
      <c r="BB199" s="2002" t="n"/>
      <c r="BC199" s="2002" t="n"/>
      <c r="BD199" s="2002" t="n"/>
      <c r="BE199" s="2002" t="n"/>
    </row>
    <row r="200" ht="51" customFormat="1" customHeight="1" s="7">
      <c r="A200" s="1437">
        <f>BIBLE!E116</f>
        <v/>
      </c>
      <c r="B200" s="1452">
        <f>IF(P199&gt;=R199,BIBLE!F116,"")</f>
        <v/>
      </c>
      <c r="C200" s="2003">
        <f>BIBLE!O116</f>
        <v/>
      </c>
      <c r="D200" s="125">
        <f>BIBLE!L116</f>
        <v/>
      </c>
      <c r="E200" s="2092" t="n"/>
      <c r="F200" s="2092" t="n"/>
      <c r="G200" s="2092" t="n"/>
      <c r="H200" s="2092" t="n"/>
      <c r="I200" s="2092" t="n"/>
      <c r="J200" s="2092" t="n"/>
      <c r="K200" s="2092" t="n"/>
      <c r="L200" s="2092" t="n"/>
      <c r="M200" s="2092" t="n"/>
      <c r="N200" s="2092" t="n"/>
      <c r="O200" s="2092" t="n"/>
      <c r="P200" s="25">
        <f>'TEST_pour application'!B186</f>
        <v/>
      </c>
      <c r="Q200" s="26">
        <f>P200*D200</f>
        <v/>
      </c>
      <c r="R200" s="2002">
        <f>IF(BIBLE!K116=0,"",BIBLE!K116)</f>
        <v/>
      </c>
      <c r="S200" s="2002" t="n"/>
      <c r="T200" s="2002" t="n"/>
      <c r="U200" s="2002" t="n"/>
      <c r="V200" s="2002" t="n"/>
      <c r="W200" s="2002" t="n"/>
      <c r="X200" s="2002" t="n"/>
      <c r="Y200" s="2002" t="n"/>
      <c r="Z200" s="2002" t="n"/>
      <c r="AA200" s="2002" t="n"/>
      <c r="AB200" s="2002" t="n"/>
      <c r="AC200" s="2002" t="n"/>
      <c r="AD200" s="2002" t="n"/>
      <c r="AE200" s="494">
        <f>Q200</f>
        <v/>
      </c>
      <c r="AF200" s="26" t="n"/>
      <c r="AG200" s="26" t="n"/>
      <c r="AH200" s="26" t="n"/>
      <c r="AI200" s="1541" t="n"/>
      <c r="AJ200" s="1541" t="n"/>
      <c r="AK200" s="1541" t="n"/>
      <c r="AL200" s="1541" t="n"/>
      <c r="AM200" s="1541" t="n"/>
      <c r="AN200" s="1541" t="n"/>
      <c r="AO200" s="1541" t="n"/>
      <c r="AP200" s="1541" t="n"/>
      <c r="AQ200" s="6">
        <f>Q200</f>
        <v/>
      </c>
      <c r="AR200" s="2002" t="n"/>
      <c r="AS200" s="6">
        <f>IF($Q200&gt;0,X$108*$D200,0)</f>
        <v/>
      </c>
      <c r="AT200" s="6">
        <f>IF($Q200&gt;0,Y$108*$D200,0)</f>
        <v/>
      </c>
      <c r="AU200" s="6">
        <f>IF($Q200&gt;0,Z$108*$D200,0)</f>
        <v/>
      </c>
      <c r="AV200" s="6">
        <f>IF($Q200&gt;0,AA$108*$D200,0)</f>
        <v/>
      </c>
      <c r="AW200" s="6">
        <f>IF($Q200&gt;0,AB$108*$D200,0)</f>
        <v/>
      </c>
      <c r="AX200" s="6">
        <f>IF($Q200&gt;0,AC$108*$D200,0)</f>
        <v/>
      </c>
      <c r="AY200" s="2002" t="n"/>
      <c r="AZ200" s="2002" t="n"/>
      <c r="BA200" s="2002" t="n"/>
      <c r="BB200" s="2002" t="n"/>
      <c r="BC200" s="2002" t="n"/>
      <c r="BD200" s="2002" t="n"/>
      <c r="BE200" s="2002" t="n"/>
    </row>
    <row r="201" ht="61" customFormat="1" customHeight="1" s="7">
      <c r="A201" s="1437">
        <f>BIBLE!E117</f>
        <v/>
      </c>
      <c r="B201" s="158">
        <f>BIBLE!F117</f>
        <v/>
      </c>
      <c r="C201" s="2003">
        <f>BIBLE!O117</f>
        <v/>
      </c>
      <c r="D201" s="125">
        <f>BIBLE!L117</f>
        <v/>
      </c>
      <c r="E201" s="2092" t="n"/>
      <c r="F201" s="2092" t="n"/>
      <c r="G201" s="2092" t="n"/>
      <c r="H201" s="2092" t="n"/>
      <c r="I201" s="2092" t="n"/>
      <c r="J201" s="2092" t="n"/>
      <c r="K201" s="2092" t="n">
        <v>1</v>
      </c>
      <c r="L201" s="2092" t="n"/>
      <c r="M201" s="2092" t="n"/>
      <c r="N201" s="2092" t="n"/>
      <c r="O201" s="2092" t="n"/>
      <c r="P201" s="25">
        <f>'TEST_pour application'!B187</f>
        <v/>
      </c>
      <c r="Q201" s="26">
        <f>P201*D201</f>
        <v/>
      </c>
      <c r="R201" s="2002">
        <f>IF(BIBLE!K117=0,"",BIBLE!K117)</f>
        <v/>
      </c>
      <c r="S201" s="301" t="n"/>
      <c r="T201" s="301" t="n"/>
      <c r="U201" s="301" t="n"/>
      <c r="V201" s="6">
        <f>Q201</f>
        <v/>
      </c>
      <c r="W201" s="301" t="n"/>
      <c r="X201" s="6">
        <f>IF($Q201&gt;0,X$108*$D201,0)</f>
        <v/>
      </c>
      <c r="Y201" s="6">
        <f>IF($Q201&gt;0,Y$108*$D201,0)</f>
        <v/>
      </c>
      <c r="Z201" s="6">
        <f>IF($Q201&gt;0,Z$108*$D201,0)</f>
        <v/>
      </c>
      <c r="AA201" s="6">
        <f>IF($Q201&gt;0,AA$108*$D201,0)</f>
        <v/>
      </c>
      <c r="AB201" s="6">
        <f>IF($Q201&gt;0,AB$108*$D201,0)</f>
        <v/>
      </c>
      <c r="AC201" s="6">
        <f>IF($Q201&gt;0,AC$108*$D201,0)</f>
        <v/>
      </c>
      <c r="AE201" s="522" t="n"/>
      <c r="AF201" s="24">
        <f>$V201*BIBLE!R117</f>
        <v/>
      </c>
      <c r="AG201" s="24">
        <f>$V201*BIBLE!S117</f>
        <v/>
      </c>
      <c r="AH201" s="24">
        <f>$V201*BIBLE!T117</f>
        <v/>
      </c>
      <c r="AI201" s="1539">
        <f>$V201*BIBLE!V117</f>
        <v/>
      </c>
      <c r="AJ201" s="1539">
        <f>$V201*BIBLE!W117</f>
        <v/>
      </c>
      <c r="AK201" s="1539">
        <f>$V201*BIBLE!X117</f>
        <v/>
      </c>
      <c r="AL201" s="1539">
        <f>$V201*BIBLE!Y117</f>
        <v/>
      </c>
      <c r="AM201" s="1539">
        <f>$V201*BIBLE!Z117</f>
        <v/>
      </c>
      <c r="AN201" s="1539">
        <f>$V201*BIBLE!AA117</f>
        <v/>
      </c>
      <c r="AO201" s="1539">
        <f>$V201*BIBLE!AB117</f>
        <v/>
      </c>
      <c r="AP201" s="1539">
        <f>$V201*BIBLE!AC117</f>
        <v/>
      </c>
    </row>
    <row r="202" ht="90" customFormat="1" customHeight="1" s="7">
      <c r="A202" s="1437">
        <f>BIBLE!E118</f>
        <v/>
      </c>
      <c r="B202" s="158">
        <f>BIBLE!F118</f>
        <v/>
      </c>
      <c r="C202" s="2003">
        <f>BIBLE!O118</f>
        <v/>
      </c>
      <c r="D202" s="125">
        <f>BIBLE!L118</f>
        <v/>
      </c>
      <c r="E202" s="2092" t="n"/>
      <c r="F202" s="2092" t="n"/>
      <c r="G202" s="2092" t="n"/>
      <c r="H202" s="2092" t="n"/>
      <c r="I202" s="2092" t="n"/>
      <c r="J202" s="2092" t="n">
        <v>1</v>
      </c>
      <c r="K202" s="2092" t="n"/>
      <c r="L202" s="2092" t="n"/>
      <c r="M202" s="2092" t="n"/>
      <c r="N202" s="2092" t="n"/>
      <c r="O202" s="2092" t="n"/>
      <c r="P202" s="25">
        <f>'TEST_pour application'!B188</f>
        <v/>
      </c>
      <c r="Q202" s="26">
        <f>P202*D202</f>
        <v/>
      </c>
      <c r="R202" s="2002">
        <f>IF(BIBLE!K118=0,"",BIBLE!K118)</f>
        <v/>
      </c>
      <c r="S202" s="301" t="n"/>
      <c r="T202" s="301" t="n"/>
      <c r="U202" s="301" t="n"/>
      <c r="V202" s="6">
        <f>Q202</f>
        <v/>
      </c>
      <c r="W202" s="301" t="n"/>
      <c r="X202" s="6">
        <f>IF($Q202&gt;0,X$108*$D202,0)</f>
        <v/>
      </c>
      <c r="Y202" s="6">
        <f>IF($Q202&gt;0,Y$108*$D202,0)</f>
        <v/>
      </c>
      <c r="Z202" s="6">
        <f>IF($Q202&gt;0,Z$108*$D202,0)</f>
        <v/>
      </c>
      <c r="AA202" s="6">
        <f>IF($Q202&gt;0,AA$108*$D202,0)</f>
        <v/>
      </c>
      <c r="AB202" s="6">
        <f>IF($Q202&gt;0,AB$108*$D202,0)</f>
        <v/>
      </c>
      <c r="AC202" s="6">
        <f>IF($Q202&gt;0,AC$108*$D202,0)</f>
        <v/>
      </c>
      <c r="AE202" s="522" t="n"/>
      <c r="AF202" s="24">
        <f>$V202*BIBLE!R118</f>
        <v/>
      </c>
      <c r="AG202" s="24">
        <f>$V202*BIBLE!S118</f>
        <v/>
      </c>
      <c r="AH202" s="24">
        <f>$V202*BIBLE!T118</f>
        <v/>
      </c>
      <c r="AI202" s="1539">
        <f>$V202*BIBLE!V118</f>
        <v/>
      </c>
      <c r="AJ202" s="1539">
        <f>$V202*BIBLE!W118</f>
        <v/>
      </c>
      <c r="AK202" s="1539">
        <f>$V202*BIBLE!X118</f>
        <v/>
      </c>
      <c r="AL202" s="1539">
        <f>$V202*BIBLE!Y118</f>
        <v/>
      </c>
      <c r="AM202" s="1539">
        <f>$V202*BIBLE!Z118</f>
        <v/>
      </c>
      <c r="AN202" s="1539">
        <f>$V202*BIBLE!AA118</f>
        <v/>
      </c>
      <c r="AO202" s="1539">
        <f>$V202*BIBLE!AB118</f>
        <v/>
      </c>
      <c r="AP202" s="1539">
        <f>$V202*BIBLE!AC118</f>
        <v/>
      </c>
    </row>
    <row r="203" ht="90" customFormat="1" customHeight="1" s="7">
      <c r="A203" s="1437">
        <f>BIBLE!E119</f>
        <v/>
      </c>
      <c r="B203" s="158">
        <f>BIBLE!F119</f>
        <v/>
      </c>
      <c r="C203" s="2003">
        <f>BIBLE!O119</f>
        <v/>
      </c>
      <c r="D203" s="125">
        <f>BIBLE!L119</f>
        <v/>
      </c>
      <c r="E203" s="2092" t="n"/>
      <c r="F203" s="2092" t="n"/>
      <c r="G203" s="2092" t="n"/>
      <c r="H203" s="2092" t="n"/>
      <c r="I203" s="2092" t="n"/>
      <c r="J203" s="2092" t="n"/>
      <c r="K203" s="2092" t="n">
        <v>1</v>
      </c>
      <c r="L203" s="2092" t="n"/>
      <c r="M203" s="2092" t="n"/>
      <c r="N203" s="2092" t="n"/>
      <c r="O203" s="2092" t="n"/>
      <c r="P203" s="25">
        <f>'TEST_pour application'!B189</f>
        <v/>
      </c>
      <c r="Q203" s="26">
        <f>P203*D203</f>
        <v/>
      </c>
      <c r="R203" s="2002">
        <f>IF(BIBLE!K119=0,"",BIBLE!K119)</f>
        <v/>
      </c>
      <c r="S203" s="301" t="n"/>
      <c r="T203" s="301" t="n"/>
      <c r="U203" s="301" t="n"/>
      <c r="V203" s="6">
        <f>Q203</f>
        <v/>
      </c>
      <c r="W203" s="301" t="n"/>
      <c r="X203" s="6">
        <f>IF($Q203&gt;0,X$108*$D203,0)</f>
        <v/>
      </c>
      <c r="Y203" s="6">
        <f>IF($Q203&gt;0,Y$108*$D203,0)</f>
        <v/>
      </c>
      <c r="Z203" s="6">
        <f>IF($Q203&gt;0,Z$108*$D203,0)</f>
        <v/>
      </c>
      <c r="AA203" s="6">
        <f>IF($Q203&gt;0,AA$108*$D203,0)</f>
        <v/>
      </c>
      <c r="AB203" s="6">
        <f>IF($Q203&gt;0,AB$108*$D203,0)</f>
        <v/>
      </c>
      <c r="AC203" s="6">
        <f>IF($Q203&gt;0,AC$108*$D203,0)</f>
        <v/>
      </c>
      <c r="AE203" s="522" t="n"/>
      <c r="AF203" s="24">
        <f>$V203*BIBLE!R119</f>
        <v/>
      </c>
      <c r="AG203" s="24">
        <f>$V203*BIBLE!S119</f>
        <v/>
      </c>
      <c r="AH203" s="24">
        <f>$V203*BIBLE!T119</f>
        <v/>
      </c>
      <c r="AI203" s="1539">
        <f>$V203*BIBLE!V119</f>
        <v/>
      </c>
      <c r="AJ203" s="1539">
        <f>$V203*BIBLE!W119</f>
        <v/>
      </c>
      <c r="AK203" s="1539">
        <f>$V203*BIBLE!X119</f>
        <v/>
      </c>
      <c r="AL203" s="1539">
        <f>$V203*BIBLE!Y119</f>
        <v/>
      </c>
      <c r="AM203" s="1539">
        <f>$V203*BIBLE!Z119</f>
        <v/>
      </c>
      <c r="AN203" s="1539">
        <f>$V203*BIBLE!AA119</f>
        <v/>
      </c>
      <c r="AO203" s="1539">
        <f>$V203*BIBLE!AB119</f>
        <v/>
      </c>
      <c r="AP203" s="1539">
        <f>$V203*BIBLE!AC119</f>
        <v/>
      </c>
    </row>
    <row r="204" ht="90" customFormat="1" customHeight="1" s="7">
      <c r="A204" s="1437">
        <f>BIBLE!E120</f>
        <v/>
      </c>
      <c r="B204" s="158">
        <f>BIBLE!F120</f>
        <v/>
      </c>
      <c r="C204" s="2003">
        <f>BIBLE!O120</f>
        <v/>
      </c>
      <c r="D204" s="125">
        <f>BIBLE!L120</f>
        <v/>
      </c>
      <c r="E204" s="2092" t="n"/>
      <c r="F204" s="2092" t="n"/>
      <c r="G204" s="2092" t="n"/>
      <c r="H204" s="2092" t="n"/>
      <c r="I204" s="2092" t="n">
        <v>1</v>
      </c>
      <c r="J204" s="2092" t="n"/>
      <c r="K204" s="2092" t="n"/>
      <c r="L204" s="2092" t="n"/>
      <c r="M204" s="2092" t="n"/>
      <c r="N204" s="2092" t="n"/>
      <c r="O204" s="2092" t="n"/>
      <c r="P204" s="25">
        <f>'TEST_pour application'!B190</f>
        <v/>
      </c>
      <c r="Q204" s="26">
        <f>P204*D204</f>
        <v/>
      </c>
      <c r="R204" s="2002">
        <f>IF(BIBLE!K120=0,"",BIBLE!K120)</f>
        <v/>
      </c>
      <c r="S204" s="301" t="n"/>
      <c r="T204" s="301" t="n"/>
      <c r="U204" s="301" t="n"/>
      <c r="V204" s="6">
        <f>IF(P204&gt;=R204,IF(Q204&gt;Q205,Q204,Q205),Q204)</f>
        <v/>
      </c>
      <c r="W204" s="2002" t="n"/>
      <c r="X204" s="6">
        <f>IF(($P204&gt;=$R204),IF($Q204&gt;$Q205,X$108*$D204,X$108*$D205),X$108*$D204)</f>
        <v/>
      </c>
      <c r="Y204" s="6">
        <f>IF(($P204&gt;=$R204),IF($Q204&gt;$Q205,Y$108*$D204,Y$108*$D205),Y$108*$D204)</f>
        <v/>
      </c>
      <c r="Z204" s="6">
        <f>IF(($P204&gt;=$R204),IF($Q204&gt;$Q205,Z$108*$D204,Z$108*$D205),Z$108*$D204)</f>
        <v/>
      </c>
      <c r="AA204" s="6">
        <f>IF(($P204&gt;=$R204),IF($Q204&gt;$Q205,AA$108*$D204,AA$108*$D205),AA$108*$D204)</f>
        <v/>
      </c>
      <c r="AB204" s="6">
        <f>IF(($P204&gt;=$R204),IF($Q204&gt;$Q205,AB$108*$D204,AB$108*$D205),AB$108*$D204)</f>
        <v/>
      </c>
      <c r="AC204" s="6">
        <f>IF(($P204&gt;=$R204),IF($Q204&gt;$Q205,AC$108*$D204,AC$108*$D205),AC$108*$D204)</f>
        <v/>
      </c>
      <c r="AE204" s="522" t="n"/>
      <c r="AF204" s="24">
        <f>IF($Q204=$V204,$Q204*BIBLE!R120,$Q205*BIBLE!R121)</f>
        <v/>
      </c>
      <c r="AG204" s="24">
        <f>IF($Q204=$V204,$Q204*BIBLE!S120,$Q205*BIBLE!S121)</f>
        <v/>
      </c>
      <c r="AH204" s="24">
        <f>IF($Q204=$V204,$Q204*BIBLE!T120,$Q205*BIBLE!T121)</f>
        <v/>
      </c>
      <c r="AI204" s="1539">
        <f>IF($Q204=$V204,$Q204*BIBLE!V120,$Q205*BIBLE!V121)</f>
        <v/>
      </c>
      <c r="AJ204" s="1539">
        <f>IF($Q204=$V204,$Q204*BIBLE!W120,$Q205*BIBLE!W121)</f>
        <v/>
      </c>
      <c r="AK204" s="1539">
        <f>IF($Q204=$V204,$Q204*BIBLE!X120,$Q205*BIBLE!X121)</f>
        <v/>
      </c>
      <c r="AL204" s="1539">
        <f>IF($Q204=$V204,$Q204*BIBLE!Y120,$Q205*BIBLE!Y121)</f>
        <v/>
      </c>
      <c r="AM204" s="1539">
        <f>IF($Q204=$V204,$Q204*BIBLE!Z120,$Q205*BIBLE!Z121)</f>
        <v/>
      </c>
      <c r="AN204" s="1539">
        <f>IF($Q204=$V204,$Q204*BIBLE!AA120,$Q205*BIBLE!AA121)</f>
        <v/>
      </c>
      <c r="AO204" s="1539">
        <f>IF($Q204=$V204,$Q204*BIBLE!AB120,$Q205*BIBLE!AB121)</f>
        <v/>
      </c>
      <c r="AP204" s="1539">
        <f>IF($Q204=$V204,$Q204*BIBLE!AC120,$Q205*BIBLE!AC121)</f>
        <v/>
      </c>
    </row>
    <row r="205" ht="66" customFormat="1" customHeight="1" s="7">
      <c r="A205" s="1437">
        <f>BIBLE!E121</f>
        <v/>
      </c>
      <c r="B205" s="159">
        <f>BIBLE!F121</f>
        <v/>
      </c>
      <c r="C205" s="2003">
        <f>BIBLE!O121</f>
        <v/>
      </c>
      <c r="D205" s="125">
        <f>BIBLE!L121</f>
        <v/>
      </c>
      <c r="E205" s="2092" t="n"/>
      <c r="F205" s="2092" t="n"/>
      <c r="G205" s="2092" t="n"/>
      <c r="H205" s="2092" t="n">
        <v>1</v>
      </c>
      <c r="I205" s="2092" t="n"/>
      <c r="J205" s="2092" t="n"/>
      <c r="K205" s="2092" t="n"/>
      <c r="L205" s="2092" t="n"/>
      <c r="M205" s="2092" t="n"/>
      <c r="N205" s="2092" t="n"/>
      <c r="O205" s="2092" t="n"/>
      <c r="P205" s="25">
        <f>'TEST_pour application'!B191</f>
        <v/>
      </c>
      <c r="Q205" s="26">
        <f>P205*D205</f>
        <v/>
      </c>
      <c r="R205" s="2002">
        <f>IF(BIBLE!K121=0,"",BIBLE!K121)</f>
        <v/>
      </c>
      <c r="S205" s="301" t="n"/>
      <c r="T205" s="301" t="n"/>
      <c r="U205" s="301" t="n"/>
      <c r="V205" s="6" t="n"/>
      <c r="W205" s="301" t="n"/>
      <c r="X205" s="6" t="n"/>
      <c r="Y205" s="6" t="n"/>
      <c r="Z205" s="6" t="n"/>
      <c r="AA205" s="6" t="n"/>
      <c r="AB205" s="6" t="n"/>
      <c r="AC205" s="6" t="n"/>
      <c r="AE205" s="522" t="n"/>
      <c r="AF205" s="93" t="n"/>
      <c r="AG205" s="93" t="n"/>
      <c r="AH205" s="93" t="n"/>
      <c r="AI205" s="775" t="n"/>
      <c r="AJ205" s="775" t="n"/>
      <c r="AK205" s="775" t="n"/>
      <c r="AL205" s="775" t="n"/>
      <c r="AM205" s="775" t="n"/>
      <c r="AN205" s="775" t="n"/>
      <c r="AO205" s="775" t="n"/>
      <c r="AP205" s="775" t="n"/>
    </row>
    <row r="206" ht="76" customFormat="1" customHeight="1" s="7">
      <c r="A206" s="1437">
        <f>BIBLE!E122</f>
        <v/>
      </c>
      <c r="B206" s="158">
        <f>BIBLE!F122</f>
        <v/>
      </c>
      <c r="C206" s="2003">
        <f>BIBLE!O122</f>
        <v/>
      </c>
      <c r="D206" s="294">
        <f>IF(P206&gt;=BIBLE!K122,IF(OR(E30=1,E31=1,E32=1),BIBLE!M122,BIBLE!L122),BIBLE!L122)</f>
        <v/>
      </c>
      <c r="E206" s="2092" t="n"/>
      <c r="F206" s="2092" t="n"/>
      <c r="G206" s="2092" t="n"/>
      <c r="H206" s="2092" t="n"/>
      <c r="I206" s="2092" t="n"/>
      <c r="J206" s="2092" t="n">
        <v>1</v>
      </c>
      <c r="K206" s="2092" t="n"/>
      <c r="L206" s="2092" t="n"/>
      <c r="M206" s="2092" t="n"/>
      <c r="N206" s="2092" t="n"/>
      <c r="O206" s="2092" t="n"/>
      <c r="P206" s="25">
        <f>'TEST_pour application'!B192</f>
        <v/>
      </c>
      <c r="Q206" s="26">
        <f>P206*D206</f>
        <v/>
      </c>
      <c r="R206" s="2002">
        <f>IF(BIBLE!K122=0,"",BIBLE!K122)</f>
        <v/>
      </c>
      <c r="S206" s="301" t="n"/>
      <c r="T206" s="301" t="n"/>
      <c r="U206" s="301" t="n"/>
      <c r="V206" s="6">
        <f>Q206</f>
        <v/>
      </c>
      <c r="W206" s="301" t="n"/>
      <c r="X206" s="6">
        <f>IF($Q206&gt;0,X$108*$D206,0)</f>
        <v/>
      </c>
      <c r="Y206" s="6">
        <f>IF($Q206&gt;0,Y$108*$D206,0)</f>
        <v/>
      </c>
      <c r="Z206" s="6">
        <f>IF($Q206&gt;0,Z$108*$D206,0)</f>
        <v/>
      </c>
      <c r="AA206" s="6">
        <f>IF($Q206&gt;0,AA$108*$D206,0)</f>
        <v/>
      </c>
      <c r="AB206" s="6">
        <f>IF($Q206&gt;0,AB$108*$D206,0)</f>
        <v/>
      </c>
      <c r="AC206" s="6">
        <f>IF($Q206&gt;0,AC$108*$D206,0)</f>
        <v/>
      </c>
      <c r="AE206" s="522" t="n"/>
      <c r="AF206" s="24">
        <f>$V206*BIBLE!R122</f>
        <v/>
      </c>
      <c r="AG206" s="24">
        <f>$V206*BIBLE!S122</f>
        <v/>
      </c>
      <c r="AH206" s="24">
        <f>$V206*BIBLE!T122</f>
        <v/>
      </c>
      <c r="AI206" s="1539">
        <f>$V206*BIBLE!V122</f>
        <v/>
      </c>
      <c r="AJ206" s="1539">
        <f>$V206*BIBLE!W122</f>
        <v/>
      </c>
      <c r="AK206" s="1539">
        <f>$V206*BIBLE!X122</f>
        <v/>
      </c>
      <c r="AL206" s="1539">
        <f>$V206*BIBLE!Y122</f>
        <v/>
      </c>
      <c r="AM206" s="1539">
        <f>$V206*BIBLE!Z122</f>
        <v/>
      </c>
      <c r="AN206" s="1539">
        <f>$V206*BIBLE!AA122</f>
        <v/>
      </c>
      <c r="AO206" s="1539">
        <f>$V206*BIBLE!AB122</f>
        <v/>
      </c>
      <c r="AP206" s="1539">
        <f>$V206*BIBLE!AC122</f>
        <v/>
      </c>
    </row>
    <row r="207" ht="70" customFormat="1" customHeight="1" s="7">
      <c r="A207" s="1437">
        <f>BIBLE!E123</f>
        <v/>
      </c>
      <c r="B207" s="158">
        <f>BIBLE!F123</f>
        <v/>
      </c>
      <c r="C207" s="2003">
        <f>BIBLE!O123</f>
        <v/>
      </c>
      <c r="D207" s="294">
        <f>IF(AND(P207&gt;=R207,E210=1),BIBLE!M123,BIBLE!L123)</f>
        <v/>
      </c>
      <c r="E207" s="2092" t="n"/>
      <c r="F207" s="2092" t="n"/>
      <c r="G207" s="2092" t="n"/>
      <c r="H207" s="2092" t="n"/>
      <c r="I207" s="2092" t="n">
        <v>1</v>
      </c>
      <c r="J207" s="2092" t="n"/>
      <c r="K207" s="2092" t="n"/>
      <c r="L207" s="2092" t="n"/>
      <c r="M207" s="2092" t="n"/>
      <c r="N207" s="2092" t="n"/>
      <c r="O207" s="2092" t="n"/>
      <c r="P207" s="25">
        <f>'TEST_pour application'!B193</f>
        <v/>
      </c>
      <c r="Q207" s="26">
        <f>P207*D207</f>
        <v/>
      </c>
      <c r="R207" s="2002">
        <f>IF(BIBLE!K123=0,"",BIBLE!K123)</f>
        <v/>
      </c>
      <c r="S207" s="301" t="n"/>
      <c r="T207" s="301" t="n"/>
      <c r="U207" s="301" t="n"/>
      <c r="V207" s="6">
        <f>Q207</f>
        <v/>
      </c>
      <c r="W207" s="301" t="n"/>
      <c r="X207" s="6">
        <f>IF($Q207&gt;0,X$108*$D207,0)</f>
        <v/>
      </c>
      <c r="Y207" s="6">
        <f>IF($Q207&gt;0,Y$108*$D207,0)</f>
        <v/>
      </c>
      <c r="Z207" s="6">
        <f>IF($Q207&gt;0,Z$108*$D207,0)</f>
        <v/>
      </c>
      <c r="AA207" s="6">
        <f>IF($Q207&gt;0,AA$108*$D207,0)</f>
        <v/>
      </c>
      <c r="AB207" s="6">
        <f>IF($Q207&gt;0,AB$108*$D207,0)</f>
        <v/>
      </c>
      <c r="AC207" s="6">
        <f>IF($Q207&gt;0,AC$108*$D207,0)</f>
        <v/>
      </c>
      <c r="AE207" s="522" t="n"/>
      <c r="AF207" s="24">
        <f>$V207*BIBLE!R123</f>
        <v/>
      </c>
      <c r="AG207" s="24">
        <f>$V207*BIBLE!S123</f>
        <v/>
      </c>
      <c r="AH207" s="24">
        <f>$V207*BIBLE!T123</f>
        <v/>
      </c>
      <c r="AI207" s="1539">
        <f>$V207*BIBLE!V123</f>
        <v/>
      </c>
      <c r="AJ207" s="1539">
        <f>$V207*BIBLE!W123</f>
        <v/>
      </c>
      <c r="AK207" s="1539">
        <f>$V207*BIBLE!X123</f>
        <v/>
      </c>
      <c r="AL207" s="1539">
        <f>$V207*BIBLE!Y123</f>
        <v/>
      </c>
      <c r="AM207" s="1539">
        <f>$V207*BIBLE!Z123</f>
        <v/>
      </c>
      <c r="AN207" s="1539">
        <f>$V207*BIBLE!AA123</f>
        <v/>
      </c>
      <c r="AO207" s="1539">
        <f>$V207*BIBLE!AB123</f>
        <v/>
      </c>
      <c r="AP207" s="1539">
        <f>$V207*BIBLE!AC123</f>
        <v/>
      </c>
    </row>
    <row r="208" ht="60" customFormat="1" customHeight="1" s="7">
      <c r="A208" s="1437">
        <f>BIBLE!E124</f>
        <v/>
      </c>
      <c r="B208" s="2008">
        <f>IF(P207&gt;=R207,BIBLE!F124,"")</f>
        <v/>
      </c>
      <c r="C208" s="93" t="n"/>
      <c r="D208" s="294" t="n"/>
      <c r="E208" s="2002" t="n"/>
      <c r="F208" s="2092" t="n"/>
      <c r="G208" s="2092" t="n"/>
      <c r="H208" s="2092" t="n"/>
      <c r="I208" s="2092" t="n"/>
      <c r="J208" s="2092" t="n"/>
      <c r="K208" s="2092" t="n"/>
      <c r="L208" s="2092" t="n"/>
      <c r="M208" s="2092" t="n"/>
      <c r="N208" s="2092" t="n"/>
      <c r="O208" s="2092" t="n"/>
      <c r="P208" s="2093">
        <f>'TEST_pour application'!B194</f>
        <v/>
      </c>
      <c r="Q208" s="26" t="n"/>
      <c r="R208" s="2002">
        <f>IF(BIBLE!K124=0,"",BIBLE!K124)</f>
        <v/>
      </c>
      <c r="S208" s="301" t="n"/>
      <c r="T208" s="301" t="n"/>
      <c r="U208" s="301" t="n"/>
      <c r="V208" s="6" t="n"/>
      <c r="W208" s="301" t="n"/>
      <c r="X208" s="2002" t="n"/>
      <c r="Y208" s="2002" t="n"/>
      <c r="Z208" s="2002" t="n"/>
      <c r="AA208" s="2002" t="n"/>
      <c r="AB208" s="2002" t="n"/>
      <c r="AC208" s="2002" t="n"/>
      <c r="AE208" s="522" t="n"/>
      <c r="AF208" s="93" t="n"/>
      <c r="AG208" s="93" t="n"/>
      <c r="AH208" s="93" t="n"/>
      <c r="AI208" s="775" t="n"/>
      <c r="AJ208" s="775" t="n"/>
      <c r="AK208" s="775" t="n"/>
      <c r="AL208" s="775" t="n"/>
      <c r="AM208" s="775" t="n"/>
      <c r="AN208" s="775" t="n"/>
      <c r="AO208" s="775" t="n"/>
      <c r="AP208" s="775" t="n"/>
    </row>
    <row r="209" ht="16" customFormat="1" customHeight="1" s="7">
      <c r="A209" s="1437" t="n"/>
      <c r="B209" s="2008">
        <f>IF(P207&gt;=R207,"Normal / Usuel","")</f>
        <v/>
      </c>
      <c r="C209" s="93" t="n"/>
      <c r="D209" s="1930" t="n">
        <v>1</v>
      </c>
      <c r="E209" s="1940">
        <f>IF(P$208=D209,1,"x")</f>
        <v/>
      </c>
      <c r="F209" s="2092" t="n"/>
      <c r="G209" s="2092" t="n"/>
      <c r="H209" s="2092" t="n"/>
      <c r="I209" s="2092" t="n"/>
      <c r="J209" s="2092" t="n"/>
      <c r="K209" s="2092" t="n"/>
      <c r="L209" s="2092" t="n"/>
      <c r="M209" s="2092" t="n"/>
      <c r="N209" s="2092" t="n"/>
      <c r="O209" s="2092" t="n"/>
      <c r="P209" s="25" t="n"/>
      <c r="Q209" s="26" t="n"/>
      <c r="R209" s="2002" t="n"/>
      <c r="S209" s="301" t="n"/>
      <c r="T209" s="301" t="n"/>
      <c r="U209" s="301" t="n"/>
      <c r="V209" s="6" t="n"/>
      <c r="W209" s="301" t="n"/>
      <c r="X209" s="2002" t="n"/>
      <c r="Y209" s="2002" t="n"/>
      <c r="Z209" s="2002" t="n"/>
      <c r="AA209" s="2002" t="n"/>
      <c r="AB209" s="2002" t="n"/>
      <c r="AC209" s="2002" t="n"/>
      <c r="AE209" s="522" t="n"/>
      <c r="AF209" s="93" t="n"/>
      <c r="AG209" s="93" t="n"/>
      <c r="AH209" s="93" t="n"/>
      <c r="AI209" s="775" t="n"/>
      <c r="AJ209" s="775" t="n"/>
      <c r="AK209" s="775" t="n"/>
      <c r="AL209" s="775" t="n"/>
      <c r="AM209" s="775" t="n"/>
      <c r="AN209" s="775" t="n"/>
      <c r="AO209" s="775" t="n"/>
      <c r="AP209" s="775" t="n"/>
    </row>
    <row r="210" ht="16" customFormat="1" customHeight="1" s="7">
      <c r="A210" s="1437" t="n"/>
      <c r="B210" s="2008">
        <f>IF(P207&gt;=R207,"Nouveau","")</f>
        <v/>
      </c>
      <c r="C210" s="93" t="n"/>
      <c r="D210" s="1930" t="n">
        <v>2</v>
      </c>
      <c r="E210" s="1940">
        <f>IF(P$208=D210,1,"x")</f>
        <v/>
      </c>
      <c r="F210" s="2092" t="n"/>
      <c r="G210" s="2092" t="n"/>
      <c r="H210" s="2092" t="n"/>
      <c r="I210" s="2092" t="n"/>
      <c r="J210" s="2092" t="n"/>
      <c r="K210" s="2092" t="n"/>
      <c r="L210" s="2092" t="n"/>
      <c r="M210" s="2092" t="n"/>
      <c r="N210" s="2092" t="n"/>
      <c r="O210" s="2092" t="n"/>
      <c r="P210" s="25" t="n"/>
      <c r="Q210" s="26" t="n"/>
      <c r="R210" s="2002" t="n"/>
      <c r="S210" s="301" t="n"/>
      <c r="T210" s="301" t="n"/>
      <c r="U210" s="301" t="n"/>
      <c r="V210" s="6" t="n"/>
      <c r="W210" s="301" t="n"/>
      <c r="X210" s="2002" t="n"/>
      <c r="Y210" s="2002" t="n"/>
      <c r="Z210" s="2002" t="n"/>
      <c r="AA210" s="2002" t="n"/>
      <c r="AB210" s="2002" t="n"/>
      <c r="AC210" s="2002" t="n"/>
      <c r="AE210" s="522" t="n"/>
      <c r="AF210" s="93" t="n"/>
      <c r="AG210" s="93" t="n"/>
      <c r="AH210" s="93" t="n"/>
      <c r="AI210" s="775" t="n"/>
      <c r="AJ210" s="775" t="n"/>
      <c r="AK210" s="775" t="n"/>
      <c r="AL210" s="775" t="n"/>
      <c r="AM210" s="775" t="n"/>
      <c r="AN210" s="775" t="n"/>
      <c r="AO210" s="775" t="n"/>
      <c r="AP210" s="775" t="n"/>
    </row>
    <row r="211" ht="16" customFormat="1" customHeight="1" s="7">
      <c r="A211" s="1437" t="n"/>
      <c r="B211" s="2008" t="n"/>
      <c r="C211" s="93" t="n"/>
      <c r="D211" s="125" t="n"/>
      <c r="E211" s="2092" t="n"/>
      <c r="F211" s="2092" t="n"/>
      <c r="G211" s="2092" t="n"/>
      <c r="H211" s="2092" t="n"/>
      <c r="I211" s="2092" t="n"/>
      <c r="J211" s="2092" t="n"/>
      <c r="K211" s="2092" t="n"/>
      <c r="L211" s="2092" t="n"/>
      <c r="M211" s="2092" t="n"/>
      <c r="N211" s="2092" t="n"/>
      <c r="O211" s="2092" t="n"/>
      <c r="P211" s="25" t="n"/>
      <c r="Q211" s="26" t="n"/>
      <c r="R211" s="2002" t="n"/>
      <c r="S211" s="301" t="n"/>
      <c r="T211" s="301" t="n"/>
      <c r="U211" s="301" t="n"/>
      <c r="V211" s="6" t="n"/>
      <c r="W211" s="301" t="n"/>
      <c r="X211" s="2002" t="n"/>
      <c r="Y211" s="2002" t="n"/>
      <c r="Z211" s="2002" t="n"/>
      <c r="AA211" s="2002" t="n"/>
      <c r="AB211" s="2002" t="n"/>
      <c r="AC211" s="2002" t="n"/>
      <c r="AE211" s="522" t="n"/>
      <c r="AF211" s="93" t="n"/>
      <c r="AG211" s="93" t="n"/>
      <c r="AH211" s="93" t="n"/>
      <c r="AI211" s="775" t="n"/>
      <c r="AJ211" s="775" t="n"/>
      <c r="AK211" s="775" t="n"/>
      <c r="AL211" s="775" t="n"/>
      <c r="AM211" s="775" t="n"/>
      <c r="AN211" s="775" t="n"/>
      <c r="AO211" s="775" t="n"/>
      <c r="AP211" s="775" t="n"/>
    </row>
    <row r="212" ht="65" customFormat="1" customHeight="1" s="7">
      <c r="A212" s="1437">
        <f>BIBLE!E125</f>
        <v/>
      </c>
      <c r="B212" s="158">
        <f>IF(OR($E$48=1,$E$49=1),BIBLE!F125,"")</f>
        <v/>
      </c>
      <c r="C212" s="2003">
        <f>BIBLE!O125</f>
        <v/>
      </c>
      <c r="D212" s="125">
        <f>BIBLE!L125</f>
        <v/>
      </c>
      <c r="E212" s="2092" t="n"/>
      <c r="F212" s="2092" t="n"/>
      <c r="G212" s="2092" t="n"/>
      <c r="H212" s="2092" t="n"/>
      <c r="I212" s="2092" t="n"/>
      <c r="J212" s="2092" t="n"/>
      <c r="K212" s="2092" t="n">
        <v>1</v>
      </c>
      <c r="L212" s="2092" t="n"/>
      <c r="M212" s="2092" t="n"/>
      <c r="N212" s="2092" t="n"/>
      <c r="O212" s="2092" t="n"/>
      <c r="P212" s="25">
        <f>'TEST_pour application'!B195</f>
        <v/>
      </c>
      <c r="Q212" s="26">
        <f>P212*D212</f>
        <v/>
      </c>
      <c r="R212" s="2002">
        <f>IF(BIBLE!K125=0,"",BIBLE!K125)</f>
        <v/>
      </c>
      <c r="S212" s="2002" t="n"/>
      <c r="T212" s="2002" t="n"/>
      <c r="U212" s="2002" t="n"/>
      <c r="V212" s="6">
        <f>Q212</f>
        <v/>
      </c>
      <c r="W212" s="2002" t="n"/>
      <c r="X212" s="6">
        <f>IF($Q212&gt;0,X$108*$D212,0)</f>
        <v/>
      </c>
      <c r="Y212" s="6">
        <f>IF($Q212&gt;0,Y$108*$D212,0)</f>
        <v/>
      </c>
      <c r="Z212" s="6">
        <f>IF($Q212&gt;0,Z$108*$D212,0)</f>
        <v/>
      </c>
      <c r="AA212" s="6">
        <f>IF($Q212&gt;0,AA$108*$D212,0)</f>
        <v/>
      </c>
      <c r="AB212" s="6">
        <f>IF($Q212&gt;0,AB$108*$D212,0)</f>
        <v/>
      </c>
      <c r="AC212" s="6">
        <f>IF($Q212&gt;0,AC$108*$D212,0)</f>
        <v/>
      </c>
      <c r="AE212" s="522" t="n"/>
      <c r="AF212" s="24">
        <f>$V212*BIBLE!R125</f>
        <v/>
      </c>
      <c r="AG212" s="24">
        <f>$V212*BIBLE!S125</f>
        <v/>
      </c>
      <c r="AH212" s="24">
        <f>$V212*BIBLE!T125</f>
        <v/>
      </c>
      <c r="AI212" s="1539">
        <f>$V212*BIBLE!V125</f>
        <v/>
      </c>
      <c r="AJ212" s="1539">
        <f>$V212*BIBLE!W125</f>
        <v/>
      </c>
      <c r="AK212" s="1539">
        <f>$V212*BIBLE!X125</f>
        <v/>
      </c>
      <c r="AL212" s="1539">
        <f>$V212*BIBLE!Y125</f>
        <v/>
      </c>
      <c r="AM212" s="1539">
        <f>$V212*BIBLE!Z125</f>
        <v/>
      </c>
      <c r="AN212" s="1539">
        <f>$V212*BIBLE!AA125</f>
        <v/>
      </c>
      <c r="AO212" s="1539">
        <f>$V212*BIBLE!AB125</f>
        <v/>
      </c>
      <c r="AP212" s="1539">
        <f>$V212*BIBLE!AC125</f>
        <v/>
      </c>
    </row>
    <row r="213" ht="65" customFormat="1" customHeight="1" s="7">
      <c r="A213" s="1437">
        <f>BIBLE!E126</f>
        <v/>
      </c>
      <c r="B213" s="158">
        <f>IF(P53&gt;=R53,BIBLE!F126,"")</f>
        <v/>
      </c>
      <c r="C213" s="2003">
        <f>BIBLE!O126</f>
        <v/>
      </c>
      <c r="D213" s="125">
        <f>BIBLE!L126</f>
        <v/>
      </c>
      <c r="E213" s="2092" t="n"/>
      <c r="F213" s="2092" t="n"/>
      <c r="G213" s="2092" t="n"/>
      <c r="H213" s="2092" t="n"/>
      <c r="I213" s="2092" t="n"/>
      <c r="J213" s="2092" t="n"/>
      <c r="K213" s="2092" t="n"/>
      <c r="L213" s="2092" t="n"/>
      <c r="M213" s="2092" t="n"/>
      <c r="N213" s="2092" t="n"/>
      <c r="O213" s="2092" t="n"/>
      <c r="P213" s="25">
        <f>'TEST_pour application'!B196</f>
        <v/>
      </c>
      <c r="Q213" s="26">
        <f>P213*D213</f>
        <v/>
      </c>
      <c r="R213" s="2002">
        <f>IF(BIBLE!K126=0,"",BIBLE!K126)</f>
        <v/>
      </c>
      <c r="S213" s="2002" t="n"/>
      <c r="T213" s="2002" t="n"/>
      <c r="U213" s="2002" t="n"/>
      <c r="V213" s="6">
        <f>Q213</f>
        <v/>
      </c>
      <c r="W213" s="2002" t="n"/>
      <c r="X213" s="6">
        <f>IF($Q213&gt;0,X$108*$D213,0)</f>
        <v/>
      </c>
      <c r="Y213" s="6">
        <f>IF($Q213&gt;0,Y$108*$D213,0)</f>
        <v/>
      </c>
      <c r="Z213" s="6">
        <f>IF($Q213&gt;0,Z$108*$D213,0)</f>
        <v/>
      </c>
      <c r="AA213" s="6">
        <f>IF($Q213&gt;0,AA$108*$D213,0)</f>
        <v/>
      </c>
      <c r="AB213" s="6">
        <f>IF($Q213&gt;0,AB$108*$D213,0)</f>
        <v/>
      </c>
      <c r="AC213" s="6">
        <f>IF($Q213&gt;0,AC$108*$D213,0)</f>
        <v/>
      </c>
      <c r="AE213" s="522" t="n"/>
      <c r="AF213" s="24">
        <f>$V213*BIBLE!R126</f>
        <v/>
      </c>
      <c r="AG213" s="24">
        <f>$V213*BIBLE!S126</f>
        <v/>
      </c>
      <c r="AH213" s="24">
        <f>$V213*BIBLE!T126</f>
        <v/>
      </c>
      <c r="AI213" s="1539">
        <f>$V213*BIBLE!V126</f>
        <v/>
      </c>
      <c r="AJ213" s="1539">
        <f>$V213*BIBLE!W126</f>
        <v/>
      </c>
      <c r="AK213" s="1539">
        <f>$V213*BIBLE!X126</f>
        <v/>
      </c>
      <c r="AL213" s="1539">
        <f>$V213*BIBLE!Y126</f>
        <v/>
      </c>
      <c r="AM213" s="1539">
        <f>$V213*BIBLE!Z126</f>
        <v/>
      </c>
      <c r="AN213" s="1539">
        <f>$V213*BIBLE!AA126</f>
        <v/>
      </c>
      <c r="AO213" s="1539">
        <f>$V213*BIBLE!AB126</f>
        <v/>
      </c>
      <c r="AP213" s="1539">
        <f>$V213*BIBLE!AC126</f>
        <v/>
      </c>
    </row>
    <row r="214" ht="65" customFormat="1" customHeight="1" s="7">
      <c r="A214" s="1437">
        <f>BIBLE!E127</f>
        <v/>
      </c>
      <c r="B214" s="158">
        <f>BIBLE!F127</f>
        <v/>
      </c>
      <c r="C214" s="2003">
        <f>BIBLE!O127</f>
        <v/>
      </c>
      <c r="D214" s="125">
        <f>BIBLE!L127</f>
        <v/>
      </c>
      <c r="E214" s="2092" t="n"/>
      <c r="F214" s="2092" t="n"/>
      <c r="G214" s="2092" t="n"/>
      <c r="H214" s="2092" t="n"/>
      <c r="I214" s="2092" t="n"/>
      <c r="J214" s="2092" t="n">
        <v>1</v>
      </c>
      <c r="K214" s="2092" t="n"/>
      <c r="L214" s="2092" t="n"/>
      <c r="M214" s="2092" t="n"/>
      <c r="N214" s="2092" t="n"/>
      <c r="O214" s="2092" t="n"/>
      <c r="P214" s="25">
        <f>'TEST_pour application'!B197</f>
        <v/>
      </c>
      <c r="Q214" s="26">
        <f>P214*D214</f>
        <v/>
      </c>
      <c r="R214" s="2002">
        <f>IF(BIBLE!K127=0,"",BIBLE!K127)</f>
        <v/>
      </c>
      <c r="S214" s="2002" t="n"/>
      <c r="T214" s="2002" t="n"/>
      <c r="U214" s="2002" t="n"/>
      <c r="V214" s="6">
        <f>IF(P214&gt;=R214,IF(Q214&gt;Q215,Q214,Q215),Q214)</f>
        <v/>
      </c>
      <c r="W214" s="2002" t="n"/>
      <c r="X214" s="6">
        <f>IF(($P214&gt;=$R214),IF($Q214&gt;$Q215,X$108*$D214,X$108*$D215),X$108*$D214)</f>
        <v/>
      </c>
      <c r="Y214" s="6">
        <f>IF(($P214&gt;=$R214),IF($Q214&gt;$Q215,Y$108*$D214,Y$108*$D215),Y$108*$D214)</f>
        <v/>
      </c>
      <c r="Z214" s="6">
        <f>IF(($P214&gt;=$R214),IF($Q214&gt;$Q215,Z$108*$D214,Z$108*$D215),Z$108*$D214)</f>
        <v/>
      </c>
      <c r="AA214" s="6">
        <f>IF(($P214&gt;=$R214),IF($Q214&gt;$Q215,AA$108*$D214,AA$108*$D215),AA$108*$D214)</f>
        <v/>
      </c>
      <c r="AB214" s="6">
        <f>IF(($P214&gt;=$R214),IF($Q214&gt;$Q215,AB$108*$D214,AB$108*$D215),AB$108*$D214)</f>
        <v/>
      </c>
      <c r="AC214" s="6">
        <f>IF(($P214&gt;=$R214),IF($Q214&gt;$Q215,AC$108*$D214,AC$108*$D215),AC$108*$D214)</f>
        <v/>
      </c>
      <c r="AE214" s="522" t="n"/>
      <c r="AF214" s="24">
        <f>IF($Q214=$V214,$Q214*BIBLE!R127,$Q215*BIBLE!R128)</f>
        <v/>
      </c>
      <c r="AG214" s="24">
        <f>IF($Q214=$V214,$Q214*BIBLE!S127,$Q215*BIBLE!S128)</f>
        <v/>
      </c>
      <c r="AH214" s="24">
        <f>IF($Q214=$V214,$Q214*BIBLE!T127,$Q215*BIBLE!T128)</f>
        <v/>
      </c>
      <c r="AI214" s="1539">
        <f>IF($Q214=$V214,$Q214*BIBLE!V127,$Q215*BIBLE!V128)</f>
        <v/>
      </c>
      <c r="AJ214" s="1539">
        <f>IF($Q214=$V214,$Q214*BIBLE!W127,$Q215*BIBLE!W128)</f>
        <v/>
      </c>
      <c r="AK214" s="1539">
        <f>IF($Q214=$V214,$Q214*BIBLE!X127,$Q215*BIBLE!X128)</f>
        <v/>
      </c>
      <c r="AL214" s="1539">
        <f>IF($Q214=$V214,$Q214*BIBLE!Y127,$Q215*BIBLE!Y128)</f>
        <v/>
      </c>
      <c r="AM214" s="1539">
        <f>IF($Q214=$V214,$Q214*BIBLE!Z127,$Q215*BIBLE!Z128)</f>
        <v/>
      </c>
      <c r="AN214" s="1539">
        <f>IF($Q214=$V214,$Q214*BIBLE!AA127,$Q215*BIBLE!AA128)</f>
        <v/>
      </c>
      <c r="AO214" s="1539">
        <f>IF($Q214=$V214,$Q214*BIBLE!AB127,$Q215*BIBLE!AB128)</f>
        <v/>
      </c>
      <c r="AP214" s="1539">
        <f>IF($Q214=$V214,$Q214*BIBLE!AC127,$Q215*BIBLE!AC128)</f>
        <v/>
      </c>
    </row>
    <row r="215" ht="65" customFormat="1" customHeight="1" s="7">
      <c r="A215" s="1437">
        <f>BIBLE!E128</f>
        <v/>
      </c>
      <c r="B215" s="159">
        <f>IF(P214&gt;=R214,BIBLE!F128,"")</f>
        <v/>
      </c>
      <c r="C215" s="2003">
        <f>BIBLE!O128</f>
        <v/>
      </c>
      <c r="D215" s="125">
        <f>BIBLE!L128</f>
        <v/>
      </c>
      <c r="E215" s="2092" t="n"/>
      <c r="F215" s="2092" t="n"/>
      <c r="G215" s="2092" t="n"/>
      <c r="H215" s="2092" t="n"/>
      <c r="I215" s="2092" t="n">
        <v>1</v>
      </c>
      <c r="J215" s="2092" t="n"/>
      <c r="K215" s="2092" t="n"/>
      <c r="L215" s="2092" t="n"/>
      <c r="M215" s="2092" t="n"/>
      <c r="N215" s="2092" t="n"/>
      <c r="O215" s="2092" t="n"/>
      <c r="P215" s="25">
        <f>'TEST_pour application'!B198</f>
        <v/>
      </c>
      <c r="Q215" s="26">
        <f>P215*D215</f>
        <v/>
      </c>
      <c r="R215" s="2002">
        <f>IF(BIBLE!K128=0,"",BIBLE!K128)</f>
        <v/>
      </c>
      <c r="S215" s="2002" t="n"/>
      <c r="T215" s="2002" t="n"/>
      <c r="U215" s="2002" t="n"/>
      <c r="V215" s="6" t="n"/>
      <c r="W215" s="2002" t="n"/>
      <c r="X215" s="6" t="n"/>
      <c r="Y215" s="6" t="n"/>
      <c r="Z215" s="6" t="n"/>
      <c r="AA215" s="6" t="n"/>
      <c r="AB215" s="6" t="n"/>
      <c r="AC215" s="6" t="n"/>
      <c r="AE215" s="522" t="n"/>
      <c r="AF215" s="93" t="n"/>
      <c r="AG215" s="93" t="n"/>
      <c r="AH215" s="93" t="n"/>
      <c r="AI215" s="775" t="n"/>
      <c r="AJ215" s="775" t="n"/>
      <c r="AK215" s="775" t="n"/>
      <c r="AL215" s="775" t="n"/>
      <c r="AM215" s="775" t="n"/>
      <c r="AN215" s="775" t="n"/>
      <c r="AO215" s="775" t="n"/>
      <c r="AP215" s="775" t="n"/>
    </row>
    <row r="216" ht="65" customFormat="1" customHeight="1" s="7">
      <c r="A216" s="1437">
        <f>BIBLE!E129</f>
        <v/>
      </c>
      <c r="B216" s="158">
        <f>IF($P$53&gt;=$R$53,BIBLE!F129,"")</f>
        <v/>
      </c>
      <c r="C216" s="2003">
        <f>BIBLE!O129</f>
        <v/>
      </c>
      <c r="D216" s="125">
        <f>BIBLE!L129</f>
        <v/>
      </c>
      <c r="E216" s="2092" t="n"/>
      <c r="F216" s="2092" t="n"/>
      <c r="G216" s="2092" t="n"/>
      <c r="H216" s="2092" t="n"/>
      <c r="I216" s="2092" t="n"/>
      <c r="J216" s="2092" t="n"/>
      <c r="K216" s="2092" t="n"/>
      <c r="L216" s="2092" t="n"/>
      <c r="M216" s="2092" t="n"/>
      <c r="N216" s="2092" t="n"/>
      <c r="O216" s="2092" t="n"/>
      <c r="P216" s="25">
        <f>'TEST_pour application'!B199</f>
        <v/>
      </c>
      <c r="Q216" s="26">
        <f>P216*D216</f>
        <v/>
      </c>
      <c r="R216" s="2002">
        <f>IF(BIBLE!K129=0,"",BIBLE!K129)</f>
        <v/>
      </c>
      <c r="S216" s="2002" t="n"/>
      <c r="T216" s="2002" t="n"/>
      <c r="U216" s="2002" t="n"/>
      <c r="V216" s="6">
        <f>Q216</f>
        <v/>
      </c>
      <c r="W216" s="2002" t="n"/>
      <c r="X216" s="6">
        <f>IF($Q216&gt;0,X$108*$D216,0)</f>
        <v/>
      </c>
      <c r="Y216" s="6">
        <f>IF($Q216&gt;0,Y$108*$D216,0)</f>
        <v/>
      </c>
      <c r="Z216" s="6">
        <f>IF($Q216&gt;0,Z$108*$D216,0)</f>
        <v/>
      </c>
      <c r="AA216" s="6">
        <f>IF($Q216&gt;0,AA$108*$D216,0)</f>
        <v/>
      </c>
      <c r="AB216" s="6">
        <f>IF($Q216&gt;0,AB$108*$D216,0)</f>
        <v/>
      </c>
      <c r="AC216" s="6">
        <f>IF($Q216&gt;0,AC$108*$D216,0)</f>
        <v/>
      </c>
      <c r="AE216" s="522" t="n"/>
      <c r="AF216" s="93" t="n"/>
      <c r="AG216" s="93" t="n"/>
      <c r="AH216" s="93" t="n"/>
      <c r="AI216" s="775" t="n"/>
      <c r="AJ216" s="775" t="n"/>
      <c r="AK216" s="775" t="n"/>
      <c r="AL216" s="775" t="n"/>
      <c r="AM216" s="775" t="n"/>
      <c r="AN216" s="775" t="n"/>
      <c r="AO216" s="775" t="n"/>
      <c r="AP216" s="775" t="n"/>
    </row>
    <row r="217" ht="65" customFormat="1" customHeight="1" s="7">
      <c r="A217" s="1437">
        <f>BIBLE!E130</f>
        <v/>
      </c>
      <c r="B217" s="158">
        <f>BIBLE!F130</f>
        <v/>
      </c>
      <c r="C217" s="2003">
        <f>BIBLE!O130</f>
        <v/>
      </c>
      <c r="D217" s="125">
        <f>BIBLE!L130</f>
        <v/>
      </c>
      <c r="E217" s="2002" t="n"/>
      <c r="F217" s="2092" t="n"/>
      <c r="G217" s="2092" t="n"/>
      <c r="H217" s="2092" t="n"/>
      <c r="I217" s="2092" t="n"/>
      <c r="J217" s="2092" t="n">
        <v>1</v>
      </c>
      <c r="K217" s="2092" t="n"/>
      <c r="L217" s="2092" t="n"/>
      <c r="M217" s="2092" t="n"/>
      <c r="N217" s="2092" t="n"/>
      <c r="O217" s="2092" t="n"/>
      <c r="P217" s="25">
        <f>'TEST_pour application'!B200</f>
        <v/>
      </c>
      <c r="Q217" s="26">
        <f>P217*D217</f>
        <v/>
      </c>
      <c r="R217" s="2002">
        <f>IF(BIBLE!K130=0,"",BIBLE!K130)</f>
        <v/>
      </c>
      <c r="S217" s="2002" t="n"/>
      <c r="T217" s="2002" t="n"/>
      <c r="U217" s="2002" t="n"/>
      <c r="V217" s="6">
        <f>Q217</f>
        <v/>
      </c>
      <c r="W217" s="2002" t="n"/>
      <c r="X217" s="6">
        <f>IF($Q217&gt;0,X$108*$D217,0)</f>
        <v/>
      </c>
      <c r="Y217" s="6">
        <f>IF($Q217&gt;0,Y$108*$D217,0)</f>
        <v/>
      </c>
      <c r="Z217" s="6">
        <f>IF($Q217&gt;0,Z$108*$D217,0)</f>
        <v/>
      </c>
      <c r="AA217" s="6">
        <f>IF($Q217&gt;0,AA$108*$D217,0)</f>
        <v/>
      </c>
      <c r="AB217" s="6">
        <f>IF($Q217&gt;0,AB$108*$D217,0)</f>
        <v/>
      </c>
      <c r="AC217" s="6">
        <f>IF($Q217&gt;0,AC$108*$D217,0)</f>
        <v/>
      </c>
      <c r="AE217" s="522" t="n"/>
      <c r="AF217" s="93" t="n"/>
      <c r="AG217" s="93" t="n"/>
      <c r="AH217" s="93" t="n"/>
      <c r="AI217" s="775" t="n"/>
      <c r="AJ217" s="775" t="n"/>
      <c r="AK217" s="775" t="n"/>
      <c r="AL217" s="775" t="n"/>
      <c r="AM217" s="775" t="n"/>
      <c r="AN217" s="775" t="n"/>
      <c r="AO217" s="775" t="n"/>
      <c r="AP217" s="775" t="n"/>
    </row>
    <row r="218" ht="43" customFormat="1" customHeight="1" s="7">
      <c r="A218" s="1437">
        <f>BIBLE!E131</f>
        <v/>
      </c>
      <c r="B218" s="159">
        <f>IF(P$217&gt;=R$217,BIBLE!F131,"")</f>
        <v/>
      </c>
      <c r="C218" s="1999" t="n"/>
      <c r="D218" s="1611" t="n"/>
      <c r="E218" s="2002">
        <f>(D219*E219)+(D220*E220)+(D221*E221)+(D222*E222)+(D223*E223)</f>
        <v/>
      </c>
      <c r="F218" s="2092" t="n"/>
      <c r="G218" s="2092" t="n"/>
      <c r="H218" s="2092" t="n"/>
      <c r="I218" s="2092" t="n"/>
      <c r="J218" s="2092" t="n"/>
      <c r="K218" s="2092" t="n"/>
      <c r="L218" s="2092" t="n"/>
      <c r="M218" s="2092" t="n"/>
      <c r="N218" s="2092" t="n"/>
      <c r="O218" s="2092" t="n"/>
      <c r="P218" s="1949" t="n"/>
      <c r="Q218" s="26" t="n"/>
      <c r="R218" s="2002">
        <f>IF(BIBLE!K131=0,"",BIBLE!K131)</f>
        <v/>
      </c>
      <c r="S218" s="2002" t="n"/>
      <c r="T218" s="2002" t="n"/>
      <c r="U218" s="2002" t="n"/>
      <c r="V218" s="6" t="n"/>
      <c r="W218" s="2002" t="n"/>
      <c r="X218" s="2002" t="n"/>
      <c r="Y218" s="2002" t="n"/>
      <c r="Z218" s="2002" t="n"/>
      <c r="AA218" s="2002" t="n"/>
      <c r="AB218" s="2002" t="n"/>
      <c r="AC218" s="2002" t="n"/>
      <c r="AE218" s="522" t="n"/>
      <c r="AF218" s="93" t="n"/>
      <c r="AG218" s="93" t="n"/>
      <c r="AH218" s="93" t="n"/>
      <c r="AI218" s="775" t="n"/>
      <c r="AJ218" s="775" t="n"/>
      <c r="AK218" s="775" t="n"/>
      <c r="AL218" s="775" t="n"/>
      <c r="AM218" s="775" t="n"/>
      <c r="AN218" s="775" t="n"/>
      <c r="AO218" s="775" t="n"/>
      <c r="AP218" s="775" t="n"/>
    </row>
    <row r="219" ht="22" customFormat="1" customHeight="1" s="7">
      <c r="A219" s="1437" t="n"/>
      <c r="B219" s="162">
        <f>IF(P$217&gt;=R$217,"Choix d'école et/ou inscription (primaire et secondaire)","")</f>
        <v/>
      </c>
      <c r="C219" s="1999">
        <f>IF(BIBLE!H133=0,"",BIBLE!H133)</f>
        <v/>
      </c>
      <c r="D219" s="1930" t="n">
        <v>7</v>
      </c>
      <c r="E219" s="1952">
        <f>'TEST_pour application'!B201</f>
        <v/>
      </c>
      <c r="F219" s="2092" t="n"/>
      <c r="G219" s="2092" t="n"/>
      <c r="H219" s="2092" t="n"/>
      <c r="I219" s="2092" t="n"/>
      <c r="J219" s="2092" t="n"/>
      <c r="K219" s="2092" t="n"/>
      <c r="L219" s="2092" t="n"/>
      <c r="M219" s="2092" t="n"/>
      <c r="N219" s="2092" t="n"/>
      <c r="O219" s="2092" t="n"/>
      <c r="P219" s="1962">
        <f>D219*E219</f>
        <v/>
      </c>
      <c r="Q219" s="26" t="n"/>
      <c r="R219" s="2002" t="n"/>
      <c r="S219" s="2002" t="n"/>
      <c r="T219" s="2002" t="n"/>
      <c r="U219" s="2002" t="n"/>
      <c r="V219" s="6" t="n"/>
      <c r="W219" s="2002" t="n"/>
      <c r="X219" s="2002" t="n"/>
      <c r="Y219" s="2002" t="n"/>
      <c r="Z219" s="2002" t="n"/>
      <c r="AA219" s="2002" t="n"/>
      <c r="AB219" s="2002" t="n"/>
      <c r="AC219" s="2002" t="n"/>
      <c r="AE219" s="522" t="n"/>
      <c r="AF219" s="93" t="n"/>
      <c r="AG219" s="93" t="n"/>
      <c r="AH219" s="93" t="n"/>
      <c r="AI219" s="775" t="n"/>
      <c r="AJ219" s="775" t="n"/>
      <c r="AK219" s="775" t="n"/>
      <c r="AL219" s="775" t="n"/>
      <c r="AM219" s="775" t="n"/>
      <c r="AN219" s="775" t="n"/>
      <c r="AO219" s="775" t="n"/>
      <c r="AP219" s="775" t="n"/>
    </row>
    <row r="220" ht="22" customFormat="1" customHeight="1" s="7">
      <c r="A220" s="1437" t="n"/>
      <c r="B220" s="162">
        <f>IF(P$217&gt;=R$217,"Choix de club|programme sportif ou calendrier sportif","")</f>
        <v/>
      </c>
      <c r="C220" s="1999">
        <f>IF(BIBLE!H134=0,"",BIBLE!H134)</f>
        <v/>
      </c>
      <c r="D220" s="1930" t="n">
        <v>3</v>
      </c>
      <c r="E220" s="1952">
        <f>'TEST_pour application'!B202</f>
        <v/>
      </c>
      <c r="F220" s="2092" t="n"/>
      <c r="G220" s="2092" t="n"/>
      <c r="H220" s="2092" t="n"/>
      <c r="I220" s="2092" t="n"/>
      <c r="J220" s="2092" t="n"/>
      <c r="K220" s="2092" t="n"/>
      <c r="L220" s="2092" t="n"/>
      <c r="M220" s="2092" t="n"/>
      <c r="N220" s="2092" t="n"/>
      <c r="O220" s="2092" t="n"/>
      <c r="P220" s="1962">
        <f>D220*E220</f>
        <v/>
      </c>
      <c r="Q220" s="26" t="n"/>
      <c r="R220" s="2002" t="n"/>
      <c r="S220" s="2002" t="n"/>
      <c r="T220" s="2002" t="n"/>
      <c r="U220" s="2002" t="n"/>
      <c r="V220" s="6" t="n"/>
      <c r="W220" s="2002" t="n"/>
      <c r="X220" s="2002" t="n"/>
      <c r="Y220" s="2002" t="n"/>
      <c r="Z220" s="2002" t="n"/>
      <c r="AA220" s="2002" t="n"/>
      <c r="AB220" s="2002" t="n"/>
      <c r="AC220" s="2002" t="n"/>
      <c r="AE220" s="522" t="n"/>
      <c r="AF220" s="93" t="n"/>
      <c r="AG220" s="93" t="n"/>
      <c r="AH220" s="93" t="n"/>
      <c r="AI220" s="775" t="n"/>
      <c r="AJ220" s="775" t="n"/>
      <c r="AK220" s="775" t="n"/>
      <c r="AL220" s="775" t="n"/>
      <c r="AM220" s="775" t="n"/>
      <c r="AN220" s="775" t="n"/>
      <c r="AO220" s="775" t="n"/>
      <c r="AP220" s="775" t="n"/>
    </row>
    <row r="221" ht="22" customFormat="1" customHeight="1" s="7">
      <c r="A221" s="1437" t="n"/>
      <c r="B221" s="162">
        <f>IF(P$217&gt;=R$217,"Soins médicaux ou dentaires","")</f>
        <v/>
      </c>
      <c r="C221" s="1999" t="n"/>
      <c r="D221" s="1930" t="n">
        <v>3</v>
      </c>
      <c r="E221" s="1952">
        <f>'TEST_pour application'!B203</f>
        <v/>
      </c>
      <c r="F221" s="2092" t="n"/>
      <c r="G221" s="2092" t="n"/>
      <c r="H221" s="2092" t="n"/>
      <c r="I221" s="2092" t="n"/>
      <c r="J221" s="2092" t="n"/>
      <c r="K221" s="2092" t="n"/>
      <c r="L221" s="2092" t="n"/>
      <c r="M221" s="2092" t="n"/>
      <c r="N221" s="2092" t="n"/>
      <c r="O221" s="2092" t="n"/>
      <c r="P221" s="1962">
        <f>D221*E221</f>
        <v/>
      </c>
      <c r="Q221" s="26" t="n"/>
      <c r="R221" s="2002" t="n"/>
      <c r="S221" s="2002" t="n"/>
      <c r="T221" s="2002" t="n"/>
      <c r="U221" s="2002" t="n"/>
      <c r="V221" s="6" t="n"/>
      <c r="W221" s="2002" t="n"/>
      <c r="X221" s="2002" t="n"/>
      <c r="Y221" s="2002" t="n"/>
      <c r="Z221" s="2002" t="n"/>
      <c r="AA221" s="2002" t="n"/>
      <c r="AB221" s="2002" t="n"/>
      <c r="AC221" s="2002" t="n"/>
      <c r="AE221" s="522" t="n"/>
      <c r="AF221" s="93" t="n"/>
      <c r="AG221" s="93" t="n"/>
      <c r="AH221" s="93" t="n"/>
      <c r="AI221" s="775" t="n"/>
      <c r="AJ221" s="775" t="n"/>
      <c r="AK221" s="775" t="n"/>
      <c r="AL221" s="775" t="n"/>
      <c r="AM221" s="775" t="n"/>
      <c r="AN221" s="775" t="n"/>
      <c r="AO221" s="775" t="n"/>
      <c r="AP221" s="775" t="n"/>
    </row>
    <row r="222" ht="22" customFormat="1" customHeight="1" s="7">
      <c r="A222" s="1437" t="n"/>
      <c r="B222" s="162">
        <f>IF(P$217&gt;=R$217,"Déménagement (forçant un changement majeur ou autres)","")</f>
        <v/>
      </c>
      <c r="C222" s="1999" t="n"/>
      <c r="D222" s="1930" t="n">
        <v>10</v>
      </c>
      <c r="E222" s="1952">
        <f>'TEST_pour application'!B204</f>
        <v/>
      </c>
      <c r="F222" s="2092" t="n"/>
      <c r="G222" s="2092" t="n"/>
      <c r="H222" s="2092" t="n"/>
      <c r="I222" s="2092" t="n"/>
      <c r="J222" s="2092" t="n"/>
      <c r="K222" s="2092" t="n"/>
      <c r="L222" s="2092" t="n"/>
      <c r="M222" s="2092" t="n"/>
      <c r="N222" s="2092" t="n"/>
      <c r="O222" s="2092" t="n"/>
      <c r="P222" s="1962">
        <f>D222*E222</f>
        <v/>
      </c>
      <c r="Q222" s="26" t="n"/>
      <c r="R222" s="2002" t="n"/>
      <c r="S222" s="2002" t="n"/>
      <c r="T222" s="2002" t="n"/>
      <c r="U222" s="2002" t="n"/>
      <c r="V222" s="6" t="n"/>
      <c r="W222" s="2002" t="n"/>
      <c r="X222" s="2002" t="n"/>
      <c r="Y222" s="2002" t="n"/>
      <c r="Z222" s="2002" t="n"/>
      <c r="AA222" s="2002" t="n"/>
      <c r="AB222" s="2002" t="n"/>
      <c r="AC222" s="2002" t="n"/>
      <c r="AE222" s="522" t="n"/>
      <c r="AF222" s="93" t="n"/>
      <c r="AG222" s="93" t="n"/>
      <c r="AH222" s="93" t="n"/>
      <c r="AI222" s="775" t="n"/>
      <c r="AJ222" s="775" t="n"/>
      <c r="AK222" s="775" t="n"/>
      <c r="AL222" s="775" t="n"/>
      <c r="AM222" s="775" t="n"/>
      <c r="AN222" s="775" t="n"/>
      <c r="AO222" s="775" t="n"/>
      <c r="AP222" s="775" t="n"/>
    </row>
    <row r="223" ht="22" customFormat="1" customHeight="1" s="7">
      <c r="A223" s="1437" t="n"/>
      <c r="B223" s="162">
        <f>IF(P$217&gt;=R$217,"Achat d'une valeur significative (auto, animal,…)","")</f>
        <v/>
      </c>
      <c r="C223" s="1999" t="n"/>
      <c r="D223" s="1930" t="n">
        <v>5</v>
      </c>
      <c r="E223" s="1952">
        <f>'TEST_pour application'!B205</f>
        <v/>
      </c>
      <c r="F223" s="2092" t="n"/>
      <c r="G223" s="2092" t="n"/>
      <c r="H223" s="2092" t="n"/>
      <c r="I223" s="2092" t="n"/>
      <c r="J223" s="2092" t="n"/>
      <c r="K223" s="2092" t="n"/>
      <c r="L223" s="2092" t="n"/>
      <c r="M223" s="2092" t="n"/>
      <c r="N223" s="2092" t="n"/>
      <c r="O223" s="2092" t="n"/>
      <c r="P223" s="1962">
        <f>D223*E223</f>
        <v/>
      </c>
      <c r="Q223" s="26" t="n"/>
      <c r="R223" s="2002" t="n"/>
      <c r="S223" s="2002" t="n"/>
      <c r="T223" s="2002" t="n"/>
      <c r="U223" s="2002" t="n"/>
      <c r="V223" s="6" t="n"/>
      <c r="W223" s="2002" t="n"/>
      <c r="X223" s="2002" t="n"/>
      <c r="Y223" s="2002" t="n"/>
      <c r="Z223" s="2002" t="n"/>
      <c r="AA223" s="2002" t="n"/>
      <c r="AB223" s="2002" t="n"/>
      <c r="AC223" s="2002" t="n"/>
      <c r="AE223" s="522" t="n"/>
      <c r="AF223" s="93" t="n"/>
      <c r="AG223" s="93" t="n"/>
      <c r="AH223" s="93" t="n"/>
      <c r="AI223" s="775" t="n"/>
      <c r="AJ223" s="775" t="n"/>
      <c r="AK223" s="775" t="n"/>
      <c r="AL223" s="775" t="n"/>
      <c r="AM223" s="775" t="n"/>
      <c r="AN223" s="775" t="n"/>
      <c r="AO223" s="775" t="n"/>
      <c r="AP223" s="775" t="n"/>
    </row>
    <row r="224" ht="26" customFormat="1" customHeight="1" s="7">
      <c r="A224" s="1437" t="n"/>
      <c r="B224" s="162">
        <f>IF(P$217&gt;=R$217,"Décisions engendrant des coûts significatifs sans votre consentement préalable","")</f>
        <v/>
      </c>
      <c r="C224" s="1999" t="n"/>
      <c r="D224" s="1930" t="n">
        <v>1</v>
      </c>
      <c r="E224" s="1952">
        <f>'TEST_pour application'!B206</f>
        <v/>
      </c>
      <c r="F224" s="2092" t="n"/>
      <c r="G224" s="2092" t="n"/>
      <c r="H224" s="2092" t="n"/>
      <c r="I224" s="2092" t="n"/>
      <c r="J224" s="2092" t="n"/>
      <c r="K224" s="2092" t="n"/>
      <c r="L224" s="2092" t="n"/>
      <c r="M224" s="2092" t="n"/>
      <c r="N224" s="2092" t="n"/>
      <c r="O224" s="2092" t="n"/>
      <c r="P224" s="1962">
        <f>D224*E224</f>
        <v/>
      </c>
      <c r="Q224" s="26" t="n"/>
      <c r="R224" s="2002" t="n"/>
      <c r="S224" s="2002" t="n"/>
      <c r="T224" s="2002" t="n"/>
      <c r="U224" s="2002" t="n"/>
      <c r="V224" s="6" t="n"/>
      <c r="W224" s="2002" t="n"/>
      <c r="X224" s="2002" t="n"/>
      <c r="Y224" s="2002" t="n"/>
      <c r="Z224" s="2002" t="n"/>
      <c r="AA224" s="2002" t="n"/>
      <c r="AB224" s="2002" t="n"/>
      <c r="AC224" s="2002" t="n"/>
      <c r="AE224" s="522" t="n"/>
      <c r="AF224" s="93" t="n"/>
      <c r="AG224" s="93" t="n"/>
      <c r="AH224" s="93" t="n"/>
      <c r="AI224" s="775" t="n"/>
      <c r="AJ224" s="775" t="n"/>
      <c r="AK224" s="775" t="n"/>
      <c r="AL224" s="775" t="n"/>
      <c r="AM224" s="775" t="n"/>
      <c r="AN224" s="775" t="n"/>
      <c r="AO224" s="775" t="n"/>
      <c r="AP224" s="775" t="n"/>
    </row>
    <row r="225" ht="22" customFormat="1" customHeight="1" s="7">
      <c r="A225" s="1437" t="n"/>
      <c r="B225" s="162">
        <f>IF(P$217&gt;=R$217,"Autre (spécifiez)","")</f>
        <v/>
      </c>
      <c r="C225" s="1999" t="n"/>
      <c r="D225" s="1930" t="inlineStr">
        <is>
          <t>Custom</t>
        </is>
      </c>
      <c r="E225" s="1952" t="n"/>
      <c r="F225" s="2092" t="n"/>
      <c r="G225" s="2092" t="n"/>
      <c r="H225" s="2092" t="n"/>
      <c r="I225" s="2092" t="n"/>
      <c r="J225" s="2092" t="n"/>
      <c r="K225" s="2092" t="n"/>
      <c r="L225" s="2092" t="n"/>
      <c r="M225" s="2092" t="n"/>
      <c r="N225" s="2092" t="n"/>
      <c r="O225" s="2092" t="n"/>
      <c r="P225" s="1962" t="n"/>
      <c r="Q225" s="26" t="n"/>
      <c r="R225" s="2002" t="n"/>
      <c r="S225" s="2002" t="n"/>
      <c r="T225" s="2002" t="n"/>
      <c r="U225" s="2002" t="n"/>
      <c r="V225" s="6" t="n"/>
      <c r="W225" s="2002" t="n"/>
      <c r="X225" s="2002" t="n"/>
      <c r="Y225" s="2002" t="n"/>
      <c r="Z225" s="2002" t="n"/>
      <c r="AA225" s="2002" t="n"/>
      <c r="AB225" s="2002" t="n"/>
      <c r="AC225" s="2002" t="n"/>
      <c r="AE225" s="522" t="n"/>
      <c r="AF225" s="93" t="n"/>
      <c r="AG225" s="93" t="n"/>
      <c r="AH225" s="93" t="n"/>
      <c r="AI225" s="775" t="n"/>
      <c r="AJ225" s="775" t="n"/>
      <c r="AK225" s="775" t="n"/>
      <c r="AL225" s="775" t="n"/>
      <c r="AM225" s="775" t="n"/>
      <c r="AN225" s="775" t="n"/>
      <c r="AO225" s="775" t="n"/>
      <c r="AP225" s="775" t="n"/>
    </row>
    <row r="226" ht="22" customFormat="1" customHeight="1" s="7">
      <c r="A226" s="1437" t="n"/>
      <c r="B226" s="162" t="n"/>
      <c r="C226" s="1999" t="n"/>
      <c r="D226" s="26" t="n"/>
      <c r="E226" s="26" t="n"/>
      <c r="F226" s="2092" t="n"/>
      <c r="G226" s="2092" t="n"/>
      <c r="H226" s="2092" t="n"/>
      <c r="I226" s="2092" t="n"/>
      <c r="J226" s="2092" t="n"/>
      <c r="K226" s="2092" t="n"/>
      <c r="L226" s="2092" t="n"/>
      <c r="M226" s="2092" t="n"/>
      <c r="N226" s="2092" t="n"/>
      <c r="O226" s="2092" t="n"/>
      <c r="P226" s="26" t="n"/>
      <c r="Q226" s="26" t="n"/>
      <c r="R226" s="2002" t="n"/>
      <c r="S226" s="2002" t="n"/>
      <c r="T226" s="2002" t="n"/>
      <c r="U226" s="2002" t="n"/>
      <c r="V226" s="6" t="n"/>
      <c r="W226" s="2002" t="n"/>
      <c r="X226" s="2002" t="n"/>
      <c r="Y226" s="2002" t="n"/>
      <c r="Z226" s="2002" t="n"/>
      <c r="AA226" s="2002" t="n"/>
      <c r="AB226" s="2002" t="n"/>
      <c r="AC226" s="2002" t="n"/>
      <c r="AE226" s="522" t="n"/>
      <c r="AF226" s="93" t="n"/>
      <c r="AG226" s="93" t="n"/>
      <c r="AH226" s="93" t="n"/>
      <c r="AI226" s="775" t="n"/>
      <c r="AJ226" s="775" t="n"/>
      <c r="AK226" s="775" t="n"/>
      <c r="AL226" s="775" t="n"/>
      <c r="AM226" s="775" t="n"/>
      <c r="AN226" s="775" t="n"/>
      <c r="AO226" s="775" t="n"/>
      <c r="AP226" s="775" t="n"/>
    </row>
    <row r="227" ht="39" customFormat="1" customHeight="1" s="7">
      <c r="A227" s="1437">
        <f>BIBLE!E132</f>
        <v/>
      </c>
      <c r="B227" s="159">
        <f>IF(P217&gt;=R217,BIBLE!F132,"")</f>
        <v/>
      </c>
      <c r="C227" s="125" t="inlineStr">
        <is>
          <t>Oui</t>
        </is>
      </c>
      <c r="D227" s="1930" t="n">
        <v>1</v>
      </c>
      <c r="E227" s="1948">
        <f>IF(P$227=D227,1,"x")</f>
        <v/>
      </c>
      <c r="F227" s="2092" t="n"/>
      <c r="G227" s="2092" t="n"/>
      <c r="H227" s="2092" t="n"/>
      <c r="I227" s="2092" t="n"/>
      <c r="J227" s="2092" t="n"/>
      <c r="K227" s="2092" t="n"/>
      <c r="L227" s="2092" t="n"/>
      <c r="M227" s="2092" t="n"/>
      <c r="N227" s="2092" t="n"/>
      <c r="O227" s="2092" t="n"/>
      <c r="P227" s="2094">
        <f>'TEST_pour application'!B207</f>
        <v/>
      </c>
      <c r="Q227" s="26" t="n"/>
      <c r="R227" s="2002">
        <f>IF(BIBLE!K132=0,"",BIBLE!K132)</f>
        <v/>
      </c>
      <c r="S227" s="2002" t="n"/>
      <c r="T227" s="2002" t="n"/>
      <c r="U227" s="2002" t="n"/>
      <c r="V227" s="6" t="n"/>
      <c r="W227" s="2002" t="n"/>
      <c r="X227" s="2002" t="n"/>
      <c r="Y227" s="2002" t="n"/>
      <c r="Z227" s="2002" t="n"/>
      <c r="AA227" s="2002" t="n"/>
      <c r="AB227" s="2002" t="n"/>
      <c r="AC227" s="2002" t="n"/>
      <c r="AE227" s="522" t="n"/>
      <c r="AF227" s="93" t="n"/>
      <c r="AG227" s="93" t="n"/>
      <c r="AH227" s="93" t="n"/>
      <c r="AI227" s="775" t="n"/>
      <c r="AJ227" s="775" t="n"/>
      <c r="AK227" s="775" t="n"/>
      <c r="AL227" s="775" t="n"/>
      <c r="AM227" s="775" t="n"/>
      <c r="AN227" s="775" t="n"/>
      <c r="AO227" s="775" t="n"/>
      <c r="AP227" s="775" t="n"/>
    </row>
    <row r="228" ht="25" customFormat="1" customHeight="1" s="7">
      <c r="A228" s="1437" t="n"/>
      <c r="B228" s="159" t="n"/>
      <c r="C228" s="125" t="inlineStr">
        <is>
          <t>Non</t>
        </is>
      </c>
      <c r="D228" s="1931" t="n">
        <v>2</v>
      </c>
      <c r="E228" s="1948">
        <f>IF(P$227=D228,1,"x")</f>
        <v/>
      </c>
      <c r="F228" s="2092" t="n"/>
      <c r="G228" s="2092" t="n"/>
      <c r="H228" s="2092" t="n"/>
      <c r="I228" s="2092" t="n"/>
      <c r="J228" s="2092" t="n"/>
      <c r="K228" s="2092" t="n"/>
      <c r="L228" s="2092" t="n"/>
      <c r="M228" s="2092" t="n"/>
      <c r="N228" s="2092" t="n"/>
      <c r="O228" s="2092" t="n"/>
      <c r="P228" s="26" t="n"/>
      <c r="Q228" s="26" t="n"/>
      <c r="R228" s="2002" t="n"/>
      <c r="S228" s="2002" t="n"/>
      <c r="T228" s="2002" t="n"/>
      <c r="U228" s="2002" t="n"/>
      <c r="V228" s="6" t="n"/>
      <c r="W228" s="2002" t="n"/>
      <c r="X228" s="2002" t="n"/>
      <c r="Y228" s="2002" t="n"/>
      <c r="Z228" s="2002" t="n"/>
      <c r="AA228" s="2002" t="n"/>
      <c r="AB228" s="2002" t="n"/>
      <c r="AC228" s="2002" t="n"/>
      <c r="AE228" s="522" t="n"/>
      <c r="AF228" s="93" t="n"/>
      <c r="AG228" s="93" t="n"/>
      <c r="AH228" s="93" t="n"/>
      <c r="AI228" s="775" t="n"/>
      <c r="AJ228" s="775" t="n"/>
      <c r="AK228" s="775" t="n"/>
      <c r="AL228" s="775" t="n"/>
      <c r="AM228" s="775" t="n"/>
      <c r="AN228" s="775" t="n"/>
      <c r="AO228" s="775" t="n"/>
      <c r="AP228" s="775" t="n"/>
    </row>
    <row r="229" ht="15" customFormat="1" customHeight="1" s="7">
      <c r="A229" s="1437" t="n"/>
      <c r="C229" s="24">
        <f>IF(BIBLE!H135=0,"",BIBLE!H135)</f>
        <v/>
      </c>
      <c r="D229" s="125" t="n"/>
      <c r="E229" s="2092" t="n"/>
      <c r="F229" s="2092" t="n"/>
      <c r="G229" s="2092" t="n"/>
      <c r="H229" s="2092" t="n"/>
      <c r="I229" s="2092" t="n"/>
      <c r="J229" s="2092" t="n"/>
      <c r="K229" s="2092" t="n"/>
      <c r="L229" s="2092" t="n"/>
      <c r="M229" s="2092" t="n"/>
      <c r="N229" s="2092" t="n"/>
      <c r="O229" s="2092" t="n"/>
      <c r="P229" s="26" t="n"/>
      <c r="Q229" s="26" t="n"/>
      <c r="R229" s="2002" t="n"/>
      <c r="S229" s="2002" t="n"/>
      <c r="T229" s="2002" t="n"/>
      <c r="U229" s="2002" t="n"/>
      <c r="V229" s="6" t="n"/>
      <c r="W229" s="2002" t="n"/>
      <c r="X229" s="2002" t="n"/>
      <c r="Y229" s="2002" t="n"/>
      <c r="Z229" s="2002" t="n"/>
      <c r="AA229" s="2002" t="n"/>
      <c r="AB229" s="2002" t="n"/>
      <c r="AC229" s="2002" t="n"/>
      <c r="AE229" s="522" t="n"/>
      <c r="AF229" s="93" t="n"/>
      <c r="AG229" s="93" t="n"/>
      <c r="AH229" s="93" t="n"/>
      <c r="AI229" s="775" t="n"/>
      <c r="AJ229" s="775" t="n"/>
      <c r="AK229" s="775" t="n"/>
      <c r="AL229" s="775" t="n"/>
      <c r="AM229" s="775" t="n"/>
      <c r="AN229" s="775" t="n"/>
      <c r="AO229" s="775" t="n"/>
      <c r="AP229" s="775" t="n"/>
    </row>
    <row r="230" ht="79" customFormat="1" customHeight="1" s="7">
      <c r="A230" s="1437">
        <f>BIBLE!E133</f>
        <v/>
      </c>
      <c r="B230" s="158">
        <f>IF(OR($P$53&gt;=$R$53,OR(E62=1,E63=1,E64=1,E65=1)),BIBLE!F133,"")</f>
        <v/>
      </c>
      <c r="C230" s="1056">
        <f>BIBLE!O133</f>
        <v/>
      </c>
      <c r="D230" s="125">
        <f>BIBLE!L133</f>
        <v/>
      </c>
      <c r="E230" s="2092" t="n"/>
      <c r="F230" s="2092" t="n"/>
      <c r="G230" s="2092" t="n"/>
      <c r="H230" s="2092" t="n"/>
      <c r="I230" s="2092" t="n"/>
      <c r="J230" s="2092" t="n">
        <v>1</v>
      </c>
      <c r="K230" s="2092" t="n"/>
      <c r="L230" s="2092" t="n"/>
      <c r="M230" s="2092" t="n"/>
      <c r="N230" s="2092" t="n"/>
      <c r="O230" s="2092" t="n"/>
      <c r="P230" s="25">
        <f>'TEST_pour application'!B208</f>
        <v/>
      </c>
      <c r="Q230" s="26">
        <f>P230*D230</f>
        <v/>
      </c>
      <c r="R230" s="2002">
        <f>IF(BIBLE!K133=0,"",BIBLE!K133)</f>
        <v/>
      </c>
      <c r="S230" s="301" t="n"/>
      <c r="T230" s="301" t="n"/>
      <c r="U230" s="301" t="n"/>
      <c r="V230" s="6">
        <f>MAX(AQ230:AQ232)</f>
        <v/>
      </c>
      <c r="W230" s="2002" t="n"/>
      <c r="X230" s="6">
        <f>MAX(AS230:AS232)</f>
        <v/>
      </c>
      <c r="Y230" s="6">
        <f>MAX(AT230:AT232)</f>
        <v/>
      </c>
      <c r="Z230" s="6">
        <f>MAX(AU230:AU232)</f>
        <v/>
      </c>
      <c r="AA230" s="6">
        <f>MAX(AV230:AV232)</f>
        <v/>
      </c>
      <c r="AB230" s="6">
        <f>MAX(AW230:AW232)</f>
        <v/>
      </c>
      <c r="AC230" s="6">
        <f>MAX(AX230:AX232)</f>
        <v/>
      </c>
      <c r="AE230" s="522" t="n"/>
      <c r="AF230" s="93">
        <f>IF($Q230=$V230,$Q230*BIBLE!R134,IF(Test_Bible!$Q231=Test_Bible!$V230,Test_Bible!$Q231*BIBLE!R135,Test_Bible!$Q232*BIBLE!R136))</f>
        <v/>
      </c>
      <c r="AG230" s="93">
        <f>IF($Q230=$V230,$Q230*BIBLE!S134,IF(Test_Bible!$Q231=Test_Bible!$V230,Test_Bible!$Q231*BIBLE!S135,Test_Bible!$Q232*BIBLE!S136))</f>
        <v/>
      </c>
      <c r="AH230" s="93">
        <f>IF($Q230=$V230,$Q230*BIBLE!T134,IF(Test_Bible!$Q231=Test_Bible!$V230,Test_Bible!$Q231*BIBLE!T135,Test_Bible!$Q232*BIBLE!T136))</f>
        <v/>
      </c>
      <c r="AI230" s="775">
        <f>IF($Q230=$V230,$Q230*BIBLE!V134,IF(Test_Bible!$Q231=Test_Bible!$V230,Test_Bible!$Q231*BIBLE!V135,Test_Bible!$Q232*BIBLE!V136))</f>
        <v/>
      </c>
      <c r="AJ230" s="775">
        <f>IF($Q230=$V230,$Q230*BIBLE!W134,IF(Test_Bible!$Q231=Test_Bible!$V230,Test_Bible!$Q231*BIBLE!W135,Test_Bible!$Q232*BIBLE!W136))</f>
        <v/>
      </c>
      <c r="AK230" s="775">
        <f>IF($Q230=$V230,$Q230*BIBLE!X134,IF(Test_Bible!$Q231=Test_Bible!$V230,Test_Bible!$Q231*BIBLE!X135,Test_Bible!$Q232*BIBLE!X136))</f>
        <v/>
      </c>
      <c r="AL230" s="775">
        <f>IF($Q230=$V230,$Q230*BIBLE!Y134,IF(Test_Bible!$Q231=Test_Bible!$V230,Test_Bible!$Q231*BIBLE!Y135,Test_Bible!$Q232*BIBLE!Y136))</f>
        <v/>
      </c>
      <c r="AM230" s="775">
        <f>IF($Q230=$V230,$Q230*BIBLE!Z134,IF(Test_Bible!$Q231=Test_Bible!$V230,Test_Bible!$Q231*BIBLE!Z135,Test_Bible!$Q232*BIBLE!Z136))</f>
        <v/>
      </c>
      <c r="AN230" s="775">
        <f>IF($Q230=$V230,$Q230*BIBLE!AA134,IF(Test_Bible!$Q231=Test_Bible!$V230,Test_Bible!$Q231*BIBLE!AA135,Test_Bible!$Q232*BIBLE!AA136))</f>
        <v/>
      </c>
      <c r="AO230" s="775">
        <f>IF($Q230=$V230,$Q230*BIBLE!AB134,IF(Test_Bible!$Q231=Test_Bible!$V230,Test_Bible!$Q231*BIBLE!AB135,Test_Bible!$Q232*BIBLE!AB136))</f>
        <v/>
      </c>
      <c r="AP230" s="775">
        <f>IF($Q230=$V230,$Q230*BIBLE!AC134,IF(Test_Bible!$Q231=Test_Bible!$V230,Test_Bible!$Q231*BIBLE!AC135,Test_Bible!$Q232*BIBLE!AC136))</f>
        <v/>
      </c>
      <c r="AQ230" s="6">
        <f>Q230</f>
        <v/>
      </c>
      <c r="AR230" s="301" t="n"/>
      <c r="AS230" s="6">
        <f>IF($Q230&gt;0,X$108*$D230,0)</f>
        <v/>
      </c>
      <c r="AT230" s="6">
        <f>IF($Q230&gt;0,Y$108*$D230,0)</f>
        <v/>
      </c>
      <c r="AU230" s="6">
        <f>IF($Q230&gt;0,Z$108*$D230,0)</f>
        <v/>
      </c>
      <c r="AV230" s="6">
        <f>IF($Q230&gt;0,AA$108*$D230,0)</f>
        <v/>
      </c>
      <c r="AW230" s="6">
        <f>IF($Q230&gt;0,AB$108*$D230,0)</f>
        <v/>
      </c>
      <c r="AX230" s="6">
        <f>IF($Q230&gt;0,AC$108*$D230,0)</f>
        <v/>
      </c>
    </row>
    <row r="231" ht="79" customFormat="1" customHeight="1" s="7">
      <c r="A231" s="1437">
        <f>BIBLE!E134</f>
        <v/>
      </c>
      <c r="B231" s="159">
        <f>IF(P230&gt;=R230,BIBLE!F134,"")</f>
        <v/>
      </c>
      <c r="C231" s="1056">
        <f>BIBLE!O134</f>
        <v/>
      </c>
      <c r="D231" s="125">
        <f>BIBLE!L134</f>
        <v/>
      </c>
      <c r="E231" s="2092" t="n"/>
      <c r="F231" s="2092" t="n"/>
      <c r="G231" s="2092" t="n"/>
      <c r="H231" s="2092" t="n"/>
      <c r="I231" s="2092" t="n"/>
      <c r="J231" s="2092" t="n">
        <v>1</v>
      </c>
      <c r="K231" s="2092" t="n"/>
      <c r="L231" s="2092" t="n"/>
      <c r="M231" s="2092" t="n"/>
      <c r="N231" s="2092" t="n"/>
      <c r="O231" s="2092" t="n"/>
      <c r="P231" s="25">
        <f>'TEST_pour application'!B209</f>
        <v/>
      </c>
      <c r="Q231" s="26">
        <f>P231*D231</f>
        <v/>
      </c>
      <c r="R231" s="2002">
        <f>IF(BIBLE!K134=0,"",BIBLE!K134)</f>
        <v/>
      </c>
      <c r="S231" s="301" t="n"/>
      <c r="T231" s="301" t="n"/>
      <c r="U231" s="301" t="n"/>
      <c r="V231" s="2002" t="n"/>
      <c r="AE231" s="522" t="n"/>
      <c r="AF231" s="93" t="n"/>
      <c r="AG231" s="93" t="n"/>
      <c r="AH231" s="93" t="n"/>
      <c r="AI231" s="775" t="n"/>
      <c r="AJ231" s="775" t="n"/>
      <c r="AK231" s="775" t="n"/>
      <c r="AL231" s="775" t="n"/>
      <c r="AM231" s="775" t="n"/>
      <c r="AN231" s="775" t="n"/>
      <c r="AO231" s="775" t="n"/>
      <c r="AP231" s="775" t="n"/>
      <c r="AQ231" s="6">
        <f>Q231</f>
        <v/>
      </c>
      <c r="AR231" s="301" t="n"/>
      <c r="AS231" s="6">
        <f>IF($Q231&gt;0,X$108*$D231,0)</f>
        <v/>
      </c>
      <c r="AT231" s="6">
        <f>IF($Q231&gt;0,Y$108*$D231,0)</f>
        <v/>
      </c>
      <c r="AU231" s="6">
        <f>IF($Q231&gt;0,Z$108*$D231,0)</f>
        <v/>
      </c>
      <c r="AV231" s="6">
        <f>IF($Q231&gt;0,AA$108*$D231,0)</f>
        <v/>
      </c>
      <c r="AW231" s="6">
        <f>IF($Q231&gt;0,AB$108*$D231,0)</f>
        <v/>
      </c>
      <c r="AX231" s="6">
        <f>IF($Q231&gt;0,AC$108*$D231,0)</f>
        <v/>
      </c>
      <c r="AZ231" s="17" t="inlineStr">
        <is>
          <t>Deux SQ, mais à un niveau différent, on prend le max entre la Q et les SQ</t>
        </is>
      </c>
    </row>
    <row r="232" ht="79" customFormat="1" customHeight="1" s="7">
      <c r="A232" s="1437">
        <f>BIBLE!E135</f>
        <v/>
      </c>
      <c r="B232" s="1452">
        <f>IF(P231&gt;=R231,IF(AND($P$177=0,$P$184=B2255),BIBLE!F135,""),"")</f>
        <v/>
      </c>
      <c r="C232" s="2003">
        <f>BIBLE!O135</f>
        <v/>
      </c>
      <c r="D232" s="125">
        <f>BIBLE!L135</f>
        <v/>
      </c>
      <c r="E232" s="2092" t="n"/>
      <c r="F232" s="2092" t="n"/>
      <c r="G232" s="2092" t="n"/>
      <c r="H232" s="2092" t="n"/>
      <c r="I232" s="2092" t="n"/>
      <c r="J232" s="2092" t="n"/>
      <c r="K232" s="2092" t="n"/>
      <c r="L232" s="2092" t="n"/>
      <c r="M232" s="2092" t="n"/>
      <c r="N232" s="2092" t="n"/>
      <c r="O232" s="2092" t="n"/>
      <c r="P232" s="25">
        <f>'TEST_pour application'!B210</f>
        <v/>
      </c>
      <c r="Q232" s="26">
        <f>P232*D232</f>
        <v/>
      </c>
      <c r="R232" s="2002">
        <f>IF(BIBLE!K135=0,"",BIBLE!K135)</f>
        <v/>
      </c>
      <c r="S232" s="301" t="n"/>
      <c r="T232" s="301" t="n"/>
      <c r="U232" s="301" t="n"/>
      <c r="V232" s="2002" t="n"/>
      <c r="AE232" s="494">
        <f>Q232</f>
        <v/>
      </c>
      <c r="AF232" s="26" t="n"/>
      <c r="AG232" s="26" t="n"/>
      <c r="AH232" s="26" t="n"/>
      <c r="AI232" s="1541" t="n"/>
      <c r="AJ232" s="1541" t="n"/>
      <c r="AK232" s="1541" t="n"/>
      <c r="AL232" s="1541" t="n"/>
      <c r="AM232" s="1541" t="n"/>
      <c r="AN232" s="1541" t="n"/>
      <c r="AO232" s="1541" t="n"/>
      <c r="AP232" s="1541" t="n"/>
      <c r="AQ232" s="6">
        <f>Q232</f>
        <v/>
      </c>
      <c r="AR232" s="301" t="n"/>
      <c r="AS232" s="6">
        <f>IF($Q232&gt;0,X$108*$D232,0)</f>
        <v/>
      </c>
      <c r="AT232" s="6">
        <f>IF($Q232&gt;0,Y$108*$D232,0)</f>
        <v/>
      </c>
      <c r="AU232" s="6">
        <f>IF($Q232&gt;0,Z$108*$D232,0)</f>
        <v/>
      </c>
      <c r="AV232" s="6">
        <f>IF($Q232&gt;0,AA$108*$D232,0)</f>
        <v/>
      </c>
      <c r="AW232" s="6">
        <f>IF($Q232&gt;0,AB$108*$D232,0)</f>
        <v/>
      </c>
      <c r="AX232" s="6">
        <f>IF($Q232&gt;0,AC$108*$D232,0)</f>
        <v/>
      </c>
    </row>
    <row r="233" ht="55.5" customFormat="1" customHeight="1" s="7">
      <c r="A233" s="1437">
        <f>BIBLE!E136</f>
        <v/>
      </c>
      <c r="B233" s="159">
        <f>IF(P231&gt;=R231,BIBLE!F136,"")</f>
        <v/>
      </c>
      <c r="C233" s="24" t="n"/>
      <c r="D233" s="125" t="n"/>
      <c r="E233" s="2002">
        <f>(D234*E234)+(D235*E235)+(D236*E236)+(D237*E237)</f>
        <v/>
      </c>
      <c r="F233" s="2092" t="n"/>
      <c r="G233" s="2092" t="n"/>
      <c r="H233" s="2092" t="n"/>
      <c r="I233" s="2092" t="n"/>
      <c r="J233" s="2092" t="n"/>
      <c r="K233" s="2092" t="n"/>
      <c r="L233" s="2092" t="n"/>
      <c r="M233" s="2092" t="n"/>
      <c r="N233" s="2092" t="n"/>
      <c r="O233" s="2092" t="n"/>
      <c r="P233" s="26" t="n"/>
      <c r="Q233" s="26" t="n"/>
      <c r="R233" s="2002">
        <f>IF(BIBLE!K136=0,"",BIBLE!K136)</f>
        <v/>
      </c>
      <c r="S233" s="301" t="n"/>
      <c r="T233" s="301" t="n"/>
      <c r="U233" s="301" t="n"/>
      <c r="V233" s="6" t="n"/>
      <c r="W233" s="301" t="n"/>
      <c r="X233" s="2002" t="n"/>
      <c r="Y233" s="2002" t="n"/>
      <c r="Z233" s="2002" t="n"/>
      <c r="AA233" s="2002" t="n"/>
      <c r="AB233" s="2002" t="n"/>
      <c r="AC233" s="2002" t="n"/>
      <c r="AE233" s="522" t="n"/>
      <c r="AF233" s="93" t="n"/>
      <c r="AG233" s="93" t="n"/>
      <c r="AH233" s="93" t="n"/>
      <c r="AI233" s="775" t="n"/>
      <c r="AJ233" s="775" t="n"/>
      <c r="AK233" s="775" t="n"/>
      <c r="AL233" s="775" t="n"/>
      <c r="AM233" s="775" t="n"/>
      <c r="AN233" s="775" t="n"/>
      <c r="AO233" s="775" t="n"/>
      <c r="AP233" s="775" t="n"/>
    </row>
    <row r="234" ht="37" customFormat="1" customHeight="1" s="7">
      <c r="A234" s="1437" t="n"/>
      <c r="B234" s="162">
        <f>IF(P231&gt;=R231,"Changement d’école ou d’équipe sportive (rupture d'environnement de l'enfant, problème de transport, etc.)","")</f>
        <v/>
      </c>
      <c r="C234" s="24" t="n"/>
      <c r="D234" s="1930" t="n">
        <v>10</v>
      </c>
      <c r="E234" s="1952">
        <f>'TEST_pour application'!B211</f>
        <v/>
      </c>
      <c r="F234" s="2092" t="n"/>
      <c r="G234" s="2092" t="n"/>
      <c r="H234" s="2092" t="n"/>
      <c r="I234" s="2092" t="n"/>
      <c r="J234" s="2092" t="n"/>
      <c r="K234" s="2092" t="n"/>
      <c r="L234" s="2092" t="n"/>
      <c r="M234" s="2092" t="n"/>
      <c r="N234" s="2092" t="n"/>
      <c r="O234" s="2092" t="n"/>
      <c r="P234" s="1947">
        <f>D234*E234</f>
        <v/>
      </c>
      <c r="Q234" s="26" t="n"/>
      <c r="R234" s="2002" t="n"/>
      <c r="S234" s="301" t="n"/>
      <c r="T234" s="301" t="n"/>
      <c r="U234" s="301" t="n"/>
      <c r="V234" s="6" t="n"/>
      <c r="W234" s="301" t="n"/>
      <c r="X234" s="2002" t="n"/>
      <c r="Y234" s="2002" t="n"/>
      <c r="Z234" s="2002" t="n"/>
      <c r="AA234" s="2002" t="n"/>
      <c r="AB234" s="2002" t="n"/>
      <c r="AC234" s="2002" t="n"/>
      <c r="AE234" s="522" t="n"/>
      <c r="AF234" s="93" t="n"/>
      <c r="AG234" s="93" t="n"/>
      <c r="AH234" s="93" t="n"/>
      <c r="AI234" s="775" t="n"/>
      <c r="AJ234" s="775" t="n"/>
      <c r="AK234" s="775" t="n"/>
      <c r="AL234" s="775" t="n"/>
      <c r="AM234" s="775" t="n"/>
      <c r="AN234" s="775" t="n"/>
      <c r="AO234" s="775" t="n"/>
      <c r="AP234" s="775" t="n"/>
    </row>
    <row r="235" ht="32" customFormat="1" customHeight="1" s="7">
      <c r="A235" s="1437" t="n"/>
      <c r="B235" s="162">
        <f>IF(P231&gt;=R231,"Changement de nom","")</f>
        <v/>
      </c>
      <c r="C235" s="24" t="n"/>
      <c r="D235" s="1930" t="n">
        <v>10</v>
      </c>
      <c r="E235" s="1952">
        <f>'TEST_pour application'!B212</f>
        <v/>
      </c>
      <c r="F235" s="2092" t="n"/>
      <c r="G235" s="2092" t="n"/>
      <c r="H235" s="2092" t="n"/>
      <c r="I235" s="2092" t="n"/>
      <c r="J235" s="2092" t="n"/>
      <c r="K235" s="2092" t="n"/>
      <c r="L235" s="2092" t="n"/>
      <c r="M235" s="2092" t="n"/>
      <c r="N235" s="2092" t="n"/>
      <c r="O235" s="2092" t="n"/>
      <c r="P235" s="1947">
        <f>D235*E235</f>
        <v/>
      </c>
      <c r="Q235" s="26" t="n"/>
      <c r="R235" s="2002" t="n"/>
      <c r="S235" s="301" t="n"/>
      <c r="T235" s="301" t="n"/>
      <c r="U235" s="301" t="n"/>
      <c r="V235" s="6" t="n"/>
      <c r="W235" s="301" t="n"/>
      <c r="X235" s="2002" t="n"/>
      <c r="Y235" s="2002" t="n"/>
      <c r="Z235" s="2002" t="n"/>
      <c r="AA235" s="2002" t="n"/>
      <c r="AB235" s="2002" t="n"/>
      <c r="AC235" s="2002" t="n"/>
      <c r="AE235" s="522" t="n"/>
      <c r="AF235" s="93" t="n"/>
      <c r="AG235" s="93" t="n"/>
      <c r="AH235" s="93" t="n"/>
      <c r="AI235" s="775" t="n"/>
      <c r="AJ235" s="775" t="n"/>
      <c r="AK235" s="775" t="n"/>
      <c r="AL235" s="775" t="n"/>
      <c r="AM235" s="775" t="n"/>
      <c r="AN235" s="775" t="n"/>
      <c r="AO235" s="775" t="n"/>
      <c r="AP235" s="775" t="n"/>
    </row>
    <row r="236" ht="42" customFormat="1" customHeight="1" s="7">
      <c r="A236" s="1437" t="n"/>
      <c r="B236" s="162">
        <f>IF(P231&gt;=R231,"Éloignement physique (ex.: déménagement causant un changement d’école, perte d’amis, etc.)","")</f>
        <v/>
      </c>
      <c r="C236" s="24" t="n"/>
      <c r="D236" s="1930" t="n">
        <v>10</v>
      </c>
      <c r="E236" s="1952">
        <f>'TEST_pour application'!B213</f>
        <v/>
      </c>
      <c r="F236" s="2092" t="n"/>
      <c r="G236" s="2092" t="n"/>
      <c r="H236" s="2092" t="n"/>
      <c r="I236" s="2092" t="n"/>
      <c r="J236" s="2092" t="n"/>
      <c r="K236" s="2092" t="n"/>
      <c r="L236" s="2092" t="n"/>
      <c r="M236" s="2092" t="n"/>
      <c r="N236" s="2092" t="n"/>
      <c r="O236" s="2092" t="n"/>
      <c r="P236" s="1947">
        <f>D236*E236</f>
        <v/>
      </c>
      <c r="Q236" s="26" t="n"/>
      <c r="R236" s="2002" t="n"/>
      <c r="S236" s="301" t="n"/>
      <c r="T236" s="301" t="n"/>
      <c r="U236" s="301" t="n"/>
      <c r="V236" s="6" t="n"/>
      <c r="W236" s="301" t="n"/>
      <c r="X236" s="2002" t="n"/>
      <c r="Y236" s="2002" t="n"/>
      <c r="Z236" s="2002" t="n"/>
      <c r="AA236" s="2002" t="n"/>
      <c r="AB236" s="2002" t="n"/>
      <c r="AC236" s="2002" t="n"/>
      <c r="AE236" s="522" t="n"/>
      <c r="AF236" s="93" t="n"/>
      <c r="AG236" s="93" t="n"/>
      <c r="AH236" s="93" t="n"/>
      <c r="AI236" s="775" t="n"/>
      <c r="AJ236" s="775" t="n"/>
      <c r="AK236" s="775" t="n"/>
      <c r="AL236" s="775" t="n"/>
      <c r="AM236" s="775" t="n"/>
      <c r="AN236" s="775" t="n"/>
      <c r="AO236" s="775" t="n"/>
      <c r="AP236" s="775" t="n"/>
    </row>
    <row r="237" ht="38" customFormat="1" customHeight="1" s="7">
      <c r="A237" s="1437" t="n"/>
      <c r="B237" s="162">
        <f>IF(P231&gt;=R231,"Manœuvre pour vous isoler de l’entourage de votre enfant (cercle d'influence inaccessible : professeur, entraîneur, parents des amis, etc.)","")</f>
        <v/>
      </c>
      <c r="C237" s="24" t="n"/>
      <c r="D237" s="1930" t="n">
        <v>10</v>
      </c>
      <c r="E237" s="1952">
        <f>'TEST_pour application'!B214</f>
        <v/>
      </c>
      <c r="F237" s="2092" t="n"/>
      <c r="G237" s="2092" t="n"/>
      <c r="H237" s="2092" t="n"/>
      <c r="I237" s="2092" t="n"/>
      <c r="J237" s="2092" t="n"/>
      <c r="K237" s="2092" t="n"/>
      <c r="L237" s="2092" t="n"/>
      <c r="M237" s="2092" t="n"/>
      <c r="N237" s="2092" t="n"/>
      <c r="O237" s="2092" t="n"/>
      <c r="P237" s="1947">
        <f>D237*E237</f>
        <v/>
      </c>
      <c r="Q237" s="26" t="n"/>
      <c r="R237" s="2002" t="n"/>
      <c r="S237" s="301" t="n"/>
      <c r="T237" s="301" t="n"/>
      <c r="U237" s="301" t="n"/>
      <c r="V237" s="6" t="n"/>
      <c r="W237" s="301" t="n"/>
      <c r="X237" s="2002" t="n"/>
      <c r="Y237" s="2002" t="n"/>
      <c r="Z237" s="2002" t="n"/>
      <c r="AA237" s="2002" t="n"/>
      <c r="AB237" s="2002" t="n"/>
      <c r="AC237" s="2002" t="n"/>
      <c r="AE237" s="522" t="n"/>
      <c r="AF237" s="93" t="n"/>
      <c r="AG237" s="93" t="n"/>
      <c r="AH237" s="93" t="n"/>
      <c r="AI237" s="775" t="n"/>
      <c r="AJ237" s="775" t="n"/>
      <c r="AK237" s="775" t="n"/>
      <c r="AL237" s="775" t="n"/>
      <c r="AM237" s="775" t="n"/>
      <c r="AN237" s="775" t="n"/>
      <c r="AO237" s="775" t="n"/>
      <c r="AP237" s="775" t="n"/>
    </row>
    <row r="238" ht="38" customFormat="1" customHeight="1" s="7">
      <c r="A238" s="1437" t="n"/>
      <c r="B238" s="162">
        <f>IF(P231&gt;=R231,"Autre (spécifiez)","")</f>
        <v/>
      </c>
      <c r="C238" s="24" t="n"/>
      <c r="D238" s="1930" t="inlineStr">
        <is>
          <t>Custom</t>
        </is>
      </c>
      <c r="E238" s="1952">
        <f>'TEST_pour application'!B215</f>
        <v/>
      </c>
      <c r="F238" s="2092" t="n"/>
      <c r="G238" s="2092" t="n"/>
      <c r="H238" s="2092" t="n"/>
      <c r="I238" s="2092" t="n"/>
      <c r="J238" s="2092" t="n"/>
      <c r="K238" s="2092" t="n"/>
      <c r="L238" s="2092" t="n"/>
      <c r="M238" s="2092" t="n"/>
      <c r="N238" s="2092" t="n"/>
      <c r="O238" s="2092" t="n"/>
      <c r="P238" s="1947" t="n"/>
      <c r="Q238" s="26" t="n"/>
      <c r="R238" s="2002" t="n"/>
      <c r="S238" s="301" t="n"/>
      <c r="T238" s="301" t="n"/>
      <c r="U238" s="301" t="n"/>
      <c r="V238" s="6" t="n"/>
      <c r="W238" s="301" t="n"/>
      <c r="X238" s="2002" t="n"/>
      <c r="Y238" s="2002" t="n"/>
      <c r="Z238" s="2002" t="n"/>
      <c r="AA238" s="2002" t="n"/>
      <c r="AB238" s="2002" t="n"/>
      <c r="AC238" s="2002" t="n"/>
      <c r="AE238" s="522" t="n"/>
      <c r="AF238" s="93" t="n"/>
      <c r="AG238" s="93" t="n"/>
      <c r="AH238" s="93" t="n"/>
      <c r="AI238" s="775" t="n"/>
      <c r="AJ238" s="775" t="n"/>
      <c r="AK238" s="775" t="n"/>
      <c r="AL238" s="775" t="n"/>
      <c r="AM238" s="775" t="n"/>
      <c r="AN238" s="775" t="n"/>
      <c r="AO238" s="775" t="n"/>
      <c r="AP238" s="775" t="n"/>
    </row>
    <row r="239" ht="75" customFormat="1" customHeight="1" s="7">
      <c r="A239" s="1437">
        <f>BIBLE!E137</f>
        <v/>
      </c>
      <c r="B239" s="2008">
        <f>BIBLE!F137</f>
        <v/>
      </c>
      <c r="C239" s="1688">
        <f>BIBLE!O137</f>
        <v/>
      </c>
      <c r="D239" s="294">
        <f>IF(P239&lt;=2,BIBLE!M137,BIBLE!L137)</f>
        <v/>
      </c>
      <c r="E239" s="2092" t="n">
        <v>1</v>
      </c>
      <c r="F239" s="2092" t="n"/>
      <c r="G239" s="2092" t="n"/>
      <c r="H239" s="2092" t="n"/>
      <c r="I239" s="2092" t="n"/>
      <c r="J239" s="2092" t="n"/>
      <c r="K239" s="2092" t="n"/>
      <c r="L239" s="2092" t="n"/>
      <c r="M239" s="2092" t="n"/>
      <c r="N239" s="2092" t="n"/>
      <c r="O239" s="2092" t="n"/>
      <c r="P239" s="25">
        <f>'TEST_pour application'!B216</f>
        <v/>
      </c>
      <c r="Q239" s="25">
        <f>P239*D239</f>
        <v/>
      </c>
      <c r="R239" s="2002">
        <f>IF(BIBLE!K137=0,"",BIBLE!K137)</f>
        <v/>
      </c>
      <c r="S239" s="2002" t="n"/>
      <c r="T239" s="2002" t="n"/>
      <c r="U239" s="2002" t="n"/>
      <c r="V239" s="6">
        <f>MAX(AQ239:AQ241)</f>
        <v/>
      </c>
      <c r="W239" s="2002" t="n"/>
      <c r="X239" s="2002">
        <f>MAX(AS239:AS241)</f>
        <v/>
      </c>
      <c r="Y239" s="2002">
        <f>MAX(AT239:AT241)</f>
        <v/>
      </c>
      <c r="Z239" s="2002">
        <f>MAX(AU239:AU241)</f>
        <v/>
      </c>
      <c r="AA239" s="2002">
        <f>MAX(AV239:AV241)</f>
        <v/>
      </c>
      <c r="AB239" s="2002">
        <f>MAX(AW239:AW241)</f>
        <v/>
      </c>
      <c r="AC239" s="2002">
        <f>MAX(AX239:AX241)</f>
        <v/>
      </c>
      <c r="AD239" s="2002" t="n"/>
      <c r="AE239" s="522" t="n"/>
      <c r="AF239" s="93">
        <f>IF($Q239=$V239,$Q239*BIBLE!R137,IF(Test_Bible!$Q240=Test_Bible!$V239,Test_Bible!$Q240*BIBLE!R138,Test_Bible!$Q241*BIBLE!R139))</f>
        <v/>
      </c>
      <c r="AG239" s="93">
        <f>IF($Q239=$V239,$Q239*BIBLE!S137,IF(Test_Bible!$Q240=Test_Bible!$V239,Test_Bible!$Q240*BIBLE!S138,Test_Bible!$Q241*BIBLE!S139))</f>
        <v/>
      </c>
      <c r="AH239" s="93">
        <f>IF($Q239=$V239,$Q239*BIBLE!T137,IF(Test_Bible!$Q240=Test_Bible!$V239,Test_Bible!$Q240*BIBLE!T138,Test_Bible!$Q241*BIBLE!T139))</f>
        <v/>
      </c>
      <c r="AI239" s="1539">
        <f>IF($Q239=$V239,$Q239*BIBLE!V137,IF(Test_Bible!$Q240=Test_Bible!$V239,Test_Bible!$Q240*BIBLE!V138,Test_Bible!$Q241*BIBLE!V139))</f>
        <v/>
      </c>
      <c r="AJ239" s="1539">
        <f>IF($Q239=$V239,$Q239*BIBLE!W137,IF(Test_Bible!$Q240=Test_Bible!$V239,Test_Bible!$Q240*BIBLE!W138,Test_Bible!$Q241*BIBLE!W139))</f>
        <v/>
      </c>
      <c r="AK239" s="1539">
        <f>IF($Q239=$V239,$Q239*BIBLE!X137,IF(Test_Bible!$Q240=Test_Bible!$V239,Test_Bible!$Q240*BIBLE!X138,Test_Bible!$Q241*BIBLE!X139))</f>
        <v/>
      </c>
      <c r="AL239" s="1539">
        <f>IF($Q239=$V239,$Q239*BIBLE!Y137,IF(Test_Bible!$Q240=Test_Bible!$V239,Test_Bible!$Q240*BIBLE!Y138,Test_Bible!$Q241*BIBLE!Y139))</f>
        <v/>
      </c>
      <c r="AM239" s="1539">
        <f>IF($Q239=$V239,$Q239*BIBLE!Z137,IF(Test_Bible!$Q240=Test_Bible!$V239,Test_Bible!$Q240*BIBLE!Z138,Test_Bible!$Q241*BIBLE!Z139))</f>
        <v/>
      </c>
      <c r="AN239" s="1539">
        <f>IF($Q239=$V239,$Q239*BIBLE!AA137,IF(Test_Bible!$Q240=Test_Bible!$V239,Test_Bible!$Q240*BIBLE!AA138,Test_Bible!$Q241*BIBLE!AA139))</f>
        <v/>
      </c>
      <c r="AO239" s="1539">
        <f>IF($Q239=$V239,$Q239*BIBLE!AB137,IF(Test_Bible!$Q240=Test_Bible!$V239,Test_Bible!$Q240*BIBLE!AB138,Test_Bible!$Q241*BIBLE!AB139))</f>
        <v/>
      </c>
      <c r="AP239" s="1539">
        <f>IF($Q239=$V239,$Q239*BIBLE!AC137,IF(Test_Bible!$Q240=Test_Bible!$V239,Test_Bible!$Q240*BIBLE!AC138,Test_Bible!$Q241*BIBLE!AC139))</f>
        <v/>
      </c>
      <c r="AQ239" s="6">
        <f>Q239</f>
        <v/>
      </c>
      <c r="AR239" s="301" t="n"/>
      <c r="AS239" s="6">
        <f>IF($Q239&gt;0,X$108*$D239,0)</f>
        <v/>
      </c>
      <c r="AT239" s="6">
        <f>IF($Q239&gt;0,Y$108*$D239,0)</f>
        <v/>
      </c>
      <c r="AU239" s="6">
        <f>IF($Q239&gt;0,Z$108*$D239,0)</f>
        <v/>
      </c>
      <c r="AV239" s="6">
        <f>IF($Q239&gt;0,AA$108*$D239,0)</f>
        <v/>
      </c>
      <c r="AW239" s="6">
        <f>IF($Q239&gt;0,AB$108*$D239,0)</f>
        <v/>
      </c>
      <c r="AX239" s="6">
        <f>IF($Q239&gt;0,AC$108*$D239,0)</f>
        <v/>
      </c>
    </row>
    <row r="240" ht="75" customFormat="1" customHeight="1" s="7">
      <c r="A240" s="1437">
        <f>BIBLE!E138</f>
        <v/>
      </c>
      <c r="B240" s="2006">
        <f>IF(P239&gt;=R239,BIBLE!F138,"")</f>
        <v/>
      </c>
      <c r="C240" s="1688">
        <f>BIBLE!O138</f>
        <v/>
      </c>
      <c r="D240" s="1611">
        <f>BIBLE!L138</f>
        <v/>
      </c>
      <c r="E240" s="2092" t="n"/>
      <c r="F240" s="2092" t="n"/>
      <c r="G240" s="2092" t="n"/>
      <c r="H240" s="2092" t="n"/>
      <c r="I240" s="2092" t="n"/>
      <c r="J240" s="2092" t="n"/>
      <c r="K240" s="2092" t="n"/>
      <c r="L240" s="2092" t="n"/>
      <c r="M240" s="2092" t="n"/>
      <c r="N240" s="2092" t="n"/>
      <c r="O240" s="2092" t="n"/>
      <c r="P240" s="25">
        <f>'TEST_pour application'!B217</f>
        <v/>
      </c>
      <c r="Q240" s="25">
        <f>P240*D240</f>
        <v/>
      </c>
      <c r="R240" s="2002">
        <f>IF(BIBLE!K138=0,"",BIBLE!K138)</f>
        <v/>
      </c>
      <c r="S240" s="2002" t="n"/>
      <c r="T240" s="2002" t="n"/>
      <c r="U240" s="2002" t="n"/>
      <c r="V240" s="2002" t="n"/>
      <c r="W240" s="2002" t="n"/>
      <c r="X240" s="2002" t="n"/>
      <c r="Y240" s="2002" t="n"/>
      <c r="Z240" s="2002" t="n"/>
      <c r="AA240" s="2002" t="n"/>
      <c r="AB240" s="2002" t="n"/>
      <c r="AC240" s="2002" t="n"/>
      <c r="AD240" s="2002" t="n"/>
      <c r="AE240" s="522" t="n"/>
      <c r="AF240" s="93" t="n"/>
      <c r="AG240" s="93" t="n"/>
      <c r="AH240" s="93" t="n"/>
      <c r="AI240" s="775" t="n"/>
      <c r="AJ240" s="775" t="n"/>
      <c r="AK240" s="775" t="n"/>
      <c r="AL240" s="775" t="n"/>
      <c r="AM240" s="775" t="n"/>
      <c r="AN240" s="775" t="n"/>
      <c r="AO240" s="775" t="n"/>
      <c r="AP240" s="775" t="n"/>
      <c r="AQ240" s="6">
        <f>Q240</f>
        <v/>
      </c>
      <c r="AR240" s="301" t="n"/>
      <c r="AS240" s="6">
        <f>IF($Q240&gt;0,X$108*$D240,0)</f>
        <v/>
      </c>
      <c r="AT240" s="6">
        <f>IF($Q240&gt;0,Y$108*$D240,0)</f>
        <v/>
      </c>
      <c r="AU240" s="6">
        <f>IF($Q240&gt;0,Z$108*$D240,0)</f>
        <v/>
      </c>
      <c r="AV240" s="6">
        <f>IF($Q240&gt;0,AA$108*$D240,0)</f>
        <v/>
      </c>
      <c r="AW240" s="6">
        <f>IF($Q240&gt;0,AB$108*$D240,0)</f>
        <v/>
      </c>
      <c r="AX240" s="6">
        <f>IF($Q240&gt;0,AC$108*$D240,0)</f>
        <v/>
      </c>
      <c r="AZ240" s="17" t="inlineStr">
        <is>
          <t>Deux SQ, mais à un niveau différent, on prend le max entre la Q et les SQ</t>
        </is>
      </c>
    </row>
    <row r="241" ht="75" customFormat="1" customHeight="1" s="7">
      <c r="A241" s="1437">
        <f>BIBLE!E139</f>
        <v/>
      </c>
      <c r="B241" s="2006">
        <f>IF(P240&gt;=R240,BIBLE!F139,"")</f>
        <v/>
      </c>
      <c r="C241" s="1688">
        <f>BIBLE!O139</f>
        <v/>
      </c>
      <c r="D241" s="1611">
        <f>BIBLE!L139</f>
        <v/>
      </c>
      <c r="E241" s="2092" t="n"/>
      <c r="F241" s="2092" t="n"/>
      <c r="G241" s="2092" t="n"/>
      <c r="H241" s="2092" t="n"/>
      <c r="I241" s="2092" t="n"/>
      <c r="J241" s="2092" t="n"/>
      <c r="K241" s="2092" t="n"/>
      <c r="L241" s="2092" t="n"/>
      <c r="M241" s="2092" t="n"/>
      <c r="N241" s="2092" t="n"/>
      <c r="O241" s="2092" t="n"/>
      <c r="P241" s="25">
        <f>'TEST_pour application'!B218</f>
        <v/>
      </c>
      <c r="Q241" s="25">
        <f>P241*D241</f>
        <v/>
      </c>
      <c r="R241" s="2002">
        <f>IF(BIBLE!K139=0,"",BIBLE!K139)</f>
        <v/>
      </c>
      <c r="S241" s="2002" t="n"/>
      <c r="T241" s="2002" t="n"/>
      <c r="U241" s="2002" t="n"/>
      <c r="V241" s="2002" t="n"/>
      <c r="W241" s="2002" t="n"/>
      <c r="X241" s="2002" t="n"/>
      <c r="Y241" s="2002" t="n"/>
      <c r="Z241" s="2002" t="n"/>
      <c r="AA241" s="2002" t="n"/>
      <c r="AB241" s="2002" t="n"/>
      <c r="AC241" s="2002" t="n"/>
      <c r="AD241" s="2002" t="n"/>
      <c r="AE241" s="522" t="n"/>
      <c r="AF241" s="93" t="n"/>
      <c r="AG241" s="93" t="n"/>
      <c r="AH241" s="93" t="n"/>
      <c r="AI241" s="775" t="n"/>
      <c r="AJ241" s="775" t="n"/>
      <c r="AK241" s="775" t="n"/>
      <c r="AL241" s="775" t="n"/>
      <c r="AM241" s="775" t="n"/>
      <c r="AN241" s="775" t="n"/>
      <c r="AO241" s="775" t="n"/>
      <c r="AP241" s="775" t="n"/>
      <c r="AQ241" s="6">
        <f>Q241</f>
        <v/>
      </c>
      <c r="AR241" s="301" t="n"/>
      <c r="AS241" s="6">
        <f>IF($Q241&gt;0,X$108*$D241,0)</f>
        <v/>
      </c>
      <c r="AT241" s="6">
        <f>IF($Q241&gt;0,Y$108*$D241,0)</f>
        <v/>
      </c>
      <c r="AU241" s="6">
        <f>IF($Q241&gt;0,Z$108*$D241,0)</f>
        <v/>
      </c>
      <c r="AV241" s="6">
        <f>IF($Q241&gt;0,AA$108*$D241,0)</f>
        <v/>
      </c>
      <c r="AW241" s="6">
        <f>IF($Q241&gt;0,AB$108*$D241,0)</f>
        <v/>
      </c>
      <c r="AX241" s="6">
        <f>IF($Q241&gt;0,AC$108*$D241,0)</f>
        <v/>
      </c>
    </row>
    <row r="242" ht="75" customFormat="1" customHeight="1" s="7">
      <c r="A242" s="1437">
        <f>BIBLE!E140</f>
        <v/>
      </c>
      <c r="B242" s="158">
        <f>BIBLE!F140</f>
        <v/>
      </c>
      <c r="C242" s="1056">
        <f>BIBLE!O140</f>
        <v/>
      </c>
      <c r="D242" s="125">
        <f>BIBLE!L140</f>
        <v/>
      </c>
      <c r="E242" s="2092" t="n"/>
      <c r="F242" s="2092" t="n"/>
      <c r="G242" s="2092" t="n"/>
      <c r="H242" s="2092" t="n"/>
      <c r="I242" s="2092" t="n">
        <v>1</v>
      </c>
      <c r="J242" s="2092" t="n"/>
      <c r="K242" s="2092" t="n"/>
      <c r="L242" s="2092" t="n"/>
      <c r="M242" s="2092" t="n"/>
      <c r="N242" s="2092" t="n"/>
      <c r="O242" s="2092" t="n"/>
      <c r="P242" s="25">
        <f>'TEST_pour application'!B219</f>
        <v/>
      </c>
      <c r="Q242" s="26">
        <f>P242*D242</f>
        <v/>
      </c>
      <c r="R242" s="2002">
        <f>IF(BIBLE!K140=0,"",BIBLE!K140)</f>
        <v/>
      </c>
      <c r="S242" s="301" t="n"/>
      <c r="T242" s="301" t="n"/>
      <c r="U242" s="301" t="n"/>
      <c r="V242" s="6">
        <f>Q242</f>
        <v/>
      </c>
      <c r="W242" s="301" t="n"/>
      <c r="X242" s="6">
        <f>IF($Q242&gt;0,X$108*$D242,0)</f>
        <v/>
      </c>
      <c r="Y242" s="6">
        <f>IF($Q242&gt;0,Y$108*$D242,0)</f>
        <v/>
      </c>
      <c r="Z242" s="6">
        <f>IF($Q242&gt;0,Z$108*$D242,0)</f>
        <v/>
      </c>
      <c r="AA242" s="6">
        <f>IF($Q242&gt;0,AA$108*$D242,0)</f>
        <v/>
      </c>
      <c r="AB242" s="6">
        <f>IF($Q242&gt;0,AB$108*$D242,0)</f>
        <v/>
      </c>
      <c r="AC242" s="6">
        <f>IF($Q242&gt;0,AC$108*$D242,0)</f>
        <v/>
      </c>
      <c r="AE242" s="522" t="n"/>
      <c r="AF242" s="24">
        <f>$V242*BIBLE!R140</f>
        <v/>
      </c>
      <c r="AG242" s="24">
        <f>$V242*BIBLE!S140</f>
        <v/>
      </c>
      <c r="AH242" s="24">
        <f>$V242*BIBLE!T140</f>
        <v/>
      </c>
      <c r="AI242" s="1539">
        <f>$V242*BIBLE!V140</f>
        <v/>
      </c>
      <c r="AJ242" s="1539">
        <f>$V242*BIBLE!W140</f>
        <v/>
      </c>
      <c r="AK242" s="1539">
        <f>$V242*BIBLE!X140</f>
        <v/>
      </c>
      <c r="AL242" s="1539">
        <f>$V242*BIBLE!Y140</f>
        <v/>
      </c>
      <c r="AM242" s="1539">
        <f>$V242*BIBLE!Z140</f>
        <v/>
      </c>
      <c r="AN242" s="1539">
        <f>$V242*BIBLE!AA140</f>
        <v/>
      </c>
      <c r="AO242" s="1539">
        <f>$V242*BIBLE!AB140</f>
        <v/>
      </c>
      <c r="AP242" s="1539">
        <f>$V242*BIBLE!AC140</f>
        <v/>
      </c>
    </row>
    <row r="243" ht="75" customFormat="1" customHeight="1" s="7">
      <c r="A243" s="1437">
        <f>BIBLE!E141</f>
        <v/>
      </c>
      <c r="B243" s="158">
        <f>IF(OR($E$44=1,$E$45=1),BIBLE!F141,"")</f>
        <v/>
      </c>
      <c r="C243" s="1056">
        <f>BIBLE!O141</f>
        <v/>
      </c>
      <c r="D243" s="125">
        <f>BIBLE!L141</f>
        <v/>
      </c>
      <c r="E243" s="2092" t="n"/>
      <c r="F243" s="2092" t="n"/>
      <c r="G243" s="2092" t="n"/>
      <c r="H243" s="2092" t="n"/>
      <c r="I243" s="2092" t="n"/>
      <c r="J243" s="2092" t="n"/>
      <c r="K243" s="2092" t="n"/>
      <c r="L243" s="2092" t="n"/>
      <c r="M243" s="2092" t="n"/>
      <c r="N243" s="2092" t="n"/>
      <c r="O243" s="2092" t="n"/>
      <c r="P243" s="25">
        <f>'TEST_pour application'!B220</f>
        <v/>
      </c>
      <c r="Q243" s="26">
        <f>P243*D243</f>
        <v/>
      </c>
      <c r="R243" s="2002">
        <f>IF(BIBLE!K141=0,"",BIBLE!K141)</f>
        <v/>
      </c>
      <c r="S243" s="301" t="n"/>
      <c r="T243" s="301" t="n"/>
      <c r="U243" s="301" t="n"/>
      <c r="V243" s="6">
        <f>Q243</f>
        <v/>
      </c>
      <c r="W243" s="301" t="n"/>
      <c r="X243" s="6">
        <f>IF($Q243&gt;0,X$108*$D243,0)</f>
        <v/>
      </c>
      <c r="Y243" s="6">
        <f>IF($Q243&gt;0,Y$108*$D243,0)</f>
        <v/>
      </c>
      <c r="Z243" s="6">
        <f>IF($Q243&gt;0,Z$108*$D243,0)</f>
        <v/>
      </c>
      <c r="AA243" s="6">
        <f>IF($Q243&gt;0,AA$108*$D243,0)</f>
        <v/>
      </c>
      <c r="AB243" s="6">
        <f>IF($Q243&gt;0,AB$108*$D243,0)</f>
        <v/>
      </c>
      <c r="AC243" s="6">
        <f>IF($Q243&gt;0,AC$108*$D243,0)</f>
        <v/>
      </c>
      <c r="AE243" s="522" t="n"/>
      <c r="AF243" s="24">
        <f>$V243*BIBLE!R141</f>
        <v/>
      </c>
      <c r="AG243" s="24">
        <f>$V243*BIBLE!S141</f>
        <v/>
      </c>
      <c r="AH243" s="24">
        <f>$V243*BIBLE!T141</f>
        <v/>
      </c>
      <c r="AI243" s="1539">
        <f>$V243*BIBLE!V141</f>
        <v/>
      </c>
      <c r="AJ243" s="1539">
        <f>$V243*BIBLE!W141</f>
        <v/>
      </c>
      <c r="AK243" s="1539">
        <f>$V243*BIBLE!X141</f>
        <v/>
      </c>
      <c r="AL243" s="1539">
        <f>$V243*BIBLE!Y141</f>
        <v/>
      </c>
      <c r="AM243" s="1539">
        <f>$V243*BIBLE!Z141</f>
        <v/>
      </c>
      <c r="AN243" s="1539">
        <f>$V243*BIBLE!AA141</f>
        <v/>
      </c>
      <c r="AO243" s="1539">
        <f>$V243*BIBLE!AB141</f>
        <v/>
      </c>
      <c r="AP243" s="1539">
        <f>$V243*BIBLE!AC141</f>
        <v/>
      </c>
    </row>
    <row r="244" ht="75" customFormat="1" customHeight="1" s="7">
      <c r="A244" s="1437">
        <f>BIBLE!E142</f>
        <v/>
      </c>
      <c r="B244" s="158">
        <f>BIBLE!F142</f>
        <v/>
      </c>
      <c r="C244" s="2003">
        <f>BIBLE!O142</f>
        <v/>
      </c>
      <c r="D244" s="294">
        <f>IF(P244&gt;=Test_Bible!J141,IF(OR(Test_Bible!E28=1,Test_Bible!E29=1,E40&lt;8),BIBLE!L110,BIBLE!M110),BIBLE!L110)</f>
        <v/>
      </c>
      <c r="E244" s="2092" t="n"/>
      <c r="F244" s="2092" t="n"/>
      <c r="G244" s="2092" t="n"/>
      <c r="H244" s="2092" t="n"/>
      <c r="I244" s="2092" t="n">
        <v>1</v>
      </c>
      <c r="J244" s="2092" t="n"/>
      <c r="K244" s="2092" t="n"/>
      <c r="L244" s="2092" t="n"/>
      <c r="M244" s="2092" t="n"/>
      <c r="N244" s="2092" t="n"/>
      <c r="O244" s="2092" t="n"/>
      <c r="P244" s="25">
        <f>'TEST_pour application'!B221</f>
        <v/>
      </c>
      <c r="Q244" s="26">
        <f>P244*D244</f>
        <v/>
      </c>
      <c r="R244" s="2002">
        <f>IF(BIBLE!K142=0,"",BIBLE!K142)</f>
        <v/>
      </c>
      <c r="S244" s="301" t="n"/>
      <c r="T244" s="301" t="n"/>
      <c r="U244" s="301" t="n"/>
      <c r="V244" s="6">
        <f>Q244</f>
        <v/>
      </c>
      <c r="W244" s="301" t="n"/>
      <c r="X244" s="6">
        <f>IF($Q244&gt;0,X$108*$D244,0)</f>
        <v/>
      </c>
      <c r="Y244" s="6">
        <f>IF($Q244&gt;0,Y$108*$D244,0)</f>
        <v/>
      </c>
      <c r="Z244" s="6">
        <f>IF($Q244&gt;0,Z$108*$D244,0)</f>
        <v/>
      </c>
      <c r="AA244" s="6">
        <f>IF($Q244&gt;0,AA$108*$D244,0)</f>
        <v/>
      </c>
      <c r="AB244" s="6">
        <f>IF($Q244&gt;0,AB$108*$D244,0)</f>
        <v/>
      </c>
      <c r="AC244" s="6">
        <f>IF($Q244&gt;0,AC$108*$D244,0)</f>
        <v/>
      </c>
      <c r="AE244" s="522" t="n"/>
      <c r="AF244" s="24">
        <f>$V244*BIBLE!R142</f>
        <v/>
      </c>
      <c r="AG244" s="24">
        <f>$V244*BIBLE!S142</f>
        <v/>
      </c>
      <c r="AH244" s="24">
        <f>$V244*BIBLE!T142</f>
        <v/>
      </c>
      <c r="AI244" s="1539">
        <f>$V244*BIBLE!V142</f>
        <v/>
      </c>
      <c r="AJ244" s="1539">
        <f>$V244*BIBLE!W142</f>
        <v/>
      </c>
      <c r="AK244" s="1539">
        <f>$V244*BIBLE!X142</f>
        <v/>
      </c>
      <c r="AL244" s="1539">
        <f>$V244*BIBLE!Y142</f>
        <v/>
      </c>
      <c r="AM244" s="1539">
        <f>$V244*BIBLE!Z142</f>
        <v/>
      </c>
      <c r="AN244" s="1539">
        <f>$V244*BIBLE!AA142</f>
        <v/>
      </c>
      <c r="AO244" s="1539">
        <f>$V244*BIBLE!AB142</f>
        <v/>
      </c>
      <c r="AP244" s="1539">
        <f>$V244*BIBLE!AC142</f>
        <v/>
      </c>
    </row>
    <row r="245" ht="75" customFormat="1" customHeight="1" s="7">
      <c r="A245" s="1437">
        <f>BIBLE!E143</f>
        <v/>
      </c>
      <c r="B245" s="1760">
        <f>IF($P$53&gt;=$R$53,BIBLE!F143,"")</f>
        <v/>
      </c>
      <c r="C245" s="1056">
        <f>BIBLE!O143</f>
        <v/>
      </c>
      <c r="D245" s="125">
        <f>BIBLE!L143</f>
        <v/>
      </c>
      <c r="E245" s="2092" t="n"/>
      <c r="F245" s="2092" t="n"/>
      <c r="G245" s="2092" t="n"/>
      <c r="H245" s="2092" t="n"/>
      <c r="I245" s="2092" t="n"/>
      <c r="J245" s="2092" t="n"/>
      <c r="K245" s="2092" t="n">
        <v>1</v>
      </c>
      <c r="L245" s="2092" t="n"/>
      <c r="M245" s="2092" t="n"/>
      <c r="N245" s="2092" t="n"/>
      <c r="O245" s="2092" t="n"/>
      <c r="P245" s="25">
        <f>'TEST_pour application'!B222</f>
        <v/>
      </c>
      <c r="Q245" s="26">
        <f>P245*D245</f>
        <v/>
      </c>
      <c r="R245" s="2002">
        <f>IF(BIBLE!K143=0,"",BIBLE!K143)</f>
        <v/>
      </c>
      <c r="S245" s="301" t="n"/>
      <c r="T245" s="301" t="n"/>
      <c r="U245" s="301" t="n"/>
      <c r="V245" s="6">
        <f>Q245</f>
        <v/>
      </c>
      <c r="W245" s="301" t="n"/>
      <c r="X245" s="6">
        <f>IF($Q245&gt;0,X$108*$D245,0)</f>
        <v/>
      </c>
      <c r="Y245" s="6">
        <f>IF($Q245&gt;0,Y$108*$D245,0)</f>
        <v/>
      </c>
      <c r="Z245" s="6">
        <f>IF($Q245&gt;0,Z$108*$D245,0)</f>
        <v/>
      </c>
      <c r="AA245" s="6">
        <f>IF($Q245&gt;0,AA$108*$D245,0)</f>
        <v/>
      </c>
      <c r="AB245" s="6">
        <f>IF($Q245&gt;0,AB$108*$D245,0)</f>
        <v/>
      </c>
      <c r="AC245" s="6">
        <f>IF($Q245&gt;0,AC$108*$D245,0)</f>
        <v/>
      </c>
      <c r="AE245" s="522" t="n"/>
      <c r="AF245" s="24">
        <f>$V245*BIBLE!R143</f>
        <v/>
      </c>
      <c r="AG245" s="24">
        <f>$V245*BIBLE!S143</f>
        <v/>
      </c>
      <c r="AH245" s="24">
        <f>$V245*BIBLE!T143</f>
        <v/>
      </c>
      <c r="AI245" s="1539">
        <f>$V245*BIBLE!V143</f>
        <v/>
      </c>
      <c r="AJ245" s="1539">
        <f>$V245*BIBLE!W143</f>
        <v/>
      </c>
      <c r="AK245" s="1539">
        <f>$V245*BIBLE!X143</f>
        <v/>
      </c>
      <c r="AL245" s="1539">
        <f>$V245*BIBLE!Y143</f>
        <v/>
      </c>
      <c r="AM245" s="1539">
        <f>$V245*BIBLE!Z143</f>
        <v/>
      </c>
      <c r="AN245" s="1539">
        <f>$V245*BIBLE!AA143</f>
        <v/>
      </c>
      <c r="AO245" s="1539">
        <f>$V245*BIBLE!AB143</f>
        <v/>
      </c>
      <c r="AP245" s="1539">
        <f>$V245*BIBLE!AC143</f>
        <v/>
      </c>
    </row>
    <row r="246" ht="68" customFormat="1" customHeight="1" s="7">
      <c r="A246" s="1437">
        <f>BIBLE!E144</f>
        <v/>
      </c>
      <c r="B246" s="1760">
        <f>IF($P$53&gt;=$R$53,BIBLE!F144,"")</f>
        <v/>
      </c>
      <c r="C246" s="1056">
        <f>BIBLE!O144</f>
        <v/>
      </c>
      <c r="D246" s="125">
        <f>BIBLE!L144</f>
        <v/>
      </c>
      <c r="E246" s="2092" t="n"/>
      <c r="F246" s="2092" t="n"/>
      <c r="G246" s="2092" t="n"/>
      <c r="H246" s="2092" t="n"/>
      <c r="I246" s="2092" t="n"/>
      <c r="J246" s="2092" t="n">
        <v>1</v>
      </c>
      <c r="K246" s="2092" t="n"/>
      <c r="L246" s="2092" t="n"/>
      <c r="M246" s="2092" t="n"/>
      <c r="N246" s="2092" t="n"/>
      <c r="O246" s="2092" t="n"/>
      <c r="P246" s="25">
        <f>'TEST_pour application'!B223</f>
        <v/>
      </c>
      <c r="Q246" s="26">
        <f>P246*D246</f>
        <v/>
      </c>
      <c r="R246" s="2002">
        <f>IF(BIBLE!K144=0,"",BIBLE!K144)</f>
        <v/>
      </c>
      <c r="S246" s="301" t="n"/>
      <c r="T246" s="301" t="n"/>
      <c r="U246" s="301" t="n"/>
      <c r="V246" s="6">
        <f>Q246</f>
        <v/>
      </c>
      <c r="W246" s="301" t="n"/>
      <c r="X246" s="6">
        <f>IF($Q246&gt;0,X$108*$D246,0)</f>
        <v/>
      </c>
      <c r="Y246" s="6">
        <f>IF($Q246&gt;0,Y$108*$D246,0)</f>
        <v/>
      </c>
      <c r="Z246" s="6">
        <f>IF($Q246&gt;0,Z$108*$D246,0)</f>
        <v/>
      </c>
      <c r="AA246" s="6">
        <f>IF($Q246&gt;0,AA$108*$D246,0)</f>
        <v/>
      </c>
      <c r="AB246" s="6">
        <f>IF($Q246&gt;0,AB$108*$D246,0)</f>
        <v/>
      </c>
      <c r="AC246" s="6">
        <f>IF($Q246&gt;0,AC$108*$D246,0)</f>
        <v/>
      </c>
      <c r="AE246" s="522" t="n"/>
      <c r="AF246" s="24">
        <f>$V246*BIBLE!R144</f>
        <v/>
      </c>
      <c r="AG246" s="24">
        <f>$V246*BIBLE!S144</f>
        <v/>
      </c>
      <c r="AH246" s="24">
        <f>$V246*BIBLE!T144</f>
        <v/>
      </c>
      <c r="AI246" s="1539">
        <f>$V246*BIBLE!V144</f>
        <v/>
      </c>
      <c r="AJ246" s="1539">
        <f>$V246*BIBLE!W144</f>
        <v/>
      </c>
      <c r="AK246" s="1539">
        <f>$V246*BIBLE!X144</f>
        <v/>
      </c>
      <c r="AL246" s="1539">
        <f>$V246*BIBLE!Y144</f>
        <v/>
      </c>
      <c r="AM246" s="1539">
        <f>$V246*BIBLE!Z144</f>
        <v/>
      </c>
      <c r="AN246" s="1539">
        <f>$V246*BIBLE!AA144</f>
        <v/>
      </c>
      <c r="AO246" s="1539">
        <f>$V246*BIBLE!AB144</f>
        <v/>
      </c>
      <c r="AP246" s="1539">
        <f>$V246*BIBLE!AC144</f>
        <v/>
      </c>
    </row>
    <row r="247" ht="45" customFormat="1" customHeight="1" s="7">
      <c r="A247" s="1437">
        <f>BIBLE!E145</f>
        <v/>
      </c>
      <c r="B247" s="158">
        <f>IF($P$53&gt;=$R$53,BIBLE!F145,"")</f>
        <v/>
      </c>
      <c r="C247" s="24" t="n"/>
      <c r="D247" s="125" t="n"/>
      <c r="E247" s="2002">
        <f>(D248*E248)+(D249*E249)+(D250*E250)+(D251*E251)+(D252*E252)</f>
        <v/>
      </c>
      <c r="F247" s="2092" t="n"/>
      <c r="G247" s="2092" t="n"/>
      <c r="H247" s="2092" t="n"/>
      <c r="I247" s="2092" t="n"/>
      <c r="J247" s="2092" t="n"/>
      <c r="K247" s="2092" t="n"/>
      <c r="L247" s="2092" t="n"/>
      <c r="M247" s="2092" t="n"/>
      <c r="N247" s="2092" t="n"/>
      <c r="O247" s="2092" t="n"/>
      <c r="P247" s="26" t="n"/>
      <c r="Q247" s="26" t="n"/>
      <c r="R247" s="2002" t="n"/>
      <c r="S247" s="301" t="n"/>
      <c r="T247" s="301" t="n"/>
      <c r="U247" s="301" t="n"/>
      <c r="V247" s="6" t="n"/>
      <c r="W247" s="301" t="n"/>
      <c r="X247" s="6" t="n"/>
      <c r="Y247" s="6" t="n"/>
      <c r="Z247" s="6" t="n"/>
      <c r="AA247" s="6" t="n"/>
      <c r="AB247" s="6" t="n"/>
      <c r="AC247" s="6" t="n"/>
      <c r="AE247" s="522" t="n"/>
      <c r="AF247" s="93" t="n"/>
      <c r="AG247" s="93" t="n"/>
      <c r="AH247" s="93" t="n"/>
      <c r="AI247" s="775" t="n"/>
      <c r="AJ247" s="775" t="n"/>
      <c r="AK247" s="775" t="n"/>
      <c r="AL247" s="775" t="n"/>
      <c r="AM247" s="775" t="n"/>
      <c r="AN247" s="775" t="n"/>
      <c r="AO247" s="775" t="n"/>
      <c r="AP247" s="775" t="n"/>
    </row>
    <row r="248" ht="32" customFormat="1" customHeight="1" s="7">
      <c r="A248" s="1437" t="n"/>
      <c r="B248" s="158">
        <f>IF($P$53&gt;=$R$53,"Pension alimentaire (enjeux financiers) ","")</f>
        <v/>
      </c>
      <c r="C248" s="1612" t="n"/>
      <c r="D248" s="1930" t="n">
        <v>3</v>
      </c>
      <c r="E248" s="1952">
        <f>'TEST_pour application'!B224</f>
        <v/>
      </c>
      <c r="F248" s="55" t="n"/>
      <c r="G248" s="2002" t="n"/>
      <c r="H248" s="2002" t="n"/>
      <c r="I248" s="2002" t="n"/>
      <c r="J248" s="2002" t="n"/>
      <c r="N248" s="55" t="n"/>
      <c r="O248" s="55" t="n"/>
      <c r="P248" s="1947">
        <f>D248*E248</f>
        <v/>
      </c>
      <c r="Q248" s="26" t="n"/>
      <c r="R248" s="2002" t="n"/>
      <c r="S248" s="301" t="n"/>
      <c r="T248" s="301" t="n"/>
      <c r="U248" s="301" t="n"/>
      <c r="V248" s="301" t="n"/>
      <c r="W248" s="301" t="n"/>
      <c r="X248" s="2002" t="n"/>
      <c r="Y248" s="2002" t="n"/>
      <c r="Z248" s="2002" t="n"/>
      <c r="AA248" s="2002" t="n"/>
      <c r="AB248" s="2002" t="n"/>
      <c r="AC248" s="2002" t="n"/>
      <c r="AE248" s="522" t="n"/>
      <c r="AF248" s="93" t="n"/>
      <c r="AG248" s="93" t="n"/>
      <c r="AH248" s="93" t="n"/>
      <c r="AI248" s="775" t="n"/>
      <c r="AJ248" s="775" t="n"/>
      <c r="AK248" s="775" t="n"/>
      <c r="AL248" s="775" t="n"/>
      <c r="AM248" s="775" t="n"/>
      <c r="AN248" s="775" t="n"/>
      <c r="AO248" s="775" t="n"/>
      <c r="AP248" s="775" t="n"/>
    </row>
    <row r="249" ht="32" customFormat="1" customHeight="1" s="7">
      <c r="A249" s="1437" t="n"/>
      <c r="B249" s="158">
        <f>IF($P$53&gt;=$R$53,"Souhaite refaire sa vie / nouvelle vie et vous êtes de trop","")</f>
        <v/>
      </c>
      <c r="C249" s="1612" t="n"/>
      <c r="D249" s="1930" t="n">
        <v>7</v>
      </c>
      <c r="E249" s="1952">
        <f>'TEST_pour application'!B225</f>
        <v/>
      </c>
      <c r="F249" s="55" t="n"/>
      <c r="G249" s="2002" t="n"/>
      <c r="H249" s="2002" t="n"/>
      <c r="I249" s="2002" t="n"/>
      <c r="J249" s="2002" t="n"/>
      <c r="N249" s="55" t="n"/>
      <c r="O249" s="55" t="n"/>
      <c r="P249" s="1947">
        <f>D249*E249</f>
        <v/>
      </c>
      <c r="Q249" s="26" t="n"/>
      <c r="R249" s="2002" t="n"/>
      <c r="S249" s="301" t="n"/>
      <c r="T249" s="301" t="n"/>
      <c r="U249" s="301" t="n"/>
      <c r="V249" s="301" t="n"/>
      <c r="W249" s="301" t="n"/>
      <c r="X249" s="2002" t="n"/>
      <c r="Y249" s="2002" t="n"/>
      <c r="Z249" s="2002" t="n"/>
      <c r="AA249" s="2002" t="n"/>
      <c r="AB249" s="2002" t="n"/>
      <c r="AC249" s="2002" t="n"/>
      <c r="AE249" s="522" t="n"/>
      <c r="AF249" s="93" t="n"/>
      <c r="AG249" s="93" t="n"/>
      <c r="AH249" s="93" t="n"/>
      <c r="AI249" s="775" t="n"/>
      <c r="AJ249" s="775" t="n"/>
      <c r="AK249" s="775" t="n"/>
      <c r="AL249" s="775" t="n"/>
      <c r="AM249" s="775" t="n"/>
      <c r="AN249" s="775" t="n"/>
      <c r="AO249" s="775" t="n"/>
      <c r="AP249" s="775" t="n"/>
    </row>
    <row r="250" ht="32" customFormat="1" customHeight="1" s="7">
      <c r="A250" s="1437" t="n"/>
      <c r="B250" s="158">
        <f>IF($P$53&gt;=$R$53,"Ne veut pas faire de compromis sur la logistique familiale ou le temps passé avec les enfants ","")</f>
        <v/>
      </c>
      <c r="C250" s="1613" t="n"/>
      <c r="D250" s="1930" t="n">
        <v>5</v>
      </c>
      <c r="E250" s="1952">
        <f>'TEST_pour application'!B226</f>
        <v/>
      </c>
      <c r="F250" s="55" t="n"/>
      <c r="G250" s="2002" t="n"/>
      <c r="H250" s="2002" t="n"/>
      <c r="I250" s="2002" t="n"/>
      <c r="J250" s="2002" t="n"/>
      <c r="N250" s="55" t="n"/>
      <c r="O250" s="55" t="n"/>
      <c r="P250" s="1947">
        <f>D250*E250</f>
        <v/>
      </c>
      <c r="Q250" s="26" t="n"/>
      <c r="R250" s="2002">
        <f>IF(BIBLE!K143=0,"",BIBLE!#REF!)</f>
        <v/>
      </c>
      <c r="S250" s="301" t="n"/>
      <c r="T250" s="301" t="n"/>
      <c r="U250" s="301" t="n"/>
      <c r="V250" s="301" t="n"/>
      <c r="W250" s="301" t="n"/>
      <c r="X250" s="2002" t="n"/>
      <c r="Y250" s="2002" t="n"/>
      <c r="Z250" s="2002" t="n"/>
      <c r="AA250" s="2002" t="n"/>
      <c r="AB250" s="2002" t="n"/>
      <c r="AC250" s="2002" t="n"/>
      <c r="AE250" s="522" t="n"/>
      <c r="AF250" s="93" t="n"/>
      <c r="AG250" s="93" t="n"/>
      <c r="AH250" s="93" t="n"/>
      <c r="AI250" s="775" t="n"/>
      <c r="AJ250" s="775" t="n"/>
      <c r="AK250" s="775" t="n"/>
      <c r="AL250" s="775" t="n"/>
      <c r="AM250" s="775" t="n"/>
      <c r="AN250" s="775" t="n"/>
      <c r="AO250" s="775" t="n"/>
      <c r="AP250" s="775" t="n"/>
    </row>
    <row r="251" ht="32" customFormat="1" customHeight="1" s="7">
      <c r="A251" s="1437" t="n"/>
      <c r="B251" s="158">
        <f>IF($P$53&gt;=$R$53,"Souhaite vous blesser et se venger en vous retirant les enfants ","")</f>
        <v/>
      </c>
      <c r="C251" s="1613" t="n"/>
      <c r="D251" s="1930" t="n">
        <v>10</v>
      </c>
      <c r="E251" s="1952">
        <f>'TEST_pour application'!B227</f>
        <v/>
      </c>
      <c r="F251" s="55" t="n"/>
      <c r="G251" s="2002" t="n"/>
      <c r="H251" s="2002" t="n"/>
      <c r="I251" s="2002" t="n"/>
      <c r="J251" s="2002" t="n"/>
      <c r="N251" s="55" t="n"/>
      <c r="O251" s="55" t="n"/>
      <c r="P251" s="1947">
        <f>D251*E251</f>
        <v/>
      </c>
      <c r="Q251" s="26" t="n"/>
      <c r="R251" s="2002" t="n"/>
      <c r="S251" s="301" t="n"/>
      <c r="T251" s="301" t="n"/>
      <c r="U251" s="301" t="n"/>
      <c r="V251" s="301" t="n"/>
      <c r="W251" s="301" t="n"/>
      <c r="X251" s="2002" t="n"/>
      <c r="Y251" s="2002" t="n"/>
      <c r="Z251" s="2002" t="n"/>
      <c r="AA251" s="2002" t="n"/>
      <c r="AB251" s="2002" t="n"/>
      <c r="AC251" s="2002" t="n"/>
      <c r="AE251" s="522" t="n"/>
      <c r="AF251" s="93" t="n"/>
      <c r="AG251" s="93" t="n"/>
      <c r="AH251" s="93" t="n"/>
      <c r="AI251" s="775" t="n"/>
      <c r="AJ251" s="775" t="n"/>
      <c r="AK251" s="775" t="n"/>
      <c r="AL251" s="775" t="n"/>
      <c r="AM251" s="775" t="n"/>
      <c r="AN251" s="775" t="n"/>
      <c r="AO251" s="775" t="n"/>
      <c r="AP251" s="775" t="n"/>
    </row>
    <row r="252" ht="32" customFormat="1" customHeight="1" s="7">
      <c r="A252" s="1437" t="n"/>
      <c r="B252" s="158">
        <f>IF($P$53&gt;=$R$53,"S'approprie les enfants (désir de garde exclusive)","")</f>
        <v/>
      </c>
      <c r="C252" s="1613" t="n"/>
      <c r="D252" s="1930" t="n">
        <v>7</v>
      </c>
      <c r="E252" s="1952">
        <f>'TEST_pour application'!B228</f>
        <v/>
      </c>
      <c r="F252" s="55" t="n"/>
      <c r="G252" s="2002" t="n"/>
      <c r="H252" s="2002" t="n"/>
      <c r="I252" s="2002" t="n"/>
      <c r="J252" s="2002" t="n"/>
      <c r="N252" s="55" t="n"/>
      <c r="O252" s="55" t="n"/>
      <c r="P252" s="1947">
        <f>D252*E252</f>
        <v/>
      </c>
      <c r="Q252" s="26" t="n"/>
      <c r="R252" s="2002" t="n"/>
      <c r="S252" s="301" t="n"/>
      <c r="T252" s="301" t="n"/>
      <c r="U252" s="301" t="n"/>
      <c r="V252" s="301" t="n"/>
      <c r="W252" s="301" t="n"/>
      <c r="X252" s="2002" t="n"/>
      <c r="Y252" s="2002" t="n"/>
      <c r="Z252" s="2002" t="n"/>
      <c r="AA252" s="2002" t="n"/>
      <c r="AB252" s="2002" t="n"/>
      <c r="AC252" s="2002" t="n"/>
      <c r="AE252" s="522" t="n"/>
      <c r="AF252" s="93" t="n"/>
      <c r="AG252" s="93" t="n"/>
      <c r="AH252" s="93" t="n"/>
      <c r="AI252" s="775" t="n"/>
      <c r="AJ252" s="775" t="n"/>
      <c r="AK252" s="775" t="n"/>
      <c r="AL252" s="775" t="n"/>
      <c r="AM252" s="775" t="n"/>
      <c r="AN252" s="775" t="n"/>
      <c r="AO252" s="775" t="n"/>
      <c r="AP252" s="775" t="n"/>
    </row>
    <row r="253" ht="32" customFormat="1" customHeight="1" s="7">
      <c r="A253" s="1437" t="n"/>
      <c r="B253" s="158">
        <f>IF($P$53&gt;=$R$53,"Aucun","")</f>
        <v/>
      </c>
      <c r="C253" s="1612" t="n"/>
      <c r="D253" s="1930" t="n">
        <v>0</v>
      </c>
      <c r="E253" s="1952">
        <f>'TEST_pour application'!B229</f>
        <v/>
      </c>
      <c r="F253" s="55" t="n"/>
      <c r="G253" s="2002" t="n"/>
      <c r="H253" s="2002" t="n"/>
      <c r="I253" s="2002" t="n"/>
      <c r="J253" s="2002" t="n"/>
      <c r="N253" s="55" t="n"/>
      <c r="O253" s="55" t="n"/>
      <c r="P253" s="1947">
        <f>D253*E253</f>
        <v/>
      </c>
      <c r="Q253" s="26" t="n"/>
      <c r="R253" s="2002" t="n"/>
      <c r="S253" s="301" t="n"/>
      <c r="T253" s="301" t="n"/>
      <c r="U253" s="301" t="n"/>
      <c r="V253" s="301" t="n"/>
      <c r="W253" s="301" t="n"/>
      <c r="X253" s="2002" t="n"/>
      <c r="Y253" s="2002" t="n"/>
      <c r="Z253" s="2002" t="n"/>
      <c r="AA253" s="2002" t="n"/>
      <c r="AB253" s="2002" t="n"/>
      <c r="AC253" s="2002" t="n"/>
      <c r="AE253" s="522" t="n"/>
      <c r="AF253" s="93" t="n"/>
      <c r="AG253" s="93" t="n"/>
      <c r="AH253" s="93" t="n"/>
      <c r="AI253" s="775" t="n"/>
      <c r="AJ253" s="775" t="n"/>
      <c r="AK253" s="775" t="n"/>
      <c r="AL253" s="775" t="n"/>
      <c r="AM253" s="775" t="n"/>
      <c r="AN253" s="775" t="n"/>
      <c r="AO253" s="775" t="n"/>
      <c r="AP253" s="775" t="n"/>
    </row>
    <row r="254" ht="32" customFormat="1" customHeight="1" s="7">
      <c r="A254" s="1437" t="n"/>
      <c r="B254" s="158">
        <f>IF($P$53&gt;=$R$53,"Autre (spécifiez)","")</f>
        <v/>
      </c>
      <c r="C254" s="1612" t="n"/>
      <c r="D254" s="1930" t="inlineStr">
        <is>
          <t>Custom</t>
        </is>
      </c>
      <c r="E254" s="1952">
        <f>'TEST_pour application'!B230</f>
        <v/>
      </c>
      <c r="F254" s="55" t="n"/>
      <c r="G254" s="2002" t="n"/>
      <c r="H254" s="2002" t="n"/>
      <c r="I254" s="2002" t="n"/>
      <c r="J254" s="2002" t="n"/>
      <c r="N254" s="55" t="n"/>
      <c r="O254" s="55" t="n"/>
      <c r="P254" s="1947" t="n"/>
      <c r="Q254" s="26" t="n"/>
      <c r="R254" s="2002" t="n"/>
      <c r="S254" s="301" t="n"/>
      <c r="T254" s="301" t="n"/>
      <c r="U254" s="301" t="n"/>
      <c r="V254" s="301" t="n"/>
      <c r="W254" s="301" t="n"/>
      <c r="X254" s="2002" t="n"/>
      <c r="Y254" s="2002" t="n"/>
      <c r="Z254" s="2002" t="n"/>
      <c r="AA254" s="2002" t="n"/>
      <c r="AB254" s="2002" t="n"/>
      <c r="AC254" s="2002" t="n"/>
      <c r="AE254" s="522" t="n"/>
      <c r="AF254" s="93" t="n"/>
      <c r="AG254" s="93" t="n"/>
      <c r="AH254" s="93" t="n"/>
      <c r="AI254" s="775" t="n"/>
      <c r="AJ254" s="775" t="n"/>
      <c r="AK254" s="775" t="n"/>
      <c r="AL254" s="775" t="n"/>
      <c r="AM254" s="775" t="n"/>
      <c r="AN254" s="775" t="n"/>
      <c r="AO254" s="775" t="n"/>
      <c r="AP254" s="775" t="n"/>
    </row>
    <row r="255" ht="23" customFormat="1" customHeight="1" s="7">
      <c r="A255" s="1437" t="n"/>
      <c r="B255" s="158" t="n"/>
      <c r="C255" s="125" t="n"/>
      <c r="D255" s="294" t="n"/>
      <c r="E255" s="55" t="n"/>
      <c r="F255" s="55" t="n"/>
      <c r="G255" s="2002" t="n"/>
      <c r="H255" s="2002" t="n"/>
      <c r="I255" s="2002" t="n"/>
      <c r="J255" s="2002" t="n"/>
      <c r="L255" s="90" t="n"/>
      <c r="M255" s="6" t="n"/>
      <c r="N255" s="547" t="n"/>
      <c r="O255" s="55" t="n"/>
      <c r="P255" s="55" t="n"/>
      <c r="R255" s="55" t="n"/>
      <c r="S255" s="55" t="n"/>
      <c r="T255" s="55" t="n"/>
      <c r="U255" s="55" t="n"/>
      <c r="V255" s="498">
        <f>SUM(V159:V252)</f>
        <v/>
      </c>
      <c r="W255" s="55" t="n"/>
      <c r="X255" s="498">
        <f>SUM(X159:X252)</f>
        <v/>
      </c>
      <c r="Y255" s="498">
        <f>SUM(Y159:Y252)</f>
        <v/>
      </c>
      <c r="Z255" s="498">
        <f>SUM(Z159:Z252)</f>
        <v/>
      </c>
      <c r="AA255" s="498">
        <f>SUM(AA159:AA252)</f>
        <v/>
      </c>
      <c r="AB255" s="498">
        <f>SUM(AB159:AB252)</f>
        <v/>
      </c>
      <c r="AC255" s="498">
        <f>SUM(AC159:AC252)</f>
        <v/>
      </c>
      <c r="AD255" s="551">
        <f>V255/(AC255)</f>
        <v/>
      </c>
      <c r="AE255" s="1550">
        <f>SUM(AE159:AE254)</f>
        <v/>
      </c>
      <c r="AF255" s="1551">
        <f>SUM(AF159:AF254)</f>
        <v/>
      </c>
      <c r="AG255" s="1551">
        <f>SUM(AG159:AG254)</f>
        <v/>
      </c>
      <c r="AH255" s="1551">
        <f>SUM(AH159:AH254)</f>
        <v/>
      </c>
      <c r="AI255" s="1552">
        <f>SUM(AI159:AI254)</f>
        <v/>
      </c>
      <c r="AJ255" s="1552">
        <f>SUM(AJ159:AJ254)</f>
        <v/>
      </c>
      <c r="AK255" s="1552">
        <f>SUM(AK159:AK254)</f>
        <v/>
      </c>
      <c r="AL255" s="1552">
        <f>SUM(AL159:AL254)</f>
        <v/>
      </c>
      <c r="AM255" s="1552">
        <f>SUM(AM159:AM254)</f>
        <v/>
      </c>
      <c r="AN255" s="1552">
        <f>SUM(AN159:AN254)</f>
        <v/>
      </c>
      <c r="AO255" s="1552">
        <f>SUM(AO159:AO254)</f>
        <v/>
      </c>
      <c r="AP255" s="1552">
        <f>SUM(AP159:AP254)</f>
        <v/>
      </c>
    </row>
    <row r="256" customFormat="1" s="7">
      <c r="A256" s="130" t="n"/>
      <c r="B256" s="2066" t="n"/>
      <c r="C256" s="1991" t="n"/>
      <c r="D256" s="295" t="n"/>
      <c r="E256" s="55" t="n"/>
      <c r="F256" s="55" t="n"/>
      <c r="G256" s="2002" t="n"/>
      <c r="H256" s="2002" t="n"/>
      <c r="I256" s="2002" t="n"/>
      <c r="J256" s="2002" t="n"/>
      <c r="L256" s="90" t="n"/>
      <c r="M256" s="6" t="n"/>
      <c r="N256" s="55" t="n"/>
      <c r="O256" s="55" t="n"/>
      <c r="P256" s="55" t="n"/>
      <c r="Q256" s="55" t="n"/>
      <c r="R256" s="55" t="n"/>
      <c r="S256" s="55" t="n"/>
      <c r="T256" s="55" t="n"/>
      <c r="U256" s="55" t="n"/>
      <c r="V256" s="301" t="n"/>
      <c r="W256" s="55" t="n"/>
      <c r="X256" s="2002" t="n"/>
      <c r="Y256" s="2002" t="n"/>
      <c r="Z256" s="2002" t="n"/>
      <c r="AA256" s="2002" t="n"/>
      <c r="AB256" s="2002" t="n"/>
      <c r="AC256" s="2002" t="n"/>
      <c r="AE256" s="1553" t="n"/>
      <c r="AF256" s="1554">
        <f>AF255/SUM($AF$255:$AH$255)</f>
        <v/>
      </c>
      <c r="AG256" s="1554">
        <f>AG255/SUM($AF$255:$AH$255)</f>
        <v/>
      </c>
      <c r="AH256" s="1554">
        <f>AH255/SUM($AF$255:$AH$255)</f>
        <v/>
      </c>
      <c r="AI256" s="1555">
        <f>AI255/SUM($AI$255:$AP$255)</f>
        <v/>
      </c>
      <c r="AJ256" s="1555">
        <f>AJ255/SUM($AI$255:$AP$255)</f>
        <v/>
      </c>
      <c r="AK256" s="1555">
        <f>AK255/SUM($AI$255:$AP$255)</f>
        <v/>
      </c>
      <c r="AL256" s="1555">
        <f>AL255/SUM($AI$255:$AP$255)</f>
        <v/>
      </c>
      <c r="AM256" s="1555">
        <f>AM255/SUM($AI$255:$AP$255)</f>
        <v/>
      </c>
      <c r="AN256" s="1555">
        <f>AN255/SUM($AI$255:$AP$255)</f>
        <v/>
      </c>
      <c r="AO256" s="1555">
        <f>AO255/SUM($AI$255:$AP$255)</f>
        <v/>
      </c>
      <c r="AP256" s="1555">
        <f>AP255/SUM($AI$255:$AP$255)</f>
        <v/>
      </c>
    </row>
    <row r="257" customFormat="1" s="17">
      <c r="A257" s="130" t="n"/>
      <c r="B257" s="2066" t="n"/>
      <c r="C257" s="125" t="n"/>
      <c r="D257" s="294" t="n"/>
      <c r="G257" s="160" t="n"/>
      <c r="H257" s="160" t="n"/>
      <c r="I257" s="160" t="n"/>
      <c r="J257" s="160" t="n"/>
      <c r="K257" s="7" t="n"/>
      <c r="P257" s="25" t="n"/>
      <c r="Q257" s="26" t="n"/>
      <c r="V257" s="2002" t="n"/>
      <c r="X257" s="2002" t="n"/>
      <c r="Y257" s="2002" t="n"/>
      <c r="Z257" s="2002" t="n"/>
      <c r="AA257" s="2002" t="n"/>
      <c r="AB257" s="2002" t="n"/>
      <c r="AC257" s="2002" t="n"/>
      <c r="AE257" s="522" t="n"/>
      <c r="AF257" s="509" t="n"/>
      <c r="AG257" s="509" t="n"/>
      <c r="AH257" s="509" t="n"/>
      <c r="AI257" s="1540" t="n"/>
      <c r="AJ257" s="1540" t="n"/>
      <c r="AK257" s="1540" t="n"/>
      <c r="AL257" s="1540" t="n"/>
      <c r="AM257" s="1540" t="n"/>
      <c r="AN257" s="1540" t="n"/>
      <c r="AO257" s="1540" t="n"/>
      <c r="AP257" s="1540" t="n"/>
    </row>
    <row r="258" ht="25" customFormat="1" customHeight="1" s="17" thickBot="1">
      <c r="A258" s="569" t="inlineStr">
        <is>
          <t>Enfant</t>
        </is>
      </c>
      <c r="B258" s="2066" t="n"/>
      <c r="C258" s="509" t="n"/>
      <c r="D258" s="24" t="inlineStr">
        <is>
          <t>Intensité :</t>
        </is>
      </c>
      <c r="E258" s="303">
        <f>$E$96</f>
        <v/>
      </c>
      <c r="F258" s="303">
        <f>$F$96</f>
        <v/>
      </c>
      <c r="G258" s="303">
        <f>$G$96</f>
        <v/>
      </c>
      <c r="H258" s="303">
        <f>$H$96</f>
        <v/>
      </c>
      <c r="I258" s="303">
        <f>$I$96</f>
        <v/>
      </c>
      <c r="J258" s="303">
        <f>$J$96</f>
        <v/>
      </c>
      <c r="K258" s="303">
        <f>$K$96</f>
        <v/>
      </c>
      <c r="L258" s="303">
        <f>$L$96</f>
        <v/>
      </c>
      <c r="M258" s="303">
        <f>$M$96</f>
        <v/>
      </c>
      <c r="N258" s="303">
        <f>$N$96</f>
        <v/>
      </c>
      <c r="O258" s="303">
        <f>$O$96</f>
        <v/>
      </c>
      <c r="P258" s="78" t="inlineStr">
        <is>
          <t>Fréquence seul.</t>
        </is>
      </c>
      <c r="Q258" s="78" t="inlineStr">
        <is>
          <t>Fréquence * Intensité
(valeur de base)</t>
        </is>
      </c>
      <c r="R258" s="78" t="inlineStr">
        <is>
          <t>Condition SQ</t>
        </is>
      </c>
      <c r="V258" s="2002" t="n"/>
      <c r="X258" s="2002" t="n"/>
      <c r="Y258" s="2002" t="n"/>
      <c r="Z258" s="2002" t="n"/>
      <c r="AA258" s="2002" t="n"/>
      <c r="AB258" s="2002" t="n"/>
      <c r="AC258" s="2002" t="n"/>
      <c r="AE258" s="522" t="n"/>
      <c r="AF258" s="509" t="n"/>
      <c r="AG258" s="509" t="n"/>
      <c r="AH258" s="509" t="n"/>
      <c r="AI258" s="1540" t="n"/>
      <c r="AJ258" s="1540" t="n"/>
      <c r="AK258" s="1540" t="n"/>
      <c r="AL258" s="1540" t="n"/>
      <c r="AM258" s="1540" t="n"/>
      <c r="AN258" s="1540" t="n"/>
      <c r="AO258" s="1540" t="n"/>
      <c r="AP258" s="1540" t="n"/>
    </row>
    <row r="259" ht="50" customFormat="1" customHeight="1" s="17" thickTop="1">
      <c r="A259" s="1438">
        <f>BIBLE!E149</f>
        <v/>
      </c>
      <c r="B259" s="158">
        <f>BIBLE!F149</f>
        <v/>
      </c>
      <c r="C259" s="2003">
        <f>BIBLE!O149</f>
        <v/>
      </c>
      <c r="D259" s="125">
        <f>BIBLE!L149</f>
        <v/>
      </c>
      <c r="E259" s="7" t="n"/>
      <c r="F259" s="7" t="n"/>
      <c r="G259" s="161" t="n"/>
      <c r="H259" s="161" t="n"/>
      <c r="I259" s="161" t="n"/>
      <c r="J259" s="161" t="n"/>
      <c r="K259" s="2066" t="n"/>
      <c r="L259" s="7" t="n"/>
      <c r="M259" s="7" t="n"/>
      <c r="N259" s="7" t="n">
        <v>1</v>
      </c>
      <c r="O259" s="7" t="n"/>
      <c r="P259" s="25">
        <f>'TEST_pour application'!B245</f>
        <v/>
      </c>
      <c r="Q259" s="26">
        <f>P259*D259</f>
        <v/>
      </c>
      <c r="R259" s="2002">
        <f>IF(BIBLE!K149=0,"",BIBLE!K149)</f>
        <v/>
      </c>
      <c r="V259" s="2002" t="n"/>
      <c r="X259" s="2002" t="n"/>
      <c r="Y259" s="2002" t="n"/>
      <c r="Z259" s="2002" t="n"/>
      <c r="AA259" s="2002" t="n"/>
      <c r="AB259" s="2002" t="n"/>
      <c r="AC259" s="2002" t="n"/>
      <c r="AE259" s="522" t="n"/>
      <c r="AF259" s="509" t="n"/>
      <c r="AG259" s="509" t="n"/>
      <c r="AH259" s="509" t="n"/>
      <c r="AI259" s="1540" t="n"/>
      <c r="AJ259" s="1540" t="n"/>
      <c r="AK259" s="1540" t="n"/>
      <c r="AL259" s="1540" t="n"/>
      <c r="AM259" s="1540" t="n"/>
      <c r="AN259" s="1540" t="n"/>
      <c r="AO259" s="1540" t="n"/>
      <c r="AP259" s="1540" t="n"/>
    </row>
    <row r="260" ht="47" customFormat="1" customHeight="1" s="17">
      <c r="A260" s="1438">
        <f>BIBLE!E150</f>
        <v/>
      </c>
      <c r="B260" s="158">
        <f>BIBLE!F150</f>
        <v/>
      </c>
      <c r="C260" s="2003">
        <f>BIBLE!O150</f>
        <v/>
      </c>
      <c r="D260" s="125">
        <f>BIBLE!L150</f>
        <v/>
      </c>
      <c r="E260" s="7" t="n"/>
      <c r="F260" s="7" t="n"/>
      <c r="G260" s="161" t="n"/>
      <c r="H260" s="161" t="n"/>
      <c r="I260" s="161" t="n"/>
      <c r="J260" s="161" t="n">
        <v>1</v>
      </c>
      <c r="K260" s="2066" t="n"/>
      <c r="L260" s="7" t="n"/>
      <c r="M260" s="7" t="n"/>
      <c r="N260" s="7" t="n"/>
      <c r="O260" s="7" t="n"/>
      <c r="P260" s="25">
        <f>'TEST_pour application'!B246</f>
        <v/>
      </c>
      <c r="Q260" s="26">
        <f>P260*D260</f>
        <v/>
      </c>
      <c r="R260" s="2002">
        <f>IF(BIBLE!K150=0,"",BIBLE!K150)</f>
        <v/>
      </c>
      <c r="V260" s="2002" t="n"/>
      <c r="X260" s="2002" t="n"/>
      <c r="Y260" s="2002" t="n"/>
      <c r="Z260" s="2002" t="n"/>
      <c r="AA260" s="2002" t="n"/>
      <c r="AB260" s="2002" t="n"/>
      <c r="AC260" s="2002" t="n"/>
      <c r="AE260" s="522" t="n"/>
      <c r="AF260" s="509" t="n"/>
      <c r="AG260" s="509" t="n"/>
      <c r="AH260" s="509" t="n"/>
      <c r="AI260" s="1540" t="n"/>
      <c r="AJ260" s="1540" t="n"/>
      <c r="AK260" s="1540" t="n"/>
      <c r="AL260" s="1540" t="n"/>
      <c r="AM260" s="1540" t="n"/>
      <c r="AN260" s="1540" t="n"/>
      <c r="AO260" s="1540" t="n"/>
      <c r="AP260" s="1540" t="n"/>
    </row>
    <row r="261" ht="45" customFormat="1" customHeight="1" s="7">
      <c r="A261" s="1438">
        <f>BIBLE!E151</f>
        <v/>
      </c>
      <c r="B261" s="159">
        <f>IF(P260&gt;=R260,BIBLE!F151,"")</f>
        <v/>
      </c>
      <c r="C261" s="2003">
        <f>BIBLE!O151</f>
        <v/>
      </c>
      <c r="D261" s="125">
        <f>BIBLE!L151</f>
        <v/>
      </c>
      <c r="E261" s="20" t="n"/>
      <c r="F261" s="20" t="n"/>
      <c r="G261" s="20" t="n"/>
      <c r="H261" s="20" t="n"/>
      <c r="I261" s="20" t="n"/>
      <c r="J261" s="20" t="n"/>
      <c r="K261" s="20" t="n"/>
      <c r="L261" s="20" t="n"/>
      <c r="M261" s="20" t="n"/>
      <c r="N261" s="20" t="n"/>
      <c r="O261" s="20" t="n"/>
      <c r="P261" s="25">
        <f>'TEST_pour application'!B247</f>
        <v/>
      </c>
      <c r="Q261" s="26">
        <f>P261*D261</f>
        <v/>
      </c>
      <c r="R261" s="2002">
        <f>IF(BIBLE!K151=0,"",BIBLE!K151)</f>
        <v/>
      </c>
      <c r="S261" s="55" t="n"/>
      <c r="T261" s="55" t="n"/>
      <c r="U261" s="55" t="n"/>
      <c r="V261" s="301" t="n"/>
      <c r="W261" s="55" t="n"/>
      <c r="X261" s="2002" t="n"/>
      <c r="Y261" s="2002" t="n"/>
      <c r="Z261" s="2002" t="n"/>
      <c r="AA261" s="2002" t="n"/>
      <c r="AB261" s="2002" t="n"/>
      <c r="AC261" s="2002" t="n"/>
      <c r="AE261" s="522" t="n"/>
      <c r="AF261" s="93" t="n"/>
      <c r="AG261" s="93" t="n"/>
      <c r="AH261" s="93" t="n"/>
      <c r="AI261" s="775" t="n"/>
      <c r="AJ261" s="775" t="n"/>
      <c r="AK261" s="775" t="n"/>
      <c r="AL261" s="775" t="n"/>
      <c r="AM261" s="775" t="n"/>
      <c r="AN261" s="775" t="n"/>
      <c r="AO261" s="775" t="n"/>
      <c r="AP261" s="775" t="n"/>
    </row>
    <row r="262" ht="34" customFormat="1" customHeight="1" s="17" thickBot="1">
      <c r="A262" s="1438" t="n"/>
      <c r="B262" s="158" t="n"/>
      <c r="C262" s="2003" t="n"/>
      <c r="D262" s="125" t="n"/>
      <c r="E262" s="517">
        <f>$E$52</f>
        <v/>
      </c>
      <c r="F262" s="303">
        <f>$F$52</f>
        <v/>
      </c>
      <c r="G262" s="303">
        <f>$G$52</f>
        <v/>
      </c>
      <c r="H262" s="303">
        <f>$H$52</f>
        <v/>
      </c>
      <c r="I262" s="303">
        <f>$I$52</f>
        <v/>
      </c>
      <c r="J262" s="303">
        <f>$J$52</f>
        <v/>
      </c>
      <c r="K262" s="303">
        <f>$K$52</f>
        <v/>
      </c>
      <c r="P262" s="78" t="inlineStr">
        <is>
          <t>Fréquence seul.</t>
        </is>
      </c>
      <c r="Q262" s="78" t="inlineStr">
        <is>
          <t>Fréquence * Intensité
(valeur de base)</t>
        </is>
      </c>
      <c r="R262" s="78" t="inlineStr">
        <is>
          <t>Condition SQ</t>
        </is>
      </c>
      <c r="V262" s="2002" t="n"/>
      <c r="X262" s="2002" t="n"/>
      <c r="Y262" s="2002" t="n"/>
      <c r="Z262" s="2002" t="n"/>
      <c r="AA262" s="2002" t="n"/>
      <c r="AB262" s="2002" t="n"/>
      <c r="AC262" s="2002" t="n"/>
      <c r="AE262" s="522" t="n"/>
      <c r="AF262" s="509" t="n"/>
      <c r="AG262" s="509" t="n"/>
      <c r="AH262" s="509" t="n"/>
      <c r="AI262" s="1540" t="n"/>
      <c r="AJ262" s="1540" t="n"/>
      <c r="AK262" s="1540" t="n"/>
      <c r="AL262" s="1540" t="n"/>
      <c r="AM262" s="1540" t="n"/>
      <c r="AN262" s="1540" t="n"/>
      <c r="AO262" s="1540" t="n"/>
      <c r="AP262" s="1540" t="n"/>
    </row>
    <row r="263" ht="77" customFormat="1" customHeight="1" s="7" thickTop="1">
      <c r="A263" s="1438">
        <f>BIBLE!E152</f>
        <v/>
      </c>
      <c r="B263" s="158">
        <f>BIBLE!F152</f>
        <v/>
      </c>
      <c r="C263" s="2003">
        <f>BIBLE!O152</f>
        <v/>
      </c>
      <c r="D263" s="125">
        <f>BIBLE!L152</f>
        <v/>
      </c>
      <c r="E263" s="20" t="n"/>
      <c r="F263" s="20" t="n"/>
      <c r="G263" s="20" t="n"/>
      <c r="H263" s="20" t="n">
        <v>1</v>
      </c>
      <c r="I263" s="20" t="n"/>
      <c r="J263" s="20" t="n"/>
      <c r="K263" s="20" t="n"/>
      <c r="L263" s="20" t="n"/>
      <c r="M263" s="20" t="n"/>
      <c r="N263" s="20" t="n"/>
      <c r="O263" s="20" t="n"/>
      <c r="P263" s="25">
        <f>'TEST_pour application'!B248</f>
        <v/>
      </c>
      <c r="Q263" s="26">
        <f>P263*D263</f>
        <v/>
      </c>
      <c r="R263" s="2002">
        <f>IF(BIBLE!K152=0,"",BIBLE!K152)</f>
        <v/>
      </c>
      <c r="S263" s="17" t="n"/>
      <c r="T263" s="17" t="n"/>
      <c r="U263" s="17" t="n"/>
      <c r="V263" s="6">
        <f>IF(P263&gt;=R263,IF(Q263&gt;Q264,Q263,Q264),Q263)</f>
        <v/>
      </c>
      <c r="W263" s="2002" t="n"/>
      <c r="X263" s="6">
        <f>IF(($P263&gt;=$R263),IF($Q263&gt;$Q264,X$108*$D263,X$108*$D264),X$108*$D263)</f>
        <v/>
      </c>
      <c r="Y263" s="6">
        <f>IF(($P263&gt;=$R263),IF($Q263&gt;$Q264,Y$108*$D263,Y$108*$D264),Y$108*$D263)</f>
        <v/>
      </c>
      <c r="Z263" s="6">
        <f>IF(($P263&gt;=$R263),IF($Q263&gt;$Q264,Z$108*$D263,Z$108*$D264),Z$108*$D263)</f>
        <v/>
      </c>
      <c r="AA263" s="6">
        <f>IF(($P263&gt;=$R263),IF($Q263&gt;$Q264,AA$108*$D263,AA$108*$D264),AA$108*$D263)</f>
        <v/>
      </c>
      <c r="AB263" s="6">
        <f>IF(($P263&gt;=$R263),IF($Q263&gt;$Q264,AB$108*$D263,AB$108*$D264),AB$108*$D263)</f>
        <v/>
      </c>
      <c r="AC263" s="6">
        <f>IF(($P263&gt;=$R263),IF($Q263&gt;$Q264,AC$108*$D263,AC$108*$D264),AC$108*$D263)</f>
        <v/>
      </c>
      <c r="AE263" s="522" t="n"/>
      <c r="AF263" s="24">
        <f>IF($Q263=$V263,$Q263*BIBLE!R152,$Q264*BIBLE!R153)</f>
        <v/>
      </c>
      <c r="AG263" s="24">
        <f>IF($Q263=$V263,$Q263*BIBLE!S152,$Q264*BIBLE!S153)</f>
        <v/>
      </c>
      <c r="AH263" s="24">
        <f>IF($Q263=$V263,$Q263*BIBLE!T152,$Q264*BIBLE!T153)</f>
        <v/>
      </c>
      <c r="AI263" s="1539">
        <f>IF($Q263=$V263,$Q263*BIBLE!V152,$Q264*BIBLE!V153)</f>
        <v/>
      </c>
      <c r="AJ263" s="1539">
        <f>IF($Q263=$V263,$Q263*BIBLE!W152,$Q264*BIBLE!W153)</f>
        <v/>
      </c>
      <c r="AK263" s="1539">
        <f>IF($Q263=$V263,$Q263*BIBLE!X152,$Q264*BIBLE!X153)</f>
        <v/>
      </c>
      <c r="AL263" s="1539">
        <f>IF($Q263=$V263,$Q263*BIBLE!Y152,$Q264*BIBLE!Y153)</f>
        <v/>
      </c>
      <c r="AM263" s="1539">
        <f>IF($Q263=$V263,$Q263*BIBLE!Z152,$Q264*BIBLE!Z153)</f>
        <v/>
      </c>
      <c r="AN263" s="1539">
        <f>IF($Q263=$V263,$Q263*BIBLE!AA152,$Q264*BIBLE!AA153)</f>
        <v/>
      </c>
      <c r="AO263" s="1539">
        <f>IF($Q263=$V263,$Q263*BIBLE!AB152,$Q264*BIBLE!AB153)</f>
        <v/>
      </c>
      <c r="AP263" s="1539">
        <f>IF($Q263=$V263,$Q263*BIBLE!AC152,$Q264*BIBLE!AC153)</f>
        <v/>
      </c>
    </row>
    <row r="264" ht="77" customFormat="1" customHeight="1" s="7">
      <c r="A264" s="1438">
        <f>BIBLE!E153</f>
        <v/>
      </c>
      <c r="B264" s="159">
        <f>IF(P263&gt;=R263,BIBLE!F153,"")</f>
        <v/>
      </c>
      <c r="C264" s="1056">
        <f>BIBLE!O153</f>
        <v/>
      </c>
      <c r="D264" s="125">
        <f>BIBLE!L153</f>
        <v/>
      </c>
      <c r="E264" s="20" t="n"/>
      <c r="F264" s="20" t="n"/>
      <c r="G264" s="20" t="n"/>
      <c r="H264" s="20" t="n"/>
      <c r="I264" s="20" t="n"/>
      <c r="J264" s="20" t="n"/>
      <c r="K264" s="20" t="n"/>
      <c r="L264" s="20" t="n"/>
      <c r="M264" s="20" t="n"/>
      <c r="N264" s="20" t="n"/>
      <c r="O264" s="20" t="n"/>
      <c r="P264" s="25">
        <f>'TEST_pour application'!B249</f>
        <v/>
      </c>
      <c r="Q264" s="26">
        <f>P264*D264</f>
        <v/>
      </c>
      <c r="R264" s="2002">
        <f>IF(BIBLE!K153=0,"",BIBLE!K153)</f>
        <v/>
      </c>
      <c r="V264" s="2002" t="n"/>
      <c r="X264" s="6" t="n"/>
      <c r="Y264" s="6" t="n"/>
      <c r="Z264" s="6" t="n"/>
      <c r="AA264" s="6" t="n"/>
      <c r="AB264" s="6" t="n"/>
      <c r="AC264" s="6" t="n"/>
      <c r="AE264" s="522" t="n"/>
      <c r="AF264" s="93" t="n"/>
      <c r="AG264" s="93" t="n"/>
      <c r="AH264" s="93" t="n"/>
      <c r="AI264" s="775" t="n"/>
      <c r="AJ264" s="775" t="n"/>
      <c r="AK264" s="775" t="n"/>
      <c r="AL264" s="775" t="n"/>
      <c r="AM264" s="775" t="n"/>
      <c r="AN264" s="775" t="n"/>
      <c r="AO264" s="775" t="n"/>
      <c r="AP264" s="775" t="n"/>
    </row>
    <row r="265" ht="77" customFormat="1" customHeight="1" s="7">
      <c r="A265" s="1438">
        <f>BIBLE!E154</f>
        <v/>
      </c>
      <c r="B265" s="1899">
        <f>IF(OR(E$71=1,E$72=1,E$73=1,E$74=1),BIBLE!F154,"")</f>
        <v/>
      </c>
      <c r="C265" s="2003">
        <f>BIBLE!O154</f>
        <v/>
      </c>
      <c r="D265" s="125">
        <f>BIBLE!L154</f>
        <v/>
      </c>
      <c r="E265" s="20" t="n">
        <v>1</v>
      </c>
      <c r="F265" s="20" t="n"/>
      <c r="G265" s="20" t="n"/>
      <c r="H265" s="20" t="n"/>
      <c r="I265" s="20" t="n"/>
      <c r="J265" s="20" t="n"/>
      <c r="K265" s="20" t="n"/>
      <c r="L265" s="20" t="n"/>
      <c r="M265" s="20" t="n"/>
      <c r="N265" s="20" t="n"/>
      <c r="O265" s="20" t="n"/>
      <c r="P265" s="25">
        <f>'TEST_pour application'!B250</f>
        <v/>
      </c>
      <c r="Q265" s="26">
        <f>P265*D265</f>
        <v/>
      </c>
      <c r="R265" s="2002">
        <f>IF(BIBLE!K154=0,"",BIBLE!K154)</f>
        <v/>
      </c>
      <c r="V265" s="6">
        <f>IF(P265&gt;=R265,IF(Q265&gt;Q266,Q265,Q266),Q265)</f>
        <v/>
      </c>
      <c r="W265" s="2002" t="n"/>
      <c r="X265" s="6">
        <f>IF(($P265&gt;=$R265),IF($Q265&gt;$Q266,X$108*$D265,X$108*$D266),X$108*$D265)</f>
        <v/>
      </c>
      <c r="Y265" s="6">
        <f>IF(($P265&gt;=$R265),IF($Q265&gt;$Q266,Y$108*$D265,Y$108*$D266),Y$108*$D265)</f>
        <v/>
      </c>
      <c r="Z265" s="6">
        <f>IF(($P265&gt;=$R265),IF($Q265&gt;$Q266,Z$108*$D265,Z$108*$D266),Z$108*$D265)</f>
        <v/>
      </c>
      <c r="AA265" s="6">
        <f>IF(($P265&gt;=$R265),IF($Q265&gt;$Q266,AA$108*$D265,AA$108*$D266),AA$108*$D265)</f>
        <v/>
      </c>
      <c r="AB265" s="6">
        <f>IF(($P265&gt;=$R265),IF($Q265&gt;$Q266,AB$108*$D265,AB$108*$D266),AB$108*$D265)</f>
        <v/>
      </c>
      <c r="AC265" s="6">
        <f>IF(($P265&gt;=$R265),IF($Q265&gt;$Q266,AC$108*$D265,AC$108*$D266),AC$108*$D265)</f>
        <v/>
      </c>
      <c r="AE265" s="522" t="n"/>
      <c r="AF265" s="24">
        <f>IF($Q265=$V265,$Q265*BIBLE!R154,$Q266*BIBLE!R155)</f>
        <v/>
      </c>
      <c r="AG265" s="24">
        <f>IF($Q265=$V265,$Q265*BIBLE!S154,$Q266*BIBLE!S155)</f>
        <v/>
      </c>
      <c r="AH265" s="24">
        <f>IF($Q265=$V265,$Q265*BIBLE!T154,$Q266*BIBLE!T155)</f>
        <v/>
      </c>
      <c r="AI265" s="1539">
        <f>IF($Q265=$V265,$Q265*BIBLE!V154,$Q266*BIBLE!V155)</f>
        <v/>
      </c>
      <c r="AJ265" s="1539">
        <f>IF($Q265=$V265,$Q265*BIBLE!W154,$Q266*BIBLE!W155)</f>
        <v/>
      </c>
      <c r="AK265" s="1539">
        <f>IF($Q265=$V265,$Q265*BIBLE!X154,$Q266*BIBLE!X155)</f>
        <v/>
      </c>
      <c r="AL265" s="1539">
        <f>IF($Q265=$V265,$Q265*BIBLE!Y154,$Q266*BIBLE!Y155)</f>
        <v/>
      </c>
      <c r="AM265" s="1539">
        <f>IF($Q265=$V265,$Q265*BIBLE!Z154,$Q266*BIBLE!Z155)</f>
        <v/>
      </c>
      <c r="AN265" s="1539">
        <f>IF($Q265=$V265,$Q265*BIBLE!AA154,$Q266*BIBLE!AA155)</f>
        <v/>
      </c>
      <c r="AO265" s="1539">
        <f>IF($Q265=$V265,$Q265*BIBLE!AB154,$Q266*BIBLE!AB155)</f>
        <v/>
      </c>
      <c r="AP265" s="1539">
        <f>IF($Q265=$V265,$Q265*BIBLE!AC154,$Q266*BIBLE!AC155)</f>
        <v/>
      </c>
    </row>
    <row r="266" ht="77" customFormat="1" customHeight="1" s="7">
      <c r="A266" s="1438">
        <f>BIBLE!E155</f>
        <v/>
      </c>
      <c r="B266" s="159">
        <f>IF(P265&gt;=R265,BIBLE!F155,"")</f>
        <v/>
      </c>
      <c r="C266" s="2003">
        <f>BIBLE!O155</f>
        <v/>
      </c>
      <c r="D266" s="125">
        <f>BIBLE!L155</f>
        <v/>
      </c>
      <c r="E266" s="20" t="n"/>
      <c r="F266" s="20" t="n"/>
      <c r="G266" s="20" t="n"/>
      <c r="H266" s="20" t="n"/>
      <c r="I266" s="20" t="n"/>
      <c r="J266" s="20" t="n"/>
      <c r="K266" s="70" t="n"/>
      <c r="L266" s="20" t="n"/>
      <c r="M266" s="20" t="n"/>
      <c r="N266" s="20" t="n"/>
      <c r="O266" s="20" t="n"/>
      <c r="P266" s="25">
        <f>'TEST_pour application'!B251</f>
        <v/>
      </c>
      <c r="Q266" s="26">
        <f>P266*D266</f>
        <v/>
      </c>
      <c r="R266" s="2002">
        <f>IF(BIBLE!K155=0,"",BIBLE!K155)</f>
        <v/>
      </c>
      <c r="V266" s="6" t="n"/>
      <c r="W266" s="2002" t="n"/>
      <c r="X266" s="6" t="n"/>
      <c r="Y266" s="6" t="n"/>
      <c r="Z266" s="6" t="n"/>
      <c r="AA266" s="6" t="n"/>
      <c r="AB266" s="6" t="n"/>
      <c r="AC266" s="6" t="n"/>
      <c r="AE266" s="522" t="n"/>
      <c r="AF266" s="24" t="n"/>
      <c r="AG266" s="24" t="n"/>
      <c r="AH266" s="24" t="n"/>
      <c r="AI266" s="1539" t="n"/>
      <c r="AJ266" s="1539" t="n"/>
      <c r="AK266" s="1539" t="n"/>
      <c r="AL266" s="1539" t="n"/>
      <c r="AM266" s="1539" t="n"/>
      <c r="AN266" s="1539" t="n"/>
      <c r="AO266" s="1539" t="n"/>
      <c r="AP266" s="1539" t="n"/>
    </row>
    <row r="267" ht="77" customFormat="1" customHeight="1" s="7">
      <c r="A267" s="1438">
        <f>BIBLE!E156</f>
        <v/>
      </c>
      <c r="B267" s="158">
        <f>BIBLE!F156</f>
        <v/>
      </c>
      <c r="C267" s="2003">
        <f>BIBLE!O156</f>
        <v/>
      </c>
      <c r="D267" s="125">
        <f>BIBLE!L156</f>
        <v/>
      </c>
      <c r="E267" s="20" t="n"/>
      <c r="F267" s="20" t="n"/>
      <c r="G267" s="20" t="n"/>
      <c r="H267" s="20" t="n"/>
      <c r="I267" s="20" t="n"/>
      <c r="J267" s="20" t="n">
        <v>1</v>
      </c>
      <c r="K267" s="70" t="n"/>
      <c r="L267" s="20" t="n"/>
      <c r="M267" s="20" t="n"/>
      <c r="N267" s="20" t="n"/>
      <c r="O267" s="20" t="n"/>
      <c r="P267" s="25">
        <f>'TEST_pour application'!B252</f>
        <v/>
      </c>
      <c r="Q267" s="26">
        <f>P267*D267</f>
        <v/>
      </c>
      <c r="R267" s="2002">
        <f>IF(BIBLE!K156=0,"",BIBLE!K156)</f>
        <v/>
      </c>
      <c r="S267" s="55" t="n"/>
      <c r="T267" s="55" t="n"/>
      <c r="U267" s="55" t="n"/>
      <c r="V267" s="6">
        <f>Q267</f>
        <v/>
      </c>
      <c r="W267" s="301" t="n"/>
      <c r="X267" s="6">
        <f>IF($Q267&gt;0,X$108*$D267,0)</f>
        <v/>
      </c>
      <c r="Y267" s="6">
        <f>IF($Q267&gt;0,Y$108*$D267,0)</f>
        <v/>
      </c>
      <c r="Z267" s="6">
        <f>IF($Q267&gt;0,Z$108*$D267,0)</f>
        <v/>
      </c>
      <c r="AA267" s="6">
        <f>IF($Q267&gt;0,AA$108*$D267,0)</f>
        <v/>
      </c>
      <c r="AB267" s="6">
        <f>IF($Q267&gt;0,AB$108*$D267,0)</f>
        <v/>
      </c>
      <c r="AC267" s="6">
        <f>IF($Q267&gt;0,AC$108*$D267,0)</f>
        <v/>
      </c>
      <c r="AE267" s="522" t="n"/>
      <c r="AF267" s="24">
        <f>$V267*BIBLE!R156</f>
        <v/>
      </c>
      <c r="AG267" s="24">
        <f>$V267*BIBLE!S156</f>
        <v/>
      </c>
      <c r="AH267" s="24">
        <f>$V267*BIBLE!T156</f>
        <v/>
      </c>
      <c r="AI267" s="1539">
        <f>$V267*BIBLE!V156</f>
        <v/>
      </c>
      <c r="AJ267" s="1539">
        <f>$V267*BIBLE!W156</f>
        <v/>
      </c>
      <c r="AK267" s="1539">
        <f>$V267*BIBLE!X156</f>
        <v/>
      </c>
      <c r="AL267" s="1539">
        <f>$V267*BIBLE!Y156</f>
        <v/>
      </c>
      <c r="AM267" s="1539">
        <f>$V267*BIBLE!Z156</f>
        <v/>
      </c>
      <c r="AN267" s="1539">
        <f>$V267*BIBLE!AA156</f>
        <v/>
      </c>
      <c r="AO267" s="1539">
        <f>$V267*BIBLE!AB156</f>
        <v/>
      </c>
      <c r="AP267" s="1539">
        <f>$V267*BIBLE!AC156</f>
        <v/>
      </c>
    </row>
    <row r="268" ht="40" customFormat="1" customHeight="1" s="7">
      <c r="A268" s="1438">
        <f>BIBLE!E157</f>
        <v/>
      </c>
      <c r="B268" s="159">
        <f>IF(P267&gt;=R267,BIBLE!F157,"")</f>
        <v/>
      </c>
      <c r="C268" s="2003" t="n"/>
      <c r="D268" s="125" t="n"/>
      <c r="E268" s="20" t="n"/>
      <c r="F268" s="20" t="n"/>
      <c r="G268" s="20" t="n"/>
      <c r="H268" s="20" t="n"/>
      <c r="I268" s="20" t="n"/>
      <c r="J268" s="20" t="n"/>
      <c r="K268" s="70" t="n"/>
      <c r="L268" s="20" t="n"/>
      <c r="M268" s="20" t="n"/>
      <c r="N268" s="20" t="n"/>
      <c r="O268" s="20" t="n"/>
      <c r="P268" s="1937">
        <f>'TEST_pour application'!B253</f>
        <v/>
      </c>
      <c r="Q268" s="26" t="n"/>
      <c r="R268" s="2002">
        <f>IF(BIBLE!K157=0,"",BIBLE!K157)</f>
        <v/>
      </c>
      <c r="S268" s="55" t="n"/>
      <c r="T268" s="55" t="n"/>
      <c r="U268" s="55" t="n"/>
      <c r="V268" s="6" t="n"/>
      <c r="W268" s="2002" t="n"/>
      <c r="X268" s="6" t="n"/>
      <c r="Y268" s="6" t="n"/>
      <c r="Z268" s="6" t="n"/>
      <c r="AA268" s="6" t="n"/>
      <c r="AB268" s="6" t="n"/>
      <c r="AC268" s="6" t="n"/>
      <c r="AE268" s="522" t="n"/>
      <c r="AF268" s="93" t="n"/>
      <c r="AG268" s="93" t="n"/>
      <c r="AH268" s="93" t="n"/>
      <c r="AI268" s="775" t="n"/>
      <c r="AJ268" s="775" t="n"/>
      <c r="AK268" s="775" t="n"/>
      <c r="AL268" s="775" t="n"/>
      <c r="AM268" s="775" t="n"/>
      <c r="AN268" s="775" t="n"/>
      <c r="AO268" s="775" t="n"/>
      <c r="AP268" s="775" t="n"/>
    </row>
    <row r="269" ht="33" customFormat="1" customHeight="1" s="7">
      <c r="A269" s="1438" t="n"/>
      <c r="B269" s="159">
        <f>IF(P267&gt;=R267,"Au retour d'un séjour (garde) de l'autre parent","")</f>
        <v/>
      </c>
      <c r="C269" s="2003" t="n"/>
      <c r="D269" s="1930" t="n">
        <v>1</v>
      </c>
      <c r="E269" s="52">
        <f>IF(P$268=D269,1,"x")</f>
        <v/>
      </c>
      <c r="F269" s="20" t="n"/>
      <c r="G269" s="20" t="n"/>
      <c r="H269" s="20" t="n"/>
      <c r="I269" s="20" t="n"/>
      <c r="J269" s="20" t="n"/>
      <c r="K269" s="70" t="n"/>
      <c r="L269" s="20" t="n"/>
      <c r="M269" s="20" t="n"/>
      <c r="N269" s="20" t="n"/>
      <c r="O269" s="20" t="n"/>
      <c r="P269" s="25" t="n"/>
      <c r="Q269" s="26" t="n"/>
      <c r="R269" s="2002" t="n"/>
      <c r="S269" s="55" t="n"/>
      <c r="T269" s="55" t="n"/>
      <c r="U269" s="55" t="n"/>
      <c r="V269" s="6" t="n"/>
      <c r="W269" s="2002" t="n"/>
      <c r="X269" s="6" t="n"/>
      <c r="Y269" s="6" t="n"/>
      <c r="Z269" s="6" t="n"/>
      <c r="AA269" s="6" t="n"/>
      <c r="AB269" s="6" t="n"/>
      <c r="AC269" s="6" t="n"/>
      <c r="AE269" s="522" t="n"/>
      <c r="AF269" s="93" t="n"/>
      <c r="AG269" s="93" t="n"/>
      <c r="AH269" s="93" t="n"/>
      <c r="AI269" s="775" t="n"/>
      <c r="AJ269" s="775" t="n"/>
      <c r="AK269" s="775" t="n"/>
      <c r="AL269" s="775" t="n"/>
      <c r="AM269" s="775" t="n"/>
      <c r="AN269" s="775" t="n"/>
      <c r="AO269" s="775" t="n"/>
      <c r="AP269" s="775" t="n"/>
    </row>
    <row r="270" ht="33" customFormat="1" customHeight="1" s="7">
      <c r="A270" s="1438" t="n"/>
      <c r="B270" s="159">
        <f>IF(P267&gt;=R267,"Lorsque l'enfant est en présence de l'autre parent","")</f>
        <v/>
      </c>
      <c r="D270" s="1930" t="n">
        <v>2</v>
      </c>
      <c r="E270" s="52">
        <f>IF(P$268=D270,1,"x")</f>
        <v/>
      </c>
      <c r="F270" s="20" t="n"/>
      <c r="G270" s="20" t="n"/>
      <c r="H270" s="20" t="n"/>
      <c r="I270" s="20" t="n"/>
      <c r="J270" s="20" t="n"/>
      <c r="K270" s="70" t="n"/>
      <c r="L270" s="20" t="n"/>
      <c r="M270" s="20" t="n"/>
      <c r="N270" s="20" t="n"/>
      <c r="O270" s="20" t="n"/>
      <c r="P270" s="25" t="n"/>
      <c r="Q270" s="26" t="n"/>
      <c r="R270" s="2002" t="n"/>
      <c r="S270" s="55" t="n"/>
      <c r="T270" s="55" t="n"/>
      <c r="U270" s="55" t="n"/>
      <c r="V270" s="6" t="n"/>
      <c r="W270" s="2002" t="n"/>
      <c r="X270" s="6" t="n"/>
      <c r="Y270" s="6" t="n"/>
      <c r="Z270" s="6" t="n"/>
      <c r="AA270" s="6" t="n"/>
      <c r="AB270" s="6" t="n"/>
      <c r="AC270" s="6" t="n"/>
      <c r="AE270" s="522" t="n"/>
      <c r="AF270" s="93" t="n"/>
      <c r="AG270" s="93" t="n"/>
      <c r="AH270" s="93" t="n"/>
      <c r="AI270" s="775" t="n"/>
      <c r="AJ270" s="775" t="n"/>
      <c r="AK270" s="775" t="n"/>
      <c r="AL270" s="775" t="n"/>
      <c r="AM270" s="775" t="n"/>
      <c r="AN270" s="775" t="n"/>
      <c r="AO270" s="775" t="n"/>
      <c r="AP270" s="775" t="n"/>
    </row>
    <row r="271" ht="33" customFormat="1" customHeight="1" s="7">
      <c r="A271" s="1438" t="n"/>
      <c r="B271" s="159">
        <f>IF(P267&gt;=R267,"Lorsque mon enfant cherche à me convaincre de passer plus de temps chez l'autre parent ","")</f>
        <v/>
      </c>
      <c r="D271" s="1930" t="n">
        <v>3</v>
      </c>
      <c r="E271" s="52">
        <f>IF(P$268=D271,1,"x")</f>
        <v/>
      </c>
      <c r="F271" s="20" t="n"/>
      <c r="G271" s="20" t="n"/>
      <c r="H271" s="20" t="n"/>
      <c r="I271" s="20" t="n"/>
      <c r="J271" s="20" t="n"/>
      <c r="K271" s="70" t="n"/>
      <c r="L271" s="20" t="n"/>
      <c r="M271" s="20" t="n"/>
      <c r="N271" s="20" t="n"/>
      <c r="O271" s="20" t="n"/>
      <c r="P271" s="25" t="n"/>
      <c r="Q271" s="26" t="n"/>
      <c r="R271" s="2002" t="n"/>
      <c r="S271" s="55" t="n"/>
      <c r="T271" s="55" t="n"/>
      <c r="U271" s="55" t="n"/>
      <c r="V271" s="6" t="n"/>
      <c r="W271" s="2002" t="n"/>
      <c r="X271" s="6" t="n"/>
      <c r="Y271" s="6" t="n"/>
      <c r="Z271" s="6" t="n"/>
      <c r="AA271" s="6" t="n"/>
      <c r="AB271" s="6" t="n"/>
      <c r="AC271" s="6" t="n"/>
      <c r="AE271" s="522" t="n"/>
      <c r="AF271" s="93" t="n"/>
      <c r="AG271" s="93" t="n"/>
      <c r="AH271" s="93" t="n"/>
      <c r="AI271" s="775" t="n"/>
      <c r="AJ271" s="775" t="n"/>
      <c r="AK271" s="775" t="n"/>
      <c r="AL271" s="775" t="n"/>
      <c r="AM271" s="775" t="n"/>
      <c r="AN271" s="775" t="n"/>
      <c r="AO271" s="775" t="n"/>
      <c r="AP271" s="775" t="n"/>
    </row>
    <row r="272" ht="33" customFormat="1" customHeight="1" s="7">
      <c r="A272" s="1438" t="n"/>
      <c r="B272" s="159">
        <f>IF(P267&gt;=R267,"Lorsque mon enfant me fait des reproches ","")</f>
        <v/>
      </c>
      <c r="D272" s="1930" t="n">
        <v>4</v>
      </c>
      <c r="E272" s="52">
        <f>IF(P$268=D272,1,"x")</f>
        <v/>
      </c>
      <c r="F272" s="20" t="n"/>
      <c r="G272" s="20" t="n"/>
      <c r="H272" s="20" t="n"/>
      <c r="I272" s="20" t="n"/>
      <c r="J272" s="20" t="n"/>
      <c r="K272" s="70" t="n"/>
      <c r="L272" s="20" t="n"/>
      <c r="M272" s="20" t="n"/>
      <c r="N272" s="20" t="n"/>
      <c r="O272" s="20" t="n"/>
      <c r="P272" s="25" t="n"/>
      <c r="Q272" s="26" t="n"/>
      <c r="R272" s="2002" t="n"/>
      <c r="S272" s="55" t="n"/>
      <c r="T272" s="55" t="n"/>
      <c r="U272" s="55" t="n"/>
      <c r="V272" s="6" t="n"/>
      <c r="W272" s="2002" t="n"/>
      <c r="X272" s="6" t="n"/>
      <c r="Y272" s="6" t="n"/>
      <c r="Z272" s="6" t="n"/>
      <c r="AA272" s="6" t="n"/>
      <c r="AB272" s="6" t="n"/>
      <c r="AC272" s="6" t="n"/>
      <c r="AE272" s="522" t="n"/>
      <c r="AF272" s="93" t="n"/>
      <c r="AG272" s="93" t="n"/>
      <c r="AH272" s="93" t="n"/>
      <c r="AI272" s="775" t="n"/>
      <c r="AJ272" s="775" t="n"/>
      <c r="AK272" s="775" t="n"/>
      <c r="AL272" s="775" t="n"/>
      <c r="AM272" s="775" t="n"/>
      <c r="AN272" s="775" t="n"/>
      <c r="AO272" s="775" t="n"/>
      <c r="AP272" s="775" t="n"/>
    </row>
    <row r="273" ht="63" customFormat="1" customHeight="1" s="7">
      <c r="A273" s="1438">
        <f>BIBLE!E158</f>
        <v/>
      </c>
      <c r="B273" s="1899">
        <f>IF(OR(E$71=1,E$72=1,E$73=1,E$74=1),BIBLE!F162,"")</f>
        <v/>
      </c>
      <c r="C273" s="2003">
        <f>BIBLE!O158</f>
        <v/>
      </c>
      <c r="D273" s="125">
        <f>IF(AND(E28=1,E29=1),BIBLE!L158,BIBLE!M158)</f>
        <v/>
      </c>
      <c r="E273" s="20" t="n"/>
      <c r="F273" s="20" t="n"/>
      <c r="G273" s="20" t="n">
        <v>1</v>
      </c>
      <c r="H273" s="20" t="n"/>
      <c r="I273" s="20" t="n"/>
      <c r="J273" s="20" t="n"/>
      <c r="K273" s="70" t="n"/>
      <c r="L273" s="20" t="n"/>
      <c r="M273" s="20" t="n"/>
      <c r="N273" s="20" t="n"/>
      <c r="O273" s="20" t="n"/>
      <c r="P273" s="25">
        <f>'TEST_pour application'!B254</f>
        <v/>
      </c>
      <c r="Q273" s="26">
        <f>P273*D273</f>
        <v/>
      </c>
      <c r="R273" s="2002">
        <f>IF(BIBLE!K158=0,"",BIBLE!K158)</f>
        <v/>
      </c>
      <c r="S273" s="55" t="n"/>
      <c r="T273" s="55" t="n"/>
      <c r="U273" s="55" t="n"/>
      <c r="V273" s="6">
        <f>MAX(AQ273:AQ275)</f>
        <v/>
      </c>
      <c r="W273" s="2002" t="n"/>
      <c r="X273" s="6">
        <f>MAX(AS273:AS275)</f>
        <v/>
      </c>
      <c r="Y273" s="6">
        <f>MAX(AT273:AT275)</f>
        <v/>
      </c>
      <c r="Z273" s="6">
        <f>MAX(AU273:AU275)</f>
        <v/>
      </c>
      <c r="AA273" s="6">
        <f>MAX(AV273:AV275)</f>
        <v/>
      </c>
      <c r="AB273" s="6">
        <f>MAX(AW273:AW275)</f>
        <v/>
      </c>
      <c r="AC273" s="6">
        <f>MAX(AX273:AX275)</f>
        <v/>
      </c>
      <c r="AE273" s="522" t="n"/>
      <c r="AF273" s="24">
        <f>IF($Q273=$V273,$Q273*BIBLE!R158,IF(Test_Bible!$Q274=Test_Bible!$V273,Test_Bible!$Q274*BIBLE!R159,Test_Bible!$Q275*BIBLE!R160))</f>
        <v/>
      </c>
      <c r="AG273" s="24">
        <f>IF($Q273=$V273,$Q273*BIBLE!S158,IF(Test_Bible!$Q274=Test_Bible!$V273,Test_Bible!$Q274*BIBLE!S159,Test_Bible!$Q275*BIBLE!S160))</f>
        <v/>
      </c>
      <c r="AH273" s="24">
        <f>IF($Q273=$V273,$Q273*BIBLE!T158,IF(Test_Bible!$Q274=Test_Bible!$V273,Test_Bible!$Q274*BIBLE!T159,Test_Bible!$Q275*BIBLE!T160))</f>
        <v/>
      </c>
      <c r="AI273" s="775">
        <f>IF($Q273=$V273,$Q273*BIBLE!V158,IF(Test_Bible!$Q274=Test_Bible!$V273,Test_Bible!$Q274*BIBLE!V159,Test_Bible!$Q275*BIBLE!V160))</f>
        <v/>
      </c>
      <c r="AJ273" s="775">
        <f>IF($Q273=$V273,$Q273*BIBLE!W158,IF(Test_Bible!$Q274=Test_Bible!$V273,Test_Bible!$Q274*BIBLE!W159,Test_Bible!$Q275*BIBLE!W160))</f>
        <v/>
      </c>
      <c r="AK273" s="775">
        <f>IF($Q273=$V273,$Q273*BIBLE!X158,IF(Test_Bible!$Q274=Test_Bible!$V273,Test_Bible!$Q274*BIBLE!X159,Test_Bible!$Q275*BIBLE!X160))</f>
        <v/>
      </c>
      <c r="AL273" s="775">
        <f>IF($Q273=$V273,$Q273*BIBLE!Y158,IF(Test_Bible!$Q274=Test_Bible!$V273,Test_Bible!$Q274*BIBLE!Y159,Test_Bible!$Q275*BIBLE!Y160))</f>
        <v/>
      </c>
      <c r="AM273" s="775">
        <f>IF($Q273=$V273,$Q273*BIBLE!Z158,IF(Test_Bible!$Q274=Test_Bible!$V273,Test_Bible!$Q274*BIBLE!Z159,Test_Bible!$Q275*BIBLE!Z160))</f>
        <v/>
      </c>
      <c r="AN273" s="775">
        <f>IF($Q273=$V273,$Q273*BIBLE!AA158,IF(Test_Bible!$Q274=Test_Bible!$V273,Test_Bible!$Q274*BIBLE!AA159,Test_Bible!$Q275*BIBLE!AA160))</f>
        <v/>
      </c>
      <c r="AO273" s="775">
        <f>IF($Q273=$V273,$Q273*BIBLE!AB158,IF(Test_Bible!$Q274=Test_Bible!$V273,Test_Bible!$Q274*BIBLE!AB159,Test_Bible!$Q275*BIBLE!AB160))</f>
        <v/>
      </c>
      <c r="AP273" s="775">
        <f>IF($Q273=$V273,$Q273*BIBLE!AC158,IF(Test_Bible!$Q274=Test_Bible!$V273,Test_Bible!$Q274*BIBLE!AC159,Test_Bible!$Q275*BIBLE!AC160))</f>
        <v/>
      </c>
      <c r="AQ273" s="6">
        <f>Q273</f>
        <v/>
      </c>
      <c r="AR273" s="301" t="n"/>
      <c r="AS273" s="6">
        <f>IF($Q273&gt;0,X$108*$D273,0)</f>
        <v/>
      </c>
      <c r="AT273" s="6">
        <f>IF($Q273&gt;0,Y$108*$D273,0)</f>
        <v/>
      </c>
      <c r="AU273" s="6">
        <f>IF($Q273&gt;0,Z$108*$D273,0)</f>
        <v/>
      </c>
      <c r="AV273" s="6">
        <f>IF($Q273&gt;0,AA$108*$D273,0)</f>
        <v/>
      </c>
      <c r="AW273" s="6">
        <f>IF($Q273&gt;0,AB$108*$D273,0)</f>
        <v/>
      </c>
      <c r="AX273" s="6">
        <f>IF($Q273&gt;0,AC$108*$D273,0)</f>
        <v/>
      </c>
    </row>
    <row r="274" ht="63" customFormat="1" customHeight="1" s="7">
      <c r="A274" s="1438">
        <f>BIBLE!E159</f>
        <v/>
      </c>
      <c r="B274" s="159">
        <f>IF(OR(P273&gt;=R273,E87=1),BIBLE!F159,"")</f>
        <v/>
      </c>
      <c r="C274" s="2003">
        <f>BIBLE!O159</f>
        <v/>
      </c>
      <c r="D274" s="125">
        <f>BIBLE!L159</f>
        <v/>
      </c>
      <c r="E274" s="20" t="n"/>
      <c r="F274" s="20" t="n"/>
      <c r="G274" s="20" t="n"/>
      <c r="H274" s="20" t="n"/>
      <c r="I274" s="20" t="n"/>
      <c r="J274" s="20" t="n"/>
      <c r="K274" s="20" t="n"/>
      <c r="L274" s="20" t="n"/>
      <c r="M274" s="20" t="n"/>
      <c r="N274" s="20" t="n"/>
      <c r="O274" s="20" t="n"/>
      <c r="P274" s="25">
        <f>'TEST_pour application'!B255</f>
        <v/>
      </c>
      <c r="Q274" s="26">
        <f>P274*D274</f>
        <v/>
      </c>
      <c r="R274" s="2002">
        <f>IF(BIBLE!K159=0,"",BIBLE!K159)</f>
        <v/>
      </c>
      <c r="S274" s="55" t="n"/>
      <c r="T274" s="55" t="n"/>
      <c r="U274" s="55" t="n"/>
      <c r="V274" s="2002" t="n"/>
      <c r="AE274" s="522" t="n"/>
      <c r="AF274" s="93" t="n"/>
      <c r="AG274" s="93" t="n"/>
      <c r="AH274" s="93" t="n"/>
      <c r="AI274" s="775" t="n"/>
      <c r="AJ274" s="775" t="n"/>
      <c r="AK274" s="775" t="n"/>
      <c r="AL274" s="775" t="n"/>
      <c r="AM274" s="775" t="n"/>
      <c r="AN274" s="775" t="n"/>
      <c r="AO274" s="775" t="n"/>
      <c r="AP274" s="775" t="n"/>
      <c r="AQ274" s="6">
        <f>Q274</f>
        <v/>
      </c>
      <c r="AR274" s="301" t="n"/>
      <c r="AS274" s="6">
        <f>IF($Q274&gt;0,X$108*$D274,0)</f>
        <v/>
      </c>
      <c r="AT274" s="6">
        <f>IF($Q274&gt;0,Y$108*$D274,0)</f>
        <v/>
      </c>
      <c r="AU274" s="6">
        <f>IF($Q274&gt;0,Z$108*$D274,0)</f>
        <v/>
      </c>
      <c r="AV274" s="6">
        <f>IF($Q274&gt;0,AA$108*$D274,0)</f>
        <v/>
      </c>
      <c r="AW274" s="6">
        <f>IF($Q274&gt;0,AB$108*$D274,0)</f>
        <v/>
      </c>
      <c r="AX274" s="6">
        <f>IF($Q274&gt;0,AC$108*$D274,0)</f>
        <v/>
      </c>
      <c r="AZ274" s="17" t="inlineStr">
        <is>
          <t>Deux SQ, mais à un niveau différent, on prend le max entre la Q et les SQ</t>
        </is>
      </c>
    </row>
    <row r="275" ht="63" customFormat="1" customHeight="1" s="7">
      <c r="A275" s="1438">
        <f>BIBLE!E160</f>
        <v/>
      </c>
      <c r="B275" s="159">
        <f>IF(P274&gt;=R274,BIBLE!F160,"")</f>
        <v/>
      </c>
      <c r="C275" s="2003">
        <f>BIBLE!O160</f>
        <v/>
      </c>
      <c r="D275" s="125">
        <f>BIBLE!L160</f>
        <v/>
      </c>
      <c r="E275" s="20" t="n"/>
      <c r="F275" s="20" t="n"/>
      <c r="G275" s="20" t="n"/>
      <c r="H275" s="20" t="n"/>
      <c r="I275" s="20" t="n"/>
      <c r="J275" s="20" t="n"/>
      <c r="K275" s="20" t="n"/>
      <c r="L275" s="20" t="n"/>
      <c r="M275" s="20" t="n"/>
      <c r="N275" s="20" t="n"/>
      <c r="O275" s="20" t="n"/>
      <c r="P275" s="25">
        <f>'TEST_pour application'!B256</f>
        <v/>
      </c>
      <c r="Q275" s="26">
        <f>P275*D275</f>
        <v/>
      </c>
      <c r="R275" s="2002">
        <f>IF(BIBLE!K160=0,"",BIBLE!K160)</f>
        <v/>
      </c>
      <c r="S275" s="55" t="n"/>
      <c r="T275" s="55" t="n"/>
      <c r="U275" s="55" t="n"/>
      <c r="V275" s="2002" t="n"/>
      <c r="AE275" s="522" t="n"/>
      <c r="AF275" s="93" t="n"/>
      <c r="AG275" s="93" t="n"/>
      <c r="AH275" s="93" t="n"/>
      <c r="AI275" s="775" t="n"/>
      <c r="AJ275" s="775" t="n"/>
      <c r="AK275" s="775" t="n"/>
      <c r="AL275" s="775" t="n"/>
      <c r="AM275" s="775" t="n"/>
      <c r="AN275" s="775" t="n"/>
      <c r="AO275" s="775" t="n"/>
      <c r="AP275" s="775" t="n"/>
      <c r="AQ275" s="6">
        <f>Q275</f>
        <v/>
      </c>
      <c r="AR275" s="301" t="n"/>
      <c r="AS275" s="6">
        <f>IF($Q275&gt;0,X$108*$D275,0)</f>
        <v/>
      </c>
      <c r="AT275" s="6">
        <f>IF($Q275&gt;0,Y$108*$D275,0)</f>
        <v/>
      </c>
      <c r="AU275" s="6">
        <f>IF($Q275&gt;0,Z$108*$D275,0)</f>
        <v/>
      </c>
      <c r="AV275" s="6">
        <f>IF($Q275&gt;0,AA$108*$D275,0)</f>
        <v/>
      </c>
      <c r="AW275" s="6">
        <f>IF($Q275&gt;0,AB$108*$D275,0)</f>
        <v/>
      </c>
      <c r="AX275" s="6">
        <f>IF($Q275&gt;0,AC$108*$D275,0)</f>
        <v/>
      </c>
      <c r="BF275" s="17" t="n"/>
    </row>
    <row r="276" ht="63" customFormat="1" customHeight="1" s="7">
      <c r="A276" s="1438">
        <f>BIBLE!E161</f>
        <v/>
      </c>
      <c r="B276" s="158">
        <f>BIBLE!F161</f>
        <v/>
      </c>
      <c r="C276" s="2003">
        <f>BIBLE!O161</f>
        <v/>
      </c>
      <c r="D276" s="125">
        <f>BIBLE!L161</f>
        <v/>
      </c>
      <c r="E276" s="20" t="n"/>
      <c r="F276" s="20" t="n"/>
      <c r="G276" s="20" t="n"/>
      <c r="H276" s="20" t="n"/>
      <c r="I276" s="20" t="n"/>
      <c r="J276" s="20" t="n">
        <v>1</v>
      </c>
      <c r="K276" s="20" t="n"/>
      <c r="L276" s="20" t="n"/>
      <c r="M276" s="20" t="n"/>
      <c r="N276" s="20" t="n"/>
      <c r="O276" s="20" t="n"/>
      <c r="P276" s="25">
        <f>'TEST_pour application'!B257</f>
        <v/>
      </c>
      <c r="Q276" s="26">
        <f>P276*D276</f>
        <v/>
      </c>
      <c r="R276" s="2002">
        <f>IF(BIBLE!K161=0,"",BIBLE!K161)</f>
        <v/>
      </c>
      <c r="S276" s="55" t="n"/>
      <c r="T276" s="55" t="n"/>
      <c r="U276" s="55" t="n"/>
      <c r="V276" s="6">
        <f>Q276</f>
        <v/>
      </c>
      <c r="W276" s="301" t="n"/>
      <c r="X276" s="6">
        <f>IF($Q276&gt;0,X$108*$D276,0)</f>
        <v/>
      </c>
      <c r="Y276" s="6">
        <f>IF($Q276&gt;0,Y$108*$D276,0)</f>
        <v/>
      </c>
      <c r="Z276" s="6">
        <f>IF($Q276&gt;0,Z$108*$D276,0)</f>
        <v/>
      </c>
      <c r="AA276" s="6">
        <f>IF($Q276&gt;0,AA$108*$D276,0)</f>
        <v/>
      </c>
      <c r="AB276" s="6">
        <f>IF($Q276&gt;0,AB$108*$D276,0)</f>
        <v/>
      </c>
      <c r="AC276" s="6">
        <f>IF($Q276&gt;0,AC$108*$D276,0)</f>
        <v/>
      </c>
      <c r="AE276" s="522" t="n"/>
      <c r="AF276" s="24">
        <f>$V276*BIBLE!R161</f>
        <v/>
      </c>
      <c r="AG276" s="24">
        <f>$V276*BIBLE!S161</f>
        <v/>
      </c>
      <c r="AH276" s="24">
        <f>$V276*BIBLE!T161</f>
        <v/>
      </c>
      <c r="AI276" s="1539">
        <f>$V276*BIBLE!V161</f>
        <v/>
      </c>
      <c r="AJ276" s="1539">
        <f>$V276*BIBLE!W161</f>
        <v/>
      </c>
      <c r="AK276" s="1539">
        <f>$V276*BIBLE!X161</f>
        <v/>
      </c>
      <c r="AL276" s="1539">
        <f>$V276*BIBLE!Y161</f>
        <v/>
      </c>
      <c r="AM276" s="1539">
        <f>$V276*BIBLE!Z161</f>
        <v/>
      </c>
      <c r="AN276" s="1539">
        <f>$V276*BIBLE!AA161</f>
        <v/>
      </c>
      <c r="AO276" s="1539">
        <f>$V276*BIBLE!AB161</f>
        <v/>
      </c>
      <c r="AP276" s="1539">
        <f>$V276*BIBLE!AC161</f>
        <v/>
      </c>
    </row>
    <row r="277" ht="63" customFormat="1" customHeight="1" s="7">
      <c r="A277" s="1438">
        <f>BIBLE!E162</f>
        <v/>
      </c>
      <c r="B277" s="1899">
        <f>IF(OR($P$53&gt;=$R$53,E$70=1,E$71=1,E$72=1,E$73=1,E$74=1),BIBLE!F162,"")</f>
        <v/>
      </c>
      <c r="C277" s="2003">
        <f>BIBLE!O162</f>
        <v/>
      </c>
      <c r="D277" s="125">
        <f>BIBLE!L162</f>
        <v/>
      </c>
      <c r="E277" s="20" t="n"/>
      <c r="F277" s="20" t="n"/>
      <c r="G277" s="20" t="n"/>
      <c r="H277" s="20" t="n">
        <v>1</v>
      </c>
      <c r="I277" s="20" t="n"/>
      <c r="J277" s="20" t="n"/>
      <c r="K277" s="20" t="n"/>
      <c r="L277" s="20" t="n"/>
      <c r="M277" s="20" t="n"/>
      <c r="N277" s="20" t="n"/>
      <c r="O277" s="20" t="n"/>
      <c r="P277" s="25">
        <f>'TEST_pour application'!B258</f>
        <v/>
      </c>
      <c r="Q277" s="26">
        <f>P277*D277</f>
        <v/>
      </c>
      <c r="R277" s="2002">
        <f>IF(BIBLE!K162=0,"",BIBLE!K162)</f>
        <v/>
      </c>
      <c r="S277" s="55" t="n"/>
      <c r="T277" s="55" t="n"/>
      <c r="U277" s="55" t="n"/>
      <c r="V277" s="6">
        <f>Q277</f>
        <v/>
      </c>
      <c r="W277" s="301" t="n"/>
      <c r="X277" s="6">
        <f>IF($Q277&gt;0,X$108*$D277,0)</f>
        <v/>
      </c>
      <c r="Y277" s="6">
        <f>IF($Q277&gt;0,Y$108*$D277,0)</f>
        <v/>
      </c>
      <c r="Z277" s="6">
        <f>IF($Q277&gt;0,Z$108*$D277,0)</f>
        <v/>
      </c>
      <c r="AA277" s="6">
        <f>IF($Q277&gt;0,AA$108*$D277,0)</f>
        <v/>
      </c>
      <c r="AB277" s="6">
        <f>IF($Q277&gt;0,AB$108*$D277,0)</f>
        <v/>
      </c>
      <c r="AC277" s="6">
        <f>IF($Q277&gt;0,AC$108*$D277,0)</f>
        <v/>
      </c>
      <c r="AE277" s="522" t="n"/>
      <c r="AF277" s="24">
        <f>$V277*BIBLE!R162</f>
        <v/>
      </c>
      <c r="AG277" s="24">
        <f>$V277*BIBLE!S162</f>
        <v/>
      </c>
      <c r="AH277" s="24">
        <f>$V277*BIBLE!T162</f>
        <v/>
      </c>
      <c r="AI277" s="1539">
        <f>$V277*BIBLE!V162</f>
        <v/>
      </c>
      <c r="AJ277" s="1539">
        <f>$V277*BIBLE!W162</f>
        <v/>
      </c>
      <c r="AK277" s="1539">
        <f>$V277*BIBLE!X162</f>
        <v/>
      </c>
      <c r="AL277" s="1539">
        <f>$V277*BIBLE!Y162</f>
        <v/>
      </c>
      <c r="AM277" s="1539">
        <f>$V277*BIBLE!Z162</f>
        <v/>
      </c>
      <c r="AN277" s="1539">
        <f>$V277*BIBLE!AA162</f>
        <v/>
      </c>
      <c r="AO277" s="1539">
        <f>$V277*BIBLE!AB162</f>
        <v/>
      </c>
      <c r="AP277" s="1539">
        <f>$V277*BIBLE!AC162</f>
        <v/>
      </c>
    </row>
    <row r="278" ht="63" customFormat="1" customHeight="1" s="7">
      <c r="A278" s="1438">
        <f>BIBLE!E163</f>
        <v/>
      </c>
      <c r="B278" s="158">
        <f>BIBLE!F163</f>
        <v/>
      </c>
      <c r="C278" s="2003">
        <f>BIBLE!O163</f>
        <v/>
      </c>
      <c r="D278" s="125">
        <f>BIBLE!L163</f>
        <v/>
      </c>
      <c r="E278" s="20" t="n"/>
      <c r="F278" s="20" t="n"/>
      <c r="G278" s="20" t="n"/>
      <c r="H278" s="20" t="n">
        <v>1</v>
      </c>
      <c r="I278" s="20" t="n"/>
      <c r="J278" s="20" t="n"/>
      <c r="K278" s="20" t="n"/>
      <c r="L278" s="20" t="n"/>
      <c r="M278" s="20" t="n"/>
      <c r="N278" s="20" t="n"/>
      <c r="O278" s="20" t="n"/>
      <c r="P278" s="25">
        <f>'TEST_pour application'!B259</f>
        <v/>
      </c>
      <c r="Q278" s="26">
        <f>P278*D278</f>
        <v/>
      </c>
      <c r="R278" s="2002">
        <f>IF(BIBLE!K163=0,"",BIBLE!K163)</f>
        <v/>
      </c>
      <c r="S278" s="55" t="n"/>
      <c r="T278" s="55" t="n"/>
      <c r="U278" s="55" t="n"/>
      <c r="V278" s="6">
        <f>Q278</f>
        <v/>
      </c>
      <c r="W278" s="301" t="n"/>
      <c r="X278" s="6">
        <f>IF($Q278&gt;0,X$108*$D278,0)</f>
        <v/>
      </c>
      <c r="Y278" s="6">
        <f>IF($Q278&gt;0,Y$108*$D278,0)</f>
        <v/>
      </c>
      <c r="Z278" s="6">
        <f>IF($Q278&gt;0,Z$108*$D278,0)</f>
        <v/>
      </c>
      <c r="AA278" s="6">
        <f>IF($Q278&gt;0,AA$108*$D278,0)</f>
        <v/>
      </c>
      <c r="AB278" s="6">
        <f>IF($Q278&gt;0,AB$108*$D278,0)</f>
        <v/>
      </c>
      <c r="AC278" s="6">
        <f>IF($Q278&gt;0,AC$108*$D278,0)</f>
        <v/>
      </c>
      <c r="AE278" s="522" t="n"/>
      <c r="AF278" s="24">
        <f>$V278*BIBLE!R163</f>
        <v/>
      </c>
      <c r="AG278" s="24">
        <f>$V278*BIBLE!S163</f>
        <v/>
      </c>
      <c r="AH278" s="24">
        <f>$V278*BIBLE!T163</f>
        <v/>
      </c>
      <c r="AI278" s="1539">
        <f>$V278*BIBLE!V163</f>
        <v/>
      </c>
      <c r="AJ278" s="1539">
        <f>$V278*BIBLE!W163</f>
        <v/>
      </c>
      <c r="AK278" s="1539">
        <f>$V278*BIBLE!X163</f>
        <v/>
      </c>
      <c r="AL278" s="1539">
        <f>$V278*BIBLE!Y163</f>
        <v/>
      </c>
      <c r="AM278" s="1539">
        <f>$V278*BIBLE!Z163</f>
        <v/>
      </c>
      <c r="AN278" s="1539">
        <f>$V278*BIBLE!AA163</f>
        <v/>
      </c>
      <c r="AO278" s="1539">
        <f>$V278*BIBLE!AB163</f>
        <v/>
      </c>
      <c r="AP278" s="1539">
        <f>$V278*BIBLE!AC163</f>
        <v/>
      </c>
    </row>
    <row r="279" ht="63" customFormat="1" customHeight="1" s="7">
      <c r="A279" s="1438">
        <f>BIBLE!E164</f>
        <v/>
      </c>
      <c r="B279" s="158">
        <f>BIBLE!F164</f>
        <v/>
      </c>
      <c r="C279" s="2003">
        <f>BIBLE!O164</f>
        <v/>
      </c>
      <c r="D279" s="125">
        <f>IF(E40&gt;=8,BIBLE!L164,BIBLE!M164)</f>
        <v/>
      </c>
      <c r="E279" s="20" t="n"/>
      <c r="F279" s="20" t="n"/>
      <c r="G279" s="20" t="n">
        <v>1</v>
      </c>
      <c r="H279" s="20" t="n"/>
      <c r="I279" s="20" t="n"/>
      <c r="J279" s="20" t="n"/>
      <c r="K279" s="20" t="n"/>
      <c r="L279" s="20" t="n"/>
      <c r="M279" s="20" t="n"/>
      <c r="N279" s="20" t="n"/>
      <c r="O279" s="20" t="n"/>
      <c r="P279" s="25">
        <f>'TEST_pour application'!B260</f>
        <v/>
      </c>
      <c r="Q279" s="26">
        <f>P279*D279</f>
        <v/>
      </c>
      <c r="R279" s="2002">
        <f>IF(BIBLE!K164=0,"",BIBLE!K164)</f>
        <v/>
      </c>
      <c r="S279" s="55" t="n"/>
      <c r="T279" s="55" t="n"/>
      <c r="U279" s="55" t="n"/>
      <c r="V279" s="6">
        <f>Q279</f>
        <v/>
      </c>
      <c r="W279" s="301" t="n"/>
      <c r="X279" s="6">
        <f>IF($Q279&gt;0,X$108*$D279,0)</f>
        <v/>
      </c>
      <c r="Y279" s="6">
        <f>IF($Q279&gt;0,Y$108*$D279,0)</f>
        <v/>
      </c>
      <c r="Z279" s="6">
        <f>IF($Q279&gt;0,Z$108*$D279,0)</f>
        <v/>
      </c>
      <c r="AA279" s="6">
        <f>IF($Q279&gt;0,AA$108*$D279,0)</f>
        <v/>
      </c>
      <c r="AB279" s="6">
        <f>IF($Q279&gt;0,AB$108*$D279,0)</f>
        <v/>
      </c>
      <c r="AC279" s="6">
        <f>IF($Q279&gt;0,AC$108*$D279,0)</f>
        <v/>
      </c>
      <c r="AE279" s="522" t="n"/>
      <c r="AF279" s="24">
        <f>$V279*BIBLE!R164</f>
        <v/>
      </c>
      <c r="AG279" s="24">
        <f>$V279*BIBLE!S164</f>
        <v/>
      </c>
      <c r="AH279" s="24">
        <f>$V279*BIBLE!T164</f>
        <v/>
      </c>
      <c r="AI279" s="1539">
        <f>$V279*BIBLE!V164</f>
        <v/>
      </c>
      <c r="AJ279" s="1539">
        <f>$V279*BIBLE!W164</f>
        <v/>
      </c>
      <c r="AK279" s="1539">
        <f>$V279*BIBLE!X164</f>
        <v/>
      </c>
      <c r="AL279" s="1539">
        <f>$V279*BIBLE!Y164</f>
        <v/>
      </c>
      <c r="AM279" s="1539">
        <f>$V279*BIBLE!Z164</f>
        <v/>
      </c>
      <c r="AN279" s="1539">
        <f>$V279*BIBLE!AA164</f>
        <v/>
      </c>
      <c r="AO279" s="1539">
        <f>$V279*BIBLE!AB164</f>
        <v/>
      </c>
      <c r="AP279" s="1539">
        <f>$V279*BIBLE!AC164</f>
        <v/>
      </c>
    </row>
    <row r="280" ht="63" customFormat="1" customHeight="1" s="7">
      <c r="A280" s="1438">
        <f>BIBLE!E165</f>
        <v/>
      </c>
      <c r="B280" s="1899">
        <f>IF(OR(E$62=1,E$63=1,E$64=1,E$65=1),BIBLE!F165,"")</f>
        <v/>
      </c>
      <c r="C280" s="2003">
        <f>BIBLE!O165</f>
        <v/>
      </c>
      <c r="D280" s="125">
        <f>IF(E40&gt;=10,BIBLE!L165,BIBLE!M165)</f>
        <v/>
      </c>
      <c r="E280" s="20" t="n"/>
      <c r="F280" s="20" t="n">
        <v>1</v>
      </c>
      <c r="G280" s="20" t="n"/>
      <c r="H280" s="20" t="n"/>
      <c r="I280" s="20" t="n"/>
      <c r="J280" s="20" t="n"/>
      <c r="K280" s="20" t="n"/>
      <c r="L280" s="20" t="n"/>
      <c r="M280" s="20" t="n"/>
      <c r="N280" s="20" t="n"/>
      <c r="O280" s="20" t="n"/>
      <c r="P280" s="25">
        <f>'TEST_pour application'!B261</f>
        <v/>
      </c>
      <c r="Q280" s="26">
        <f>P280*D280</f>
        <v/>
      </c>
      <c r="R280" s="2002">
        <f>IF(BIBLE!K165=0,"",BIBLE!K165)</f>
        <v/>
      </c>
      <c r="S280" s="55" t="n"/>
      <c r="T280" s="55" t="n"/>
      <c r="U280" s="55" t="n"/>
      <c r="V280" s="6">
        <f>Q280</f>
        <v/>
      </c>
      <c r="W280" s="301" t="n"/>
      <c r="X280" s="6">
        <f>IF($Q280&gt;0,X$108*$D280,0)</f>
        <v/>
      </c>
      <c r="Y280" s="6">
        <f>IF($Q280&gt;0,Y$108*$D280,0)</f>
        <v/>
      </c>
      <c r="Z280" s="6">
        <f>IF($Q280&gt;0,Z$108*$D280,0)</f>
        <v/>
      </c>
      <c r="AA280" s="6">
        <f>IF($Q280&gt;0,AA$108*$D280,0)</f>
        <v/>
      </c>
      <c r="AB280" s="6">
        <f>IF($Q280&gt;0,AB$108*$D280,0)</f>
        <v/>
      </c>
      <c r="AC280" s="6">
        <f>IF($Q280&gt;0,AC$108*$D280,0)</f>
        <v/>
      </c>
      <c r="AE280" s="522" t="n"/>
      <c r="AF280" s="24">
        <f>$V280*BIBLE!R165</f>
        <v/>
      </c>
      <c r="AG280" s="24">
        <f>$V280*BIBLE!S165</f>
        <v/>
      </c>
      <c r="AH280" s="24">
        <f>$V280*BIBLE!T165</f>
        <v/>
      </c>
      <c r="AI280" s="1539">
        <f>$V280*BIBLE!V165</f>
        <v/>
      </c>
      <c r="AJ280" s="1539">
        <f>$V280*BIBLE!W165</f>
        <v/>
      </c>
      <c r="AK280" s="1539">
        <f>$V280*BIBLE!X165</f>
        <v/>
      </c>
      <c r="AL280" s="1539">
        <f>$V280*BIBLE!Y165</f>
        <v/>
      </c>
      <c r="AM280" s="1539">
        <f>$V280*BIBLE!Z165</f>
        <v/>
      </c>
      <c r="AN280" s="1539">
        <f>$V280*BIBLE!AA165</f>
        <v/>
      </c>
      <c r="AO280" s="1539">
        <f>$V280*BIBLE!AB165</f>
        <v/>
      </c>
      <c r="AP280" s="1539">
        <f>$V280*BIBLE!AC165</f>
        <v/>
      </c>
    </row>
    <row r="281" ht="63" customFormat="1" customHeight="1" s="7">
      <c r="A281" s="1438">
        <f>BIBLE!E166</f>
        <v/>
      </c>
      <c r="B281" s="158">
        <f>IF(OR($E$44=1,$E$45=1),BIBLE!F166,"")</f>
        <v/>
      </c>
      <c r="C281" s="2003">
        <f>BIBLE!O166</f>
        <v/>
      </c>
      <c r="D281" s="125">
        <f>BIBLE!L166</f>
        <v/>
      </c>
      <c r="E281" s="20" t="n"/>
      <c r="F281" s="20" t="n"/>
      <c r="G281" s="20" t="n"/>
      <c r="H281" s="20" t="n"/>
      <c r="I281" s="20" t="n"/>
      <c r="J281" s="20" t="n"/>
      <c r="K281" s="20" t="n"/>
      <c r="L281" s="20" t="n"/>
      <c r="M281" s="20" t="n"/>
      <c r="N281" s="20" t="n"/>
      <c r="O281" s="20" t="n"/>
      <c r="P281" s="25">
        <f>'TEST_pour application'!B262</f>
        <v/>
      </c>
      <c r="Q281" s="26">
        <f>P281*D281</f>
        <v/>
      </c>
      <c r="R281" s="2002">
        <f>IF(BIBLE!K166=0,"",BIBLE!K166)</f>
        <v/>
      </c>
      <c r="S281" s="55" t="n"/>
      <c r="T281" s="55" t="n"/>
      <c r="U281" s="55" t="n"/>
      <c r="V281" s="6">
        <f>Q281</f>
        <v/>
      </c>
      <c r="W281" s="301" t="n"/>
      <c r="X281" s="6">
        <f>IF($Q281&gt;0,X$108*$D281,0)</f>
        <v/>
      </c>
      <c r="Y281" s="6">
        <f>IF($Q281&gt;0,Y$108*$D281,0)</f>
        <v/>
      </c>
      <c r="Z281" s="6">
        <f>IF($Q281&gt;0,Z$108*$D281,0)</f>
        <v/>
      </c>
      <c r="AA281" s="6">
        <f>IF($Q281&gt;0,AA$108*$D281,0)</f>
        <v/>
      </c>
      <c r="AB281" s="6">
        <f>IF($Q281&gt;0,AB$108*$D281,0)</f>
        <v/>
      </c>
      <c r="AC281" s="6">
        <f>IF($Q281&gt;0,AC$108*$D281,0)</f>
        <v/>
      </c>
      <c r="AE281" s="522" t="n"/>
      <c r="AF281" s="24">
        <f>$V281*BIBLE!R166</f>
        <v/>
      </c>
      <c r="AG281" s="24">
        <f>$V281*BIBLE!S166</f>
        <v/>
      </c>
      <c r="AH281" s="24">
        <f>$V281*BIBLE!T166</f>
        <v/>
      </c>
      <c r="AI281" s="1539">
        <f>$V281*BIBLE!V166</f>
        <v/>
      </c>
      <c r="AJ281" s="1539">
        <f>$V281*BIBLE!W166</f>
        <v/>
      </c>
      <c r="AK281" s="1539">
        <f>$V281*BIBLE!X166</f>
        <v/>
      </c>
      <c r="AL281" s="1539">
        <f>$V281*BIBLE!Y166</f>
        <v/>
      </c>
      <c r="AM281" s="1539">
        <f>$V281*BIBLE!Z166</f>
        <v/>
      </c>
      <c r="AN281" s="1539">
        <f>$V281*BIBLE!AA166</f>
        <v/>
      </c>
      <c r="AO281" s="1539">
        <f>$V281*BIBLE!AB166</f>
        <v/>
      </c>
      <c r="AP281" s="1539">
        <f>$V281*BIBLE!AC166</f>
        <v/>
      </c>
      <c r="AQ281" s="1561" t="n"/>
      <c r="AR281" s="1561" t="n"/>
    </row>
    <row r="282" ht="63" customFormat="1" customHeight="1" s="7">
      <c r="A282" s="1438">
        <f>BIBLE!E167</f>
        <v/>
      </c>
      <c r="B282" s="158">
        <f>IF(OR($E$48=1,$E$49=1),BIBLE!F167,"")</f>
        <v/>
      </c>
      <c r="C282" s="2003">
        <f>BIBLE!O167</f>
        <v/>
      </c>
      <c r="D282" s="125">
        <f>BIBLE!L167</f>
        <v/>
      </c>
      <c r="E282" s="20" t="n"/>
      <c r="F282" s="20" t="n"/>
      <c r="G282" s="20" t="n"/>
      <c r="H282" s="20" t="n"/>
      <c r="I282" s="20" t="n"/>
      <c r="J282" s="20" t="n">
        <v>1</v>
      </c>
      <c r="K282" s="20" t="n"/>
      <c r="L282" s="20" t="n"/>
      <c r="M282" s="20" t="n"/>
      <c r="N282" s="20" t="n"/>
      <c r="O282" s="20" t="n"/>
      <c r="P282" s="25">
        <f>'TEST_pour application'!B263</f>
        <v/>
      </c>
      <c r="Q282" s="26">
        <f>P282*D282</f>
        <v/>
      </c>
      <c r="R282" s="2002">
        <f>IF(BIBLE!K167=0,"",BIBLE!K167)</f>
        <v/>
      </c>
      <c r="S282" s="55" t="n"/>
      <c r="T282" s="55" t="n"/>
      <c r="U282" s="55" t="n"/>
      <c r="V282" s="6">
        <f>IF(P282&gt;=R282,IF(Q282&gt;Q283,Q282,Q283),Q282)</f>
        <v/>
      </c>
      <c r="W282" s="2002" t="n"/>
      <c r="X282" s="6">
        <f>IF(($P282&gt;=$R282),IF($Q282&gt;$Q283,X$108*$D282,X$108*$D283),X$108*$D282)</f>
        <v/>
      </c>
      <c r="Y282" s="6">
        <f>IF(($P282&gt;=$R282),IF($Q282&gt;$Q283,Y$108*$D282,Y$108*$D283),Y$108*$D282)</f>
        <v/>
      </c>
      <c r="Z282" s="6">
        <f>IF(($P282&gt;=$R282),IF($Q282&gt;$Q283,Z$108*$D282,Z$108*$D283),Z$108*$D282)</f>
        <v/>
      </c>
      <c r="AA282" s="6">
        <f>IF(($P282&gt;=$R282),IF($Q282&gt;$Q283,AA$108*$D282,AA$108*$D283),AA$108*$D282)</f>
        <v/>
      </c>
      <c r="AB282" s="6">
        <f>IF(($P282&gt;=$R282),IF($Q282&gt;$Q283,AB$108*$D282,AB$108*$D283),AB$108*$D282)</f>
        <v/>
      </c>
      <c r="AC282" s="6">
        <f>IF(($P282&gt;=$R282),IF($Q282&gt;$Q283,AC$108*$D282,AC$108*$D283),AC$108*$D282)</f>
        <v/>
      </c>
      <c r="AE282" s="522" t="n"/>
      <c r="AF282" s="24">
        <f>IF($Q282=$V282,$Q282*BIBLE!R167,$Q283*BIBLE!R168)</f>
        <v/>
      </c>
      <c r="AG282" s="24">
        <f>IF($Q282=$V282,$Q282*BIBLE!S167,$Q283*BIBLE!S168)</f>
        <v/>
      </c>
      <c r="AH282" s="24">
        <f>IF($Q282=$V282,$Q282*BIBLE!T167,$Q283*BIBLE!T168)</f>
        <v/>
      </c>
      <c r="AI282" s="1539">
        <f>IF($Q282=$V282,$Q282*BIBLE!V167,$Q283*BIBLE!V168)</f>
        <v/>
      </c>
      <c r="AJ282" s="1539">
        <f>IF($Q282=$V282,$Q282*BIBLE!W167,$Q283*BIBLE!W168)</f>
        <v/>
      </c>
      <c r="AK282" s="1539">
        <f>IF($Q282=$V282,$Q282*BIBLE!X167,$Q283*BIBLE!X168)</f>
        <v/>
      </c>
      <c r="AL282" s="1539">
        <f>IF($Q282=$V282,$Q282*BIBLE!Y167,$Q283*BIBLE!Y168)</f>
        <v/>
      </c>
      <c r="AM282" s="1539">
        <f>IF($Q282=$V282,$Q282*BIBLE!Z167,$Q283*BIBLE!Z168)</f>
        <v/>
      </c>
      <c r="AN282" s="1539">
        <f>IF($Q282=$V282,$Q282*BIBLE!AA167,$Q283*BIBLE!AA168)</f>
        <v/>
      </c>
      <c r="AO282" s="1539">
        <f>IF($Q282=$V282,$Q282*BIBLE!AB167,$Q283*BIBLE!AB168)</f>
        <v/>
      </c>
      <c r="AP282" s="1539">
        <f>IF($Q282=$V282,$Q282*BIBLE!AC167,$Q283*BIBLE!AC168)</f>
        <v/>
      </c>
      <c r="AQ282" s="1562" t="n"/>
      <c r="AR282" s="1561" t="n"/>
    </row>
    <row r="283" ht="63" customFormat="1" customHeight="1" s="7">
      <c r="A283" s="1438">
        <f>BIBLE!E168</f>
        <v/>
      </c>
      <c r="B283" s="159">
        <f>IF(P282&gt;=R282,BIBLE!F168,"")</f>
        <v/>
      </c>
      <c r="C283" s="2003">
        <f>BIBLE!O168</f>
        <v/>
      </c>
      <c r="D283" s="125">
        <f>BIBLE!L168</f>
        <v/>
      </c>
      <c r="E283" s="20" t="n"/>
      <c r="F283" s="20" t="n"/>
      <c r="G283" s="20" t="n"/>
      <c r="H283" s="20" t="n">
        <v>1</v>
      </c>
      <c r="I283" s="20" t="n"/>
      <c r="J283" s="20" t="n"/>
      <c r="K283" s="20" t="n"/>
      <c r="L283" s="20" t="n"/>
      <c r="M283" s="20" t="n"/>
      <c r="N283" s="20" t="n"/>
      <c r="O283" s="20" t="n"/>
      <c r="P283" s="25">
        <f>'TEST_pour application'!B264</f>
        <v/>
      </c>
      <c r="Q283" s="26">
        <f>P283*D283</f>
        <v/>
      </c>
      <c r="R283" s="2002">
        <f>IF(BIBLE!K168=0,"",BIBLE!K168)</f>
        <v/>
      </c>
      <c r="S283" s="501" t="n"/>
      <c r="T283" s="501" t="n"/>
      <c r="U283" s="501" t="n"/>
      <c r="V283" s="6" t="n"/>
      <c r="W283" s="301" t="n"/>
      <c r="X283" s="6" t="n"/>
      <c r="Y283" s="6" t="n"/>
      <c r="Z283" s="6" t="n"/>
      <c r="AA283" s="6" t="n"/>
      <c r="AB283" s="6" t="n"/>
      <c r="AC283" s="6" t="n"/>
      <c r="AE283" s="522" t="n"/>
      <c r="AF283" s="93" t="n"/>
      <c r="AG283" s="93" t="n"/>
      <c r="AH283" s="93" t="n"/>
      <c r="AI283" s="775" t="n"/>
      <c r="AJ283" s="775" t="n"/>
      <c r="AK283" s="775" t="n"/>
      <c r="AL283" s="775" t="n"/>
      <c r="AM283" s="775" t="n"/>
      <c r="AN283" s="775" t="n"/>
      <c r="AO283" s="775" t="n"/>
      <c r="AP283" s="775" t="n"/>
      <c r="AQ283" s="1561" t="n"/>
      <c r="AR283" s="1561" t="n"/>
    </row>
    <row r="284" ht="63" customFormat="1" customHeight="1" s="7">
      <c r="A284" s="1438">
        <f>BIBLE!E169</f>
        <v/>
      </c>
      <c r="B284" s="158">
        <f>BIBLE!F169</f>
        <v/>
      </c>
      <c r="C284" s="2003">
        <f>BIBLE!O169</f>
        <v/>
      </c>
      <c r="D284" s="125">
        <f>BIBLE!L169</f>
        <v/>
      </c>
      <c r="E284" s="20" t="n"/>
      <c r="F284" s="20" t="n"/>
      <c r="G284" s="20" t="n"/>
      <c r="H284" s="20" t="n">
        <v>1</v>
      </c>
      <c r="I284" s="20" t="n"/>
      <c r="J284" s="20" t="n"/>
      <c r="K284" s="20" t="n"/>
      <c r="L284" s="20" t="n"/>
      <c r="M284" s="20" t="n"/>
      <c r="N284" s="20" t="n"/>
      <c r="O284" s="20" t="n"/>
      <c r="P284" s="25">
        <f>'TEST_pour application'!B265</f>
        <v/>
      </c>
      <c r="Q284" s="26">
        <f>P284*D284</f>
        <v/>
      </c>
      <c r="R284" s="2002">
        <f>IF(BIBLE!K169=0,"",BIBLE!K169)</f>
        <v/>
      </c>
      <c r="S284" s="55" t="n"/>
      <c r="T284" s="55" t="n"/>
      <c r="U284" s="55" t="n"/>
      <c r="V284" s="6">
        <f>IF(P284&gt;=R284,IF(Q284&gt;Q285,Q284,Q285),Q284)</f>
        <v/>
      </c>
      <c r="W284" s="2002" t="n"/>
      <c r="X284" s="6">
        <f>IF(($P284&gt;=$R284),IF($Q284&gt;$Q285,X$108*$D284,X$108*$D285),X$108*$D284)</f>
        <v/>
      </c>
      <c r="Y284" s="6">
        <f>IF(($P284&gt;=$R284),IF($Q284&gt;$Q285,Y$108*$D284,Y$108*$D285),Y$108*$D284)</f>
        <v/>
      </c>
      <c r="Z284" s="6">
        <f>IF(($P284&gt;=$R284),IF($Q284&gt;$Q285,Z$108*$D284,Z$108*$D285),Z$108*$D284)</f>
        <v/>
      </c>
      <c r="AA284" s="6">
        <f>IF(($P284&gt;=$R284),IF($Q284&gt;$Q285,AA$108*$D284,AA$108*$D285),AA$108*$D284)</f>
        <v/>
      </c>
      <c r="AB284" s="6">
        <f>IF(($P284&gt;=$R284),IF($Q284&gt;$Q285,AB$108*$D284,AB$108*$D285),AB$108*$D284)</f>
        <v/>
      </c>
      <c r="AC284" s="6">
        <f>IF(($P284&gt;=$R284),IF($Q284&gt;$Q285,AC$108*$D284,AC$108*$D285),AC$108*$D284)</f>
        <v/>
      </c>
      <c r="AE284" s="522" t="n"/>
      <c r="AF284" s="24">
        <f>IF($Q284=$V284,$Q284*BIBLE!R169,$Q285*BIBLE!R170)</f>
        <v/>
      </c>
      <c r="AG284" s="24">
        <f>IF($Q284=$V284,$Q284*BIBLE!S169,$Q285*BIBLE!S170)</f>
        <v/>
      </c>
      <c r="AH284" s="24">
        <f>IF($Q284=$V284,$Q284*BIBLE!T169,$Q285*BIBLE!T170)</f>
        <v/>
      </c>
      <c r="AI284" s="1539">
        <f>IF($Q284=$V284,$Q284*BIBLE!V169,$Q285*BIBLE!V170)</f>
        <v/>
      </c>
      <c r="AJ284" s="1539">
        <f>IF($Q284=$V284,$Q284*BIBLE!W169,$Q285*BIBLE!W170)</f>
        <v/>
      </c>
      <c r="AK284" s="1539">
        <f>IF($Q284=$V284,$Q284*BIBLE!X169,$Q285*BIBLE!X170)</f>
        <v/>
      </c>
      <c r="AL284" s="1539">
        <f>IF($Q284=$V284,$Q284*BIBLE!Y169,$Q285*BIBLE!Y170)</f>
        <v/>
      </c>
      <c r="AM284" s="1539">
        <f>IF($Q284=$V284,$Q284*BIBLE!Z169,$Q285*BIBLE!Z170)</f>
        <v/>
      </c>
      <c r="AN284" s="1539">
        <f>IF($Q284=$V284,$Q284*BIBLE!AA169,$Q285*BIBLE!AA170)</f>
        <v/>
      </c>
      <c r="AO284" s="1539">
        <f>IF($Q284=$V284,$Q284*BIBLE!AB169,$Q285*BIBLE!AB170)</f>
        <v/>
      </c>
      <c r="AP284" s="1539">
        <f>IF($Q284=$V284,$Q284*BIBLE!AC169,$Q285*BIBLE!AC170)</f>
        <v/>
      </c>
    </row>
    <row r="285" ht="63" customFormat="1" customHeight="1" s="7">
      <c r="A285" s="1438">
        <f>BIBLE!E170</f>
        <v/>
      </c>
      <c r="B285" s="159">
        <f>IF(P284&gt;=R284,BIBLE!F170,"")</f>
        <v/>
      </c>
      <c r="C285" s="2003">
        <f>BIBLE!O170</f>
        <v/>
      </c>
      <c r="D285" s="125">
        <f>BIBLE!L170</f>
        <v/>
      </c>
      <c r="E285" s="20" t="n"/>
      <c r="F285" s="20" t="n"/>
      <c r="G285" s="20" t="n"/>
      <c r="H285" s="20" t="n"/>
      <c r="I285" s="20" t="n"/>
      <c r="J285" s="20" t="n"/>
      <c r="K285" s="20" t="n"/>
      <c r="L285" s="20" t="n"/>
      <c r="M285" s="20" t="n"/>
      <c r="N285" s="20" t="n"/>
      <c r="O285" s="20" t="n"/>
      <c r="P285" s="25">
        <f>'TEST_pour application'!B266</f>
        <v/>
      </c>
      <c r="Q285" s="26">
        <f>P285*D285</f>
        <v/>
      </c>
      <c r="R285" s="2002">
        <f>IF(BIBLE!K170=0,"",BIBLE!K170)</f>
        <v/>
      </c>
      <c r="S285" s="501" t="n"/>
      <c r="T285" s="501" t="n"/>
      <c r="U285" s="501" t="n"/>
      <c r="V285" s="6" t="n"/>
      <c r="W285" s="301" t="n"/>
      <c r="X285" s="6" t="n"/>
      <c r="Y285" s="6" t="n"/>
      <c r="Z285" s="6" t="n"/>
      <c r="AA285" s="6" t="n"/>
      <c r="AB285" s="6" t="n"/>
      <c r="AC285" s="6" t="n"/>
      <c r="AE285" s="522" t="n"/>
      <c r="AF285" s="93" t="n"/>
      <c r="AG285" s="93" t="n"/>
      <c r="AH285" s="93" t="n"/>
      <c r="AI285" s="775" t="n"/>
      <c r="AJ285" s="775" t="n"/>
      <c r="AK285" s="775" t="n"/>
      <c r="AL285" s="775" t="n"/>
      <c r="AM285" s="775" t="n"/>
      <c r="AN285" s="775" t="n"/>
      <c r="AO285" s="775" t="n"/>
      <c r="AP285" s="775" t="n"/>
      <c r="AZ285" s="17" t="inlineStr">
        <is>
          <t>Plusieurs SQ au même niveau, les additionner</t>
        </is>
      </c>
    </row>
    <row r="286" ht="63" customFormat="1" customHeight="1" s="7">
      <c r="A286" s="1438">
        <f>BIBLE!E171</f>
        <v/>
      </c>
      <c r="B286" s="158">
        <f>BIBLE!F171</f>
        <v/>
      </c>
      <c r="C286" s="2003">
        <f>BIBLE!O171</f>
        <v/>
      </c>
      <c r="D286" s="125">
        <f>BIBLE!L171</f>
        <v/>
      </c>
      <c r="E286" s="20" t="n"/>
      <c r="F286" s="20" t="n"/>
      <c r="G286" s="20" t="n"/>
      <c r="H286" s="20" t="n">
        <v>1</v>
      </c>
      <c r="I286" s="20" t="n"/>
      <c r="J286" s="20" t="n"/>
      <c r="K286" s="20" t="n"/>
      <c r="L286" s="20" t="n"/>
      <c r="M286" s="20" t="n"/>
      <c r="N286" s="20" t="n"/>
      <c r="O286" s="20" t="n"/>
      <c r="P286" s="25">
        <f>'TEST_pour application'!B267</f>
        <v/>
      </c>
      <c r="Q286" s="26">
        <f>P286*D286</f>
        <v/>
      </c>
      <c r="R286" s="2002">
        <f>IF(BIBLE!K171=0,"",BIBLE!K171)</f>
        <v/>
      </c>
      <c r="S286" s="56" t="n"/>
      <c r="T286" s="56" t="n"/>
      <c r="U286" s="56" t="n"/>
      <c r="V286" s="6">
        <f>IF(P286&gt;=R286,IF(SUM(Q291:Q293)&gt;Q286,SUM(Q291:Q293),Q286),Q286)</f>
        <v/>
      </c>
      <c r="W286" s="2002" t="n"/>
      <c r="X286" s="6">
        <f>IF(Q286&gt;SUM(Q291:Q293),AS286,SUM(AS291:AS293))</f>
        <v/>
      </c>
      <c r="Y286" s="6">
        <f>IF(Q286&gt;SUM(Q291:Q293),AT286,SUM(AT291:AT293))</f>
        <v/>
      </c>
      <c r="Z286" s="6">
        <f>IF(Q286&gt;SUM(Q291:Q293),AU286,SUM(AU291:AU293))</f>
        <v/>
      </c>
      <c r="AA286" s="6">
        <f>IF(Q286&gt;SUM(Q291:Q293),AV286,SUM(AV291:AV293))</f>
        <v/>
      </c>
      <c r="AB286" s="6">
        <f>IF(Q286&gt;SUM(Q291:Q293),AW286,SUM(AW291:AW293))</f>
        <v/>
      </c>
      <c r="AC286" s="6">
        <f>IF(Q286&gt;SUM(Q291:Q293),AX286,SUM(AX291:AX293))</f>
        <v/>
      </c>
      <c r="AE286" s="522" t="n"/>
      <c r="AF286" s="93">
        <f>IF($Q286=$V286,$Q286*BIBLE!R171,(Test_Bible!$Q291*BIBLE!R173+Test_Bible!$Q292*BIBLE!R174+$Q293*BIBLE!R175))</f>
        <v/>
      </c>
      <c r="AG286" s="93">
        <f>IF($Q286=$V286,$Q286*BIBLE!S171,(Test_Bible!$Q291*BIBLE!S173+Test_Bible!$Q292*BIBLE!S174+$Q293*BIBLE!S175))</f>
        <v/>
      </c>
      <c r="AH286" s="93">
        <f>IF($Q286=$V286,$Q286*BIBLE!T171,(Test_Bible!$Q291*BIBLE!T173+Test_Bible!$Q292*BIBLE!T174+$Q293*BIBLE!T175))</f>
        <v/>
      </c>
      <c r="AI286" s="775">
        <f>IF($Q286=$V286,$Q286*BIBLE!V171,(Test_Bible!$Q291*BIBLE!V173+Test_Bible!$Q292*BIBLE!V174+$Q293*BIBLE!V175))</f>
        <v/>
      </c>
      <c r="AJ286" s="775">
        <f>IF($Q286=$V286,$Q286*BIBLE!W171,(Test_Bible!$Q291*BIBLE!W173+Test_Bible!$Q292*BIBLE!W174+$Q293*BIBLE!W175))</f>
        <v/>
      </c>
      <c r="AK286" s="775">
        <f>IF($Q286=$V286,$Q286*BIBLE!X171,(Test_Bible!$Q291*BIBLE!X173+Test_Bible!$Q292*BIBLE!X174+$Q293*BIBLE!X175))</f>
        <v/>
      </c>
      <c r="AL286" s="775">
        <f>IF($Q286=$V286,$Q286*BIBLE!Y171,(Test_Bible!$Q291*BIBLE!Y173+Test_Bible!$Q292*BIBLE!Y174+$Q293*BIBLE!Y175))</f>
        <v/>
      </c>
      <c r="AM286" s="775">
        <f>IF($Q286=$V286,$Q286*BIBLE!Z171,(Test_Bible!$Q291*BIBLE!Z173+Test_Bible!$Q292*BIBLE!Z174+$Q293*BIBLE!Z175))</f>
        <v/>
      </c>
      <c r="AN286" s="775">
        <f>IF($Q286=$V286,$Q286*BIBLE!AA171,(Test_Bible!$Q291*BIBLE!AA173+Test_Bible!$Q292*BIBLE!AA174+$Q293*BIBLE!AA175))</f>
        <v/>
      </c>
      <c r="AO286" s="775">
        <f>IF($Q286=$V286,$Q286*BIBLE!AB171,(Test_Bible!$Q291*BIBLE!AB173+Test_Bible!$Q292*BIBLE!AB174+$Q293*BIBLE!AB175))</f>
        <v/>
      </c>
      <c r="AP286" s="775">
        <f>IF($Q286=$V286,$Q286*BIBLE!AC171,(Test_Bible!$Q291*BIBLE!AC173+Test_Bible!$Q292*BIBLE!AC174+$Q293*BIBLE!AC175))</f>
        <v/>
      </c>
      <c r="AQ286" s="6">
        <f>Q286</f>
        <v/>
      </c>
      <c r="AR286" s="2073" t="n"/>
      <c r="AS286" s="6">
        <f>IF($Q286&gt;0,X$108*$D286,0)</f>
        <v/>
      </c>
      <c r="AT286" s="6">
        <f>IF($Q286&gt;0,Y$108*$D286,0)</f>
        <v/>
      </c>
      <c r="AU286" s="6">
        <f>IF($Q286&gt;0,Z$108*$D286,0)</f>
        <v/>
      </c>
      <c r="AV286" s="6">
        <f>IF($Q286&gt;0,AA$108*$D286,0)</f>
        <v/>
      </c>
      <c r="AW286" s="6">
        <f>IF($Q286&gt;0,AB$108*$D286,0)</f>
        <v/>
      </c>
      <c r="AX286" s="6">
        <f>IF($Q286&gt;0,AC$108*$D286,0)</f>
        <v/>
      </c>
      <c r="AY286" s="2002" t="n"/>
      <c r="AZ286" s="6">
        <f>AQ286</f>
        <v/>
      </c>
      <c r="BA286" s="2002" t="n"/>
      <c r="BB286" s="6">
        <f>AS286</f>
        <v/>
      </c>
      <c r="BC286" s="6">
        <f>AT286</f>
        <v/>
      </c>
      <c r="BD286" s="6">
        <f>AU286</f>
        <v/>
      </c>
      <c r="BE286" s="6">
        <f>AV286</f>
        <v/>
      </c>
      <c r="BF286" s="6">
        <f>AW286</f>
        <v/>
      </c>
      <c r="BG286" s="6">
        <f>AX286</f>
        <v/>
      </c>
    </row>
    <row r="287" ht="23" customFormat="1" customHeight="1" s="7">
      <c r="A287" s="1438">
        <f>BIBLE!E172</f>
        <v/>
      </c>
      <c r="B287" s="2113">
        <f>IF(P286&gt;=R286,BIBLE!F172,"")</f>
        <v/>
      </c>
      <c r="C287" s="1842" t="inlineStr">
        <is>
          <t>N'a pas l'âge de choisir (à changer)</t>
        </is>
      </c>
      <c r="D287" s="1930" t="n">
        <v>1</v>
      </c>
      <c r="E287" s="2095">
        <f>'TEST_pour application'!B268</f>
        <v/>
      </c>
      <c r="F287" s="20" t="n"/>
      <c r="G287" s="20" t="n"/>
      <c r="H287" s="20" t="n"/>
      <c r="I287" s="20" t="n"/>
      <c r="J287" s="20" t="n"/>
      <c r="K287" s="20" t="n"/>
      <c r="L287" s="20" t="n"/>
      <c r="M287" s="20" t="n"/>
      <c r="N287" s="20" t="n"/>
      <c r="O287" s="20" t="n"/>
      <c r="P287" s="1946">
        <f>D287*E287</f>
        <v/>
      </c>
      <c r="Q287" s="26" t="n"/>
      <c r="R287" s="2002" t="n"/>
      <c r="S287" s="56" t="n"/>
      <c r="T287" s="56" t="n"/>
      <c r="U287" s="56" t="n"/>
      <c r="V287" s="6" t="n"/>
      <c r="W287" s="2002" t="n"/>
      <c r="X287" s="6" t="n"/>
      <c r="Y287" s="6" t="n"/>
      <c r="Z287" s="6" t="n"/>
      <c r="AA287" s="6" t="n"/>
      <c r="AB287" s="6" t="n"/>
      <c r="AC287" s="6" t="n"/>
      <c r="AE287" s="522" t="n"/>
      <c r="AF287" s="93" t="n"/>
      <c r="AG287" s="93" t="n"/>
      <c r="AH287" s="93" t="n"/>
      <c r="AI287" s="775" t="n"/>
      <c r="AJ287" s="775" t="n"/>
      <c r="AK287" s="775" t="n"/>
      <c r="AL287" s="775" t="n"/>
      <c r="AM287" s="775" t="n"/>
      <c r="AN287" s="775" t="n"/>
      <c r="AO287" s="775" t="n"/>
      <c r="AP287" s="775" t="n"/>
      <c r="AQ287" s="6" t="n"/>
      <c r="AR287" s="2073" t="n"/>
      <c r="AS287" s="6" t="n"/>
      <c r="AT287" s="6" t="n"/>
      <c r="AU287" s="6" t="n"/>
      <c r="AV287" s="6" t="n"/>
      <c r="AW287" s="6" t="n"/>
      <c r="AX287" s="6" t="n"/>
      <c r="AY287" s="2002" t="n"/>
      <c r="AZ287" s="6" t="n"/>
      <c r="BA287" s="2002" t="n"/>
      <c r="BB287" s="6" t="n"/>
      <c r="BC287" s="6" t="n"/>
      <c r="BD287" s="6" t="n"/>
      <c r="BE287" s="6" t="n"/>
      <c r="BF287" s="6" t="n"/>
      <c r="BG287" s="6" t="n"/>
    </row>
    <row r="288" ht="23" customFormat="1" customHeight="1" s="7">
      <c r="A288" s="1438" t="n"/>
      <c r="B288" s="2114" t="n"/>
      <c r="C288" s="1062" t="inlineStr">
        <is>
          <t xml:space="preserve">Selon les occasions
</t>
        </is>
      </c>
      <c r="D288" s="1930" t="n">
        <v>2</v>
      </c>
      <c r="E288" s="2095">
        <f>'TEST_pour application'!B269</f>
        <v/>
      </c>
      <c r="F288" s="20" t="n"/>
      <c r="G288" s="20" t="n"/>
      <c r="H288" s="20" t="n"/>
      <c r="I288" s="20" t="n"/>
      <c r="J288" s="20" t="n"/>
      <c r="K288" s="20" t="n"/>
      <c r="L288" s="20" t="n"/>
      <c r="M288" s="20" t="n"/>
      <c r="N288" s="20" t="n"/>
      <c r="O288" s="20" t="n"/>
      <c r="P288" s="1946">
        <f>D288*E288</f>
        <v/>
      </c>
      <c r="Q288" s="26" t="n"/>
      <c r="R288" s="2002" t="n"/>
      <c r="S288" s="56" t="n"/>
      <c r="T288" s="56" t="n"/>
      <c r="U288" s="56" t="n"/>
      <c r="V288" s="6" t="n"/>
      <c r="W288" s="2002" t="n"/>
      <c r="X288" s="6" t="n"/>
      <c r="Y288" s="6" t="n"/>
      <c r="Z288" s="6" t="n"/>
      <c r="AA288" s="6" t="n"/>
      <c r="AB288" s="6" t="n"/>
      <c r="AC288" s="6" t="n"/>
      <c r="AE288" s="522" t="n"/>
      <c r="AF288" s="93" t="n"/>
      <c r="AG288" s="93" t="n"/>
      <c r="AH288" s="93" t="n"/>
      <c r="AI288" s="775" t="n"/>
      <c r="AJ288" s="775" t="n"/>
      <c r="AK288" s="775" t="n"/>
      <c r="AL288" s="775" t="n"/>
      <c r="AM288" s="775" t="n"/>
      <c r="AN288" s="775" t="n"/>
      <c r="AO288" s="775" t="n"/>
      <c r="AP288" s="775" t="n"/>
      <c r="AQ288" s="6" t="n"/>
      <c r="AR288" s="2073" t="n"/>
      <c r="AS288" s="6" t="n"/>
      <c r="AT288" s="6" t="n"/>
      <c r="AU288" s="6" t="n"/>
      <c r="AV288" s="6" t="n"/>
      <c r="AW288" s="6" t="n"/>
      <c r="AX288" s="6" t="n"/>
      <c r="AY288" s="2002" t="n"/>
      <c r="AZ288" s="6" t="n"/>
      <c r="BA288" s="2002" t="n"/>
      <c r="BB288" s="6" t="n"/>
      <c r="BC288" s="6" t="n"/>
      <c r="BD288" s="6" t="n"/>
      <c r="BE288" s="6" t="n"/>
      <c r="BF288" s="6" t="n"/>
      <c r="BG288" s="6" t="n"/>
    </row>
    <row r="289" ht="43" customFormat="1" customHeight="1" s="7">
      <c r="A289" s="1438" t="n"/>
      <c r="B289" s="159" t="n"/>
      <c r="C289" s="1062" t="inlineStr">
        <is>
          <t xml:space="preserve">Majoritairement à ma faveur (parent répondant)
</t>
        </is>
      </c>
      <c r="D289" s="1930" t="n">
        <v>3</v>
      </c>
      <c r="E289" s="2095">
        <f>'TEST_pour application'!B270</f>
        <v/>
      </c>
      <c r="F289" s="20" t="n"/>
      <c r="G289" s="20" t="n"/>
      <c r="H289" s="20" t="n"/>
      <c r="I289" s="20" t="n"/>
      <c r="J289" s="20" t="n"/>
      <c r="K289" s="20" t="n"/>
      <c r="L289" s="20" t="n"/>
      <c r="M289" s="20" t="n"/>
      <c r="N289" s="20" t="n"/>
      <c r="O289" s="20" t="n"/>
      <c r="P289" s="1946">
        <f>D289*E289</f>
        <v/>
      </c>
      <c r="Q289" s="26" t="n"/>
      <c r="R289" s="2002" t="n"/>
      <c r="S289" s="56" t="n"/>
      <c r="T289" s="56" t="n"/>
      <c r="U289" s="56" t="n"/>
      <c r="V289" s="6" t="n"/>
      <c r="W289" s="2002" t="n"/>
      <c r="X289" s="6" t="n"/>
      <c r="Y289" s="6" t="n"/>
      <c r="Z289" s="6" t="n"/>
      <c r="AA289" s="6" t="n"/>
      <c r="AB289" s="6" t="n"/>
      <c r="AC289" s="6" t="n"/>
      <c r="AE289" s="522" t="n"/>
      <c r="AF289" s="93" t="n"/>
      <c r="AG289" s="93" t="n"/>
      <c r="AH289" s="93" t="n"/>
      <c r="AI289" s="775" t="n"/>
      <c r="AJ289" s="775" t="n"/>
      <c r="AK289" s="775" t="n"/>
      <c r="AL289" s="775" t="n"/>
      <c r="AM289" s="775" t="n"/>
      <c r="AN289" s="775" t="n"/>
      <c r="AO289" s="775" t="n"/>
      <c r="AP289" s="775" t="n"/>
      <c r="AQ289" s="6" t="n"/>
      <c r="AR289" s="2073" t="n"/>
      <c r="AS289" s="6" t="n"/>
      <c r="AT289" s="6" t="n"/>
      <c r="AU289" s="6" t="n"/>
      <c r="AV289" s="6" t="n"/>
      <c r="AW289" s="6" t="n"/>
      <c r="AX289" s="6" t="n"/>
      <c r="AY289" s="2002" t="n"/>
      <c r="AZ289" s="6" t="n"/>
      <c r="BA289" s="2002" t="n"/>
      <c r="BB289" s="6" t="n"/>
      <c r="BC289" s="6" t="n"/>
      <c r="BD289" s="6" t="n"/>
      <c r="BE289" s="6" t="n"/>
      <c r="BF289" s="6" t="n"/>
      <c r="BG289" s="6" t="n"/>
    </row>
    <row r="290" ht="39" customFormat="1" customHeight="1" s="7">
      <c r="A290" s="1438" t="n"/>
      <c r="B290" s="159" t="n"/>
      <c r="C290" s="1062" t="inlineStr">
        <is>
          <t xml:space="preserve">Majoritairement à la faveur de l'autre parent(coparent)
</t>
        </is>
      </c>
      <c r="D290" s="1930" t="n">
        <v>4</v>
      </c>
      <c r="E290" s="2095">
        <f>'TEST_pour application'!B271</f>
        <v/>
      </c>
      <c r="F290" s="20" t="n"/>
      <c r="G290" s="20" t="n"/>
      <c r="H290" s="20" t="n"/>
      <c r="I290" s="20" t="n"/>
      <c r="J290" s="20" t="n"/>
      <c r="K290" s="20" t="n"/>
      <c r="L290" s="20" t="n"/>
      <c r="M290" s="20" t="n"/>
      <c r="N290" s="20" t="n"/>
      <c r="O290" s="20" t="n"/>
      <c r="P290" s="1946">
        <f>D290*E290</f>
        <v/>
      </c>
      <c r="Q290" s="26" t="n"/>
      <c r="R290" s="2002" t="n"/>
      <c r="S290" s="56" t="n"/>
      <c r="T290" s="56" t="n"/>
      <c r="U290" s="56" t="n"/>
      <c r="V290" s="6" t="n"/>
      <c r="W290" s="2002" t="n"/>
      <c r="X290" s="6" t="n"/>
      <c r="Y290" s="6" t="n"/>
      <c r="Z290" s="6" t="n"/>
      <c r="AA290" s="6" t="n"/>
      <c r="AB290" s="6" t="n"/>
      <c r="AC290" s="6" t="n"/>
      <c r="AE290" s="522" t="n"/>
      <c r="AF290" s="93" t="n"/>
      <c r="AG290" s="93" t="n"/>
      <c r="AH290" s="93" t="n"/>
      <c r="AI290" s="775" t="n"/>
      <c r="AJ290" s="775" t="n"/>
      <c r="AK290" s="775" t="n"/>
      <c r="AL290" s="775" t="n"/>
      <c r="AM290" s="775" t="n"/>
      <c r="AN290" s="775" t="n"/>
      <c r="AO290" s="775" t="n"/>
      <c r="AP290" s="775" t="n"/>
      <c r="AQ290" s="6" t="n"/>
      <c r="AR290" s="2073" t="n"/>
      <c r="AS290" s="6" t="n"/>
      <c r="AT290" s="6" t="n"/>
      <c r="AU290" s="6" t="n"/>
      <c r="AV290" s="6" t="n"/>
      <c r="AW290" s="6" t="n"/>
      <c r="AX290" s="6" t="n"/>
      <c r="AY290" s="2002" t="n"/>
      <c r="AZ290" s="6" t="n"/>
      <c r="BA290" s="2002" t="n"/>
      <c r="BB290" s="6" t="n"/>
      <c r="BC290" s="6" t="n"/>
      <c r="BD290" s="6" t="n"/>
      <c r="BE290" s="6" t="n"/>
      <c r="BF290" s="6" t="n"/>
      <c r="BG290" s="6" t="n"/>
    </row>
    <row r="291" ht="63" customFormat="1" customHeight="1" s="7">
      <c r="A291" s="1438">
        <f>BIBLE!E173</f>
        <v/>
      </c>
      <c r="B291" s="159">
        <f>IF(E$290=1,BIBLE!F173,"")</f>
        <v/>
      </c>
      <c r="C291" s="2003">
        <f>BIBLE!O173</f>
        <v/>
      </c>
      <c r="D291" s="125">
        <f>IF(E31&gt;=10,BIBLE!L173,BIBLE!M173)</f>
        <v/>
      </c>
      <c r="E291" s="20" t="n"/>
      <c r="F291" s="20" t="n">
        <v>1</v>
      </c>
      <c r="G291" s="20" t="n"/>
      <c r="H291" s="20" t="n"/>
      <c r="I291" s="20" t="n"/>
      <c r="J291" s="20" t="n"/>
      <c r="K291" s="20" t="n"/>
      <c r="L291" s="20" t="n"/>
      <c r="M291" s="20" t="n"/>
      <c r="N291" s="20" t="n"/>
      <c r="O291" s="20" t="n"/>
      <c r="P291" s="25">
        <f>'TEST_pour application'!B272</f>
        <v/>
      </c>
      <c r="Q291" s="26">
        <f>P291*D291</f>
        <v/>
      </c>
      <c r="R291" s="2002">
        <f>IF(BIBLE!K173=0,"",BIBLE!K173)</f>
        <v/>
      </c>
      <c r="S291" s="56" t="n"/>
      <c r="T291" s="56" t="n"/>
      <c r="U291" s="56" t="n"/>
      <c r="V291" s="2002" t="n"/>
      <c r="AE291" s="522" t="n"/>
      <c r="AF291" s="93" t="n"/>
      <c r="AG291" s="93" t="n"/>
      <c r="AH291" s="93" t="n"/>
      <c r="AI291" s="775" t="n"/>
      <c r="AJ291" s="775" t="n"/>
      <c r="AK291" s="775" t="n"/>
      <c r="AL291" s="775" t="n"/>
      <c r="AM291" s="775" t="n"/>
      <c r="AN291" s="775" t="n"/>
      <c r="AO291" s="775" t="n"/>
      <c r="AP291" s="775" t="n"/>
      <c r="AQ291" s="6">
        <f>Q291</f>
        <v/>
      </c>
      <c r="AR291" s="2073" t="n"/>
      <c r="AS291" s="6">
        <f>IF($Q291&gt;0,X$108*$D291,0)</f>
        <v/>
      </c>
      <c r="AT291" s="6">
        <f>IF($Q291&gt;0,Y$108*$D291,0)</f>
        <v/>
      </c>
      <c r="AU291" s="6">
        <f>IF($Q291&gt;0,Z$108*$D291,0)</f>
        <v/>
      </c>
      <c r="AV291" s="6">
        <f>IF($Q291&gt;0,AA$108*$D291,0)</f>
        <v/>
      </c>
      <c r="AW291" s="6">
        <f>IF($Q291&gt;0,AB$108*$D291,0)</f>
        <v/>
      </c>
      <c r="AX291" s="6">
        <f>IF($Q291&gt;0,AC$108*$D291,0)</f>
        <v/>
      </c>
      <c r="AY291" s="2002" t="n"/>
      <c r="AZ291" s="6">
        <f>SUM(AQ291:AQ293)</f>
        <v/>
      </c>
      <c r="BA291" s="2002" t="n"/>
      <c r="BB291" s="6">
        <f>SUM(AS291:AS293)</f>
        <v/>
      </c>
      <c r="BC291" s="6">
        <f>SUM(AT291:AT293)</f>
        <v/>
      </c>
      <c r="BD291" s="6">
        <f>SUM(AU291:AU293)</f>
        <v/>
      </c>
      <c r="BE291" s="6">
        <f>SUM(AV291:AV293)</f>
        <v/>
      </c>
      <c r="BF291" s="6">
        <f>SUM(AW291:AW293)</f>
        <v/>
      </c>
      <c r="BG291" s="6">
        <f>SUM(AX291:AX293)</f>
        <v/>
      </c>
    </row>
    <row r="292" ht="63" customFormat="1" customHeight="1" s="7">
      <c r="A292" s="1438">
        <f>BIBLE!E174</f>
        <v/>
      </c>
      <c r="B292" s="159">
        <f>IF(E$290=1,BIBLE!F174,"")</f>
        <v/>
      </c>
      <c r="C292" s="2003">
        <f>BIBLE!O174</f>
        <v/>
      </c>
      <c r="D292" s="125">
        <f>BIBLE!L174</f>
        <v/>
      </c>
      <c r="E292" s="20" t="n"/>
      <c r="F292" s="20" t="n"/>
      <c r="G292" s="20" t="n"/>
      <c r="H292" s="20" t="n">
        <v>1</v>
      </c>
      <c r="I292" s="20" t="n"/>
      <c r="J292" s="20" t="n"/>
      <c r="K292" s="20" t="n"/>
      <c r="L292" s="20" t="n"/>
      <c r="M292" s="20" t="n"/>
      <c r="N292" s="20" t="n"/>
      <c r="O292" s="20" t="n"/>
      <c r="P292" s="25">
        <f>'TEST_pour application'!B273</f>
        <v/>
      </c>
      <c r="Q292" s="26">
        <f>P292*D292</f>
        <v/>
      </c>
      <c r="R292" s="2002">
        <f>IF(BIBLE!K174=0,"",BIBLE!K174)</f>
        <v/>
      </c>
      <c r="S292" s="56" t="n"/>
      <c r="T292" s="56" t="n"/>
      <c r="U292" s="56" t="n"/>
      <c r="V292" s="2002" t="n"/>
      <c r="AE292" s="522" t="n"/>
      <c r="AF292" s="93" t="n"/>
      <c r="AG292" s="93" t="n"/>
      <c r="AH292" s="93" t="n"/>
      <c r="AI292" s="775" t="n"/>
      <c r="AJ292" s="775" t="n"/>
      <c r="AK292" s="775" t="n"/>
      <c r="AL292" s="775" t="n"/>
      <c r="AM292" s="775" t="n"/>
      <c r="AN292" s="775" t="n"/>
      <c r="AO292" s="775" t="n"/>
      <c r="AP292" s="775" t="n"/>
      <c r="AQ292" s="6">
        <f>Q292</f>
        <v/>
      </c>
      <c r="AR292" s="2002" t="n"/>
      <c r="AS292" s="6">
        <f>IF($Q292&gt;0,X$108*$D292,0)</f>
        <v/>
      </c>
      <c r="AT292" s="6">
        <f>IF($Q292&gt;0,Y$108*$D292,0)</f>
        <v/>
      </c>
      <c r="AU292" s="6">
        <f>IF($Q292&gt;0,Z$108*$D292,0)</f>
        <v/>
      </c>
      <c r="AV292" s="6">
        <f>IF($Q292&gt;0,AA$108*$D292,0)</f>
        <v/>
      </c>
      <c r="AW292" s="6">
        <f>IF($Q292&gt;0,AB$108*$D292,0)</f>
        <v/>
      </c>
      <c r="AX292" s="6">
        <f>IF($Q292&gt;0,AC$108*$D292,0)</f>
        <v/>
      </c>
      <c r="AY292" s="2002" t="n"/>
      <c r="AZ292" s="2002" t="n"/>
      <c r="BA292" s="2002" t="n"/>
      <c r="BB292" s="2002" t="n"/>
      <c r="BC292" s="2002" t="n"/>
      <c r="BD292" s="2002" t="n"/>
      <c r="BE292" s="2002" t="n"/>
    </row>
    <row r="293" ht="63" customFormat="1" customHeight="1" s="7">
      <c r="A293" s="1438">
        <f>BIBLE!E175</f>
        <v/>
      </c>
      <c r="B293" s="159">
        <f>IF(E$290=1,BIBLE!F175,"")</f>
        <v/>
      </c>
      <c r="C293" s="2003">
        <f>BIBLE!O175</f>
        <v/>
      </c>
      <c r="D293" s="125">
        <f>IF(E33&gt;=10,BIBLE!L175,BIBLE!M175)</f>
        <v/>
      </c>
      <c r="E293" s="20" t="n"/>
      <c r="F293" s="20" t="n"/>
      <c r="G293" s="20" t="n"/>
      <c r="H293" s="20" t="n"/>
      <c r="I293" s="20" t="n"/>
      <c r="J293" s="20" t="n">
        <v>1</v>
      </c>
      <c r="K293" s="20" t="n"/>
      <c r="L293" s="20" t="n"/>
      <c r="M293" s="20" t="n"/>
      <c r="N293" s="20" t="n"/>
      <c r="O293" s="20" t="n"/>
      <c r="P293" s="25">
        <f>'TEST_pour application'!B274</f>
        <v/>
      </c>
      <c r="Q293" s="26">
        <f>P293*D293</f>
        <v/>
      </c>
      <c r="R293" s="2002">
        <f>IF(BIBLE!K175=0,"",BIBLE!K175)</f>
        <v/>
      </c>
      <c r="S293" s="56" t="n"/>
      <c r="T293" s="56" t="n"/>
      <c r="U293" s="56" t="n"/>
      <c r="V293" s="2002" t="n"/>
      <c r="AE293" s="522" t="n"/>
      <c r="AF293" s="93" t="n"/>
      <c r="AG293" s="93" t="n"/>
      <c r="AH293" s="93" t="n"/>
      <c r="AI293" s="775" t="n"/>
      <c r="AJ293" s="775" t="n"/>
      <c r="AK293" s="775" t="n"/>
      <c r="AL293" s="775" t="n"/>
      <c r="AM293" s="775" t="n"/>
      <c r="AN293" s="775" t="n"/>
      <c r="AO293" s="775" t="n"/>
      <c r="AP293" s="775" t="n"/>
      <c r="AQ293" s="6">
        <f>Q293</f>
        <v/>
      </c>
      <c r="AR293" s="2002" t="n"/>
      <c r="AS293" s="6">
        <f>IF($Q293&gt;0,X$108*$D293,0)</f>
        <v/>
      </c>
      <c r="AT293" s="6">
        <f>IF($Q293&gt;0,Y$108*$D293,0)</f>
        <v/>
      </c>
      <c r="AU293" s="6">
        <f>IF($Q293&gt;0,Z$108*$D293,0)</f>
        <v/>
      </c>
      <c r="AV293" s="6">
        <f>IF($Q293&gt;0,AA$108*$D293,0)</f>
        <v/>
      </c>
      <c r="AW293" s="6">
        <f>IF($Q293&gt;0,AB$108*$D293,0)</f>
        <v/>
      </c>
      <c r="AX293" s="6">
        <f>IF($Q293&gt;0,AC$108*$D293,0)</f>
        <v/>
      </c>
      <c r="AY293" s="2002" t="n"/>
      <c r="AZ293" s="2002" t="n"/>
      <c r="BA293" s="2002" t="n"/>
      <c r="BB293" s="2002" t="n"/>
      <c r="BC293" s="2002" t="n"/>
      <c r="BD293" s="2002" t="n"/>
      <c r="BE293" s="2002" t="n"/>
    </row>
    <row r="294" ht="63" customFormat="1" customHeight="1" s="7">
      <c r="A294" s="1438">
        <f>BIBLE!E176</f>
        <v/>
      </c>
      <c r="B294" s="158">
        <f>BIBLE!F176</f>
        <v/>
      </c>
      <c r="C294" s="2003">
        <f>BIBLE!O176</f>
        <v/>
      </c>
      <c r="D294" s="125">
        <f>BIBLE!L176</f>
        <v/>
      </c>
      <c r="E294" s="20" t="n"/>
      <c r="F294" s="20" t="n"/>
      <c r="G294" s="20" t="n"/>
      <c r="H294" s="20" t="n">
        <v>1</v>
      </c>
      <c r="I294" s="20" t="n"/>
      <c r="J294" s="20" t="n"/>
      <c r="K294" s="20" t="n"/>
      <c r="L294" s="20" t="n"/>
      <c r="M294" s="20" t="n"/>
      <c r="N294" s="20" t="n"/>
      <c r="O294" s="20" t="n"/>
      <c r="P294" s="25">
        <f>'TEST_pour application'!B275</f>
        <v/>
      </c>
      <c r="Q294" s="26">
        <f>P294*D294</f>
        <v/>
      </c>
      <c r="R294" s="2002">
        <f>IF(BIBLE!K176=0,"",BIBLE!K176)</f>
        <v/>
      </c>
      <c r="S294" s="56" t="n"/>
      <c r="T294" s="56" t="n"/>
      <c r="U294" s="56" t="n"/>
      <c r="V294" s="6">
        <f>Q294</f>
        <v/>
      </c>
      <c r="W294" s="301" t="n"/>
      <c r="X294" s="6">
        <f>IF($Q294&gt;0,X$108*$D294,0)</f>
        <v/>
      </c>
      <c r="Y294" s="6">
        <f>IF($Q294&gt;0,Y$108*$D294,0)</f>
        <v/>
      </c>
      <c r="Z294" s="6">
        <f>IF($Q294&gt;0,Z$108*$D294,0)</f>
        <v/>
      </c>
      <c r="AA294" s="6">
        <f>IF($Q294&gt;0,AA$108*$D294,0)</f>
        <v/>
      </c>
      <c r="AB294" s="6">
        <f>IF($Q294&gt;0,AB$108*$D294,0)</f>
        <v/>
      </c>
      <c r="AC294" s="6">
        <f>IF($Q294&gt;0,AC$108*$D294,0)</f>
        <v/>
      </c>
      <c r="AE294" s="522" t="n"/>
      <c r="AF294" s="24">
        <f>$V294*BIBLE!R176</f>
        <v/>
      </c>
      <c r="AG294" s="24">
        <f>$V294*BIBLE!S176</f>
        <v/>
      </c>
      <c r="AH294" s="24">
        <f>$V294*BIBLE!T176</f>
        <v/>
      </c>
      <c r="AI294" s="1539">
        <f>$V294*BIBLE!V176</f>
        <v/>
      </c>
      <c r="AJ294" s="1539">
        <f>$V294*BIBLE!W176</f>
        <v/>
      </c>
      <c r="AK294" s="1539">
        <f>$V294*BIBLE!X176</f>
        <v/>
      </c>
      <c r="AL294" s="1539">
        <f>$V294*BIBLE!Y176</f>
        <v/>
      </c>
      <c r="AM294" s="1539">
        <f>$V294*BIBLE!Z176</f>
        <v/>
      </c>
      <c r="AN294" s="1539">
        <f>$V294*BIBLE!AA176</f>
        <v/>
      </c>
      <c r="AO294" s="1539">
        <f>$V294*BIBLE!AB176</f>
        <v/>
      </c>
      <c r="AP294" s="1539">
        <f>$V294*BIBLE!AC176</f>
        <v/>
      </c>
    </row>
    <row r="295" ht="63" customFormat="1" customHeight="1" s="7">
      <c r="A295" s="1438">
        <f>BIBLE!E177</f>
        <v/>
      </c>
      <c r="B295" s="158">
        <f>IF(E47&lt;&gt;1,BIBLE!F177,"")</f>
        <v/>
      </c>
      <c r="C295" s="1056">
        <f>BIBLE!O177</f>
        <v/>
      </c>
      <c r="D295" s="125">
        <f>BIBLE!L177</f>
        <v/>
      </c>
      <c r="E295" s="20" t="n"/>
      <c r="F295" s="20" t="n"/>
      <c r="G295" s="20" t="n">
        <v>1</v>
      </c>
      <c r="H295" s="20" t="n"/>
      <c r="I295" s="20" t="n"/>
      <c r="J295" s="20" t="n"/>
      <c r="K295" s="20" t="n"/>
      <c r="L295" s="20" t="n"/>
      <c r="M295" s="20" t="n"/>
      <c r="N295" s="20" t="n"/>
      <c r="O295" s="20" t="n"/>
      <c r="P295" s="25">
        <f>'TEST_pour application'!B276</f>
        <v/>
      </c>
      <c r="Q295" s="25">
        <f>P295*D295</f>
        <v/>
      </c>
      <c r="R295" s="2002">
        <f>IF(BIBLE!K177=0,"",BIBLE!K177)</f>
        <v/>
      </c>
      <c r="S295" s="2002" t="n"/>
      <c r="T295" s="2002" t="n"/>
      <c r="U295" s="2002" t="n"/>
      <c r="V295" s="2002">
        <f>IF(P295&gt;=R295,IF(Q295&gt;Q296,Q295,Q296),Q295)</f>
        <v/>
      </c>
      <c r="W295" s="2002" t="n"/>
      <c r="X295" s="2002">
        <f>IF(($P295&gt;=$R295),IF($Q295&gt;$Q296,X$108*$D295,X$108*$D296),X$108*$D295)</f>
        <v/>
      </c>
      <c r="Y295" s="2002">
        <f>IF(($P295&gt;=$R295),IF($Q295&gt;$Q296,Y$108*$D295,Y$108*$D296),Y$108*$D295)</f>
        <v/>
      </c>
      <c r="Z295" s="2002">
        <f>IF(($P295&gt;=$R295),IF($Q295&gt;$Q296,Z$108*$D295,Z$108*$D296),Z$108*$D295)</f>
        <v/>
      </c>
      <c r="AA295" s="2002">
        <f>IF(($P295&gt;=$R295),IF($Q295&gt;$Q296,AA$108*$D295,AA$108*$D296),AA$108*$D295)</f>
        <v/>
      </c>
      <c r="AB295" s="2002">
        <f>IF(($P295&gt;=$R295),IF($Q295&gt;$Q296,AB$108*$D295,AB$108*$D296),AB$108*$D295)</f>
        <v/>
      </c>
      <c r="AC295" s="2002">
        <f>IF(($P295&gt;=$R295),IF($Q295&gt;$Q296,AC$108*$D295,AC$108*$D296),AC$108*$D295)</f>
        <v/>
      </c>
      <c r="AD295" s="2002" t="n"/>
      <c r="AE295" s="522" t="n"/>
      <c r="AF295" s="24">
        <f>IF($Q295=$V295,$Q295*BIBLE!R177,$Q296*BIBLE!R178)</f>
        <v/>
      </c>
      <c r="AG295" s="24">
        <f>IF($Q295=$V295,$Q295*BIBLE!S177,$Q296*BIBLE!S178)</f>
        <v/>
      </c>
      <c r="AH295" s="24">
        <f>IF($Q295=$V295,$Q295*BIBLE!T177,$Q296*BIBLE!T178)</f>
        <v/>
      </c>
      <c r="AI295" s="1539">
        <f>IF($Q295=$V295,$Q295*BIBLE!V177,$Q296*BIBLE!V178)</f>
        <v/>
      </c>
      <c r="AJ295" s="1539">
        <f>IF($Q295=$V295,$Q295*BIBLE!W177,$Q296*BIBLE!W178)</f>
        <v/>
      </c>
      <c r="AK295" s="1539">
        <f>IF($Q295=$V295,$Q295*BIBLE!X177,$Q296*BIBLE!X178)</f>
        <v/>
      </c>
      <c r="AL295" s="1539">
        <f>IF($Q295=$V295,$Q295*BIBLE!Y177,$Q296*BIBLE!Y178)</f>
        <v/>
      </c>
      <c r="AM295" s="1539">
        <f>IF($Q295=$V295,$Q295*BIBLE!Z177,$Q296*BIBLE!Z178)</f>
        <v/>
      </c>
      <c r="AN295" s="1539">
        <f>IF($Q295=$V295,$Q295*BIBLE!AA177,$Q296*BIBLE!AA178)</f>
        <v/>
      </c>
      <c r="AO295" s="1539">
        <f>IF($Q295=$V295,$Q295*BIBLE!AB177,$Q296*BIBLE!AB178)</f>
        <v/>
      </c>
      <c r="AP295" s="1539">
        <f>IF($Q295=$V295,$Q295*BIBLE!AC177,$Q296*BIBLE!AC178)</f>
        <v/>
      </c>
    </row>
    <row r="296" ht="63" customFormat="1" customHeight="1" s="7">
      <c r="A296" s="1438" t="inlineStr">
        <is>
          <t>E20a</t>
        </is>
      </c>
      <c r="B296" s="159">
        <f>IF(E48&lt;&gt;1,BIBLE!F178,"")</f>
        <v/>
      </c>
      <c r="C296" s="1056">
        <f>BIBLE!O178</f>
        <v/>
      </c>
      <c r="D296" s="125">
        <f>BIBLE!L178</f>
        <v/>
      </c>
      <c r="E296" s="20" t="n"/>
      <c r="F296" s="20" t="n"/>
      <c r="G296" s="20" t="n"/>
      <c r="H296" s="20" t="n"/>
      <c r="I296" s="20" t="n"/>
      <c r="J296" s="20" t="n">
        <v>1</v>
      </c>
      <c r="K296" s="20" t="n"/>
      <c r="L296" s="20" t="n"/>
      <c r="M296" s="20" t="n"/>
      <c r="N296" s="20" t="n"/>
      <c r="O296" s="20" t="n"/>
      <c r="P296" s="25">
        <f>'TEST_pour application'!B277</f>
        <v/>
      </c>
      <c r="Q296" s="25">
        <f>P296*D296</f>
        <v/>
      </c>
      <c r="R296" s="2002">
        <f>IF(BIBLE!K178=0,"",BIBLE!K178)</f>
        <v/>
      </c>
      <c r="S296" s="2002" t="n"/>
      <c r="T296" s="2002" t="n"/>
      <c r="U296" s="2002" t="n"/>
      <c r="V296" s="2002" t="n"/>
      <c r="W296" s="2002" t="n"/>
      <c r="X296" s="2002" t="n"/>
      <c r="Y296" s="2002" t="n"/>
      <c r="Z296" s="2002" t="n"/>
      <c r="AA296" s="2002" t="n"/>
      <c r="AB296" s="2002" t="n"/>
      <c r="AC296" s="2002" t="n"/>
      <c r="AD296" s="2002" t="n"/>
      <c r="AE296" s="522" t="n"/>
      <c r="AF296" s="93" t="n"/>
      <c r="AG296" s="93" t="n"/>
      <c r="AH296" s="93" t="n"/>
      <c r="AI296" s="775" t="n"/>
      <c r="AJ296" s="775" t="n"/>
      <c r="AK296" s="775" t="n"/>
      <c r="AL296" s="775" t="n"/>
      <c r="AM296" s="775" t="n"/>
      <c r="AN296" s="775" t="n"/>
      <c r="AO296" s="775" t="n"/>
      <c r="AP296" s="775" t="n"/>
    </row>
    <row r="297" ht="63" customFormat="1" customHeight="1" s="7">
      <c r="A297" s="1438">
        <f>BIBLE!E179</f>
        <v/>
      </c>
      <c r="B297" s="158">
        <f>BIBLE!F179</f>
        <v/>
      </c>
      <c r="C297" s="2003">
        <f>BIBLE!O179</f>
        <v/>
      </c>
      <c r="D297" s="2003">
        <f>BIBLE!L179</f>
        <v/>
      </c>
      <c r="E297" s="20" t="n"/>
      <c r="F297" s="20" t="n"/>
      <c r="G297" s="20" t="n"/>
      <c r="H297" s="20" t="n"/>
      <c r="I297" s="20" t="n"/>
      <c r="J297" s="20" t="n">
        <v>1</v>
      </c>
      <c r="K297" s="20" t="n"/>
      <c r="L297" s="20" t="n"/>
      <c r="M297" s="20" t="n"/>
      <c r="N297" s="20" t="n"/>
      <c r="O297" s="20" t="n"/>
      <c r="P297" s="25">
        <f>'TEST_pour application'!B278</f>
        <v/>
      </c>
      <c r="Q297" s="25">
        <f>P297*D297</f>
        <v/>
      </c>
      <c r="R297" s="2002">
        <f>IF(BIBLE!K179=0,"",BIBLE!K179)</f>
        <v/>
      </c>
      <c r="S297" s="2002" t="n"/>
      <c r="T297" s="2002" t="n"/>
      <c r="U297" s="2002" t="n"/>
      <c r="V297" s="2002">
        <f>IF(P297&gt;=R297,IF(Q297&gt;Q298,Q297,Q298),Q297)</f>
        <v/>
      </c>
      <c r="W297" s="2002" t="n"/>
      <c r="X297" s="2002">
        <f>IF(($P297&gt;=$R297),IF($Q297&gt;$Q298,X$108*$D297,X$108*$D298),X$108*$D297)</f>
        <v/>
      </c>
      <c r="Y297" s="2002">
        <f>IF(($P297&gt;=$R297),IF($Q297&gt;$Q298,Y$108*$D297,Y$108*$D298),Y$108*$D297)</f>
        <v/>
      </c>
      <c r="Z297" s="2002">
        <f>IF(($P297&gt;=$R297),IF($Q297&gt;$Q298,Z$108*$D297,Z$108*$D298),Z$108*$D297)</f>
        <v/>
      </c>
      <c r="AA297" s="2002">
        <f>IF(($P297&gt;=$R297),IF($Q297&gt;$Q298,AA$108*$D297,AA$108*$D298),AA$108*$D297)</f>
        <v/>
      </c>
      <c r="AB297" s="2002">
        <f>IF(($P297&gt;=$R297),IF($Q297&gt;$Q298,AB$108*$D297,AB$108*$D298),AB$108*$D297)</f>
        <v/>
      </c>
      <c r="AC297" s="2002">
        <f>IF(($P297&gt;=$R297),IF($Q297&gt;$Q298,AC$108*$D297,AC$108*$D298),AC$108*$D297)</f>
        <v/>
      </c>
      <c r="AD297" s="2002" t="n"/>
      <c r="AE297" s="522" t="n"/>
      <c r="AF297" s="24">
        <f>IF($Q297=$V297,$Q297*BIBLE!R179,$Q298*BIBLE!R180)</f>
        <v/>
      </c>
      <c r="AG297" s="24">
        <f>IF($Q297=$V297,$Q297*BIBLE!S179,$Q298*BIBLE!S180)</f>
        <v/>
      </c>
      <c r="AH297" s="24">
        <f>IF($Q297=$V297,$Q297*BIBLE!T179,$Q298*BIBLE!T180)</f>
        <v/>
      </c>
      <c r="AI297" s="1539">
        <f>IF($Q297=$V297,$Q297*BIBLE!V179,$Q298*BIBLE!V180)</f>
        <v/>
      </c>
      <c r="AJ297" s="1539">
        <f>IF($Q297=$V297,$Q297*BIBLE!W179,$Q298*BIBLE!W180)</f>
        <v/>
      </c>
      <c r="AK297" s="1539">
        <f>IF($Q297=$V297,$Q297*BIBLE!X179,$Q298*BIBLE!X180)</f>
        <v/>
      </c>
      <c r="AL297" s="1539">
        <f>IF($Q297=$V297,$Q297*BIBLE!Y179,$Q298*BIBLE!Y180)</f>
        <v/>
      </c>
      <c r="AM297" s="1539">
        <f>IF($Q297=$V297,$Q297*BIBLE!Z179,$Q298*BIBLE!Z180)</f>
        <v/>
      </c>
      <c r="AN297" s="1539">
        <f>IF($Q297=$V297,$Q297*BIBLE!AA179,$Q298*BIBLE!AA180)</f>
        <v/>
      </c>
      <c r="AO297" s="1539">
        <f>IF($Q297=$V297,$Q297*BIBLE!AB179,$Q298*BIBLE!AB180)</f>
        <v/>
      </c>
      <c r="AP297" s="1539">
        <f>IF($Q297=$V297,$Q297*BIBLE!AC179,$Q298*BIBLE!AC180)</f>
        <v/>
      </c>
    </row>
    <row r="298" ht="63" customFormat="1" customHeight="1" s="7">
      <c r="A298" s="1438">
        <f>BIBLE!E180</f>
        <v/>
      </c>
      <c r="B298" s="159">
        <f>IF(P297&gt;=R297,BIBLE!F180,"")</f>
        <v/>
      </c>
      <c r="C298" s="2003">
        <f>BIBLE!O180</f>
        <v/>
      </c>
      <c r="D298" s="2003">
        <f>BIBLE!L180</f>
        <v/>
      </c>
      <c r="E298" s="20" t="n"/>
      <c r="F298" s="20" t="n"/>
      <c r="G298" s="20" t="n"/>
      <c r="H298" s="20" t="n"/>
      <c r="I298" s="20" t="n"/>
      <c r="J298" s="20" t="n">
        <v>1</v>
      </c>
      <c r="K298" s="20" t="n"/>
      <c r="L298" s="20" t="n"/>
      <c r="M298" s="20" t="n"/>
      <c r="N298" s="20" t="n"/>
      <c r="O298" s="20" t="n"/>
      <c r="P298" s="25">
        <f>'TEST_pour application'!B279</f>
        <v/>
      </c>
      <c r="Q298" s="25">
        <f>P298*D298</f>
        <v/>
      </c>
      <c r="R298" s="2002">
        <f>IF(BIBLE!K180=0,"",BIBLE!K180)</f>
        <v/>
      </c>
      <c r="S298" s="2002" t="n"/>
      <c r="T298" s="2002" t="n"/>
      <c r="U298" s="2002" t="n"/>
      <c r="V298" s="2002" t="n"/>
      <c r="W298" s="2002" t="n"/>
      <c r="X298" s="2002" t="n"/>
      <c r="Y298" s="2002" t="n"/>
      <c r="Z298" s="2002" t="n"/>
      <c r="AA298" s="2002" t="n"/>
      <c r="AB298" s="2002" t="n"/>
      <c r="AC298" s="2002" t="n"/>
      <c r="AD298" s="2002" t="n"/>
      <c r="AE298" s="522" t="n"/>
      <c r="AF298" s="93" t="n"/>
      <c r="AG298" s="93" t="n"/>
      <c r="AH298" s="93" t="n"/>
      <c r="AI298" s="775" t="n"/>
      <c r="AJ298" s="775" t="n"/>
      <c r="AK298" s="775" t="n"/>
      <c r="AL298" s="775" t="n"/>
      <c r="AM298" s="775" t="n"/>
      <c r="AN298" s="775" t="n"/>
      <c r="AO298" s="775" t="n"/>
      <c r="AP298" s="775" t="n"/>
    </row>
    <row r="299" ht="72" customFormat="1" customHeight="1" s="7">
      <c r="A299" s="1438">
        <f>BIBLE!E181</f>
        <v/>
      </c>
      <c r="B299" s="158">
        <f>BIBLE!F181</f>
        <v/>
      </c>
      <c r="C299" s="1307">
        <f>BIBLE!O181</f>
        <v/>
      </c>
      <c r="D299" s="125">
        <f>BIBLE!L181</f>
        <v/>
      </c>
      <c r="E299" s="20" t="n"/>
      <c r="F299" s="20" t="n"/>
      <c r="G299" s="20" t="n"/>
      <c r="H299" s="20" t="n">
        <v>1</v>
      </c>
      <c r="I299" s="20" t="n"/>
      <c r="J299" s="20" t="n"/>
      <c r="K299" s="20" t="n"/>
      <c r="L299" s="20" t="n"/>
      <c r="M299" s="20" t="n"/>
      <c r="N299" s="20" t="n"/>
      <c r="O299" s="20" t="n"/>
      <c r="P299" s="25">
        <f>'TEST_pour application'!B280</f>
        <v/>
      </c>
      <c r="Q299" s="26">
        <f>P299*D299</f>
        <v/>
      </c>
      <c r="R299" s="2002">
        <f>IF(BIBLE!K181=0,"",BIBLE!K181)</f>
        <v/>
      </c>
      <c r="S299" s="56" t="n"/>
      <c r="T299" s="56" t="n"/>
      <c r="U299" s="56" t="n"/>
      <c r="V299" s="6">
        <f>IF(P299&gt;=R299,IF(Q299&gt;Q300,Q299,Q300),Q299)</f>
        <v/>
      </c>
      <c r="W299" s="2002" t="n"/>
      <c r="X299" s="6">
        <f>IF(($P299&gt;=$R299),IF($Q299&gt;$Q300,X$108*$D299,X$108*$D300),X$108*$D299)</f>
        <v/>
      </c>
      <c r="Y299" s="6">
        <f>IF(($P299&gt;=$R299),IF($Q299&gt;$Q300,Y$108*$D299,Y$108*$D300),Y$108*$D299)</f>
        <v/>
      </c>
      <c r="Z299" s="6">
        <f>IF(($P299&gt;=$R299),IF($Q299&gt;$Q300,Z$108*$D299,Z$108*$D300),Z$108*$D299)</f>
        <v/>
      </c>
      <c r="AA299" s="6">
        <f>IF(($P299&gt;=$R299),IF($Q299&gt;$Q300,AA$108*$D299,AA$108*$D300),AA$108*$D299)</f>
        <v/>
      </c>
      <c r="AB299" s="6">
        <f>IF(($P299&gt;=$R299),IF($Q299&gt;$Q300,AB$108*$D299,AB$108*$D300),AB$108*$D299)</f>
        <v/>
      </c>
      <c r="AC299" s="6">
        <f>IF(($P299&gt;=$R299),IF($Q299&gt;$Q300,AC$108*$D299,AC$108*$D300),AC$108*$D299)</f>
        <v/>
      </c>
      <c r="AE299" s="522" t="n"/>
      <c r="AF299" s="24">
        <f>IF($Q299=$V299,$Q299*BIBLE!R181,$Q300*BIBLE!R182)</f>
        <v/>
      </c>
      <c r="AG299" s="24">
        <f>IF($Q299=$V299,$Q299*BIBLE!S181,$Q300*BIBLE!S182)</f>
        <v/>
      </c>
      <c r="AH299" s="24">
        <f>IF($Q299=$V299,$Q299*BIBLE!T181,$Q300*BIBLE!T182)</f>
        <v/>
      </c>
      <c r="AI299" s="1539">
        <f>IF($Q299=$V299,$Q299*BIBLE!V181,$Q300*BIBLE!V182)</f>
        <v/>
      </c>
      <c r="AJ299" s="1539">
        <f>IF($Q299=$V299,$Q299*BIBLE!W181,$Q300*BIBLE!W182)</f>
        <v/>
      </c>
      <c r="AK299" s="1539">
        <f>IF($Q299=$V299,$Q299*BIBLE!X181,$Q300*BIBLE!X182)</f>
        <v/>
      </c>
      <c r="AL299" s="1539">
        <f>IF($Q299=$V299,$Q299*BIBLE!Y181,$Q300*BIBLE!Y182)</f>
        <v/>
      </c>
      <c r="AM299" s="1539">
        <f>IF($Q299=$V299,$Q299*BIBLE!Z181,$Q300*BIBLE!Z182)</f>
        <v/>
      </c>
      <c r="AN299" s="1539">
        <f>IF($Q299=$V299,$Q299*BIBLE!AA181,$Q300*BIBLE!AA182)</f>
        <v/>
      </c>
      <c r="AO299" s="1539">
        <f>IF($Q299=$V299,$Q299*BIBLE!AB181,$Q300*BIBLE!AB182)</f>
        <v/>
      </c>
      <c r="AP299" s="1539">
        <f>IF($Q299=$V299,$Q299*BIBLE!AC181,$Q300*BIBLE!AC182)</f>
        <v/>
      </c>
    </row>
    <row r="300" ht="63" customFormat="1" customHeight="1" s="7">
      <c r="A300" s="1438">
        <f>BIBLE!E182</f>
        <v/>
      </c>
      <c r="B300" s="159">
        <f>IF(P299&gt;=R299,BIBLE!F182,"")</f>
        <v/>
      </c>
      <c r="C300" s="2003">
        <f>BIBLE!O182</f>
        <v/>
      </c>
      <c r="D300" s="125">
        <f>BIBLE!L182</f>
        <v/>
      </c>
      <c r="E300" s="20" t="n"/>
      <c r="F300" s="20" t="n"/>
      <c r="G300" s="20" t="n"/>
      <c r="H300" s="20" t="n">
        <v>1</v>
      </c>
      <c r="I300" s="20" t="n"/>
      <c r="J300" s="20" t="n"/>
      <c r="K300" s="20" t="n"/>
      <c r="L300" s="20" t="n"/>
      <c r="M300" s="20" t="n"/>
      <c r="N300" s="20" t="n"/>
      <c r="O300" s="20" t="n"/>
      <c r="P300" s="25">
        <f>'TEST_pour application'!B281</f>
        <v/>
      </c>
      <c r="Q300" s="26">
        <f>P300*D300</f>
        <v/>
      </c>
      <c r="R300" s="2002">
        <f>IF(BIBLE!K182=0,"",BIBLE!K182)</f>
        <v/>
      </c>
      <c r="S300" s="56" t="n"/>
      <c r="T300" s="56" t="n"/>
      <c r="U300" s="56" t="n"/>
      <c r="V300" s="6" t="n"/>
      <c r="W300" s="301" t="n"/>
      <c r="X300" s="6" t="n"/>
      <c r="Y300" s="6" t="n"/>
      <c r="Z300" s="6" t="n"/>
      <c r="AA300" s="6" t="n"/>
      <c r="AB300" s="6" t="n"/>
      <c r="AC300" s="6" t="n"/>
      <c r="AE300" s="522" t="n"/>
      <c r="AF300" s="93" t="n"/>
      <c r="AG300" s="93" t="n"/>
      <c r="AH300" s="93" t="n"/>
      <c r="AI300" s="775" t="n"/>
      <c r="AJ300" s="775" t="n"/>
      <c r="AK300" s="775" t="n"/>
      <c r="AL300" s="775" t="n"/>
      <c r="AM300" s="775" t="n"/>
      <c r="AN300" s="775" t="n"/>
      <c r="AO300" s="775" t="n"/>
      <c r="AP300" s="775" t="n"/>
    </row>
    <row r="301" ht="63" customFormat="1" customHeight="1" s="7">
      <c r="A301" s="1438">
        <f>BIBLE!E183</f>
        <v/>
      </c>
      <c r="B301" s="158">
        <f>BIBLE!F183</f>
        <v/>
      </c>
      <c r="C301" s="2003">
        <f>BIBLE!O183</f>
        <v/>
      </c>
      <c r="D301" s="125">
        <f>IF(E40&gt;=8,BIBLE!L183,BIBLE!M183)</f>
        <v/>
      </c>
      <c r="E301" s="20" t="n"/>
      <c r="F301" s="20" t="n"/>
      <c r="G301" s="20" t="n"/>
      <c r="H301" s="20" t="n"/>
      <c r="I301" s="20" t="n"/>
      <c r="J301" s="20" t="n">
        <v>1</v>
      </c>
      <c r="K301" s="20" t="n"/>
      <c r="L301" s="20" t="n"/>
      <c r="M301" s="20" t="n"/>
      <c r="N301" s="20" t="n"/>
      <c r="O301" s="20" t="n"/>
      <c r="P301" s="25">
        <f>'TEST_pour application'!B282</f>
        <v/>
      </c>
      <c r="Q301" s="26">
        <f>P301*D301</f>
        <v/>
      </c>
      <c r="R301" s="2002">
        <f>IF(BIBLE!K183=0,"",BIBLE!K183)</f>
        <v/>
      </c>
      <c r="S301" s="56" t="n"/>
      <c r="T301" s="56" t="n"/>
      <c r="U301" s="56" t="n"/>
      <c r="V301" s="6">
        <f>Q301</f>
        <v/>
      </c>
      <c r="W301" s="301" t="n"/>
      <c r="X301" s="6">
        <f>IF($Q301&gt;0,X$108*$D301,0)</f>
        <v/>
      </c>
      <c r="Y301" s="6">
        <f>IF($Q301&gt;0,Y$108*$D301,0)</f>
        <v/>
      </c>
      <c r="Z301" s="6">
        <f>IF($Q301&gt;0,Z$108*$D301,0)</f>
        <v/>
      </c>
      <c r="AA301" s="6">
        <f>IF($Q301&gt;0,AA$108*$D301,0)</f>
        <v/>
      </c>
      <c r="AB301" s="6">
        <f>IF($Q301&gt;0,AB$108*$D301,0)</f>
        <v/>
      </c>
      <c r="AC301" s="6">
        <f>IF($Q301&gt;0,AC$108*$D301,0)</f>
        <v/>
      </c>
      <c r="AE301" s="522" t="n"/>
      <c r="AF301" s="24">
        <f>$V301*BIBLE!R183</f>
        <v/>
      </c>
      <c r="AG301" s="24">
        <f>$V301*BIBLE!S183</f>
        <v/>
      </c>
      <c r="AH301" s="24">
        <f>$V301*BIBLE!T183</f>
        <v/>
      </c>
      <c r="AI301" s="1539">
        <f>$V301*BIBLE!V183</f>
        <v/>
      </c>
      <c r="AJ301" s="1539">
        <f>$V301*BIBLE!W183</f>
        <v/>
      </c>
      <c r="AK301" s="1539">
        <f>$V301*BIBLE!X183</f>
        <v/>
      </c>
      <c r="AL301" s="1539">
        <f>$V301*BIBLE!Y183</f>
        <v/>
      </c>
      <c r="AM301" s="1539">
        <f>$V301*BIBLE!Z183</f>
        <v/>
      </c>
      <c r="AN301" s="1539">
        <f>$V301*BIBLE!AA183</f>
        <v/>
      </c>
      <c r="AO301" s="1539">
        <f>$V301*BIBLE!AB183</f>
        <v/>
      </c>
      <c r="AP301" s="1539">
        <f>$V301*BIBLE!AC183</f>
        <v/>
      </c>
    </row>
    <row r="302" ht="63" customFormat="1" customHeight="1" s="7">
      <c r="A302" s="1438">
        <f>BIBLE!E184</f>
        <v/>
      </c>
      <c r="B302" s="1760">
        <f>BIBLE!F184</f>
        <v/>
      </c>
      <c r="C302" s="1056">
        <f>BIBLE!O184</f>
        <v/>
      </c>
      <c r="D302" s="125">
        <f>BIBLE!L184</f>
        <v/>
      </c>
      <c r="E302" s="20" t="n"/>
      <c r="F302" s="20" t="n"/>
      <c r="G302" s="20" t="n">
        <v>1</v>
      </c>
      <c r="H302" s="20" t="n"/>
      <c r="I302" s="20" t="n"/>
      <c r="J302" s="20" t="n"/>
      <c r="K302" s="20" t="n"/>
      <c r="L302" s="20" t="n"/>
      <c r="M302" s="20" t="n"/>
      <c r="N302" s="20" t="n"/>
      <c r="O302" s="20" t="n"/>
      <c r="P302" s="25">
        <f>'TEST_pour application'!B283</f>
        <v/>
      </c>
      <c r="Q302" s="26">
        <f>P302*D302</f>
        <v/>
      </c>
      <c r="R302" s="2002">
        <f>IF(BIBLE!K184=0,"",BIBLE!K184)</f>
        <v/>
      </c>
      <c r="S302" s="55" t="n"/>
      <c r="T302" s="55" t="n"/>
      <c r="U302" s="55" t="n"/>
      <c r="V302" s="6">
        <f>Q302</f>
        <v/>
      </c>
      <c r="W302" s="301" t="n"/>
      <c r="X302" s="6">
        <f>IF($Q302&gt;0,X$108*$D302,0)</f>
        <v/>
      </c>
      <c r="Y302" s="6">
        <f>IF($Q302&gt;0,Y$108*$D302,0)</f>
        <v/>
      </c>
      <c r="Z302" s="6">
        <f>IF($Q302&gt;0,Z$108*$D302,0)</f>
        <v/>
      </c>
      <c r="AA302" s="6">
        <f>IF($Q302&gt;0,AA$108*$D302,0)</f>
        <v/>
      </c>
      <c r="AB302" s="6">
        <f>IF($Q302&gt;0,AB$108*$D302,0)</f>
        <v/>
      </c>
      <c r="AC302" s="6">
        <f>IF($Q302&gt;0,AC$108*$D302,0)</f>
        <v/>
      </c>
      <c r="AE302" s="522" t="n"/>
      <c r="AF302" s="24">
        <f>$V302*BIBLE!R184</f>
        <v/>
      </c>
      <c r="AG302" s="24">
        <f>$V302*BIBLE!S184</f>
        <v/>
      </c>
      <c r="AH302" s="24">
        <f>$V302*BIBLE!T184</f>
        <v/>
      </c>
      <c r="AI302" s="1539">
        <f>$V302*BIBLE!V184</f>
        <v/>
      </c>
      <c r="AJ302" s="1539">
        <f>$V302*BIBLE!W184</f>
        <v/>
      </c>
      <c r="AK302" s="1539">
        <f>$V302*BIBLE!X184</f>
        <v/>
      </c>
      <c r="AL302" s="1539">
        <f>$V302*BIBLE!Y184</f>
        <v/>
      </c>
      <c r="AM302" s="1539">
        <f>$V302*BIBLE!Z184</f>
        <v/>
      </c>
      <c r="AN302" s="1539">
        <f>$V302*BIBLE!AA184</f>
        <v/>
      </c>
      <c r="AO302" s="1539">
        <f>$V302*BIBLE!AB184</f>
        <v/>
      </c>
      <c r="AP302" s="1539">
        <f>$V302*BIBLE!AC184</f>
        <v/>
      </c>
    </row>
    <row r="303" ht="63" customFormat="1" customHeight="1" s="7">
      <c r="A303" s="1438">
        <f>BIBLE!E185</f>
        <v/>
      </c>
      <c r="B303" s="158">
        <f>IF(OR($P$53&gt;=$R$53,P110&gt;R109,P120&gt;=R109),BIBLE!F185,"")</f>
        <v/>
      </c>
      <c r="C303" s="2003">
        <f>BIBLE!O185</f>
        <v/>
      </c>
      <c r="D303" s="125">
        <f>BIBLE!L185</f>
        <v/>
      </c>
      <c r="E303" s="20" t="n"/>
      <c r="F303" s="20" t="n"/>
      <c r="G303" s="20" t="n"/>
      <c r="H303" s="20" t="n"/>
      <c r="I303" s="20" t="n"/>
      <c r="J303" s="20" t="n"/>
      <c r="K303" s="20" t="n">
        <v>1</v>
      </c>
      <c r="L303" s="20" t="n"/>
      <c r="M303" s="20" t="n"/>
      <c r="N303" s="20" t="n"/>
      <c r="O303" s="20" t="n"/>
      <c r="P303" s="25">
        <f>'TEST_pour application'!B284</f>
        <v/>
      </c>
      <c r="Q303" s="26">
        <f>P303*D303</f>
        <v/>
      </c>
      <c r="R303" s="2002">
        <f>IF(BIBLE!K185=0,"",BIBLE!K185)</f>
        <v/>
      </c>
      <c r="S303" s="56" t="n"/>
      <c r="T303" s="56" t="n"/>
      <c r="U303" s="56" t="n"/>
      <c r="V303" s="6">
        <f>Q303</f>
        <v/>
      </c>
      <c r="W303" s="301" t="n"/>
      <c r="X303" s="6">
        <f>IF($Q303&gt;0,X$108*$D303,0)</f>
        <v/>
      </c>
      <c r="Y303" s="6">
        <f>IF($Q303&gt;0,Y$108*$D303,0)</f>
        <v/>
      </c>
      <c r="Z303" s="6">
        <f>IF($Q303&gt;0,Z$108*$D303,0)</f>
        <v/>
      </c>
      <c r="AA303" s="6">
        <f>IF($Q303&gt;0,AA$108*$D303,0)</f>
        <v/>
      </c>
      <c r="AB303" s="6">
        <f>IF($Q303&gt;0,AB$108*$D303,0)</f>
        <v/>
      </c>
      <c r="AC303" s="6">
        <f>IF($Q303&gt;0,AC$108*$D303,0)</f>
        <v/>
      </c>
      <c r="AE303" s="522" t="n"/>
      <c r="AF303" s="24">
        <f>$V303*BIBLE!R185</f>
        <v/>
      </c>
      <c r="AG303" s="24">
        <f>$V303*BIBLE!S185</f>
        <v/>
      </c>
      <c r="AH303" s="24">
        <f>$V303*BIBLE!T185</f>
        <v/>
      </c>
      <c r="AI303" s="1539">
        <f>$V303*BIBLE!V185</f>
        <v/>
      </c>
      <c r="AJ303" s="1539">
        <f>$V303*BIBLE!W185</f>
        <v/>
      </c>
      <c r="AK303" s="1539">
        <f>$V303*BIBLE!X185</f>
        <v/>
      </c>
      <c r="AL303" s="1539">
        <f>$V303*BIBLE!Y185</f>
        <v/>
      </c>
      <c r="AM303" s="1539">
        <f>$V303*BIBLE!Z185</f>
        <v/>
      </c>
      <c r="AN303" s="1539">
        <f>$V303*BIBLE!AA185</f>
        <v/>
      </c>
      <c r="AO303" s="1539">
        <f>$V303*BIBLE!AB185</f>
        <v/>
      </c>
      <c r="AP303" s="1539">
        <f>$V303*BIBLE!AC185</f>
        <v/>
      </c>
    </row>
    <row r="304" ht="63" customFormat="1" customHeight="1" s="7">
      <c r="A304" s="1438">
        <f>BIBLE!E186</f>
        <v/>
      </c>
      <c r="B304" s="158">
        <f>BIBLE!F186</f>
        <v/>
      </c>
      <c r="C304" s="2003">
        <f>BIBLE!O186</f>
        <v/>
      </c>
      <c r="D304" s="125">
        <f>BIBLE!L186</f>
        <v/>
      </c>
      <c r="E304" s="20" t="n"/>
      <c r="F304" s="20" t="n"/>
      <c r="G304" s="20" t="n"/>
      <c r="H304" s="20" t="n"/>
      <c r="I304" s="20" t="n"/>
      <c r="J304" s="20" t="n">
        <v>1</v>
      </c>
      <c r="K304" s="20" t="n"/>
      <c r="L304" s="20" t="n"/>
      <c r="M304" s="20" t="n"/>
      <c r="N304" s="20" t="n"/>
      <c r="O304" s="20" t="n"/>
      <c r="P304" s="25">
        <f>'TEST_pour application'!B285</f>
        <v/>
      </c>
      <c r="Q304" s="26">
        <f>P304*D304</f>
        <v/>
      </c>
      <c r="R304" s="2002">
        <f>IF(BIBLE!K186=0,"",BIBLE!K186)</f>
        <v/>
      </c>
      <c r="S304" s="55" t="n"/>
      <c r="T304" s="55" t="n"/>
      <c r="U304" s="55" t="n"/>
      <c r="V304" s="6">
        <f>Q304</f>
        <v/>
      </c>
      <c r="W304" s="301" t="n"/>
      <c r="X304" s="6">
        <f>IF($Q304&gt;0,X$108*$D304,0)</f>
        <v/>
      </c>
      <c r="Y304" s="6">
        <f>IF($Q304&gt;0,Y$108*$D304,0)</f>
        <v/>
      </c>
      <c r="Z304" s="6">
        <f>IF($Q304&gt;0,Z$108*$D304,0)</f>
        <v/>
      </c>
      <c r="AA304" s="6">
        <f>IF($Q304&gt;0,AA$108*$D304,0)</f>
        <v/>
      </c>
      <c r="AB304" s="6">
        <f>IF($Q304&gt;0,AB$108*$D304,0)</f>
        <v/>
      </c>
      <c r="AC304" s="6">
        <f>IF($Q304&gt;0,AC$108*$D304,0)</f>
        <v/>
      </c>
      <c r="AE304" s="522" t="n"/>
      <c r="AF304" s="24">
        <f>$V304*BIBLE!R186</f>
        <v/>
      </c>
      <c r="AG304" s="24">
        <f>$V304*BIBLE!S186</f>
        <v/>
      </c>
      <c r="AH304" s="24">
        <f>$V304*BIBLE!T186</f>
        <v/>
      </c>
      <c r="AI304" s="1539">
        <f>$V304*BIBLE!V186</f>
        <v/>
      </c>
      <c r="AJ304" s="1539">
        <f>$V304*BIBLE!W186</f>
        <v/>
      </c>
      <c r="AK304" s="1539">
        <f>$V304*BIBLE!X186</f>
        <v/>
      </c>
      <c r="AL304" s="1539">
        <f>$V304*BIBLE!Y186</f>
        <v/>
      </c>
      <c r="AM304" s="1539">
        <f>$V304*BIBLE!Z186</f>
        <v/>
      </c>
      <c r="AN304" s="1539">
        <f>$V304*BIBLE!AA186</f>
        <v/>
      </c>
      <c r="AO304" s="1539">
        <f>$V304*BIBLE!AB186</f>
        <v/>
      </c>
      <c r="AP304" s="1539">
        <f>$V304*BIBLE!AC186</f>
        <v/>
      </c>
    </row>
    <row r="305" ht="63" customFormat="1" customHeight="1" s="7">
      <c r="A305" s="1438">
        <f>BIBLE!E187</f>
        <v/>
      </c>
      <c r="B305" s="158">
        <f>BIBLE!F187</f>
        <v/>
      </c>
      <c r="C305" s="2003">
        <f>BIBLE!O187</f>
        <v/>
      </c>
      <c r="D305" s="125">
        <f>BIBLE!L187</f>
        <v/>
      </c>
      <c r="E305" s="20" t="n"/>
      <c r="F305" s="20" t="n"/>
      <c r="G305" s="20" t="n"/>
      <c r="H305" s="20" t="n"/>
      <c r="I305" s="20" t="n"/>
      <c r="J305" s="20" t="n">
        <v>1</v>
      </c>
      <c r="K305" s="20" t="n"/>
      <c r="L305" s="20" t="n"/>
      <c r="M305" s="20" t="n"/>
      <c r="N305" s="20" t="n"/>
      <c r="O305" s="20" t="n"/>
      <c r="P305" s="25">
        <f>'TEST_pour application'!B286</f>
        <v/>
      </c>
      <c r="Q305" s="26">
        <f>P305*D305</f>
        <v/>
      </c>
      <c r="R305" s="2002">
        <f>IF(BIBLE!K187=0,"",BIBLE!K187)</f>
        <v/>
      </c>
      <c r="S305" s="56" t="n"/>
      <c r="T305" s="56" t="n"/>
      <c r="U305" s="56" t="n"/>
      <c r="V305" s="6">
        <f>Q305</f>
        <v/>
      </c>
      <c r="W305" s="301" t="n"/>
      <c r="X305" s="6">
        <f>IF($Q305&gt;0,X$108*$D305,0)</f>
        <v/>
      </c>
      <c r="Y305" s="6">
        <f>IF($Q305&gt;0,Y$108*$D305,0)</f>
        <v/>
      </c>
      <c r="Z305" s="6">
        <f>IF($Q305&gt;0,Z$108*$D305,0)</f>
        <v/>
      </c>
      <c r="AA305" s="6">
        <f>IF($Q305&gt;0,AA$108*$D305,0)</f>
        <v/>
      </c>
      <c r="AB305" s="6">
        <f>IF($Q305&gt;0,AB$108*$D305,0)</f>
        <v/>
      </c>
      <c r="AC305" s="6">
        <f>IF($Q305&gt;0,AC$108*$D305,0)</f>
        <v/>
      </c>
      <c r="AE305" s="522" t="n"/>
      <c r="AF305" s="24">
        <f>$V305*BIBLE!R187</f>
        <v/>
      </c>
      <c r="AG305" s="24">
        <f>$V305*BIBLE!S187</f>
        <v/>
      </c>
      <c r="AH305" s="24">
        <f>$V305*BIBLE!T187</f>
        <v/>
      </c>
      <c r="AI305" s="1539">
        <f>$V305*BIBLE!V187</f>
        <v/>
      </c>
      <c r="AJ305" s="1539">
        <f>$V305*BIBLE!W187</f>
        <v/>
      </c>
      <c r="AK305" s="1539">
        <f>$V305*BIBLE!X187</f>
        <v/>
      </c>
      <c r="AL305" s="1539">
        <f>$V305*BIBLE!Y187</f>
        <v/>
      </c>
      <c r="AM305" s="1539">
        <f>$V305*BIBLE!Z187</f>
        <v/>
      </c>
      <c r="AN305" s="1539">
        <f>$V305*BIBLE!AA187</f>
        <v/>
      </c>
      <c r="AO305" s="1539">
        <f>$V305*BIBLE!AB187</f>
        <v/>
      </c>
      <c r="AP305" s="1539">
        <f>$V305*BIBLE!AC187</f>
        <v/>
      </c>
    </row>
    <row r="306" ht="63" customFormat="1" customHeight="1" s="7">
      <c r="A306" s="1438">
        <f>BIBLE!E188</f>
        <v/>
      </c>
      <c r="B306" s="158">
        <f>BIBLE!F188</f>
        <v/>
      </c>
      <c r="C306" s="2003">
        <f>BIBLE!O188</f>
        <v/>
      </c>
      <c r="D306" s="125">
        <f>BIBLE!L188</f>
        <v/>
      </c>
      <c r="E306" s="20" t="n"/>
      <c r="F306" s="20" t="n"/>
      <c r="G306" s="20" t="n"/>
      <c r="H306" s="20" t="n">
        <v>1</v>
      </c>
      <c r="I306" s="20" t="n"/>
      <c r="J306" s="20" t="n"/>
      <c r="K306" s="20" t="n"/>
      <c r="L306" s="20" t="n"/>
      <c r="M306" s="20" t="n"/>
      <c r="N306" s="20" t="n"/>
      <c r="O306" s="20" t="n"/>
      <c r="P306" s="25">
        <f>'TEST_pour application'!B287</f>
        <v/>
      </c>
      <c r="Q306" s="26">
        <f>P306*D306</f>
        <v/>
      </c>
      <c r="R306" s="2002">
        <f>IF(BIBLE!K188=0,"",BIBLE!K188)</f>
        <v/>
      </c>
      <c r="S306" s="56" t="n"/>
      <c r="T306" s="56" t="n"/>
      <c r="U306" s="56" t="n"/>
      <c r="V306" s="6">
        <f>IF(P306&gt;=R306,IF(Q306&gt;Q314,Q306,Q314),Q306)</f>
        <v/>
      </c>
      <c r="W306" s="2002" t="n"/>
      <c r="X306" s="6">
        <f>IF(($P306&gt;=$R306),IF($Q306&gt;$Q314,X$108*$D306,X$108*$D314),X$108*$D306)</f>
        <v/>
      </c>
      <c r="Y306" s="6">
        <f>IF(($P306&gt;=$R306),IF($Q306&gt;$Q314,Y$108*$D306,Y$108*$D314),Y$108*$D306)</f>
        <v/>
      </c>
      <c r="Z306" s="6">
        <f>IF(($P306&gt;=$R306),IF($Q306&gt;$Q314,Z$108*$D306,Z$108*$D314),Z$108*$D306)</f>
        <v/>
      </c>
      <c r="AA306" s="6">
        <f>IF(($P306&gt;=$R306),IF($Q306&gt;$Q314,AA$108*$D306,AA$108*$D314),AA$108*$D306)</f>
        <v/>
      </c>
      <c r="AB306" s="6">
        <f>IF(($P306&gt;=$R306),IF($Q306&gt;$Q314,AB$108*$D306,AB$108*$D314),AB$108*$D306)</f>
        <v/>
      </c>
      <c r="AC306" s="6">
        <f>IF(($P306&gt;=$R306),IF($Q306&gt;$Q314,AC$108*$D306,AC$108*$D314),AC$108*$D306)</f>
        <v/>
      </c>
      <c r="AE306" s="522" t="n"/>
      <c r="AF306" s="24">
        <f>IF($Q306=$V306,$Q306*BIBLE!R188,$Q314*BIBLE!R190)</f>
        <v/>
      </c>
      <c r="AG306" s="24">
        <f>IF($Q306=$V306,$Q306*BIBLE!S188,$Q314*BIBLE!S190)</f>
        <v/>
      </c>
      <c r="AH306" s="24">
        <f>IF($Q306=$V306,$Q306*BIBLE!T188,$Q314*BIBLE!T190)</f>
        <v/>
      </c>
      <c r="AI306" s="1539">
        <f>IF($Q306=$V306,$Q306*BIBLE!V188,$Q314*BIBLE!V190)</f>
        <v/>
      </c>
      <c r="AJ306" s="1539">
        <f>IF($Q306=$V306,$Q306*BIBLE!W188,$Q314*BIBLE!W190)</f>
        <v/>
      </c>
      <c r="AK306" s="1539">
        <f>IF($Q306=$V306,$Q306*BIBLE!X188,$Q314*BIBLE!X190)</f>
        <v/>
      </c>
      <c r="AL306" s="1539">
        <f>IF($Q306=$V306,$Q306*BIBLE!Y188,$Q314*BIBLE!Y190)</f>
        <v/>
      </c>
      <c r="AM306" s="1539">
        <f>IF($Q306=$V306,$Q306*BIBLE!Z188,$Q314*BIBLE!Z190)</f>
        <v/>
      </c>
      <c r="AN306" s="1539">
        <f>IF($Q306=$V306,$Q306*BIBLE!AA188,$Q314*BIBLE!AA190)</f>
        <v/>
      </c>
      <c r="AO306" s="1539">
        <f>IF($Q306=$V306,$Q306*BIBLE!AB188,$Q314*BIBLE!AB190)</f>
        <v/>
      </c>
      <c r="AP306" s="1539">
        <f>IF($Q306=$V306,$Q306*BIBLE!AC188,$Q314*BIBLE!AC190)</f>
        <v/>
      </c>
    </row>
    <row r="307" ht="23" customFormat="1" customHeight="1" s="7">
      <c r="A307" s="1438">
        <f>BIBLE!E189</f>
        <v/>
      </c>
      <c r="B307" s="159">
        <f>IF(P306&gt;=R306,BIBLE!F189,"")</f>
        <v/>
      </c>
      <c r="C307" s="24" t="n"/>
      <c r="D307" s="125">
        <f>BIBLE!L189</f>
        <v/>
      </c>
      <c r="E307" s="20" t="n"/>
      <c r="F307" s="20" t="n"/>
      <c r="G307" s="20" t="n"/>
      <c r="H307" s="20" t="n"/>
      <c r="I307" s="20" t="n"/>
      <c r="J307" s="20" t="n"/>
      <c r="K307" s="20" t="n"/>
      <c r="L307" s="20" t="n"/>
      <c r="M307" s="20" t="n"/>
      <c r="N307" s="20" t="n"/>
      <c r="O307" s="20" t="n"/>
      <c r="P307" s="2096">
        <f>'TEST_pour application'!B288</f>
        <v/>
      </c>
      <c r="Q307" s="26" t="n"/>
      <c r="R307" s="2002">
        <f>IF(BIBLE!K189=0,"",BIBLE!K189)</f>
        <v/>
      </c>
      <c r="S307" s="56" t="n"/>
      <c r="T307" s="56" t="n"/>
      <c r="U307" s="56" t="n"/>
      <c r="V307" s="6" t="n"/>
      <c r="W307" s="301" t="n"/>
      <c r="X307" s="6" t="n"/>
      <c r="Y307" s="6" t="n"/>
      <c r="Z307" s="6" t="n"/>
      <c r="AA307" s="6" t="n"/>
      <c r="AB307" s="6" t="n"/>
      <c r="AC307" s="6" t="n"/>
      <c r="AE307" s="522" t="n"/>
      <c r="AF307" s="93" t="n"/>
      <c r="AG307" s="93" t="n"/>
      <c r="AH307" s="93" t="n"/>
      <c r="AI307" s="775" t="n"/>
      <c r="AJ307" s="775" t="n"/>
      <c r="AK307" s="775" t="n"/>
      <c r="AL307" s="775" t="n"/>
      <c r="AM307" s="775" t="n"/>
      <c r="AN307" s="775" t="n"/>
      <c r="AO307" s="775" t="n"/>
      <c r="AP307" s="775" t="n"/>
    </row>
    <row r="308" ht="23" customFormat="1" customHeight="1" s="7">
      <c r="A308" s="1438" t="n"/>
      <c r="B308" s="162">
        <f>IF(P306&gt;=R306,"Calme","")</f>
        <v/>
      </c>
      <c r="C308" s="93" t="n"/>
      <c r="D308" s="1930" t="n">
        <v>1</v>
      </c>
      <c r="E308" s="52">
        <f>IF(P$307=D308,1,"x")</f>
        <v/>
      </c>
      <c r="F308" s="20" t="n"/>
      <c r="G308" s="20" t="n"/>
      <c r="H308" s="20" t="n"/>
      <c r="I308" s="20" t="n"/>
      <c r="J308" s="20" t="n"/>
      <c r="K308" s="20" t="n"/>
      <c r="L308" s="20" t="n"/>
      <c r="M308" s="20" t="n"/>
      <c r="N308" s="20" t="n"/>
      <c r="O308" s="20" t="n"/>
      <c r="P308" s="26" t="n"/>
      <c r="Q308" s="26" t="n"/>
      <c r="R308" s="2002">
        <f>IF(BIBLE!K204=0,"",BIBLE!K204)</f>
        <v/>
      </c>
      <c r="S308" s="56" t="n"/>
      <c r="T308" s="56" t="n"/>
      <c r="U308" s="56" t="n"/>
      <c r="V308" s="6" t="n"/>
      <c r="W308" s="301" t="n"/>
      <c r="X308" s="6" t="n"/>
      <c r="Y308" s="6" t="n"/>
      <c r="Z308" s="6" t="n"/>
      <c r="AA308" s="6" t="n"/>
      <c r="AB308" s="6" t="n"/>
      <c r="AC308" s="6" t="n"/>
      <c r="AE308" s="522" t="n"/>
      <c r="AF308" s="93" t="n"/>
      <c r="AG308" s="93" t="n"/>
      <c r="AH308" s="93" t="n"/>
      <c r="AI308" s="775" t="n"/>
      <c r="AJ308" s="775" t="n"/>
      <c r="AK308" s="775" t="n"/>
      <c r="AL308" s="775" t="n"/>
      <c r="AM308" s="775" t="n"/>
      <c r="AN308" s="775" t="n"/>
      <c r="AO308" s="775" t="n"/>
      <c r="AP308" s="775" t="n"/>
    </row>
    <row r="309" ht="23" customFormat="1" customHeight="1" s="7">
      <c r="A309" s="1438" t="n"/>
      <c r="B309" s="162">
        <f>IF(P306&gt;=R306,"Neutre","")</f>
        <v/>
      </c>
      <c r="C309" s="93" t="n"/>
      <c r="D309" s="1930" t="n">
        <v>2</v>
      </c>
      <c r="E309" s="52">
        <f>IF(P$307=D309,1,"x")</f>
        <v/>
      </c>
      <c r="F309" s="20" t="n"/>
      <c r="G309" s="20" t="n"/>
      <c r="H309" s="20" t="n"/>
      <c r="I309" s="20" t="n"/>
      <c r="J309" s="20" t="n"/>
      <c r="K309" s="20" t="n"/>
      <c r="L309" s="20" t="n"/>
      <c r="M309" s="20" t="n"/>
      <c r="N309" s="20" t="n"/>
      <c r="O309" s="20" t="n"/>
      <c r="P309" s="26" t="n"/>
      <c r="Q309" s="26" t="n"/>
      <c r="R309" s="2002">
        <f>IF(BIBLE!K205=0,"",BIBLE!K205)</f>
        <v/>
      </c>
      <c r="S309" s="56" t="n"/>
      <c r="T309" s="56" t="n"/>
      <c r="U309" s="56" t="n"/>
      <c r="V309" s="6" t="n"/>
      <c r="W309" s="301" t="n"/>
      <c r="X309" s="6" t="n"/>
      <c r="Y309" s="6" t="n"/>
      <c r="Z309" s="6" t="n"/>
      <c r="AA309" s="6" t="n"/>
      <c r="AB309" s="6" t="n"/>
      <c r="AC309" s="6" t="n"/>
      <c r="AE309" s="522" t="n"/>
      <c r="AF309" s="93" t="n"/>
      <c r="AG309" s="93" t="n"/>
      <c r="AH309" s="93" t="n"/>
      <c r="AI309" s="775" t="n"/>
      <c r="AJ309" s="775" t="n"/>
      <c r="AK309" s="775" t="n"/>
      <c r="AL309" s="775" t="n"/>
      <c r="AM309" s="775" t="n"/>
      <c r="AN309" s="775" t="n"/>
      <c r="AO309" s="775" t="n"/>
      <c r="AP309" s="775" t="n"/>
    </row>
    <row r="310" ht="23" customFormat="1" customHeight="1" s="7">
      <c r="A310" s="1438" t="n"/>
      <c r="B310" s="162">
        <f>IF(P306&gt;=R306,"Enjoué.e","")</f>
        <v/>
      </c>
      <c r="C310" s="93" t="n"/>
      <c r="D310" s="1930" t="n">
        <v>3</v>
      </c>
      <c r="E310" s="52">
        <f>IF(P$307=D310,1,"x")</f>
        <v/>
      </c>
      <c r="F310" s="20" t="n"/>
      <c r="G310" s="20" t="n"/>
      <c r="H310" s="20" t="n"/>
      <c r="I310" s="20" t="n"/>
      <c r="J310" s="20" t="n"/>
      <c r="K310" s="20" t="n"/>
      <c r="L310" s="20" t="n"/>
      <c r="M310" s="20" t="n"/>
      <c r="N310" s="20" t="n"/>
      <c r="O310" s="20" t="n"/>
      <c r="P310" s="26" t="n"/>
      <c r="Q310" s="26" t="n"/>
      <c r="R310" s="2002">
        <f>IF(BIBLE!K209=0,"",BIBLE!K209)</f>
        <v/>
      </c>
      <c r="S310" s="56" t="n"/>
      <c r="T310" s="56" t="n"/>
      <c r="U310" s="56" t="n"/>
      <c r="V310" s="6" t="n"/>
      <c r="W310" s="301" t="n"/>
      <c r="X310" s="6" t="n"/>
      <c r="Y310" s="6" t="n"/>
      <c r="Z310" s="6" t="n"/>
      <c r="AA310" s="6" t="n"/>
      <c r="AB310" s="6" t="n"/>
      <c r="AC310" s="6" t="n"/>
      <c r="AE310" s="522" t="n"/>
      <c r="AF310" s="93" t="n"/>
      <c r="AG310" s="93" t="n"/>
      <c r="AH310" s="93" t="n"/>
      <c r="AI310" s="775" t="n"/>
      <c r="AJ310" s="775" t="n"/>
      <c r="AK310" s="775" t="n"/>
      <c r="AL310" s="775" t="n"/>
      <c r="AM310" s="775" t="n"/>
      <c r="AN310" s="775" t="n"/>
      <c r="AO310" s="775" t="n"/>
      <c r="AP310" s="775" t="n"/>
    </row>
    <row r="311" ht="23" customFormat="1" customHeight="1" s="7">
      <c r="A311" s="1438" t="n"/>
      <c r="B311" s="162">
        <f>IF(P306&gt;=R306,"Taciturne","")</f>
        <v/>
      </c>
      <c r="C311" s="93" t="n"/>
      <c r="D311" s="1930" t="n">
        <v>4</v>
      </c>
      <c r="E311" s="52">
        <f>IF(P$307=D311,1,"x")</f>
        <v/>
      </c>
      <c r="F311" s="20" t="n"/>
      <c r="G311" s="20" t="n"/>
      <c r="H311" s="20" t="n"/>
      <c r="I311" s="20" t="n"/>
      <c r="J311" s="20" t="n"/>
      <c r="K311" s="20" t="n"/>
      <c r="L311" s="20" t="n"/>
      <c r="M311" s="20" t="n"/>
      <c r="N311" s="20" t="n"/>
      <c r="O311" s="20" t="n"/>
      <c r="P311" s="26" t="n"/>
      <c r="Q311" s="26" t="n"/>
      <c r="R311" s="2002">
        <f>IF(BIBLE!K210=0,"",BIBLE!K210)</f>
        <v/>
      </c>
      <c r="S311" s="56" t="n"/>
      <c r="T311" s="56" t="n"/>
      <c r="U311" s="56" t="n"/>
      <c r="V311" s="6" t="n"/>
      <c r="W311" s="301" t="n"/>
      <c r="X311" s="6" t="n"/>
      <c r="Y311" s="6" t="n"/>
      <c r="Z311" s="6" t="n"/>
      <c r="AA311" s="6" t="n"/>
      <c r="AB311" s="6" t="n"/>
      <c r="AC311" s="6" t="n"/>
      <c r="AE311" s="522" t="n"/>
      <c r="AF311" s="93" t="n"/>
      <c r="AG311" s="93" t="n"/>
      <c r="AH311" s="93" t="n"/>
      <c r="AI311" s="775" t="n"/>
      <c r="AJ311" s="775" t="n"/>
      <c r="AK311" s="775" t="n"/>
      <c r="AL311" s="775" t="n"/>
      <c r="AM311" s="775" t="n"/>
      <c r="AN311" s="775" t="n"/>
      <c r="AO311" s="775" t="n"/>
      <c r="AP311" s="775" t="n"/>
    </row>
    <row r="312" ht="23" customFormat="1" customHeight="1" s="7">
      <c r="A312" s="1438" t="n"/>
      <c r="B312" s="162">
        <f>IF(P306&gt;=R306,"Anxieux","")</f>
        <v/>
      </c>
      <c r="C312" s="93" t="n"/>
      <c r="D312" s="1930" t="n">
        <v>5</v>
      </c>
      <c r="E312" s="52">
        <f>IF(P$307=D312,1,"x")</f>
        <v/>
      </c>
      <c r="F312" s="20" t="n"/>
      <c r="G312" s="20" t="n"/>
      <c r="H312" s="20" t="n"/>
      <c r="I312" s="20" t="n"/>
      <c r="J312" s="20" t="n"/>
      <c r="K312" s="20" t="n"/>
      <c r="L312" s="20" t="n"/>
      <c r="M312" s="20" t="n"/>
      <c r="N312" s="20" t="n"/>
      <c r="O312" s="20" t="n"/>
      <c r="P312" s="26" t="n"/>
      <c r="Q312" s="26" t="n"/>
      <c r="R312" s="2002">
        <f>IF(BIBLE!K211=0,"",BIBLE!K211)</f>
        <v/>
      </c>
      <c r="S312" s="56" t="n"/>
      <c r="T312" s="56" t="n"/>
      <c r="U312" s="56" t="n"/>
      <c r="V312" s="6" t="n"/>
      <c r="W312" s="301" t="n"/>
      <c r="X312" s="6" t="n"/>
      <c r="Y312" s="6" t="n"/>
      <c r="Z312" s="6" t="n"/>
      <c r="AA312" s="6" t="n"/>
      <c r="AB312" s="6" t="n"/>
      <c r="AC312" s="6" t="n"/>
      <c r="AE312" s="522" t="n"/>
      <c r="AF312" s="93" t="n"/>
      <c r="AG312" s="93" t="n"/>
      <c r="AH312" s="93" t="n"/>
      <c r="AI312" s="775" t="n"/>
      <c r="AJ312" s="775" t="n"/>
      <c r="AK312" s="775" t="n"/>
      <c r="AL312" s="775" t="n"/>
      <c r="AM312" s="775" t="n"/>
      <c r="AN312" s="775" t="n"/>
      <c r="AO312" s="775" t="n"/>
      <c r="AP312" s="775" t="n"/>
    </row>
    <row r="313" ht="23" customFormat="1" customHeight="1" s="7">
      <c r="A313" s="1438" t="n"/>
      <c r="B313" s="162">
        <f>IF(P306&gt;=R306,"Agressif","")</f>
        <v/>
      </c>
      <c r="C313" s="93" t="n"/>
      <c r="D313" s="1930" t="n">
        <v>6</v>
      </c>
      <c r="E313" s="52">
        <f>IF(P$307=D313,1,"x")</f>
        <v/>
      </c>
      <c r="F313" s="20" t="n"/>
      <c r="G313" s="20" t="n"/>
      <c r="H313" s="20" t="n"/>
      <c r="I313" s="20" t="n"/>
      <c r="J313" s="20" t="n"/>
      <c r="K313" s="20" t="n"/>
      <c r="L313" s="20" t="n"/>
      <c r="M313" s="20" t="n"/>
      <c r="N313" s="20" t="n"/>
      <c r="O313" s="20" t="n"/>
      <c r="P313" s="26" t="n"/>
      <c r="Q313" s="26" t="n"/>
      <c r="R313" s="2002">
        <f>IF(BIBLE!K212=0,"",BIBLE!K212)</f>
        <v/>
      </c>
      <c r="S313" s="56" t="n"/>
      <c r="T313" s="56" t="n"/>
      <c r="U313" s="56" t="n"/>
      <c r="V313" s="6" t="n"/>
      <c r="W313" s="301" t="n"/>
      <c r="X313" s="6" t="n"/>
      <c r="Y313" s="6" t="n"/>
      <c r="Z313" s="6" t="n"/>
      <c r="AA313" s="6" t="n"/>
      <c r="AB313" s="6" t="n"/>
      <c r="AC313" s="6" t="n"/>
      <c r="AE313" s="522" t="n"/>
      <c r="AF313" s="93" t="n"/>
      <c r="AG313" s="93" t="n"/>
      <c r="AH313" s="93" t="n"/>
      <c r="AI313" s="775" t="n"/>
      <c r="AJ313" s="775" t="n"/>
      <c r="AK313" s="775" t="n"/>
      <c r="AL313" s="775" t="n"/>
      <c r="AM313" s="775" t="n"/>
      <c r="AN313" s="775" t="n"/>
      <c r="AO313" s="775" t="n"/>
      <c r="AP313" s="775" t="n"/>
    </row>
    <row r="314" ht="62" customFormat="1" customHeight="1" s="7">
      <c r="A314" s="1438">
        <f>BIBLE!E190</f>
        <v/>
      </c>
      <c r="B314" s="159">
        <f>IF(OR(E311=1,E312=1,E313=1),BIBLE!F190,"")</f>
        <v/>
      </c>
      <c r="C314" s="24">
        <f>IF(BIBLE!H190=0,"",BIBLE!H190)</f>
        <v/>
      </c>
      <c r="D314" s="125">
        <f>BIBLE!L190</f>
        <v/>
      </c>
      <c r="E314" s="20" t="n"/>
      <c r="F314" s="20" t="n"/>
      <c r="G314" s="20" t="n"/>
      <c r="H314" s="20" t="n"/>
      <c r="I314" s="20" t="n"/>
      <c r="J314" s="20" t="n"/>
      <c r="K314" s="20" t="n"/>
      <c r="L314" s="20" t="n"/>
      <c r="M314" s="20" t="n"/>
      <c r="N314" s="20" t="n"/>
      <c r="O314" s="20" t="n"/>
      <c r="P314" s="25">
        <f>'TEST_pour application'!B289</f>
        <v/>
      </c>
      <c r="Q314" s="26">
        <f>P314*D314</f>
        <v/>
      </c>
      <c r="R314" s="2002">
        <f>IF(BIBLE!K190=0,"",BIBLE!K190)</f>
        <v/>
      </c>
      <c r="S314" s="56" t="n"/>
      <c r="T314" s="56" t="n"/>
      <c r="U314" s="56" t="n"/>
      <c r="V314" s="6" t="n"/>
      <c r="W314" s="301" t="n"/>
      <c r="X314" s="6" t="n"/>
      <c r="Y314" s="6" t="n"/>
      <c r="Z314" s="6" t="n"/>
      <c r="AA314" s="6" t="n"/>
      <c r="AB314" s="6" t="n"/>
      <c r="AC314" s="6" t="n"/>
      <c r="AE314" s="522" t="n"/>
      <c r="AF314" s="93" t="n"/>
      <c r="AG314" s="93" t="n"/>
      <c r="AH314" s="93" t="n"/>
      <c r="AI314" s="775" t="n"/>
      <c r="AJ314" s="775" t="n"/>
      <c r="AK314" s="775" t="n"/>
      <c r="AL314" s="775" t="n"/>
      <c r="AM314" s="775" t="n"/>
      <c r="AN314" s="775" t="n"/>
      <c r="AO314" s="775" t="n"/>
      <c r="AP314" s="775" t="n"/>
    </row>
    <row r="315" ht="60" customFormat="1" customHeight="1" s="7">
      <c r="A315" s="1438">
        <f>BIBLE!E191</f>
        <v/>
      </c>
      <c r="B315" s="158">
        <f>BIBLE!F191</f>
        <v/>
      </c>
      <c r="C315" s="2003">
        <f>BIBLE!O191</f>
        <v/>
      </c>
      <c r="D315" s="125">
        <f>BIBLE!L191</f>
        <v/>
      </c>
      <c r="E315" s="20" t="n"/>
      <c r="F315" s="20" t="n"/>
      <c r="G315" s="20" t="n"/>
      <c r="H315" s="20" t="n">
        <v>1</v>
      </c>
      <c r="I315" s="20" t="n"/>
      <c r="J315" s="20" t="n"/>
      <c r="K315" s="20" t="n"/>
      <c r="L315" s="20" t="n"/>
      <c r="M315" s="20" t="n"/>
      <c r="N315" s="20" t="n"/>
      <c r="O315" s="20" t="n"/>
      <c r="P315" s="25">
        <f>'TEST_pour application'!B290</f>
        <v/>
      </c>
      <c r="Q315" s="26">
        <f>P315*D315</f>
        <v/>
      </c>
      <c r="R315" s="2002">
        <f>IF(BIBLE!K191=0,"",BIBLE!K191)</f>
        <v/>
      </c>
      <c r="S315" s="56" t="n"/>
      <c r="T315" s="56" t="n"/>
      <c r="U315" s="56" t="n"/>
      <c r="V315" s="6">
        <f>Q315</f>
        <v/>
      </c>
      <c r="W315" s="301" t="n"/>
      <c r="X315" s="6">
        <f>IF($Q315&gt;0,X$108*$D315,0)</f>
        <v/>
      </c>
      <c r="Y315" s="6">
        <f>IF($Q315&gt;0,Y$108*$D315,0)</f>
        <v/>
      </c>
      <c r="Z315" s="6">
        <f>IF($Q315&gt;0,Z$108*$D315,0)</f>
        <v/>
      </c>
      <c r="AA315" s="6">
        <f>IF($Q315&gt;0,AA$108*$D315,0)</f>
        <v/>
      </c>
      <c r="AB315" s="6">
        <f>IF($Q315&gt;0,AB$108*$D315,0)</f>
        <v/>
      </c>
      <c r="AC315" s="6">
        <f>IF($Q315&gt;0,AC$108*$D315,0)</f>
        <v/>
      </c>
      <c r="AE315" s="522" t="n"/>
      <c r="AF315" s="24">
        <f>$V315*BIBLE!R191</f>
        <v/>
      </c>
      <c r="AG315" s="24">
        <f>$V315*BIBLE!S191</f>
        <v/>
      </c>
      <c r="AH315" s="24">
        <f>$V315*BIBLE!T191</f>
        <v/>
      </c>
      <c r="AI315" s="1539">
        <f>$V315*BIBLE!V191</f>
        <v/>
      </c>
      <c r="AJ315" s="1539">
        <f>$V315*BIBLE!W191</f>
        <v/>
      </c>
      <c r="AK315" s="1539">
        <f>$V315*BIBLE!X191</f>
        <v/>
      </c>
      <c r="AL315" s="1539">
        <f>$V315*BIBLE!Y191</f>
        <v/>
      </c>
      <c r="AM315" s="1539">
        <f>$V315*BIBLE!Z191</f>
        <v/>
      </c>
      <c r="AN315" s="1539">
        <f>$V315*BIBLE!AA191</f>
        <v/>
      </c>
      <c r="AO315" s="1539">
        <f>$V315*BIBLE!AB191</f>
        <v/>
      </c>
      <c r="AP315" s="1539">
        <f>$V315*BIBLE!AC191</f>
        <v/>
      </c>
    </row>
    <row r="316" ht="45" customFormat="1" customHeight="1" s="7">
      <c r="A316" s="1438">
        <f>BIBLE!E192</f>
        <v/>
      </c>
      <c r="B316" s="158">
        <f>BIBLE!F192</f>
        <v/>
      </c>
      <c r="C316" s="2003">
        <f>BIBLE!O192</f>
        <v/>
      </c>
      <c r="D316" s="125">
        <f>BIBLE!L192</f>
        <v/>
      </c>
      <c r="E316" s="20" t="n"/>
      <c r="F316" s="20" t="n"/>
      <c r="G316" s="20" t="n">
        <v>1</v>
      </c>
      <c r="H316" s="20" t="n"/>
      <c r="I316" s="20" t="n"/>
      <c r="J316" s="20" t="n"/>
      <c r="K316" s="20" t="n"/>
      <c r="L316" s="20" t="n"/>
      <c r="M316" s="20" t="n"/>
      <c r="N316" s="20" t="n"/>
      <c r="O316" s="20" t="n"/>
      <c r="P316" s="25">
        <f>'TEST_pour application'!B291</f>
        <v/>
      </c>
      <c r="Q316" s="26">
        <f>P316*D316</f>
        <v/>
      </c>
      <c r="R316" s="2002">
        <f>IF(BIBLE!K192=0,"",BIBLE!K192)</f>
        <v/>
      </c>
      <c r="S316" s="56" t="n"/>
      <c r="T316" s="56" t="n"/>
      <c r="U316" s="56" t="n"/>
      <c r="V316" s="6">
        <f>IF(P316&gt;=R316,IF(Q316&gt;Q317,Q316,Q317),Q316)</f>
        <v/>
      </c>
      <c r="W316" s="2002" t="n"/>
      <c r="X316" s="6">
        <f>IF(($P316&gt;=$R316),IF($Q316&gt;$Q317,X$108*$D316,X$108*$D317),X$108*$D316)</f>
        <v/>
      </c>
      <c r="Y316" s="6">
        <f>IF(($P316&gt;=$R316),IF($Q316&gt;$Q317,Y$108*$D316,Y$108*$D317),Y$108*$D316)</f>
        <v/>
      </c>
      <c r="Z316" s="6">
        <f>IF(($P316&gt;=$R316),IF($Q316&gt;$Q317,Z$108*$D316,Z$108*$D317),Z$108*$D316)</f>
        <v/>
      </c>
      <c r="AA316" s="6">
        <f>IF(($P316&gt;=$R316),IF($Q316&gt;$Q317,AA$108*$D316,AA$108*$D317),AA$108*$D316)</f>
        <v/>
      </c>
      <c r="AB316" s="6">
        <f>IF(($P316&gt;=$R316),IF($Q316&gt;$Q317,AB$108*$D316,AB$108*$D317),AB$108*$D316)</f>
        <v/>
      </c>
      <c r="AC316" s="6">
        <f>IF(($P316&gt;=$R316),IF($Q316&gt;$Q317,AC$108*$D316,AC$108*$D317),AC$108*$D316)</f>
        <v/>
      </c>
      <c r="AE316" s="522" t="n"/>
      <c r="AF316" s="24">
        <f>IF($Q316=$V316,$Q316*BIBLE!R192,$Q317*BIBLE!R193)</f>
        <v/>
      </c>
      <c r="AG316" s="24">
        <f>IF($Q316=$V316,$Q316*BIBLE!S192,$Q317*BIBLE!S193)</f>
        <v/>
      </c>
      <c r="AH316" s="24">
        <f>IF($Q316=$V316,$Q316*BIBLE!T192,$Q317*BIBLE!T193)</f>
        <v/>
      </c>
      <c r="AI316" s="1539">
        <f>IF($Q316=$V316,$Q316*BIBLE!V192,$Q317*BIBLE!V193)</f>
        <v/>
      </c>
      <c r="AJ316" s="1539">
        <f>IF($Q316=$V316,$Q316*BIBLE!W192,$Q317*BIBLE!W193)</f>
        <v/>
      </c>
      <c r="AK316" s="1539">
        <f>IF($Q316=$V316,$Q316*BIBLE!X192,$Q317*BIBLE!X193)</f>
        <v/>
      </c>
      <c r="AL316" s="1539">
        <f>IF($Q316=$V316,$Q316*BIBLE!Y192,$Q317*BIBLE!Y193)</f>
        <v/>
      </c>
      <c r="AM316" s="1539">
        <f>IF($Q316=$V316,$Q316*BIBLE!Z192,$Q317*BIBLE!Z193)</f>
        <v/>
      </c>
      <c r="AN316" s="1539">
        <f>IF($Q316=$V316,$Q316*BIBLE!AA192,$Q317*BIBLE!AA193)</f>
        <v/>
      </c>
      <c r="AO316" s="1539">
        <f>IF($Q316=$V316,$Q316*BIBLE!AB192,$Q317*BIBLE!AB193)</f>
        <v/>
      </c>
      <c r="AP316" s="1539">
        <f>IF($Q316=$V316,$Q316*BIBLE!AC192,$Q317*BIBLE!AC193)</f>
        <v/>
      </c>
    </row>
    <row r="317" ht="45" customFormat="1" customHeight="1" s="7">
      <c r="A317" s="1438">
        <f>BIBLE!E193</f>
        <v/>
      </c>
      <c r="B317" s="159">
        <f>IF(P316&gt;=R316,BIBLE!F193,"")</f>
        <v/>
      </c>
      <c r="C317" s="2003">
        <f>BIBLE!O193</f>
        <v/>
      </c>
      <c r="D317" s="125">
        <f>BIBLE!L193</f>
        <v/>
      </c>
      <c r="E317" s="20" t="n"/>
      <c r="F317" s="20" t="n"/>
      <c r="G317" s="20" t="n"/>
      <c r="H317" s="20" t="n"/>
      <c r="I317" s="20" t="n"/>
      <c r="J317" s="20" t="n"/>
      <c r="K317" s="20" t="n"/>
      <c r="L317" s="20" t="n"/>
      <c r="M317" s="20" t="n"/>
      <c r="N317" s="20" t="n"/>
      <c r="O317" s="20" t="n"/>
      <c r="P317" s="25">
        <f>'TEST_pour application'!B292</f>
        <v/>
      </c>
      <c r="Q317" s="26">
        <f>P317*D317</f>
        <v/>
      </c>
      <c r="R317" s="2002">
        <f>IF(BIBLE!K193=0,"",BIBLE!K193)</f>
        <v/>
      </c>
      <c r="S317" s="56" t="n"/>
      <c r="T317" s="56" t="n"/>
      <c r="U317" s="56" t="n"/>
      <c r="V317" s="6" t="n"/>
      <c r="W317" s="301" t="n"/>
      <c r="X317" s="6" t="n"/>
      <c r="Y317" s="6" t="n"/>
      <c r="Z317" s="6" t="n"/>
      <c r="AA317" s="6" t="n"/>
      <c r="AB317" s="6" t="n"/>
      <c r="AC317" s="6" t="n"/>
      <c r="AE317" s="522" t="n"/>
      <c r="AF317" s="93" t="n"/>
      <c r="AG317" s="93" t="n"/>
      <c r="AH317" s="93" t="n"/>
      <c r="AI317" s="775" t="n"/>
      <c r="AJ317" s="775" t="n"/>
      <c r="AK317" s="775" t="n"/>
      <c r="AL317" s="775" t="n"/>
      <c r="AM317" s="775" t="n"/>
      <c r="AN317" s="775" t="n"/>
      <c r="AO317" s="775" t="n"/>
      <c r="AP317" s="775" t="n"/>
    </row>
    <row r="318" ht="40" customFormat="1" customHeight="1" s="7">
      <c r="A318" s="1438">
        <f>BIBLE!E194</f>
        <v/>
      </c>
      <c r="B318" s="1899">
        <f>IF(OR($P$53&gt;=$R$53,E$70=1,E$71=1,E$72=1,E$73=1,E$74=1),BIBLE!F194,"")</f>
        <v/>
      </c>
      <c r="C318" s="2003">
        <f>BIBLE!O194</f>
        <v/>
      </c>
      <c r="D318" s="125">
        <f>IF(E40&gt;=10,BIBLE!L194,BIBLE!M194)</f>
        <v/>
      </c>
      <c r="E318" s="20" t="n"/>
      <c r="F318" s="20" t="n"/>
      <c r="G318" s="20" t="n"/>
      <c r="H318" s="20" t="n">
        <v>1</v>
      </c>
      <c r="I318" s="20" t="n"/>
      <c r="J318" s="20" t="n"/>
      <c r="K318" s="20" t="n"/>
      <c r="L318" s="20" t="n"/>
      <c r="M318" s="20" t="n"/>
      <c r="N318" s="20" t="n"/>
      <c r="O318" s="20" t="n"/>
      <c r="P318" s="25">
        <f>'TEST_pour application'!B293</f>
        <v/>
      </c>
      <c r="Q318" s="26">
        <f>P318*D318</f>
        <v/>
      </c>
      <c r="R318" s="2002">
        <f>IF(BIBLE!K194=0,"",BIBLE!K194)</f>
        <v/>
      </c>
      <c r="S318" s="56" t="n"/>
      <c r="T318" s="56" t="n"/>
      <c r="U318" s="56" t="n"/>
      <c r="V318" s="6">
        <f>Q318</f>
        <v/>
      </c>
      <c r="W318" s="301" t="n"/>
      <c r="X318" s="6">
        <f>IF($Q318&gt;0,X$108*$D318,0)</f>
        <v/>
      </c>
      <c r="Y318" s="6">
        <f>IF($Q318&gt;0,Y$108*$D318,0)</f>
        <v/>
      </c>
      <c r="Z318" s="6">
        <f>IF($Q318&gt;0,Z$108*$D318,0)</f>
        <v/>
      </c>
      <c r="AA318" s="6">
        <f>IF($Q318&gt;0,AA$108*$D318,0)</f>
        <v/>
      </c>
      <c r="AB318" s="6">
        <f>IF($Q318&gt;0,AB$108*$D318,0)</f>
        <v/>
      </c>
      <c r="AC318" s="6">
        <f>IF($Q318&gt;0,AC$108*$D318,0)</f>
        <v/>
      </c>
      <c r="AE318" s="522" t="n"/>
      <c r="AF318" s="24">
        <f>$V318*BIBLE!R194</f>
        <v/>
      </c>
      <c r="AG318" s="24">
        <f>$V318*BIBLE!S194</f>
        <v/>
      </c>
      <c r="AH318" s="24">
        <f>$V318*BIBLE!T194</f>
        <v/>
      </c>
      <c r="AI318" s="1539">
        <f>$V318*BIBLE!V194</f>
        <v/>
      </c>
      <c r="AJ318" s="1539">
        <f>$V318*BIBLE!W194</f>
        <v/>
      </c>
      <c r="AK318" s="1539">
        <f>$V318*BIBLE!X194</f>
        <v/>
      </c>
      <c r="AL318" s="1539">
        <f>$V318*BIBLE!Y194</f>
        <v/>
      </c>
      <c r="AM318" s="1539">
        <f>$V318*BIBLE!Z194</f>
        <v/>
      </c>
      <c r="AN318" s="1539">
        <f>$V318*BIBLE!AA194</f>
        <v/>
      </c>
      <c r="AO318" s="1539">
        <f>$V318*BIBLE!AB194</f>
        <v/>
      </c>
      <c r="AP318" s="1539">
        <f>$V318*BIBLE!AC194</f>
        <v/>
      </c>
    </row>
    <row r="319" ht="62" customFormat="1" customHeight="1" s="7">
      <c r="A319" s="1438">
        <f>BIBLE!E195</f>
        <v/>
      </c>
      <c r="B319" s="158">
        <f>IF(P267&gt;=R267,BIBLE!F195,"")</f>
        <v/>
      </c>
      <c r="C319" s="2003">
        <f>BIBLE!O195</f>
        <v/>
      </c>
      <c r="D319" s="125">
        <f>BIBLE!L195</f>
        <v/>
      </c>
      <c r="E319" s="20" t="n"/>
      <c r="F319" s="20" t="n"/>
      <c r="G319" s="20" t="n"/>
      <c r="H319" s="20" t="n"/>
      <c r="I319" s="20" t="n"/>
      <c r="J319" s="20" t="n"/>
      <c r="K319" s="20" t="n"/>
      <c r="L319" s="20" t="n"/>
      <c r="M319" s="20" t="n"/>
      <c r="N319" s="20" t="n"/>
      <c r="O319" s="20" t="n"/>
      <c r="P319" s="25">
        <f>'TEST_pour application'!B294</f>
        <v/>
      </c>
      <c r="Q319" s="26">
        <f>P319*D319</f>
        <v/>
      </c>
      <c r="R319" s="2002">
        <f>IF(BIBLE!K195=0,"",BIBLE!K195)</f>
        <v/>
      </c>
      <c r="S319" s="56" t="n"/>
      <c r="T319" s="56" t="n"/>
      <c r="U319" s="56" t="n"/>
      <c r="V319" s="6">
        <f>Q319</f>
        <v/>
      </c>
      <c r="W319" s="301" t="n"/>
      <c r="X319" s="6">
        <f>IF($Q319&gt;0,X$108*$D319,0)</f>
        <v/>
      </c>
      <c r="Y319" s="6">
        <f>IF($Q319&gt;0,Y$108*$D319,0)</f>
        <v/>
      </c>
      <c r="Z319" s="6">
        <f>IF($Q319&gt;0,Z$108*$D319,0)</f>
        <v/>
      </c>
      <c r="AA319" s="6">
        <f>IF($Q319&gt;0,AA$108*$D319,0)</f>
        <v/>
      </c>
      <c r="AB319" s="6">
        <f>IF($Q319&gt;0,AB$108*$D319,0)</f>
        <v/>
      </c>
      <c r="AC319" s="6">
        <f>IF($Q319&gt;0,AC$108*$D319,0)</f>
        <v/>
      </c>
      <c r="AE319" s="522" t="n"/>
      <c r="AF319" s="24">
        <f>$V319*BIBLE!R195</f>
        <v/>
      </c>
      <c r="AG319" s="24">
        <f>$V319*BIBLE!S195</f>
        <v/>
      </c>
      <c r="AH319" s="24">
        <f>$V319*BIBLE!T195</f>
        <v/>
      </c>
      <c r="AI319" s="1539">
        <f>$V319*BIBLE!V195</f>
        <v/>
      </c>
      <c r="AJ319" s="1539">
        <f>$V319*BIBLE!W195</f>
        <v/>
      </c>
      <c r="AK319" s="1539">
        <f>$V319*BIBLE!X195</f>
        <v/>
      </c>
      <c r="AL319" s="1539">
        <f>$V319*BIBLE!Y195</f>
        <v/>
      </c>
      <c r="AM319" s="1539">
        <f>$V319*BIBLE!Z195</f>
        <v/>
      </c>
      <c r="AN319" s="1539">
        <f>$V319*BIBLE!AA195</f>
        <v/>
      </c>
      <c r="AO319" s="1539">
        <f>$V319*BIBLE!AB195</f>
        <v/>
      </c>
      <c r="AP319" s="1539">
        <f>$V319*BIBLE!AC195</f>
        <v/>
      </c>
    </row>
    <row r="320" ht="49" customFormat="1" customHeight="1" s="7">
      <c r="A320" s="1438">
        <f>BIBLE!E196</f>
        <v/>
      </c>
      <c r="B320" s="158">
        <f>IF($P$265&gt;=$R$265,BIBLE!F196,"")</f>
        <v/>
      </c>
      <c r="C320" s="2003">
        <f>BIBLE!O196</f>
        <v/>
      </c>
      <c r="D320" s="125">
        <f>BIBLE!L196</f>
        <v/>
      </c>
      <c r="E320" s="20" t="n"/>
      <c r="F320" s="20" t="n"/>
      <c r="G320" s="20" t="n"/>
      <c r="H320" s="20" t="n"/>
      <c r="I320" s="20" t="n"/>
      <c r="J320" s="20" t="n"/>
      <c r="K320" s="20" t="n"/>
      <c r="L320" s="20" t="n"/>
      <c r="M320" s="20" t="n"/>
      <c r="N320" s="20" t="n"/>
      <c r="O320" s="20" t="n"/>
      <c r="P320" s="25">
        <f>'TEST_pour application'!B295</f>
        <v/>
      </c>
      <c r="Q320" s="26">
        <f>P320*D320</f>
        <v/>
      </c>
      <c r="R320" s="2002">
        <f>IF(BIBLE!K196=0,"",BIBLE!K196)</f>
        <v/>
      </c>
      <c r="S320" s="56" t="n"/>
      <c r="T320" s="56" t="n"/>
      <c r="U320" s="56" t="n"/>
      <c r="V320" s="6">
        <f>Q320</f>
        <v/>
      </c>
      <c r="W320" s="301" t="n"/>
      <c r="X320" s="6">
        <f>IF($Q320&gt;0,X$108*$D320,0)</f>
        <v/>
      </c>
      <c r="Y320" s="6">
        <f>IF($Q320&gt;0,Y$108*$D320,0)</f>
        <v/>
      </c>
      <c r="Z320" s="6">
        <f>IF($Q320&gt;0,Z$108*$D320,0)</f>
        <v/>
      </c>
      <c r="AA320" s="6">
        <f>IF($Q320&gt;0,AA$108*$D320,0)</f>
        <v/>
      </c>
      <c r="AB320" s="6">
        <f>IF($Q320&gt;0,AB$108*$D320,0)</f>
        <v/>
      </c>
      <c r="AC320" s="6">
        <f>IF($Q320&gt;0,AC$108*$D320,0)</f>
        <v/>
      </c>
      <c r="AE320" s="522" t="n"/>
      <c r="AF320" s="24">
        <f>$V320*BIBLE!R196</f>
        <v/>
      </c>
      <c r="AG320" s="24">
        <f>$V320*BIBLE!S196</f>
        <v/>
      </c>
      <c r="AH320" s="24">
        <f>$V320*BIBLE!T196</f>
        <v/>
      </c>
      <c r="AI320" s="1539">
        <f>$V320*BIBLE!V196</f>
        <v/>
      </c>
      <c r="AJ320" s="1539">
        <f>$V320*BIBLE!W196</f>
        <v/>
      </c>
      <c r="AK320" s="1539">
        <f>$V320*BIBLE!X196</f>
        <v/>
      </c>
      <c r="AL320" s="1539">
        <f>$V320*BIBLE!Y196</f>
        <v/>
      </c>
      <c r="AM320" s="1539">
        <f>$V320*BIBLE!Z196</f>
        <v/>
      </c>
      <c r="AN320" s="1539">
        <f>$V320*BIBLE!AA196</f>
        <v/>
      </c>
      <c r="AO320" s="1539">
        <f>$V320*BIBLE!AB196</f>
        <v/>
      </c>
      <c r="AP320" s="1539">
        <f>$V320*BIBLE!AC196</f>
        <v/>
      </c>
      <c r="AZ320" s="17" t="inlineStr">
        <is>
          <t>Deux SQ au même niveau, les additionner</t>
        </is>
      </c>
    </row>
    <row r="321" ht="47" customFormat="1" customHeight="1" s="7">
      <c r="A321" s="1438">
        <f>BIBLE!E197</f>
        <v/>
      </c>
      <c r="B321" s="1899">
        <f>IF(OR($P$53&gt;=$R$53,E$70=1,E$71=1,E$72=1,E$73=1,E$74=1),BIBLE!F197,"")</f>
        <v/>
      </c>
      <c r="C321" s="2003">
        <f>BIBLE!O197</f>
        <v/>
      </c>
      <c r="D321" s="125">
        <f>BIBLE!L197</f>
        <v/>
      </c>
      <c r="E321" s="20" t="n"/>
      <c r="F321" s="20" t="n"/>
      <c r="G321" s="20" t="n"/>
      <c r="H321" s="20" t="n">
        <v>1</v>
      </c>
      <c r="I321" s="20" t="n"/>
      <c r="J321" s="20" t="n"/>
      <c r="K321" s="20" t="n"/>
      <c r="L321" s="20" t="n"/>
      <c r="M321" s="20" t="n"/>
      <c r="N321" s="20" t="n"/>
      <c r="O321" s="20" t="n"/>
      <c r="P321" s="25">
        <f>'TEST_pour application'!B296</f>
        <v/>
      </c>
      <c r="Q321" s="26">
        <f>P321*D321</f>
        <v/>
      </c>
      <c r="R321" s="2002">
        <f>IF(BIBLE!K197=0,"",BIBLE!K197)</f>
        <v/>
      </c>
      <c r="S321" s="56" t="n"/>
      <c r="T321" s="56" t="n"/>
      <c r="U321" s="56" t="n"/>
      <c r="V321" s="6">
        <f>IF(P321&gt;=R321,IF(SUM(Q322:Q323)&gt;Q321,SUM(Q322:Q323),Q321),Q321)</f>
        <v/>
      </c>
      <c r="W321" s="2002" t="n"/>
      <c r="X321" s="6">
        <f>IF($Q321&gt;=SUM($Q322:$Q323),AS321,SUM(AS322:AS323))</f>
        <v/>
      </c>
      <c r="Y321" s="6">
        <f>IF($Q321&gt;=SUM($Q322:$Q323),AT321,SUM(AT322:AT323))</f>
        <v/>
      </c>
      <c r="Z321" s="6">
        <f>IF($Q321&gt;=SUM($Q322:$Q323),AU321,SUM(AU322:AU323))</f>
        <v/>
      </c>
      <c r="AA321" s="6">
        <f>IF($Q321&gt;=SUM($Q322:$Q323),AV321,SUM(AV322:AV323))</f>
        <v/>
      </c>
      <c r="AB321" s="6">
        <f>IF($Q321&gt;=SUM($Q322:$Q323),AW321,SUM(AW322:AW323))</f>
        <v/>
      </c>
      <c r="AC321" s="6">
        <f>IF($Q321&gt;=SUM($Q322:$Q323),AX321,SUM(AX322:AX323))</f>
        <v/>
      </c>
      <c r="AE321" s="522" t="n"/>
      <c r="AF321" s="24">
        <f>IF($Q321=$V321,$Q321*BIBLE!R197,(Test_Bible!$Q322*BIBLE!R198+Test_Bible!$Q323*BIBLE!R199))</f>
        <v/>
      </c>
      <c r="AG321" s="24">
        <f>IF($Q321=$V321,$Q321*BIBLE!S197,(Test_Bible!$Q322*BIBLE!S198+Test_Bible!$Q323*BIBLE!S199))</f>
        <v/>
      </c>
      <c r="AH321" s="24">
        <f>IF($Q321=$V321,$Q321*BIBLE!T197,(Test_Bible!$Q322*BIBLE!T198+Test_Bible!$Q323*BIBLE!T199))</f>
        <v/>
      </c>
      <c r="AI321" s="1539">
        <f>IF($Q321=$V321,$Q321*BIBLE!V197,(Test_Bible!$Q322*BIBLE!V198+Test_Bible!$Q323*BIBLE!V199))</f>
        <v/>
      </c>
      <c r="AJ321" s="1539">
        <f>IF($Q321=$V321,$Q321*BIBLE!W197,(Test_Bible!$Q322*BIBLE!W198+Test_Bible!$Q323*BIBLE!W199))</f>
        <v/>
      </c>
      <c r="AK321" s="1539">
        <f>IF($Q321=$V321,$Q321*BIBLE!X197,(Test_Bible!$Q322*BIBLE!X198+Test_Bible!$Q323*BIBLE!X199))</f>
        <v/>
      </c>
      <c r="AL321" s="1539">
        <f>IF($Q321=$V321,$Q321*BIBLE!Y197,(Test_Bible!$Q322*BIBLE!Y198+Test_Bible!$Q323*BIBLE!Y199))</f>
        <v/>
      </c>
      <c r="AM321" s="1539">
        <f>IF($Q321=$V321,$Q321*BIBLE!Z197,(Test_Bible!$Q322*BIBLE!Z198+Test_Bible!$Q323*BIBLE!Z199))</f>
        <v/>
      </c>
      <c r="AN321" s="1539">
        <f>IF($Q321=$V321,$Q321*BIBLE!AA197,(Test_Bible!$Q322*BIBLE!AA198+Test_Bible!$Q323*BIBLE!AA199))</f>
        <v/>
      </c>
      <c r="AO321" s="1539">
        <f>IF($Q321=$V321,$Q321*BIBLE!AB197,(Test_Bible!$Q322*BIBLE!AB198+Test_Bible!$Q323*BIBLE!AB199))</f>
        <v/>
      </c>
      <c r="AP321" s="1539">
        <f>IF($Q321=$V321,$Q321*BIBLE!AC197,(Test_Bible!$Q322*BIBLE!AC198+Test_Bible!$Q323*BIBLE!AC199))</f>
        <v/>
      </c>
      <c r="AQ321" s="6">
        <f>Q321</f>
        <v/>
      </c>
      <c r="AR321" s="301" t="n"/>
      <c r="AS321" s="6">
        <f>IF($Q321&gt;0,X$108*$D321,0)</f>
        <v/>
      </c>
      <c r="AT321" s="6">
        <f>IF($Q321&gt;0,Y$108*$D321,0)</f>
        <v/>
      </c>
      <c r="AU321" s="6">
        <f>IF($Q321&gt;0,Z$108*$D321,0)</f>
        <v/>
      </c>
      <c r="AV321" s="6">
        <f>IF($Q321&gt;0,AA$108*$D321,0)</f>
        <v/>
      </c>
      <c r="AW321" s="6">
        <f>IF($Q321&gt;0,AB$108*$D321,0)</f>
        <v/>
      </c>
      <c r="AX321" s="6">
        <f>IF($Q321&gt;0,AC$108*$D321,0)</f>
        <v/>
      </c>
      <c r="AZ321" s="575">
        <f>AQ321</f>
        <v/>
      </c>
      <c r="BB321" s="575">
        <f>AS321</f>
        <v/>
      </c>
      <c r="BC321" s="575">
        <f>AT321</f>
        <v/>
      </c>
      <c r="BD321" s="575">
        <f>AU321</f>
        <v/>
      </c>
      <c r="BE321" s="575">
        <f>AV321</f>
        <v/>
      </c>
      <c r="BF321" s="575">
        <f>AW321</f>
        <v/>
      </c>
      <c r="BG321" s="575">
        <f>AX321</f>
        <v/>
      </c>
    </row>
    <row r="322" ht="60" customFormat="1" customHeight="1" s="7">
      <c r="A322" s="1438">
        <f>BIBLE!E198</f>
        <v/>
      </c>
      <c r="B322" s="159">
        <f>IF(P321&gt;=R321,BIBLE!F198,"")</f>
        <v/>
      </c>
      <c r="C322" s="2003">
        <f>BIBLE!O198</f>
        <v/>
      </c>
      <c r="D322" s="125">
        <f>BIBLE!L198</f>
        <v/>
      </c>
      <c r="E322" s="20" t="n"/>
      <c r="F322" s="20" t="n"/>
      <c r="G322" s="20" t="n"/>
      <c r="H322" s="20" t="n"/>
      <c r="I322" s="20" t="n"/>
      <c r="J322" s="20" t="n"/>
      <c r="K322" s="20" t="n"/>
      <c r="L322" s="20" t="n"/>
      <c r="M322" s="20" t="n"/>
      <c r="N322" s="20" t="n"/>
      <c r="O322" s="20" t="n"/>
      <c r="P322" s="25">
        <f>'TEST_pour application'!B297</f>
        <v/>
      </c>
      <c r="Q322" s="26">
        <f>P322*D322</f>
        <v/>
      </c>
      <c r="R322" s="2002">
        <f>IF(BIBLE!K198=0,"",BIBLE!K198)</f>
        <v/>
      </c>
      <c r="S322" s="56" t="n"/>
      <c r="T322" s="56" t="n"/>
      <c r="U322" s="56" t="n"/>
      <c r="V322" s="2002" t="n"/>
      <c r="AE322" s="522" t="n"/>
      <c r="AF322" s="93" t="n"/>
      <c r="AG322" s="93" t="n"/>
      <c r="AH322" s="93" t="n"/>
      <c r="AI322" s="775" t="n"/>
      <c r="AJ322" s="775" t="n"/>
      <c r="AK322" s="775" t="n"/>
      <c r="AL322" s="775" t="n"/>
      <c r="AM322" s="775" t="n"/>
      <c r="AN322" s="775" t="n"/>
      <c r="AO322" s="775" t="n"/>
      <c r="AP322" s="775" t="n"/>
      <c r="AQ322" s="6">
        <f>Q322</f>
        <v/>
      </c>
      <c r="AR322" s="301" t="n"/>
      <c r="AS322" s="6">
        <f>IF($Q322&gt;0,X$108*$D322,0)</f>
        <v/>
      </c>
      <c r="AT322" s="6">
        <f>IF($Q322&gt;0,Y$108*$D322,0)</f>
        <v/>
      </c>
      <c r="AU322" s="6">
        <f>IF($Q322&gt;0,Z$108*$D322,0)</f>
        <v/>
      </c>
      <c r="AV322" s="6">
        <f>IF($Q322&gt;0,AA$108*$D322,0)</f>
        <v/>
      </c>
      <c r="AW322" s="6">
        <f>IF($Q322&gt;0,AB$108*$D322,0)</f>
        <v/>
      </c>
      <c r="AX322" s="6">
        <f>IF($Q322&gt;0,AC$108*$D322,0)</f>
        <v/>
      </c>
      <c r="AZ322" s="575">
        <f>SUM(AQ322:AQ323)</f>
        <v/>
      </c>
      <c r="BB322" s="575">
        <f>SUM(AS322:AS323)</f>
        <v/>
      </c>
      <c r="BC322" s="575">
        <f>SUM(AT322:AT323)</f>
        <v/>
      </c>
      <c r="BD322" s="575">
        <f>SUM(AU322:AU323)</f>
        <v/>
      </c>
      <c r="BE322" s="575">
        <f>SUM(AV322:AV323)</f>
        <v/>
      </c>
      <c r="BF322" s="575">
        <f>SUM(AW322:AW323)</f>
        <v/>
      </c>
      <c r="BG322" s="575">
        <f>SUM(AX322:AX323)</f>
        <v/>
      </c>
    </row>
    <row r="323" ht="68" customFormat="1" customHeight="1" s="7">
      <c r="A323" s="1438">
        <f>BIBLE!E199</f>
        <v/>
      </c>
      <c r="B323" s="159">
        <f>IF(P321&gt;=R321,BIBLE!F199,"")</f>
        <v/>
      </c>
      <c r="C323" s="2003">
        <f>BIBLE!O199</f>
        <v/>
      </c>
      <c r="D323" s="125">
        <f>BIBLE!L199</f>
        <v/>
      </c>
      <c r="E323" s="20" t="n"/>
      <c r="F323" s="20" t="n"/>
      <c r="G323" s="20" t="n"/>
      <c r="H323" s="20" t="n"/>
      <c r="I323" s="20" t="n"/>
      <c r="J323" s="20" t="n"/>
      <c r="K323" s="20" t="n"/>
      <c r="L323" s="20" t="n"/>
      <c r="M323" s="20" t="n"/>
      <c r="N323" s="20" t="n"/>
      <c r="O323" s="20" t="n"/>
      <c r="P323" s="25">
        <f>'TEST_pour application'!B298</f>
        <v/>
      </c>
      <c r="Q323" s="26">
        <f>P323*D323</f>
        <v/>
      </c>
      <c r="R323" s="2002">
        <f>IF(BIBLE!K199=0,"",BIBLE!K199)</f>
        <v/>
      </c>
      <c r="S323" s="56" t="n"/>
      <c r="T323" s="56" t="n"/>
      <c r="U323" s="56" t="n"/>
      <c r="V323" s="2002" t="n"/>
      <c r="AE323" s="522" t="n"/>
      <c r="AF323" s="93" t="n"/>
      <c r="AG323" s="93" t="n"/>
      <c r="AH323" s="93" t="n"/>
      <c r="AI323" s="775" t="n"/>
      <c r="AJ323" s="775" t="n"/>
      <c r="AK323" s="775" t="n"/>
      <c r="AL323" s="775" t="n"/>
      <c r="AM323" s="775" t="n"/>
      <c r="AN323" s="775" t="n"/>
      <c r="AO323" s="775" t="n"/>
      <c r="AP323" s="775" t="n"/>
      <c r="AQ323" s="6">
        <f>Q323</f>
        <v/>
      </c>
      <c r="AR323" s="301" t="n"/>
      <c r="AS323" s="6">
        <f>IF($Q323&gt;0,X$108*$D323,0)</f>
        <v/>
      </c>
      <c r="AT323" s="6">
        <f>IF($Q323&gt;0,Y$108*$D323,0)</f>
        <v/>
      </c>
      <c r="AU323" s="6">
        <f>IF($Q323&gt;0,Z$108*$D323,0)</f>
        <v/>
      </c>
      <c r="AV323" s="6">
        <f>IF($Q323&gt;0,AA$108*$D323,0)</f>
        <v/>
      </c>
      <c r="AW323" s="6">
        <f>IF($Q323&gt;0,AB$108*$D323,0)</f>
        <v/>
      </c>
      <c r="AX323" s="6">
        <f>IF($Q323&gt;0,AC$108*$D323,0)</f>
        <v/>
      </c>
    </row>
    <row r="324" ht="62" customFormat="1" customHeight="1" s="7">
      <c r="A324" s="1438">
        <f>BIBLE!E200</f>
        <v/>
      </c>
      <c r="B324" s="1899">
        <f>IF(OR(E$62=1,E$63=1,E$64=1,E$65=1),BIBLE!F200,"")</f>
        <v/>
      </c>
      <c r="C324" s="2003">
        <f>BIBLE!O200</f>
        <v/>
      </c>
      <c r="D324" s="125">
        <f>IF(E47&gt;=12,BIBLE!L200,BIBLE!M200)</f>
        <v/>
      </c>
      <c r="E324" s="20" t="n"/>
      <c r="F324" s="20" t="n"/>
      <c r="G324" s="20" t="n"/>
      <c r="H324" s="20" t="n">
        <v>1</v>
      </c>
      <c r="I324" s="20" t="n"/>
      <c r="J324" s="20" t="n"/>
      <c r="K324" s="20" t="n"/>
      <c r="L324" s="20" t="n"/>
      <c r="M324" s="20" t="n"/>
      <c r="N324" s="20" t="n"/>
      <c r="O324" s="20" t="n"/>
      <c r="P324" s="25">
        <f>'TEST_pour application'!B299</f>
        <v/>
      </c>
      <c r="Q324" s="26">
        <f>P324*D324</f>
        <v/>
      </c>
      <c r="R324" s="2002">
        <f>IF(BIBLE!K200=0,"",BIBLE!K200)</f>
        <v/>
      </c>
      <c r="S324" s="56" t="n"/>
      <c r="T324" s="56" t="n"/>
      <c r="U324" s="56" t="n"/>
      <c r="V324" s="6">
        <f>Q324</f>
        <v/>
      </c>
      <c r="W324" s="301" t="n"/>
      <c r="X324" s="6">
        <f>IF($Q324&gt;0,X$108*$D324,0)</f>
        <v/>
      </c>
      <c r="Y324" s="6">
        <f>IF($Q324&gt;0,Y$108*$D324,0)</f>
        <v/>
      </c>
      <c r="Z324" s="6">
        <f>IF($Q324&gt;0,Z$108*$D324,0)</f>
        <v/>
      </c>
      <c r="AA324" s="6">
        <f>IF($Q324&gt;0,AA$108*$D324,0)</f>
        <v/>
      </c>
      <c r="AB324" s="6">
        <f>IF($Q324&gt;0,AB$108*$D324,0)</f>
        <v/>
      </c>
      <c r="AC324" s="6">
        <f>IF($Q324&gt;0,AC$108*$D324,0)</f>
        <v/>
      </c>
      <c r="AE324" s="522" t="n"/>
      <c r="AF324" s="24">
        <f>$V324*BIBLE!R200</f>
        <v/>
      </c>
      <c r="AG324" s="24">
        <f>$V324*BIBLE!S200</f>
        <v/>
      </c>
      <c r="AH324" s="24">
        <f>$V324*BIBLE!T200</f>
        <v/>
      </c>
      <c r="AI324" s="1539">
        <f>$V324*BIBLE!V200</f>
        <v/>
      </c>
      <c r="AJ324" s="1539">
        <f>$V324*BIBLE!W200</f>
        <v/>
      </c>
      <c r="AK324" s="1539">
        <f>$V324*BIBLE!X200</f>
        <v/>
      </c>
      <c r="AL324" s="1539">
        <f>$V324*BIBLE!Y200</f>
        <v/>
      </c>
      <c r="AM324" s="1539">
        <f>$V324*BIBLE!Z200</f>
        <v/>
      </c>
      <c r="AN324" s="1539">
        <f>$V324*BIBLE!AA200</f>
        <v/>
      </c>
      <c r="AO324" s="1539">
        <f>$V324*BIBLE!AB200</f>
        <v/>
      </c>
      <c r="AP324" s="1539">
        <f>$V324*BIBLE!AC200</f>
        <v/>
      </c>
    </row>
    <row r="325" ht="49" customFormat="1" customHeight="1" s="7">
      <c r="A325" s="1438">
        <f>BIBLE!E201</f>
        <v/>
      </c>
      <c r="B325" s="1899">
        <f>IF(OR(E$62=1,E$63=1,E$64=1,E$65=1),BIBLE!F201,"")</f>
        <v/>
      </c>
      <c r="C325" s="1062" t="inlineStr">
        <is>
          <t xml:space="preserve">Bonne relation avec contacts réguliers </t>
        </is>
      </c>
      <c r="D325" s="1930" t="n">
        <v>1</v>
      </c>
      <c r="E325" s="52">
        <f>IF(P$325=D325,1,"x")</f>
        <v/>
      </c>
      <c r="F325" s="20" t="n"/>
      <c r="G325" s="20" t="n"/>
      <c r="H325" s="20" t="n"/>
      <c r="I325" s="20" t="n"/>
      <c r="J325" s="20" t="n"/>
      <c r="K325" s="20" t="n"/>
      <c r="L325" s="20" t="n"/>
      <c r="M325" s="20" t="n"/>
      <c r="N325" s="20" t="n"/>
      <c r="O325" s="20" t="n"/>
      <c r="P325" s="1937">
        <f>'TEST_pour application'!B300</f>
        <v/>
      </c>
      <c r="Q325" s="26" t="n"/>
      <c r="R325" s="2002" t="n"/>
      <c r="S325" s="56" t="n"/>
      <c r="T325" s="56" t="n"/>
      <c r="U325" s="56" t="n"/>
      <c r="V325" s="6" t="n"/>
      <c r="W325" s="2002" t="n"/>
      <c r="X325" s="6" t="n"/>
      <c r="Y325" s="6" t="n"/>
      <c r="Z325" s="6" t="n"/>
      <c r="AA325" s="6" t="n"/>
      <c r="AB325" s="6" t="n"/>
      <c r="AC325" s="6" t="n"/>
      <c r="AE325" s="522" t="n"/>
      <c r="AF325" s="24" t="n"/>
      <c r="AG325" s="24" t="n"/>
      <c r="AH325" s="24" t="n"/>
      <c r="AI325" s="1539" t="n"/>
      <c r="AJ325" s="1539" t="n"/>
      <c r="AK325" s="1539" t="n"/>
      <c r="AL325" s="1539" t="n"/>
      <c r="AM325" s="1539" t="n"/>
      <c r="AN325" s="1539" t="n"/>
      <c r="AO325" s="1539" t="n"/>
      <c r="AP325" s="1539" t="n"/>
    </row>
    <row r="326" ht="20" customFormat="1" customHeight="1" s="7">
      <c r="A326" s="1438" t="n"/>
      <c r="B326" s="158" t="n"/>
      <c r="C326" s="1062" t="inlineStr">
        <is>
          <t xml:space="preserve">Bonne relation avec contacts sporadiques </t>
        </is>
      </c>
      <c r="D326" s="1930" t="n">
        <v>2</v>
      </c>
      <c r="E326" s="52">
        <f>IF(P$325=D326,1,"x")</f>
        <v/>
      </c>
      <c r="F326" s="20" t="n"/>
      <c r="G326" s="20" t="n"/>
      <c r="H326" s="20" t="n"/>
      <c r="I326" s="20" t="n"/>
      <c r="J326" s="20" t="n"/>
      <c r="K326" s="20" t="n"/>
      <c r="L326" s="20" t="n"/>
      <c r="M326" s="20" t="n"/>
      <c r="N326" s="20" t="n"/>
      <c r="O326" s="20" t="n"/>
      <c r="P326" s="25" t="n"/>
      <c r="Q326" s="26" t="n"/>
      <c r="R326" s="2002" t="n"/>
      <c r="S326" s="56" t="n"/>
      <c r="T326" s="56" t="n"/>
      <c r="U326" s="56" t="n"/>
      <c r="V326" s="6" t="n"/>
      <c r="W326" s="2002" t="n"/>
      <c r="X326" s="6" t="n"/>
      <c r="Y326" s="6" t="n"/>
      <c r="Z326" s="6" t="n"/>
      <c r="AA326" s="6" t="n"/>
      <c r="AB326" s="6" t="n"/>
      <c r="AC326" s="6" t="n"/>
      <c r="AE326" s="522" t="n"/>
      <c r="AF326" s="24" t="n"/>
      <c r="AG326" s="24" t="n"/>
      <c r="AH326" s="24" t="n"/>
      <c r="AI326" s="1539" t="n"/>
      <c r="AJ326" s="1539" t="n"/>
      <c r="AK326" s="1539" t="n"/>
      <c r="AL326" s="1539" t="n"/>
      <c r="AM326" s="1539" t="n"/>
      <c r="AN326" s="1539" t="n"/>
      <c r="AO326" s="1539" t="n"/>
      <c r="AP326" s="1539" t="n"/>
    </row>
    <row r="327" ht="20" customFormat="1" customHeight="1" s="7">
      <c r="A327" s="1438" t="n"/>
      <c r="B327" s="158" t="n"/>
      <c r="C327" s="1062" t="inlineStr">
        <is>
          <t>Bonne relation avec peu de contact</t>
        </is>
      </c>
      <c r="D327" s="1930" t="n">
        <v>3</v>
      </c>
      <c r="E327" s="52">
        <f>IF(P$325=D327,1,"x")</f>
        <v/>
      </c>
      <c r="F327" s="20" t="n"/>
      <c r="G327" s="20" t="n"/>
      <c r="H327" s="20" t="n"/>
      <c r="I327" s="20" t="n"/>
      <c r="J327" s="20" t="n"/>
      <c r="K327" s="20" t="n"/>
      <c r="L327" s="20" t="n"/>
      <c r="M327" s="20" t="n"/>
      <c r="N327" s="20" t="n"/>
      <c r="O327" s="20" t="n"/>
      <c r="P327" s="25" t="n"/>
      <c r="Q327" s="26" t="n"/>
      <c r="R327" s="2002" t="n"/>
      <c r="S327" s="56" t="n"/>
      <c r="T327" s="56" t="n"/>
      <c r="U327" s="56" t="n"/>
      <c r="V327" s="6" t="n"/>
      <c r="W327" s="2002" t="n"/>
      <c r="X327" s="6" t="n"/>
      <c r="Y327" s="6" t="n"/>
      <c r="Z327" s="6" t="n"/>
      <c r="AA327" s="6" t="n"/>
      <c r="AB327" s="6" t="n"/>
      <c r="AC327" s="6" t="n"/>
      <c r="AE327" s="522" t="n"/>
      <c r="AF327" s="24" t="n"/>
      <c r="AG327" s="24" t="n"/>
      <c r="AH327" s="24" t="n"/>
      <c r="AI327" s="1539" t="n"/>
      <c r="AJ327" s="1539" t="n"/>
      <c r="AK327" s="1539" t="n"/>
      <c r="AL327" s="1539" t="n"/>
      <c r="AM327" s="1539" t="n"/>
      <c r="AN327" s="1539" t="n"/>
      <c r="AO327" s="1539" t="n"/>
      <c r="AP327" s="1539" t="n"/>
    </row>
    <row r="328" ht="20" customFormat="1" customHeight="1" s="7">
      <c r="A328" s="1438" t="n"/>
      <c r="B328" s="158" t="n"/>
      <c r="C328" s="1062" t="inlineStr">
        <is>
          <t xml:space="preserve">Bonne relation sans contact  </t>
        </is>
      </c>
      <c r="D328" s="1930" t="n">
        <v>4</v>
      </c>
      <c r="E328" s="52">
        <f>IF(P$325=D328,1,"x")</f>
        <v/>
      </c>
      <c r="F328" s="20" t="n"/>
      <c r="G328" s="20" t="n"/>
      <c r="H328" s="20" t="n"/>
      <c r="I328" s="20" t="n"/>
      <c r="J328" s="20" t="n"/>
      <c r="K328" s="20" t="n"/>
      <c r="L328" s="20" t="n"/>
      <c r="M328" s="20" t="n"/>
      <c r="N328" s="20" t="n"/>
      <c r="O328" s="20" t="n"/>
      <c r="P328" s="25" t="n"/>
      <c r="Q328" s="26" t="n"/>
      <c r="R328" s="2002" t="n"/>
      <c r="S328" s="56" t="n"/>
      <c r="T328" s="56" t="n"/>
      <c r="U328" s="56" t="n"/>
      <c r="V328" s="6" t="n"/>
      <c r="W328" s="2002" t="n"/>
      <c r="X328" s="6" t="n"/>
      <c r="Y328" s="6" t="n"/>
      <c r="Z328" s="6" t="n"/>
      <c r="AA328" s="6" t="n"/>
      <c r="AB328" s="6" t="n"/>
      <c r="AC328" s="6" t="n"/>
      <c r="AE328" s="522" t="n"/>
      <c r="AF328" s="24" t="n"/>
      <c r="AG328" s="24" t="n"/>
      <c r="AH328" s="24" t="n"/>
      <c r="AI328" s="1539" t="n"/>
      <c r="AJ328" s="1539" t="n"/>
      <c r="AK328" s="1539" t="n"/>
      <c r="AL328" s="1539" t="n"/>
      <c r="AM328" s="1539" t="n"/>
      <c r="AN328" s="1539" t="n"/>
      <c r="AO328" s="1539" t="n"/>
      <c r="AP328" s="1539" t="n"/>
    </row>
    <row r="329" ht="20" customFormat="1" customHeight="1" s="7">
      <c r="A329" s="1438" t="n"/>
      <c r="B329" s="158" t="n"/>
      <c r="C329" s="1062" t="inlineStr">
        <is>
          <t xml:space="preserve">Relation difficile </t>
        </is>
      </c>
      <c r="D329" s="1930" t="n">
        <v>5</v>
      </c>
      <c r="E329" s="52">
        <f>IF(P$325=D329,1,"x")</f>
        <v/>
      </c>
      <c r="F329" s="20" t="n"/>
      <c r="G329" s="20" t="n"/>
      <c r="H329" s="20" t="n"/>
      <c r="I329" s="20" t="n"/>
      <c r="J329" s="20" t="n"/>
      <c r="K329" s="20" t="n"/>
      <c r="L329" s="20" t="n"/>
      <c r="M329" s="20" t="n"/>
      <c r="N329" s="20" t="n"/>
      <c r="O329" s="20" t="n"/>
      <c r="P329" s="25" t="n"/>
      <c r="Q329" s="26" t="n"/>
      <c r="R329" s="2002" t="n"/>
      <c r="S329" s="56" t="n"/>
      <c r="T329" s="56" t="n"/>
      <c r="U329" s="56" t="n"/>
      <c r="V329" s="6" t="n"/>
      <c r="W329" s="2002" t="n"/>
      <c r="X329" s="6" t="n"/>
      <c r="Y329" s="6" t="n"/>
      <c r="Z329" s="6" t="n"/>
      <c r="AA329" s="6" t="n"/>
      <c r="AB329" s="6" t="n"/>
      <c r="AC329" s="6" t="n"/>
      <c r="AE329" s="522" t="n"/>
      <c r="AF329" s="24" t="n"/>
      <c r="AG329" s="24" t="n"/>
      <c r="AH329" s="24" t="n"/>
      <c r="AI329" s="1539" t="n"/>
      <c r="AJ329" s="1539" t="n"/>
      <c r="AK329" s="1539" t="n"/>
      <c r="AL329" s="1539" t="n"/>
      <c r="AM329" s="1539" t="n"/>
      <c r="AN329" s="1539" t="n"/>
      <c r="AO329" s="1539" t="n"/>
      <c r="AP329" s="1539" t="n"/>
    </row>
    <row r="330" ht="20" customFormat="1" customHeight="1" s="7">
      <c r="A330" s="1438" t="n"/>
      <c r="B330" s="158" t="n"/>
      <c r="C330" s="1062" t="inlineStr">
        <is>
          <t xml:space="preserve">Relation inexistante </t>
        </is>
      </c>
      <c r="D330" s="1930" t="n">
        <v>6</v>
      </c>
      <c r="E330" s="52">
        <f>IF(P$325=D330,1,"x")</f>
        <v/>
      </c>
      <c r="F330" s="20" t="n"/>
      <c r="G330" s="20" t="n"/>
      <c r="H330" s="20" t="n"/>
      <c r="I330" s="20" t="n"/>
      <c r="J330" s="20" t="n"/>
      <c r="K330" s="20" t="n"/>
      <c r="L330" s="20" t="n"/>
      <c r="M330" s="20" t="n"/>
      <c r="N330" s="20" t="n"/>
      <c r="O330" s="20" t="n"/>
      <c r="P330" s="25" t="n"/>
      <c r="Q330" s="26" t="n"/>
      <c r="R330" s="2002" t="n"/>
      <c r="S330" s="56" t="n"/>
      <c r="T330" s="56" t="n"/>
      <c r="U330" s="56" t="n"/>
      <c r="V330" s="6" t="n"/>
      <c r="W330" s="2002" t="n"/>
      <c r="X330" s="6" t="n"/>
      <c r="Y330" s="6" t="n"/>
      <c r="Z330" s="6" t="n"/>
      <c r="AA330" s="6" t="n"/>
      <c r="AB330" s="6" t="n"/>
      <c r="AC330" s="6" t="n"/>
      <c r="AE330" s="522" t="n"/>
      <c r="AF330" s="24" t="n"/>
      <c r="AG330" s="24" t="n"/>
      <c r="AH330" s="24" t="n"/>
      <c r="AI330" s="1539" t="n"/>
      <c r="AJ330" s="1539" t="n"/>
      <c r="AK330" s="1539" t="n"/>
      <c r="AL330" s="1539" t="n"/>
      <c r="AM330" s="1539" t="n"/>
      <c r="AN330" s="1539" t="n"/>
      <c r="AO330" s="1539" t="n"/>
      <c r="AP330" s="1539" t="n"/>
    </row>
    <row r="331" ht="65" customFormat="1" customHeight="1" s="7">
      <c r="A331" s="1438">
        <f>BIBLE!E202</f>
        <v/>
      </c>
      <c r="B331" s="159">
        <f>IF(OR(E327=1,E328=1,,E329=1,E330=1),BIBLE!F202,"")</f>
        <v/>
      </c>
      <c r="C331" s="2003">
        <f>BIBLE!O202</f>
        <v/>
      </c>
      <c r="D331" s="125">
        <f>BIBLE!L202</f>
        <v/>
      </c>
      <c r="E331" s="20" t="n">
        <v>1</v>
      </c>
      <c r="F331" s="20" t="n"/>
      <c r="G331" s="20" t="n"/>
      <c r="H331" s="20" t="n"/>
      <c r="I331" s="20" t="n"/>
      <c r="J331" s="20" t="n"/>
      <c r="K331" s="20" t="n"/>
      <c r="L331" s="20" t="n"/>
      <c r="M331" s="20" t="n"/>
      <c r="N331" s="20" t="n"/>
      <c r="O331" s="20" t="n"/>
      <c r="P331" s="25">
        <f>'TEST_pour application'!B301</f>
        <v/>
      </c>
      <c r="Q331" s="26">
        <f>P331*D331</f>
        <v/>
      </c>
      <c r="R331" s="2002" t="n"/>
      <c r="S331" s="56" t="n"/>
      <c r="T331" s="56" t="n"/>
      <c r="U331" s="56" t="n"/>
      <c r="V331" s="6" t="n"/>
      <c r="W331" s="301" t="n"/>
      <c r="X331" s="6" t="n"/>
      <c r="Y331" s="6" t="n"/>
      <c r="Z331" s="6" t="n"/>
      <c r="AA331" s="6" t="n"/>
      <c r="AB331" s="6" t="n"/>
      <c r="AC331" s="6" t="n"/>
      <c r="AE331" s="522" t="n"/>
      <c r="AF331" s="24" t="n"/>
      <c r="AG331" s="24" t="n"/>
      <c r="AH331" s="24" t="n"/>
      <c r="AI331" s="1539" t="n"/>
      <c r="AJ331" s="1539" t="n"/>
      <c r="AK331" s="1539" t="n"/>
      <c r="AL331" s="1539" t="n"/>
      <c r="AM331" s="1539" t="n"/>
      <c r="AN331" s="1539" t="n"/>
      <c r="AO331" s="1539" t="n"/>
      <c r="AP331" s="1539" t="n"/>
    </row>
    <row r="332" ht="41" customFormat="1" customHeight="1" s="7">
      <c r="A332" s="1438">
        <f>BIBLE!E203</f>
        <v/>
      </c>
      <c r="B332" s="159">
        <f>IF(OR(E327=1,E328=1,E329=1,E330=1),BIBLE!F203,"")</f>
        <v/>
      </c>
      <c r="C332" s="2003">
        <f>BIBLE!O203</f>
        <v/>
      </c>
      <c r="D332" s="125">
        <f>BIBLE!L203</f>
        <v/>
      </c>
      <c r="E332" s="20" t="n"/>
      <c r="F332" s="20" t="n">
        <v>1</v>
      </c>
      <c r="G332" s="20" t="n"/>
      <c r="H332" s="20" t="n"/>
      <c r="I332" s="20" t="n"/>
      <c r="J332" s="20" t="n"/>
      <c r="K332" s="20" t="n"/>
      <c r="L332" s="20" t="n"/>
      <c r="M332" s="20" t="n"/>
      <c r="N332" s="20" t="n"/>
      <c r="O332" s="20" t="n"/>
      <c r="P332" s="25">
        <f>'TEST_pour application'!B302</f>
        <v/>
      </c>
      <c r="Q332" s="26">
        <f>P332*D332</f>
        <v/>
      </c>
      <c r="R332" s="2002">
        <f>IF(BIBLE!K208=0,"",BIBLE!K208)</f>
        <v/>
      </c>
      <c r="S332" s="56" t="n"/>
      <c r="T332" s="56" t="n"/>
      <c r="U332" s="56" t="n"/>
      <c r="V332" s="6" t="n"/>
      <c r="W332" s="301" t="n"/>
      <c r="X332" s="6" t="n"/>
      <c r="Y332" s="6" t="n"/>
      <c r="Z332" s="6" t="n"/>
      <c r="AA332" s="6" t="n"/>
      <c r="AB332" s="6" t="n"/>
      <c r="AC332" s="6" t="n"/>
      <c r="AE332" s="522" t="n"/>
      <c r="AF332" s="24" t="n"/>
      <c r="AG332" s="24" t="n"/>
      <c r="AH332" s="24" t="n"/>
      <c r="AI332" s="1539" t="n"/>
      <c r="AJ332" s="1539" t="n"/>
      <c r="AK332" s="1539" t="n"/>
      <c r="AL332" s="1539" t="n"/>
      <c r="AM332" s="1539" t="n"/>
      <c r="AN332" s="1539" t="n"/>
      <c r="AO332" s="1539" t="n"/>
      <c r="AP332" s="1539" t="n"/>
    </row>
    <row r="333" ht="40" customFormat="1" customHeight="1" s="7">
      <c r="A333" s="1438">
        <f>BIBLE!E204</f>
        <v/>
      </c>
      <c r="B333" s="158">
        <f>BIBLE!F204</f>
        <v/>
      </c>
      <c r="C333" s="125" t="inlineStr">
        <is>
          <t>Oui</t>
        </is>
      </c>
      <c r="D333" s="1930" t="n">
        <v>1</v>
      </c>
      <c r="E333" s="52">
        <f>IF(P$333=D333,1,"x")</f>
        <v/>
      </c>
      <c r="F333" s="56" t="n"/>
      <c r="G333" s="660" t="n"/>
      <c r="H333" s="660" t="n"/>
      <c r="I333" s="660" t="n"/>
      <c r="J333" s="660" t="n"/>
      <c r="K333" s="20" t="n"/>
      <c r="L333" s="20" t="n"/>
      <c r="M333" s="20" t="n"/>
      <c r="N333" s="20" t="n"/>
      <c r="O333" s="20" t="n"/>
      <c r="P333" s="2093">
        <f>'TEST_pour application'!B303</f>
        <v/>
      </c>
      <c r="Q333" s="26" t="n"/>
      <c r="R333" s="2002">
        <f>IF(BIBLE!K204=0,"",BIBLE!K204)</f>
        <v/>
      </c>
      <c r="S333" s="56" t="n"/>
      <c r="T333" s="56" t="n"/>
      <c r="U333" s="56" t="n"/>
      <c r="V333" s="545" t="n"/>
      <c r="W333" s="56" t="n"/>
      <c r="X333" s="2002" t="n"/>
      <c r="Y333" s="2002" t="n"/>
      <c r="Z333" s="2002" t="n"/>
      <c r="AA333" s="2002" t="n"/>
      <c r="AB333" s="2002" t="n"/>
      <c r="AC333" s="2002" t="n"/>
      <c r="AE333" s="522" t="n"/>
      <c r="AF333" s="93" t="n"/>
      <c r="AG333" s="93" t="n"/>
      <c r="AH333" s="93" t="n"/>
      <c r="AI333" s="775" t="n"/>
      <c r="AJ333" s="775" t="n"/>
      <c r="AK333" s="775" t="n"/>
      <c r="AL333" s="775" t="n"/>
      <c r="AM333" s="775" t="n"/>
      <c r="AN333" s="775" t="n"/>
      <c r="AO333" s="775" t="n"/>
      <c r="AP333" s="775" t="n"/>
    </row>
    <row r="334" ht="18" customFormat="1" customHeight="1" s="7">
      <c r="A334" s="1438" t="n"/>
      <c r="C334" s="125" t="inlineStr">
        <is>
          <t>Non</t>
        </is>
      </c>
      <c r="D334" s="1931" t="n">
        <v>2</v>
      </c>
      <c r="E334" s="52">
        <f>IF(P$333=D334,1,"x")</f>
        <v/>
      </c>
      <c r="F334" s="56" t="n"/>
      <c r="G334" s="660" t="n"/>
      <c r="H334" s="660" t="n"/>
      <c r="I334" s="660" t="n"/>
      <c r="J334" s="660" t="n"/>
      <c r="K334" s="2002" t="n"/>
      <c r="L334" s="2002" t="n"/>
      <c r="M334" s="2002" t="n"/>
      <c r="N334" s="2002" t="n"/>
      <c r="O334" s="2002" t="n"/>
      <c r="P334" s="25" t="n"/>
      <c r="Q334" s="26" t="n"/>
      <c r="R334" s="2002" t="n"/>
      <c r="S334" s="56" t="n"/>
      <c r="T334" s="56" t="n"/>
      <c r="U334" s="56" t="n"/>
      <c r="V334" s="545" t="n"/>
      <c r="W334" s="56" t="n"/>
      <c r="X334" s="2002" t="n"/>
      <c r="Y334" s="2002" t="n"/>
      <c r="Z334" s="2002" t="n"/>
      <c r="AA334" s="2002" t="n"/>
      <c r="AB334" s="2002" t="n"/>
      <c r="AC334" s="2002" t="n"/>
      <c r="AE334" s="522" t="n"/>
      <c r="AF334" s="93" t="n"/>
      <c r="AG334" s="93" t="n"/>
      <c r="AH334" s="93" t="n"/>
      <c r="AI334" s="775" t="n"/>
      <c r="AJ334" s="775" t="n"/>
      <c r="AK334" s="775" t="n"/>
      <c r="AL334" s="775" t="n"/>
      <c r="AM334" s="775" t="n"/>
      <c r="AN334" s="775" t="n"/>
      <c r="AO334" s="775" t="n"/>
      <c r="AP334" s="775" t="n"/>
    </row>
    <row r="335" ht="48" customFormat="1" customHeight="1" s="7">
      <c r="A335" s="1438">
        <f>BIBLE!E205</f>
        <v/>
      </c>
      <c r="B335" s="2006">
        <f>IF($E$333=1,BIBLE!F205,"")</f>
        <v/>
      </c>
      <c r="C335" s="125" t="n"/>
      <c r="D335" s="125">
        <f>BIBLE!L205</f>
        <v/>
      </c>
      <c r="E335" s="571">
        <f>$E$52</f>
        <v/>
      </c>
      <c r="F335" s="572">
        <f>$F$52</f>
        <v/>
      </c>
      <c r="G335" s="572">
        <f>$G$52</f>
        <v/>
      </c>
      <c r="H335" s="572">
        <f>$H$52</f>
        <v/>
      </c>
      <c r="I335" s="572">
        <f>$I$52</f>
        <v/>
      </c>
      <c r="J335" s="572">
        <f>$J$52</f>
        <v/>
      </c>
      <c r="K335" s="572">
        <f>$K$52</f>
        <v/>
      </c>
      <c r="L335" s="17" t="n"/>
      <c r="M335" s="17" t="n"/>
      <c r="N335" s="17" t="n"/>
      <c r="O335" s="17" t="n"/>
      <c r="P335" s="25">
        <f>SUM(P336:P344)</f>
        <v/>
      </c>
      <c r="Q335" s="25">
        <f>SUM(Q336:Q344)</f>
        <v/>
      </c>
      <c r="S335" s="56" t="n"/>
      <c r="T335" s="56" t="n"/>
      <c r="U335" s="56" t="n"/>
      <c r="V335" s="545" t="n"/>
      <c r="W335" s="56" t="n"/>
      <c r="X335" s="2002" t="n"/>
      <c r="Y335" s="2002" t="n"/>
      <c r="Z335" s="2002" t="n"/>
      <c r="AA335" s="2002" t="n"/>
      <c r="AB335" s="2002" t="n"/>
      <c r="AC335" s="2002" t="n"/>
      <c r="AE335" s="522" t="n"/>
      <c r="AF335" s="93" t="n"/>
      <c r="AG335" s="93" t="n"/>
      <c r="AH335" s="93" t="n"/>
      <c r="AI335" s="775" t="n"/>
      <c r="AJ335" s="775" t="n"/>
      <c r="AK335" s="775" t="n"/>
      <c r="AL335" s="775" t="n"/>
      <c r="AM335" s="775" t="n"/>
      <c r="AN335" s="775" t="n"/>
      <c r="AO335" s="775" t="n"/>
      <c r="AP335" s="775" t="n"/>
    </row>
    <row r="336" ht="17" customFormat="1" customHeight="1" s="2002">
      <c r="A336" s="1438" t="n"/>
      <c r="B336" s="162">
        <f>IF($E$333=1,"automutilation","")</f>
        <v/>
      </c>
      <c r="C336" s="24" t="n"/>
      <c r="D336" s="1930" t="n">
        <v>1</v>
      </c>
      <c r="E336" s="574" t="n"/>
      <c r="F336" s="574" t="n"/>
      <c r="G336" s="574" t="n"/>
      <c r="H336" s="574" t="n">
        <v>1</v>
      </c>
      <c r="I336" s="574" t="n"/>
      <c r="J336" s="574" t="n"/>
      <c r="K336" s="574" t="n"/>
      <c r="P336" s="25">
        <f>'TEST_pour application'!B304</f>
        <v/>
      </c>
      <c r="Q336" s="26">
        <f>P336*D336</f>
        <v/>
      </c>
      <c r="AE336" s="522" t="n"/>
      <c r="AF336" s="93" t="n"/>
      <c r="AG336" s="93" t="n"/>
      <c r="AH336" s="93" t="n"/>
      <c r="AI336" s="775" t="n"/>
      <c r="AJ336" s="775" t="n"/>
      <c r="AK336" s="775" t="n"/>
      <c r="AL336" s="775" t="n"/>
      <c r="AM336" s="775" t="n"/>
      <c r="AN336" s="775" t="n"/>
      <c r="AO336" s="775" t="n"/>
      <c r="AP336" s="775" t="n"/>
    </row>
    <row r="337" ht="18" customFormat="1" customHeight="1" s="2002">
      <c r="A337" s="1438" t="n"/>
      <c r="B337" s="162">
        <f>IF($E$333=1,"anxiété","")</f>
        <v/>
      </c>
      <c r="C337" s="24" t="n"/>
      <c r="D337" s="1930" t="n">
        <v>1</v>
      </c>
      <c r="E337" s="573" t="n"/>
      <c r="F337" s="573" t="n"/>
      <c r="G337" s="573" t="n"/>
      <c r="H337" s="573" t="n"/>
      <c r="I337" s="573" t="n"/>
      <c r="J337" s="573" t="n"/>
      <c r="K337" s="573" t="n"/>
      <c r="P337" s="25">
        <f>'TEST_pour application'!B305</f>
        <v/>
      </c>
      <c r="Q337" s="26">
        <f>P337*D337</f>
        <v/>
      </c>
      <c r="AE337" s="522" t="n"/>
      <c r="AF337" s="93" t="n"/>
      <c r="AG337" s="93" t="n"/>
      <c r="AH337" s="93" t="n"/>
      <c r="AI337" s="775" t="n"/>
      <c r="AJ337" s="775" t="n"/>
      <c r="AK337" s="775" t="n"/>
      <c r="AL337" s="775" t="n"/>
      <c r="AM337" s="775" t="n"/>
      <c r="AN337" s="775" t="n"/>
      <c r="AO337" s="775" t="n"/>
      <c r="AP337" s="775" t="n"/>
    </row>
    <row r="338" ht="18" customFormat="1" customHeight="1" s="2002">
      <c r="A338" s="1438" t="n"/>
      <c r="B338" s="162">
        <f>IF($E$333=1,"dépression","")</f>
        <v/>
      </c>
      <c r="C338" s="24" t="n"/>
      <c r="D338" s="1930" t="n">
        <v>1</v>
      </c>
      <c r="E338" s="573" t="n"/>
      <c r="F338" s="573" t="n"/>
      <c r="G338" s="573" t="n"/>
      <c r="H338" s="573" t="n"/>
      <c r="I338" s="573" t="n"/>
      <c r="J338" s="573" t="n"/>
      <c r="K338" s="573" t="n"/>
      <c r="P338" s="25">
        <f>'TEST_pour application'!B306</f>
        <v/>
      </c>
      <c r="Q338" s="26">
        <f>P338*D338</f>
        <v/>
      </c>
      <c r="AE338" s="522" t="n"/>
      <c r="AF338" s="93" t="n"/>
      <c r="AG338" s="93" t="n"/>
      <c r="AH338" s="93" t="n"/>
      <c r="AI338" s="775" t="n"/>
      <c r="AJ338" s="775" t="n"/>
      <c r="AK338" s="775" t="n"/>
      <c r="AL338" s="775" t="n"/>
      <c r="AM338" s="775" t="n"/>
      <c r="AN338" s="775" t="n"/>
      <c r="AO338" s="775" t="n"/>
      <c r="AP338" s="775" t="n"/>
    </row>
    <row r="339" ht="17" customFormat="1" customHeight="1" s="2002">
      <c r="A339" s="1438" t="n"/>
      <c r="B339" s="162">
        <f>IF($E$333=1,"idéation suicidaire","")</f>
        <v/>
      </c>
      <c r="C339" s="24" t="n"/>
      <c r="D339" s="1930" t="n">
        <v>1</v>
      </c>
      <c r="E339" s="573" t="n"/>
      <c r="F339" s="573" t="n"/>
      <c r="G339" s="573" t="n"/>
      <c r="H339" s="573" t="n"/>
      <c r="I339" s="573" t="n"/>
      <c r="J339" s="573" t="n">
        <v>1</v>
      </c>
      <c r="K339" s="573" t="n"/>
      <c r="P339" s="25">
        <f>'TEST_pour application'!B307</f>
        <v/>
      </c>
      <c r="Q339" s="26">
        <f>P339*D339</f>
        <v/>
      </c>
      <c r="AE339" s="522" t="n"/>
      <c r="AF339" s="93" t="n"/>
      <c r="AG339" s="93" t="n"/>
      <c r="AH339" s="93" t="n"/>
      <c r="AI339" s="775" t="n"/>
      <c r="AJ339" s="775" t="n"/>
      <c r="AK339" s="775" t="n"/>
      <c r="AL339" s="775" t="n"/>
      <c r="AM339" s="775" t="n"/>
      <c r="AN339" s="775" t="n"/>
      <c r="AO339" s="775" t="n"/>
      <c r="AP339" s="775" t="n"/>
    </row>
    <row r="340" ht="17" customFormat="1" customHeight="1" s="2002">
      <c r="A340" s="1438" t="n"/>
      <c r="B340" s="162">
        <f>IF($E$333=1,"insomnie","")</f>
        <v/>
      </c>
      <c r="C340" s="24" t="n"/>
      <c r="D340" s="1930" t="n">
        <v>1</v>
      </c>
      <c r="E340" s="573" t="n"/>
      <c r="F340" s="573" t="n"/>
      <c r="G340" s="573" t="n"/>
      <c r="H340" s="573" t="n"/>
      <c r="I340" s="573" t="n"/>
      <c r="J340" s="573" t="n"/>
      <c r="K340" s="573" t="n"/>
      <c r="P340" s="25">
        <f>'TEST_pour application'!B308</f>
        <v/>
      </c>
      <c r="Q340" s="26">
        <f>P340*D340</f>
        <v/>
      </c>
      <c r="AE340" s="522" t="n"/>
      <c r="AF340" s="93" t="n"/>
      <c r="AG340" s="93" t="n"/>
      <c r="AH340" s="93" t="n"/>
      <c r="AI340" s="775" t="n"/>
      <c r="AJ340" s="775" t="n"/>
      <c r="AK340" s="775" t="n"/>
      <c r="AL340" s="775" t="n"/>
      <c r="AM340" s="775" t="n"/>
      <c r="AN340" s="775" t="n"/>
      <c r="AO340" s="775" t="n"/>
      <c r="AP340" s="775" t="n"/>
    </row>
    <row r="341" ht="17" customFormat="1" customHeight="1" s="2002">
      <c r="A341" s="1438" t="n"/>
      <c r="B341" s="162">
        <f>IF($E$333=1,"isolement et difficulté à socialiser","")</f>
        <v/>
      </c>
      <c r="C341" s="24" t="n"/>
      <c r="D341" s="1930" t="n">
        <v>1</v>
      </c>
      <c r="E341" s="573" t="n"/>
      <c r="F341" s="573" t="n"/>
      <c r="G341" s="573" t="n"/>
      <c r="H341" s="573" t="n">
        <v>1</v>
      </c>
      <c r="I341" s="573" t="n"/>
      <c r="J341" s="573" t="n"/>
      <c r="K341" s="573" t="n"/>
      <c r="P341" s="25">
        <f>'TEST_pour application'!B309</f>
        <v/>
      </c>
      <c r="Q341" s="26">
        <f>P341*D341</f>
        <v/>
      </c>
      <c r="AE341" s="522" t="n"/>
      <c r="AF341" s="93" t="n"/>
      <c r="AG341" s="93" t="n"/>
      <c r="AH341" s="93" t="n"/>
      <c r="AI341" s="775" t="n"/>
      <c r="AJ341" s="775" t="n"/>
      <c r="AK341" s="775" t="n"/>
      <c r="AL341" s="775" t="n"/>
      <c r="AM341" s="775" t="n"/>
      <c r="AN341" s="775" t="n"/>
      <c r="AO341" s="775" t="n"/>
      <c r="AP341" s="775" t="n"/>
    </row>
    <row r="342" ht="17" customFormat="1" customHeight="1" s="2002">
      <c r="A342" s="1438" t="n"/>
      <c r="B342" s="162">
        <f>IF($E$333=1,"trouble de l'opposition","")</f>
        <v/>
      </c>
      <c r="C342" s="24" t="n"/>
      <c r="D342" s="1930" t="n">
        <v>1</v>
      </c>
      <c r="E342" s="573" t="n"/>
      <c r="F342" s="573" t="n"/>
      <c r="G342" s="573" t="n"/>
      <c r="H342" s="573" t="n"/>
      <c r="I342" s="573" t="n"/>
      <c r="J342" s="573" t="n"/>
      <c r="K342" s="573" t="n"/>
      <c r="P342" s="25">
        <f>'TEST_pour application'!B310</f>
        <v/>
      </c>
      <c r="Q342" s="26">
        <f>P342*D342</f>
        <v/>
      </c>
      <c r="AE342" s="522" t="n"/>
      <c r="AF342" s="93" t="n"/>
      <c r="AG342" s="93" t="n"/>
      <c r="AH342" s="93" t="n"/>
      <c r="AI342" s="775" t="n"/>
      <c r="AJ342" s="775" t="n"/>
      <c r="AK342" s="775" t="n"/>
      <c r="AL342" s="775" t="n"/>
      <c r="AM342" s="775" t="n"/>
      <c r="AN342" s="775" t="n"/>
      <c r="AO342" s="775" t="n"/>
      <c r="AP342" s="775" t="n"/>
    </row>
    <row r="343" ht="17" customFormat="1" customHeight="1" s="2002">
      <c r="A343" s="1438" t="n"/>
      <c r="B343" s="162">
        <f>IF($E$333=1,"trouble alimentaire","")</f>
        <v/>
      </c>
      <c r="C343" s="24" t="n"/>
      <c r="D343" s="1930" t="n">
        <v>1</v>
      </c>
      <c r="E343" s="573" t="n"/>
      <c r="F343" s="573" t="n"/>
      <c r="G343" s="573" t="n"/>
      <c r="H343" s="573" t="n"/>
      <c r="I343" s="573" t="n"/>
      <c r="J343" s="573" t="n"/>
      <c r="K343" s="573" t="n"/>
      <c r="P343" s="25">
        <f>'TEST_pour application'!B311</f>
        <v/>
      </c>
      <c r="Q343" s="26">
        <f>P343*D343</f>
        <v/>
      </c>
      <c r="AE343" s="522" t="n"/>
      <c r="AF343" s="93" t="n"/>
      <c r="AG343" s="93" t="n"/>
      <c r="AH343" s="93" t="n"/>
      <c r="AI343" s="775" t="n"/>
      <c r="AJ343" s="775" t="n"/>
      <c r="AK343" s="775" t="n"/>
      <c r="AL343" s="775" t="n"/>
      <c r="AM343" s="775" t="n"/>
      <c r="AN343" s="775" t="n"/>
      <c r="AO343" s="775" t="n"/>
      <c r="AP343" s="775" t="n"/>
    </row>
    <row r="344" ht="17" customFormat="1" customHeight="1" s="2002">
      <c r="A344" s="1438" t="n"/>
      <c r="B344" s="162">
        <f>IF($E$333=1,"Aucune de ces réponses","")</f>
        <v/>
      </c>
      <c r="C344" s="24" t="n"/>
      <c r="D344" s="1930" t="n">
        <v>0</v>
      </c>
      <c r="E344" s="573" t="n"/>
      <c r="F344" s="573" t="n"/>
      <c r="G344" s="573" t="n"/>
      <c r="H344" s="573" t="n"/>
      <c r="I344" s="573" t="n"/>
      <c r="J344" s="573" t="n"/>
      <c r="K344" s="573" t="n"/>
      <c r="P344" s="25">
        <f>'TEST_pour application'!B312</f>
        <v/>
      </c>
      <c r="Q344" s="26">
        <f>P344*D344</f>
        <v/>
      </c>
      <c r="R344" s="6" t="n"/>
      <c r="AE344" s="522" t="n"/>
      <c r="AF344" s="93" t="n"/>
      <c r="AG344" s="93" t="n"/>
      <c r="AH344" s="93" t="n"/>
      <c r="AI344" s="775" t="n"/>
      <c r="AJ344" s="775" t="n"/>
      <c r="AK344" s="775" t="n"/>
      <c r="AL344" s="775" t="n"/>
      <c r="AM344" s="775" t="n"/>
      <c r="AN344" s="775" t="n"/>
      <c r="AO344" s="775" t="n"/>
      <c r="AP344" s="775" t="n"/>
    </row>
    <row r="345" ht="17" customFormat="1" customHeight="1" s="2002">
      <c r="A345" s="1438" t="n"/>
      <c r="B345" s="162">
        <f>IF($E$333=1,"autres (veuillez spécifier)","")</f>
        <v/>
      </c>
      <c r="C345" s="24" t="n"/>
      <c r="D345" s="1933" t="inlineStr">
        <is>
          <t>Custom</t>
        </is>
      </c>
      <c r="E345" s="305" t="n"/>
      <c r="P345" s="25">
        <f>'TEST_pour application'!B313</f>
        <v/>
      </c>
      <c r="Q345" s="26" t="n"/>
      <c r="AE345" s="522" t="n"/>
      <c r="AF345" s="93" t="n"/>
      <c r="AG345" s="93" t="n"/>
      <c r="AH345" s="93" t="n"/>
      <c r="AI345" s="775" t="n"/>
      <c r="AJ345" s="775" t="n"/>
      <c r="AK345" s="775" t="n"/>
      <c r="AL345" s="775" t="n"/>
      <c r="AM345" s="775" t="n"/>
      <c r="AN345" s="775" t="n"/>
      <c r="AO345" s="775" t="n"/>
      <c r="AP345" s="775" t="n"/>
    </row>
    <row r="346" ht="50" customFormat="1" customHeight="1" s="2002">
      <c r="A346" s="1438">
        <f>BIBLE!E206</f>
        <v/>
      </c>
      <c r="B346" s="2006">
        <f>IF($E$333=1,BIBLE!F206,"")</f>
        <v/>
      </c>
      <c r="C346" s="125" t="n"/>
      <c r="D346" s="125">
        <f>BIBLE!L206</f>
        <v/>
      </c>
      <c r="P346" s="25">
        <f>SUM(P347:P355)</f>
        <v/>
      </c>
      <c r="Q346" s="25">
        <f>SUM(Q347:Q355)</f>
        <v/>
      </c>
      <c r="AE346" s="522" t="n"/>
      <c r="AF346" s="93" t="n"/>
      <c r="AG346" s="93" t="n"/>
      <c r="AH346" s="93" t="n"/>
      <c r="AI346" s="775" t="n"/>
      <c r="AJ346" s="775" t="n"/>
      <c r="AK346" s="775" t="n"/>
      <c r="AL346" s="775" t="n"/>
      <c r="AM346" s="775" t="n"/>
      <c r="AN346" s="775" t="n"/>
      <c r="AO346" s="775" t="n"/>
      <c r="AP346" s="775" t="n"/>
    </row>
    <row r="347" ht="17" customFormat="1" customHeight="1" s="2002">
      <c r="A347" s="1438" t="n"/>
      <c r="B347" s="162">
        <f>IF($E$333=1,"automutilation","")</f>
        <v/>
      </c>
      <c r="C347" s="24" t="n"/>
      <c r="D347" s="1930" t="n">
        <v>1</v>
      </c>
      <c r="E347" s="573" t="n"/>
      <c r="F347" s="573" t="n"/>
      <c r="G347" s="573" t="n"/>
      <c r="H347" s="573" t="n"/>
      <c r="I347" s="573" t="n">
        <v>1</v>
      </c>
      <c r="J347" s="573" t="n"/>
      <c r="K347" s="573" t="n"/>
      <c r="P347" s="25">
        <f>'TEST_pour application'!B314</f>
        <v/>
      </c>
      <c r="Q347" s="26">
        <f>P347*D347</f>
        <v/>
      </c>
      <c r="AE347" s="522" t="n"/>
      <c r="AF347" s="93" t="n"/>
      <c r="AG347" s="93" t="n"/>
      <c r="AH347" s="93" t="n"/>
      <c r="AI347" s="775" t="n"/>
      <c r="AJ347" s="775" t="n"/>
      <c r="AK347" s="775" t="n"/>
      <c r="AL347" s="775" t="n"/>
      <c r="AM347" s="775" t="n"/>
      <c r="AN347" s="775" t="n"/>
      <c r="AO347" s="775" t="n"/>
      <c r="AP347" s="775" t="n"/>
    </row>
    <row r="348" ht="17" customFormat="1" customHeight="1" s="2002">
      <c r="A348" s="1438" t="n"/>
      <c r="B348" s="162">
        <f>IF($E$333=1,"anxiété","")</f>
        <v/>
      </c>
      <c r="C348" s="24" t="n"/>
      <c r="D348" s="1930" t="n">
        <v>1</v>
      </c>
      <c r="E348" s="573" t="n"/>
      <c r="F348" s="573" t="n"/>
      <c r="G348" s="573" t="n"/>
      <c r="H348" s="573" t="n"/>
      <c r="I348" s="573" t="n"/>
      <c r="J348" s="573" t="n"/>
      <c r="K348" s="573" t="n"/>
      <c r="P348" s="25">
        <f>'TEST_pour application'!B315</f>
        <v/>
      </c>
      <c r="Q348" s="26">
        <f>P348*D348</f>
        <v/>
      </c>
      <c r="AE348" s="522" t="n"/>
      <c r="AF348" s="93" t="n"/>
      <c r="AG348" s="93" t="n"/>
      <c r="AH348" s="93" t="n"/>
      <c r="AI348" s="775" t="n"/>
      <c r="AJ348" s="775" t="n"/>
      <c r="AK348" s="775" t="n"/>
      <c r="AL348" s="775" t="n"/>
      <c r="AM348" s="775" t="n"/>
      <c r="AN348" s="775" t="n"/>
      <c r="AO348" s="775" t="n"/>
      <c r="AP348" s="775" t="n"/>
    </row>
    <row r="349" ht="17" customFormat="1" customHeight="1" s="2002">
      <c r="A349" s="1438" t="n"/>
      <c r="B349" s="162">
        <f>IF($E$333=1,"dépression","")</f>
        <v/>
      </c>
      <c r="C349" s="24" t="n"/>
      <c r="D349" s="1930" t="n">
        <v>1</v>
      </c>
      <c r="E349" s="573" t="n"/>
      <c r="F349" s="573" t="n"/>
      <c r="G349" s="573" t="n"/>
      <c r="H349" s="573" t="n"/>
      <c r="I349" s="573" t="n"/>
      <c r="J349" s="573" t="n"/>
      <c r="K349" s="573" t="n"/>
      <c r="P349" s="25">
        <f>'TEST_pour application'!B316</f>
        <v/>
      </c>
      <c r="Q349" s="26">
        <f>P349*D349</f>
        <v/>
      </c>
      <c r="AE349" s="522" t="n"/>
      <c r="AF349" s="93" t="n"/>
      <c r="AG349" s="93" t="n"/>
      <c r="AH349" s="93" t="n"/>
      <c r="AI349" s="775" t="n"/>
      <c r="AJ349" s="775" t="n"/>
      <c r="AK349" s="775" t="n"/>
      <c r="AL349" s="775" t="n"/>
      <c r="AM349" s="775" t="n"/>
      <c r="AN349" s="775" t="n"/>
      <c r="AO349" s="775" t="n"/>
      <c r="AP349" s="775" t="n"/>
    </row>
    <row r="350" ht="17" customFormat="1" customHeight="1" s="2002">
      <c r="A350" s="1438" t="n"/>
      <c r="B350" s="162">
        <f>IF($E$333=1,"idéation suicidaire","")</f>
        <v/>
      </c>
      <c r="C350" s="24" t="n"/>
      <c r="D350" s="1930" t="n">
        <v>1</v>
      </c>
      <c r="E350" s="573" t="n"/>
      <c r="F350" s="573" t="n"/>
      <c r="G350" s="573" t="n"/>
      <c r="H350" s="573" t="n"/>
      <c r="I350" s="573" t="n">
        <v>1</v>
      </c>
      <c r="J350" s="573" t="n"/>
      <c r="K350" s="573" t="n"/>
      <c r="P350" s="25">
        <f>'TEST_pour application'!B317</f>
        <v/>
      </c>
      <c r="Q350" s="26">
        <f>P350*D350</f>
        <v/>
      </c>
      <c r="AE350" s="522" t="n"/>
      <c r="AF350" s="93" t="n"/>
      <c r="AG350" s="93" t="n"/>
      <c r="AH350" s="93" t="n"/>
      <c r="AI350" s="775" t="n"/>
      <c r="AJ350" s="775" t="n"/>
      <c r="AK350" s="775" t="n"/>
      <c r="AL350" s="775" t="n"/>
      <c r="AM350" s="775" t="n"/>
      <c r="AN350" s="775" t="n"/>
      <c r="AO350" s="775" t="n"/>
      <c r="AP350" s="775" t="n"/>
    </row>
    <row r="351" ht="17" customFormat="1" customHeight="1" s="2002">
      <c r="A351" s="1438" t="n"/>
      <c r="B351" s="162">
        <f>IF($E$333=1,"insomnie","")</f>
        <v/>
      </c>
      <c r="C351" s="24" t="n"/>
      <c r="D351" s="1930" t="n">
        <v>1</v>
      </c>
      <c r="E351" s="573" t="n"/>
      <c r="F351" s="573" t="n"/>
      <c r="G351" s="573" t="n"/>
      <c r="H351" s="573" t="n"/>
      <c r="I351" s="573" t="n"/>
      <c r="J351" s="573" t="n"/>
      <c r="K351" s="573" t="n"/>
      <c r="P351" s="25">
        <f>'TEST_pour application'!B318</f>
        <v/>
      </c>
      <c r="Q351" s="26">
        <f>P351*D351</f>
        <v/>
      </c>
      <c r="AE351" s="522" t="n"/>
      <c r="AF351" s="93" t="n"/>
      <c r="AG351" s="93" t="n"/>
      <c r="AH351" s="93" t="n"/>
      <c r="AI351" s="775" t="n"/>
      <c r="AJ351" s="775" t="n"/>
      <c r="AK351" s="775" t="n"/>
      <c r="AL351" s="775" t="n"/>
      <c r="AM351" s="775" t="n"/>
      <c r="AN351" s="775" t="n"/>
      <c r="AO351" s="775" t="n"/>
      <c r="AP351" s="775" t="n"/>
    </row>
    <row r="352" ht="17" customFormat="1" customHeight="1" s="2002">
      <c r="A352" s="1438" t="n"/>
      <c r="B352" s="162">
        <f>IF($E$333=1,"isolement et difficulté à socialiser","")</f>
        <v/>
      </c>
      <c r="C352" s="24" t="n"/>
      <c r="D352" s="1930" t="n">
        <v>1</v>
      </c>
      <c r="E352" s="573" t="n"/>
      <c r="F352" s="573" t="n"/>
      <c r="G352" s="573" t="n"/>
      <c r="H352" s="573" t="n"/>
      <c r="I352" s="573" t="n"/>
      <c r="J352" s="573" t="n"/>
      <c r="K352" s="573" t="n"/>
      <c r="P352" s="25">
        <f>'TEST_pour application'!B319</f>
        <v/>
      </c>
      <c r="Q352" s="26">
        <f>P352*D352</f>
        <v/>
      </c>
      <c r="AE352" s="522" t="n"/>
      <c r="AF352" s="93" t="n"/>
      <c r="AG352" s="93" t="n"/>
      <c r="AH352" s="93" t="n"/>
      <c r="AI352" s="775" t="n"/>
      <c r="AJ352" s="775" t="n"/>
      <c r="AK352" s="775" t="n"/>
      <c r="AL352" s="775" t="n"/>
      <c r="AM352" s="775" t="n"/>
      <c r="AN352" s="775" t="n"/>
      <c r="AO352" s="775" t="n"/>
      <c r="AP352" s="775" t="n"/>
    </row>
    <row r="353" ht="17" customFormat="1" customHeight="1" s="2002">
      <c r="A353" s="1438" t="n"/>
      <c r="B353" s="162">
        <f>IF($E$333=1,"trouble de l'opposition","")</f>
        <v/>
      </c>
      <c r="C353" s="24" t="n"/>
      <c r="D353" s="1930" t="n">
        <v>1</v>
      </c>
      <c r="E353" s="573" t="n"/>
      <c r="F353" s="573" t="n"/>
      <c r="G353" s="573" t="n"/>
      <c r="H353" s="573" t="n"/>
      <c r="I353" s="573" t="n"/>
      <c r="J353" s="573" t="n"/>
      <c r="K353" s="573" t="n">
        <v>1</v>
      </c>
      <c r="P353" s="25">
        <f>'TEST_pour application'!B320</f>
        <v/>
      </c>
      <c r="Q353" s="26">
        <f>P353*D353</f>
        <v/>
      </c>
      <c r="AE353" s="522" t="n"/>
      <c r="AF353" s="93" t="n"/>
      <c r="AG353" s="93" t="n"/>
      <c r="AH353" s="93" t="n"/>
      <c r="AI353" s="775" t="n"/>
      <c r="AJ353" s="775" t="n"/>
      <c r="AK353" s="775" t="n"/>
      <c r="AL353" s="775" t="n"/>
      <c r="AM353" s="775" t="n"/>
      <c r="AN353" s="775" t="n"/>
      <c r="AO353" s="775" t="n"/>
      <c r="AP353" s="775" t="n"/>
    </row>
    <row r="354" ht="17" customFormat="1" customHeight="1" s="2002">
      <c r="A354" s="1438" t="n"/>
      <c r="B354" s="162">
        <f>IF($E$333=1,"trouble alimentaire","")</f>
        <v/>
      </c>
      <c r="C354" s="24" t="n"/>
      <c r="D354" s="1930" t="n">
        <v>1</v>
      </c>
      <c r="E354" s="573" t="n"/>
      <c r="F354" s="573" t="n"/>
      <c r="G354" s="573" t="n"/>
      <c r="H354" s="573" t="n">
        <v>1</v>
      </c>
      <c r="I354" s="573" t="n"/>
      <c r="J354" s="573" t="n"/>
      <c r="K354" s="573" t="n"/>
      <c r="P354" s="25">
        <f>'TEST_pour application'!B321</f>
        <v/>
      </c>
      <c r="Q354" s="26">
        <f>P354*D354</f>
        <v/>
      </c>
      <c r="AE354" s="522" t="n"/>
      <c r="AF354" s="93" t="n"/>
      <c r="AG354" s="93" t="n"/>
      <c r="AH354" s="93" t="n"/>
      <c r="AI354" s="775" t="n"/>
      <c r="AJ354" s="775" t="n"/>
      <c r="AK354" s="775" t="n"/>
      <c r="AL354" s="775" t="n"/>
      <c r="AM354" s="775" t="n"/>
      <c r="AN354" s="775" t="n"/>
      <c r="AO354" s="775" t="n"/>
      <c r="AP354" s="775" t="n"/>
    </row>
    <row r="355" ht="17" customFormat="1" customHeight="1" s="2002">
      <c r="A355" s="1438" t="n"/>
      <c r="B355" s="162">
        <f>IF($E$333=1,"Aucune de ces réponses","")</f>
        <v/>
      </c>
      <c r="C355" s="24" t="n"/>
      <c r="D355" s="1930" t="n">
        <v>0</v>
      </c>
      <c r="E355" s="573" t="n"/>
      <c r="F355" s="573" t="n"/>
      <c r="G355" s="573" t="n"/>
      <c r="H355" s="573" t="n"/>
      <c r="I355" s="573" t="n"/>
      <c r="J355" s="573" t="n"/>
      <c r="K355" s="573" t="n"/>
      <c r="P355" s="25">
        <f>'TEST_pour application'!B322</f>
        <v/>
      </c>
      <c r="Q355" s="26">
        <f>P355*D355</f>
        <v/>
      </c>
      <c r="R355" s="6" t="n"/>
      <c r="AE355" s="522" t="n"/>
      <c r="AF355" s="93" t="n"/>
      <c r="AG355" s="93" t="n"/>
      <c r="AH355" s="93" t="n"/>
      <c r="AI355" s="775" t="n"/>
      <c r="AJ355" s="775" t="n"/>
      <c r="AK355" s="775" t="n"/>
      <c r="AL355" s="775" t="n"/>
      <c r="AM355" s="775" t="n"/>
      <c r="AN355" s="775" t="n"/>
      <c r="AO355" s="775" t="n"/>
      <c r="AP355" s="775" t="n"/>
    </row>
    <row r="356" ht="17" customFormat="1" customHeight="1" s="2002">
      <c r="A356" s="1438" t="n"/>
      <c r="B356" s="162">
        <f>IF($E$333=1,"autres (veuillez spécifier)","")</f>
        <v/>
      </c>
      <c r="C356" s="24" t="n"/>
      <c r="D356" s="1933" t="inlineStr">
        <is>
          <t>Custom</t>
        </is>
      </c>
      <c r="P356" s="25">
        <f>'TEST_pour application'!B323</f>
        <v/>
      </c>
      <c r="Q356" s="26" t="n"/>
      <c r="R356" s="6" t="n"/>
      <c r="AE356" s="522" t="n"/>
      <c r="AF356" s="93" t="n"/>
      <c r="AG356" s="93" t="n"/>
      <c r="AH356" s="93" t="n"/>
      <c r="AI356" s="775" t="n"/>
      <c r="AJ356" s="775" t="n"/>
      <c r="AK356" s="775" t="n"/>
      <c r="AL356" s="775" t="n"/>
      <c r="AM356" s="775" t="n"/>
      <c r="AN356" s="775" t="n"/>
      <c r="AO356" s="775" t="n"/>
      <c r="AP356" s="775" t="n"/>
    </row>
    <row r="357" customFormat="1" s="2002">
      <c r="A357" s="1438" t="n"/>
      <c r="B357" s="162" t="n"/>
      <c r="C357" s="24" t="n"/>
      <c r="D357" s="294" t="n"/>
      <c r="P357" s="25" t="n"/>
      <c r="Q357" s="26" t="n"/>
      <c r="R357" s="6" t="n"/>
      <c r="AE357" s="522" t="n"/>
      <c r="AF357" s="93" t="n"/>
      <c r="AG357" s="93" t="n"/>
      <c r="AH357" s="93" t="n"/>
      <c r="AI357" s="775" t="n"/>
      <c r="AJ357" s="775" t="n"/>
      <c r="AK357" s="775" t="n"/>
      <c r="AL357" s="775" t="n"/>
      <c r="AM357" s="775" t="n"/>
      <c r="AN357" s="775" t="n"/>
      <c r="AO357" s="775" t="n"/>
      <c r="AP357" s="775" t="n"/>
    </row>
    <row r="358" ht="63" customFormat="1" customHeight="1" s="7">
      <c r="A358" s="1438">
        <f>BIBLE!E207</f>
        <v/>
      </c>
      <c r="B358" s="158">
        <f>BIBLE!F207</f>
        <v/>
      </c>
      <c r="C358" s="2003">
        <f>BIBLE!O207</f>
        <v/>
      </c>
      <c r="D358" s="125">
        <f>BIBLE!L207</f>
        <v/>
      </c>
      <c r="E358" s="20" t="n"/>
      <c r="F358" s="20" t="n"/>
      <c r="G358" s="20" t="n"/>
      <c r="H358" s="20" t="n"/>
      <c r="I358" s="20" t="n">
        <v>1</v>
      </c>
      <c r="J358" s="20" t="n"/>
      <c r="K358" s="20" t="n"/>
      <c r="L358" s="20" t="n"/>
      <c r="M358" s="20" t="n"/>
      <c r="N358" s="20" t="n"/>
      <c r="O358" s="20" t="n"/>
      <c r="P358" s="25">
        <f>'TEST_pour application'!B324</f>
        <v/>
      </c>
      <c r="Q358" s="26">
        <f>P358*D358</f>
        <v/>
      </c>
      <c r="R358" s="2002">
        <f>BIBLE!K207</f>
        <v/>
      </c>
      <c r="S358" s="56" t="n"/>
      <c r="T358" s="56" t="n"/>
      <c r="U358" s="56" t="n"/>
      <c r="V358" s="6">
        <f>Q358</f>
        <v/>
      </c>
      <c r="W358" s="301" t="n"/>
      <c r="X358" s="6">
        <f>IF($Q358&gt;0,X$108*$D358,0)</f>
        <v/>
      </c>
      <c r="Y358" s="6">
        <f>IF($Q358&gt;0,Y$108*$D358,0)</f>
        <v/>
      </c>
      <c r="Z358" s="6">
        <f>IF($Q358&gt;0,Z$108*$D358,0)</f>
        <v/>
      </c>
      <c r="AA358" s="6">
        <f>IF($Q358&gt;0,AA$108*$D358,0)</f>
        <v/>
      </c>
      <c r="AB358" s="6">
        <f>IF($Q358&gt;0,AB$108*$D358,0)</f>
        <v/>
      </c>
      <c r="AC358" s="6">
        <f>IF($Q358&gt;0,AC$108*$D358,0)</f>
        <v/>
      </c>
      <c r="AE358" s="522" t="n"/>
      <c r="AF358" s="24">
        <f>$V358*BIBLE!R230</f>
        <v/>
      </c>
      <c r="AG358" s="24">
        <f>$V358*BIBLE!S230</f>
        <v/>
      </c>
      <c r="AH358" s="24">
        <f>$V358*BIBLE!T230</f>
        <v/>
      </c>
      <c r="AI358" s="1539">
        <f>$V358*BIBLE!V230</f>
        <v/>
      </c>
      <c r="AJ358" s="1539">
        <f>$V358*BIBLE!W230</f>
        <v/>
      </c>
      <c r="AK358" s="1539">
        <f>$V358*BIBLE!X230</f>
        <v/>
      </c>
      <c r="AL358" s="1539">
        <f>$V358*BIBLE!Y230</f>
        <v/>
      </c>
      <c r="AM358" s="1539">
        <f>$V358*BIBLE!Z230</f>
        <v/>
      </c>
      <c r="AN358" s="1539">
        <f>$V358*BIBLE!AA230</f>
        <v/>
      </c>
      <c r="AO358" s="1539">
        <f>$V358*BIBLE!AB230</f>
        <v/>
      </c>
      <c r="AP358" s="1539">
        <f>$V358*BIBLE!AC230</f>
        <v/>
      </c>
    </row>
    <row r="359" ht="33" customFormat="1" customHeight="1" s="7">
      <c r="A359" s="1438">
        <f>BIBLE!E208</f>
        <v/>
      </c>
      <c r="B359" s="159">
        <f>IF(P358&gt;=R358,BIBLE!F208,"")</f>
        <v/>
      </c>
      <c r="C359" s="24" t="n"/>
      <c r="D359" s="125">
        <f>BIBLE!L241</f>
        <v/>
      </c>
      <c r="E359" s="20" t="n"/>
      <c r="F359" s="20" t="n"/>
      <c r="G359" s="20" t="n"/>
      <c r="H359" s="20" t="n"/>
      <c r="I359" s="20" t="n"/>
      <c r="J359" s="20" t="n"/>
      <c r="K359" s="20" t="n"/>
      <c r="L359" s="20" t="n"/>
      <c r="M359" s="20" t="n"/>
      <c r="N359" s="20" t="n"/>
      <c r="O359" s="20" t="n"/>
      <c r="P359" s="2096">
        <f>'TEST_pour application'!B325</f>
        <v/>
      </c>
      <c r="Q359" s="26" t="n"/>
      <c r="R359" s="2002">
        <f>IF(BIBLE!K237=0,"",BIBLE!K237)</f>
        <v/>
      </c>
      <c r="S359" s="56" t="n"/>
      <c r="T359" s="56" t="n"/>
      <c r="U359" s="56" t="n"/>
      <c r="V359" s="6" t="n"/>
      <c r="W359" s="301" t="n"/>
      <c r="X359" s="6" t="n"/>
      <c r="Y359" s="6" t="n"/>
      <c r="Z359" s="6" t="n"/>
      <c r="AA359" s="6" t="n"/>
      <c r="AB359" s="6" t="n"/>
      <c r="AC359" s="6" t="n"/>
      <c r="AE359" s="522" t="n"/>
      <c r="AF359" s="93" t="n"/>
      <c r="AG359" s="93" t="n"/>
      <c r="AH359" s="93" t="n"/>
      <c r="AI359" s="775" t="n"/>
      <c r="AJ359" s="775" t="n"/>
      <c r="AK359" s="775" t="n"/>
      <c r="AL359" s="775" t="n"/>
      <c r="AM359" s="775" t="n"/>
      <c r="AN359" s="775" t="n"/>
      <c r="AO359" s="775" t="n"/>
      <c r="AP359" s="775" t="n"/>
    </row>
    <row r="360" ht="17" customFormat="1" customHeight="1" s="7">
      <c r="A360" s="1438" t="n"/>
      <c r="B360" s="162">
        <f>IF(P358&gt;=R358,"Calme","")</f>
        <v/>
      </c>
      <c r="C360" s="93" t="n"/>
      <c r="D360" s="1930" t="n">
        <v>1</v>
      </c>
      <c r="E360" s="52">
        <f>IF(P$359=D360,1,"x")</f>
        <v/>
      </c>
      <c r="F360" s="20" t="n"/>
      <c r="G360" s="20" t="n"/>
      <c r="H360" s="20" t="n"/>
      <c r="I360" s="20" t="n"/>
      <c r="J360" s="20" t="n"/>
      <c r="K360" s="20" t="n"/>
      <c r="L360" s="20" t="n"/>
      <c r="M360" s="20" t="n"/>
      <c r="N360" s="20" t="n"/>
      <c r="O360" s="20" t="n"/>
      <c r="P360" s="26" t="n"/>
      <c r="Q360" s="26" t="n"/>
      <c r="R360" s="2002">
        <f>IF(BIBLE!K251=0,"",BIBLE!K251)</f>
        <v/>
      </c>
      <c r="S360" s="56" t="n"/>
      <c r="T360" s="56" t="n"/>
      <c r="U360" s="56" t="n"/>
      <c r="V360" s="6" t="n"/>
      <c r="W360" s="301" t="n"/>
      <c r="X360" s="6" t="n"/>
      <c r="Y360" s="6" t="n"/>
      <c r="Z360" s="6" t="n"/>
      <c r="AA360" s="6" t="n"/>
      <c r="AB360" s="6" t="n"/>
      <c r="AC360" s="6" t="n"/>
      <c r="AE360" s="522" t="n"/>
      <c r="AF360" s="93" t="n"/>
      <c r="AG360" s="93" t="n"/>
      <c r="AH360" s="93" t="n"/>
      <c r="AI360" s="775" t="n"/>
      <c r="AJ360" s="775" t="n"/>
      <c r="AK360" s="775" t="n"/>
      <c r="AL360" s="775" t="n"/>
      <c r="AM360" s="775" t="n"/>
      <c r="AN360" s="775" t="n"/>
      <c r="AO360" s="775" t="n"/>
      <c r="AP360" s="775" t="n"/>
    </row>
    <row r="361" ht="17" customFormat="1" customHeight="1" s="7">
      <c r="A361" s="1438" t="n"/>
      <c r="B361" s="162">
        <f>IF(P358&gt;=R358,"Neutre","")</f>
        <v/>
      </c>
      <c r="C361" s="93" t="n"/>
      <c r="D361" s="1930" t="n">
        <v>2</v>
      </c>
      <c r="E361" s="52">
        <f>IF(P$359=D361,1,"x")</f>
        <v/>
      </c>
      <c r="F361" s="20" t="n"/>
      <c r="G361" s="20" t="n"/>
      <c r="H361" s="20" t="n"/>
      <c r="I361" s="20" t="n"/>
      <c r="J361" s="20" t="n"/>
      <c r="K361" s="20" t="n"/>
      <c r="L361" s="20" t="n"/>
      <c r="M361" s="20" t="n"/>
      <c r="N361" s="20" t="n"/>
      <c r="O361" s="20" t="n"/>
      <c r="P361" s="26" t="n"/>
      <c r="Q361" s="26" t="n"/>
      <c r="R361" s="2002">
        <f>IF(BIBLE!K252=0,"",BIBLE!K252)</f>
        <v/>
      </c>
      <c r="S361" s="56" t="n"/>
      <c r="T361" s="56" t="n"/>
      <c r="U361" s="56" t="n"/>
      <c r="V361" s="6" t="n"/>
      <c r="W361" s="301" t="n"/>
      <c r="X361" s="6" t="n"/>
      <c r="Y361" s="6" t="n"/>
      <c r="Z361" s="6" t="n"/>
      <c r="AA361" s="6" t="n"/>
      <c r="AB361" s="6" t="n"/>
      <c r="AC361" s="6" t="n"/>
      <c r="AE361" s="522" t="n"/>
      <c r="AF361" s="93" t="n"/>
      <c r="AG361" s="93" t="n"/>
      <c r="AH361" s="93" t="n"/>
      <c r="AI361" s="775" t="n"/>
      <c r="AJ361" s="775" t="n"/>
      <c r="AK361" s="775" t="n"/>
      <c r="AL361" s="775" t="n"/>
      <c r="AM361" s="775" t="n"/>
      <c r="AN361" s="775" t="n"/>
      <c r="AO361" s="775" t="n"/>
      <c r="AP361" s="775" t="n"/>
    </row>
    <row r="362" ht="17" customFormat="1" customHeight="1" s="7">
      <c r="A362" s="1438" t="n"/>
      <c r="B362" s="162">
        <f>IF(P358&gt;=R358,"Enjoué.e","")</f>
        <v/>
      </c>
      <c r="C362" s="93" t="n"/>
      <c r="D362" s="1930" t="n">
        <v>3</v>
      </c>
      <c r="E362" s="52">
        <f>IF(P$359=D362,1,"x")</f>
        <v/>
      </c>
      <c r="F362" s="20" t="n"/>
      <c r="G362" s="20" t="n"/>
      <c r="H362" s="20" t="n"/>
      <c r="I362" s="20" t="n"/>
      <c r="J362" s="20" t="n"/>
      <c r="K362" s="20" t="n"/>
      <c r="L362" s="20" t="n"/>
      <c r="M362" s="20" t="n"/>
      <c r="N362" s="20" t="n"/>
      <c r="O362" s="20" t="n"/>
      <c r="P362" s="26" t="n"/>
      <c r="Q362" s="26" t="n"/>
      <c r="R362" s="2002">
        <f>IF(BIBLE!K256=0,"",BIBLE!K256)</f>
        <v/>
      </c>
      <c r="S362" s="56" t="n"/>
      <c r="T362" s="56" t="n"/>
      <c r="U362" s="56" t="n"/>
      <c r="V362" s="6" t="n"/>
      <c r="W362" s="301" t="n"/>
      <c r="X362" s="6" t="n"/>
      <c r="Y362" s="6" t="n"/>
      <c r="Z362" s="6" t="n"/>
      <c r="AA362" s="6" t="n"/>
      <c r="AB362" s="6" t="n"/>
      <c r="AC362" s="6" t="n"/>
      <c r="AE362" s="522" t="n"/>
      <c r="AF362" s="93" t="n"/>
      <c r="AG362" s="93" t="n"/>
      <c r="AH362" s="93" t="n"/>
      <c r="AI362" s="775" t="n"/>
      <c r="AJ362" s="775" t="n"/>
      <c r="AK362" s="775" t="n"/>
      <c r="AL362" s="775" t="n"/>
      <c r="AM362" s="775" t="n"/>
      <c r="AN362" s="775" t="n"/>
      <c r="AO362" s="775" t="n"/>
      <c r="AP362" s="775" t="n"/>
    </row>
    <row r="363" ht="17" customFormat="1" customHeight="1" s="7">
      <c r="A363" s="1438" t="n"/>
      <c r="B363" s="162">
        <f>IF(P358&gt;=R358,"Taciturne","")</f>
        <v/>
      </c>
      <c r="C363" s="93" t="n"/>
      <c r="D363" s="1930" t="n">
        <v>4</v>
      </c>
      <c r="E363" s="52">
        <f>IF(P$359=D363,1,"x")</f>
        <v/>
      </c>
      <c r="F363" s="20" t="n"/>
      <c r="G363" s="20" t="n"/>
      <c r="H363" s="20" t="n"/>
      <c r="I363" s="20" t="n"/>
      <c r="J363" s="20" t="n"/>
      <c r="K363" s="20" t="n"/>
      <c r="L363" s="20" t="n"/>
      <c r="M363" s="20" t="n"/>
      <c r="N363" s="20" t="n"/>
      <c r="O363" s="20" t="n"/>
      <c r="P363" s="26" t="n"/>
      <c r="Q363" s="26" t="n"/>
      <c r="R363" s="2002">
        <f>IF(BIBLE!K257=0,"",BIBLE!K257)</f>
        <v/>
      </c>
      <c r="S363" s="56" t="n"/>
      <c r="T363" s="56" t="n"/>
      <c r="U363" s="56" t="n"/>
      <c r="V363" s="6" t="n"/>
      <c r="W363" s="301" t="n"/>
      <c r="X363" s="6" t="n"/>
      <c r="Y363" s="6" t="n"/>
      <c r="Z363" s="6" t="n"/>
      <c r="AA363" s="6" t="n"/>
      <c r="AB363" s="6" t="n"/>
      <c r="AC363" s="6" t="n"/>
      <c r="AE363" s="522" t="n"/>
      <c r="AF363" s="93" t="n"/>
      <c r="AG363" s="93" t="n"/>
      <c r="AH363" s="93" t="n"/>
      <c r="AI363" s="775" t="n"/>
      <c r="AJ363" s="775" t="n"/>
      <c r="AK363" s="775" t="n"/>
      <c r="AL363" s="775" t="n"/>
      <c r="AM363" s="775" t="n"/>
      <c r="AN363" s="775" t="n"/>
      <c r="AO363" s="775" t="n"/>
      <c r="AP363" s="775" t="n"/>
    </row>
    <row r="364" ht="17" customFormat="1" customHeight="1" s="7">
      <c r="A364" s="1438" t="n"/>
      <c r="B364" s="162">
        <f>IF(P358&gt;=R358,"Anxieux","")</f>
        <v/>
      </c>
      <c r="C364" s="93" t="n"/>
      <c r="D364" s="1930" t="n">
        <v>5</v>
      </c>
      <c r="E364" s="52">
        <f>IF(P$359=D364,1,"x")</f>
        <v/>
      </c>
      <c r="F364" s="20" t="n"/>
      <c r="G364" s="20" t="n"/>
      <c r="H364" s="20" t="n"/>
      <c r="I364" s="20" t="n"/>
      <c r="J364" s="20" t="n"/>
      <c r="K364" s="20" t="n"/>
      <c r="L364" s="20" t="n"/>
      <c r="M364" s="20" t="n"/>
      <c r="N364" s="20" t="n"/>
      <c r="O364" s="20" t="n"/>
      <c r="P364" s="26" t="n"/>
      <c r="Q364" s="26" t="n"/>
      <c r="R364" s="2002">
        <f>IF(BIBLE!K258=0,"",BIBLE!K258)</f>
        <v/>
      </c>
      <c r="S364" s="56" t="n"/>
      <c r="T364" s="56" t="n"/>
      <c r="U364" s="56" t="n"/>
      <c r="V364" s="6" t="n"/>
      <c r="W364" s="301" t="n"/>
      <c r="X364" s="6" t="n"/>
      <c r="Y364" s="6" t="n"/>
      <c r="Z364" s="6" t="n"/>
      <c r="AA364" s="6" t="n"/>
      <c r="AB364" s="6" t="n"/>
      <c r="AC364" s="6" t="n"/>
      <c r="AE364" s="522" t="n"/>
      <c r="AF364" s="93" t="n"/>
      <c r="AG364" s="93" t="n"/>
      <c r="AH364" s="93" t="n"/>
      <c r="AI364" s="775" t="n"/>
      <c r="AJ364" s="775" t="n"/>
      <c r="AK364" s="775" t="n"/>
      <c r="AL364" s="775" t="n"/>
      <c r="AM364" s="775" t="n"/>
      <c r="AN364" s="775" t="n"/>
      <c r="AO364" s="775" t="n"/>
      <c r="AP364" s="775" t="n"/>
    </row>
    <row r="365" ht="17" customFormat="1" customHeight="1" s="7">
      <c r="A365" s="1438" t="n"/>
      <c r="B365" s="162">
        <f>IF(P358&gt;=R358,"Agressif","")</f>
        <v/>
      </c>
      <c r="C365" s="93" t="n"/>
      <c r="D365" s="1930" t="n">
        <v>6</v>
      </c>
      <c r="E365" s="52">
        <f>IF(P$359=D365,1,"x")</f>
        <v/>
      </c>
      <c r="F365" s="20" t="n"/>
      <c r="G365" s="20" t="n"/>
      <c r="H365" s="20" t="n"/>
      <c r="I365" s="20" t="n"/>
      <c r="J365" s="20" t="n"/>
      <c r="K365" s="20" t="n"/>
      <c r="L365" s="20" t="n"/>
      <c r="M365" s="20" t="n"/>
      <c r="N365" s="20" t="n"/>
      <c r="O365" s="20" t="n"/>
      <c r="P365" s="26" t="n"/>
      <c r="Q365" s="26" t="n"/>
      <c r="R365" s="2002">
        <f>IF(BIBLE!K259=0,"",BIBLE!K259)</f>
        <v/>
      </c>
      <c r="S365" s="56" t="n"/>
      <c r="T365" s="56" t="n"/>
      <c r="U365" s="56" t="n"/>
      <c r="V365" s="6" t="n"/>
      <c r="W365" s="301" t="n"/>
      <c r="X365" s="6" t="n"/>
      <c r="Y365" s="6" t="n"/>
      <c r="Z365" s="6" t="n"/>
      <c r="AA365" s="6" t="n"/>
      <c r="AB365" s="6" t="n"/>
      <c r="AC365" s="6" t="n"/>
      <c r="AE365" s="522" t="n"/>
      <c r="AF365" s="93" t="n"/>
      <c r="AG365" s="93" t="n"/>
      <c r="AH365" s="93" t="n"/>
      <c r="AI365" s="775" t="n"/>
      <c r="AJ365" s="775" t="n"/>
      <c r="AK365" s="775" t="n"/>
      <c r="AL365" s="775" t="n"/>
      <c r="AM365" s="775" t="n"/>
      <c r="AN365" s="775" t="n"/>
      <c r="AO365" s="775" t="n"/>
      <c r="AP365" s="775" t="n"/>
    </row>
    <row r="366" customFormat="1" s="2002">
      <c r="A366" s="1438" t="n"/>
      <c r="B366" s="162" t="n"/>
      <c r="C366" s="24" t="n"/>
      <c r="D366" s="294" t="n"/>
      <c r="P366" s="25" t="n"/>
      <c r="Q366" s="26" t="n"/>
      <c r="R366" s="6" t="n"/>
      <c r="AE366" s="522" t="n"/>
      <c r="AF366" s="93" t="n"/>
      <c r="AG366" s="93" t="n"/>
      <c r="AH366" s="93" t="n"/>
      <c r="AI366" s="775" t="n"/>
      <c r="AJ366" s="775" t="n"/>
      <c r="AK366" s="775" t="n"/>
      <c r="AL366" s="775" t="n"/>
      <c r="AM366" s="775" t="n"/>
      <c r="AN366" s="775" t="n"/>
      <c r="AO366" s="775" t="n"/>
      <c r="AP366" s="775" t="n"/>
    </row>
    <row r="367" customFormat="1" s="2002">
      <c r="A367" s="1438" t="n"/>
      <c r="B367" s="335" t="n"/>
      <c r="C367" s="125" t="n"/>
      <c r="D367" s="294" t="n"/>
      <c r="E367" s="55" t="n"/>
      <c r="F367" s="55" t="n"/>
      <c r="K367" s="7" t="n"/>
      <c r="L367" s="90" t="n"/>
      <c r="M367" s="6" t="n"/>
      <c r="N367" s="547" t="n"/>
      <c r="O367" s="55" t="n"/>
      <c r="P367" s="55" t="n"/>
      <c r="V367" s="497">
        <f>SUM(V259:V366)</f>
        <v/>
      </c>
      <c r="X367" s="497">
        <f>SUM(X259:X366)</f>
        <v/>
      </c>
      <c r="Y367" s="497">
        <f>SUM(Y259:Y366)</f>
        <v/>
      </c>
      <c r="Z367" s="497">
        <f>SUM(Z259:Z366)</f>
        <v/>
      </c>
      <c r="AA367" s="497">
        <f>SUM(AA259:AA366)</f>
        <v/>
      </c>
      <c r="AB367" s="497">
        <f>SUM(AB259:AB366)</f>
        <v/>
      </c>
      <c r="AC367" s="497">
        <f>SUM(AC259:AC366)</f>
        <v/>
      </c>
      <c r="AD367" s="979">
        <f>V367/AC367</f>
        <v/>
      </c>
      <c r="AE367" s="1550">
        <f>SUM(AE259:AE356)</f>
        <v/>
      </c>
      <c r="AF367" s="1551">
        <f>SUM(AF259:AF356)</f>
        <v/>
      </c>
      <c r="AG367" s="1551">
        <f>SUM(AG259:AG356)</f>
        <v/>
      </c>
      <c r="AH367" s="1551">
        <f>SUM(AH259:AH356)</f>
        <v/>
      </c>
      <c r="AI367" s="1552">
        <f>SUM(AI259:AI356)</f>
        <v/>
      </c>
      <c r="AJ367" s="1552">
        <f>SUM(AJ259:AJ356)</f>
        <v/>
      </c>
      <c r="AK367" s="1552">
        <f>SUM(AK259:AK356)</f>
        <v/>
      </c>
      <c r="AL367" s="1552">
        <f>SUM(AL259:AL356)</f>
        <v/>
      </c>
      <c r="AM367" s="1552">
        <f>SUM(AM259:AM356)</f>
        <v/>
      </c>
      <c r="AN367" s="1552">
        <f>SUM(AN259:AN356)</f>
        <v/>
      </c>
      <c r="AO367" s="1552">
        <f>SUM(AO259:AO356)</f>
        <v/>
      </c>
      <c r="AP367" s="1552">
        <f>SUM(AP259:AP356)</f>
        <v/>
      </c>
    </row>
    <row r="368" customFormat="1" s="2002">
      <c r="A368" s="1438" t="n"/>
      <c r="B368" s="335" t="n"/>
      <c r="C368" s="548" t="n"/>
      <c r="D368" s="294" t="n"/>
      <c r="E368" s="301" t="n"/>
      <c r="F368" s="301" t="n"/>
      <c r="G368" s="301" t="n"/>
      <c r="H368" s="301" t="n"/>
      <c r="I368" s="301" t="n"/>
      <c r="J368" s="301" t="n"/>
      <c r="K368" s="301" t="n"/>
      <c r="L368" s="55" t="n"/>
      <c r="M368" s="55" t="n"/>
      <c r="N368" s="55" t="n"/>
      <c r="O368" s="55" t="n"/>
      <c r="P368" s="301" t="n"/>
      <c r="V368" s="6" t="n"/>
      <c r="X368" s="6" t="n"/>
      <c r="Y368" s="6" t="n"/>
      <c r="Z368" s="6" t="n"/>
      <c r="AA368" s="6" t="n"/>
      <c r="AB368" s="6" t="n"/>
      <c r="AC368" s="6" t="n"/>
      <c r="AE368" s="1547" t="n"/>
      <c r="AF368" s="1548">
        <f>AF367/SUM($AF$367:$AH$367)</f>
        <v/>
      </c>
      <c r="AG368" s="1548">
        <f>AG367/SUM($AF$367:$AH$367)</f>
        <v/>
      </c>
      <c r="AH368" s="1548">
        <f>AH367/SUM($AF$367:$AH$367)</f>
        <v/>
      </c>
      <c r="AI368" s="1549">
        <f>AI367/SUM($AI$367:$AP$367)</f>
        <v/>
      </c>
      <c r="AJ368" s="1549">
        <f>AJ367/SUM($AI$367:$AP$367)</f>
        <v/>
      </c>
      <c r="AK368" s="1549">
        <f>AK367/SUM($AI$367:$AP$367)</f>
        <v/>
      </c>
      <c r="AL368" s="1549">
        <f>AL367/SUM($AI$367:$AP$367)</f>
        <v/>
      </c>
      <c r="AM368" s="1549">
        <f>AM367/SUM($AI$367:$AP$367)</f>
        <v/>
      </c>
      <c r="AN368" s="1549">
        <f>AN367/SUM($AI$367:$AP$367)</f>
        <v/>
      </c>
      <c r="AO368" s="1549">
        <f>AO367/SUM($AI$367:$AP$367)</f>
        <v/>
      </c>
      <c r="AP368" s="1549">
        <f>AP367/SUM($AI$367:$AP$367)</f>
        <v/>
      </c>
    </row>
    <row r="369" customFormat="1" s="2002">
      <c r="A369" s="1438" t="n"/>
      <c r="B369" s="335" t="n"/>
      <c r="C369" s="548" t="n"/>
      <c r="D369" s="294" t="n"/>
      <c r="E369" s="301" t="n"/>
      <c r="F369" s="301" t="n"/>
      <c r="G369" s="301" t="n"/>
      <c r="H369" s="301" t="n"/>
      <c r="I369" s="301" t="n"/>
      <c r="J369" s="301" t="n"/>
      <c r="K369" s="301" t="n"/>
      <c r="L369" s="55" t="n"/>
      <c r="M369" s="55" t="n"/>
      <c r="N369" s="55" t="n"/>
      <c r="O369" s="55" t="n"/>
      <c r="P369" s="301" t="n"/>
      <c r="V369" s="6" t="n"/>
      <c r="X369" s="6" t="n"/>
      <c r="Y369" s="6" t="n"/>
      <c r="Z369" s="6" t="n"/>
      <c r="AA369" s="6" t="n"/>
      <c r="AB369" s="6" t="n"/>
      <c r="AC369" s="6" t="n"/>
      <c r="AE369" s="522" t="n"/>
      <c r="AF369" s="93" t="n"/>
      <c r="AG369" s="93" t="n"/>
      <c r="AH369" s="93" t="n"/>
      <c r="AI369" s="775" t="n"/>
      <c r="AJ369" s="775" t="n"/>
      <c r="AK369" s="775" t="n"/>
      <c r="AL369" s="775" t="n"/>
      <c r="AM369" s="775" t="n"/>
      <c r="AN369" s="775" t="n"/>
      <c r="AO369" s="775" t="n"/>
      <c r="AP369" s="775" t="n"/>
    </row>
    <row r="370" customFormat="1" s="2002">
      <c r="A370" s="1438" t="n"/>
      <c r="B370" s="335" t="n"/>
      <c r="C370" s="548" t="n"/>
      <c r="D370" s="294" t="n"/>
      <c r="E370" s="301" t="n"/>
      <c r="F370" s="301" t="n"/>
      <c r="G370" s="301" t="n"/>
      <c r="H370" s="301" t="n"/>
      <c r="I370" s="301" t="n"/>
      <c r="J370" s="301" t="n"/>
      <c r="K370" s="301" t="n"/>
      <c r="L370" s="55" t="n"/>
      <c r="M370" s="55" t="n"/>
      <c r="N370" s="55" t="n"/>
      <c r="O370" s="55" t="n"/>
      <c r="P370" s="301" t="n"/>
      <c r="V370" s="6" t="n"/>
      <c r="X370" s="6" t="n"/>
      <c r="Y370" s="6" t="n"/>
      <c r="Z370" s="6" t="n"/>
      <c r="AA370" s="6" t="n"/>
      <c r="AB370" s="6" t="n"/>
      <c r="AC370" s="6" t="n"/>
      <c r="AE370" s="522" t="n"/>
      <c r="AF370" s="93" t="n"/>
      <c r="AG370" s="93" t="n"/>
      <c r="AH370" s="93" t="n"/>
      <c r="AI370" s="775" t="n"/>
      <c r="AJ370" s="775" t="n"/>
      <c r="AK370" s="775" t="n"/>
      <c r="AL370" s="775" t="n"/>
      <c r="AM370" s="775" t="n"/>
      <c r="AN370" s="775" t="n"/>
      <c r="AO370" s="775" t="n"/>
      <c r="AP370" s="775" t="n"/>
    </row>
    <row r="371" customFormat="1" s="2002">
      <c r="A371" s="1438" t="n"/>
      <c r="B371" s="335" t="n"/>
      <c r="D371" s="295" t="n"/>
      <c r="E371" s="305" t="n"/>
      <c r="P371" s="90" t="n"/>
      <c r="V371" s="6" t="n"/>
      <c r="X371" s="6" t="n"/>
      <c r="Y371" s="6" t="n"/>
      <c r="Z371" s="6" t="n"/>
      <c r="AA371" s="6" t="n"/>
      <c r="AB371" s="6" t="n"/>
      <c r="AC371" s="6" t="n"/>
      <c r="AE371" s="522" t="n"/>
      <c r="AF371" s="93" t="n"/>
      <c r="AG371" s="93" t="n"/>
      <c r="AH371" s="93" t="n"/>
      <c r="AI371" s="775" t="n"/>
      <c r="AJ371" s="775" t="n"/>
      <c r="AK371" s="775" t="n"/>
      <c r="AL371" s="775" t="n"/>
      <c r="AM371" s="775" t="n"/>
      <c r="AN371" s="775" t="n"/>
      <c r="AO371" s="775" t="n"/>
      <c r="AP371" s="775" t="n"/>
    </row>
    <row r="372" customFormat="1" s="7">
      <c r="D372" s="295" t="n"/>
      <c r="V372" s="2002" t="n"/>
      <c r="X372" s="2002" t="n"/>
      <c r="Y372" s="2002" t="n"/>
      <c r="Z372" s="2002" t="n"/>
      <c r="AA372" s="2002" t="n"/>
      <c r="AB372" s="2002" t="n"/>
      <c r="AC372" s="2002" t="n"/>
      <c r="AE372" s="522" t="n"/>
      <c r="AF372" s="93" t="n"/>
      <c r="AG372" s="93" t="n"/>
      <c r="AH372" s="93" t="n"/>
      <c r="AI372" s="775" t="n"/>
      <c r="AJ372" s="775" t="n"/>
      <c r="AK372" s="775" t="n"/>
      <c r="AL372" s="775" t="n"/>
      <c r="AM372" s="775" t="n"/>
      <c r="AN372" s="775" t="n"/>
      <c r="AO372" s="775" t="n"/>
      <c r="AP372" s="775" t="n"/>
    </row>
    <row r="373" ht="25" customFormat="1" customHeight="1" s="7" thickBot="1">
      <c r="A373" s="568" t="inlineStr">
        <is>
          <t>Parent répondant - partie 2</t>
        </is>
      </c>
      <c r="B373" s="2066" t="n"/>
      <c r="C373" s="24" t="n"/>
      <c r="D373" s="24" t="inlineStr">
        <is>
          <t>Intensité :</t>
        </is>
      </c>
      <c r="E373" s="517">
        <f>$E$52</f>
        <v/>
      </c>
      <c r="F373" s="303">
        <f>$F$52</f>
        <v/>
      </c>
      <c r="G373" s="303">
        <f>$G$52</f>
        <v/>
      </c>
      <c r="H373" s="303">
        <f>$H$52</f>
        <v/>
      </c>
      <c r="I373" s="303">
        <f>$I$52</f>
        <v/>
      </c>
      <c r="J373" s="303">
        <f>$J$52</f>
        <v/>
      </c>
      <c r="K373" s="303">
        <f>$K$52</f>
        <v/>
      </c>
      <c r="N373" s="55" t="n"/>
      <c r="O373" s="55" t="n"/>
      <c r="P373" s="78" t="inlineStr">
        <is>
          <t>Fréquence seul.</t>
        </is>
      </c>
      <c r="Q373" s="78" t="inlineStr">
        <is>
          <t>Fréquence * Intensité
(valeur de base)</t>
        </is>
      </c>
      <c r="R373" s="78" t="inlineStr">
        <is>
          <t>Condition SQ</t>
        </is>
      </c>
      <c r="V373" s="2002" t="n"/>
      <c r="X373" s="2002" t="n"/>
      <c r="Y373" s="2002" t="n"/>
      <c r="Z373" s="2002" t="n"/>
      <c r="AA373" s="2002" t="n"/>
      <c r="AB373" s="2002" t="n"/>
      <c r="AC373" s="2002" t="n"/>
      <c r="AE373" s="522" t="n"/>
      <c r="AF373" s="93" t="n"/>
      <c r="AG373" s="93" t="n"/>
      <c r="AH373" s="93" t="n"/>
      <c r="AI373" s="775" t="n"/>
      <c r="AJ373" s="775" t="n"/>
      <c r="AK373" s="775" t="n"/>
      <c r="AL373" s="775" t="n"/>
      <c r="AM373" s="775" t="n"/>
      <c r="AN373" s="775" t="n"/>
      <c r="AO373" s="775" t="n"/>
      <c r="AP373" s="775" t="n"/>
    </row>
    <row r="374" ht="36" customFormat="1" customHeight="1" s="7" thickTop="1">
      <c r="A374" s="1437">
        <f>BIBLE!E211</f>
        <v/>
      </c>
      <c r="B374" s="158">
        <f>IF($P$306&gt;=4,BIBLE!F211,"")</f>
        <v/>
      </c>
      <c r="C374" s="125" t="n"/>
      <c r="D374" s="125" t="n"/>
      <c r="E374" s="2002" t="n"/>
      <c r="F374" s="2092" t="n"/>
      <c r="G374" s="2092" t="n"/>
      <c r="H374" s="2092" t="n"/>
      <c r="I374" s="2092" t="n"/>
      <c r="J374" s="2092" t="n"/>
      <c r="K374" s="2092" t="n"/>
      <c r="L374" s="2092" t="n"/>
      <c r="M374" s="2092" t="n"/>
      <c r="N374" s="2092" t="n"/>
      <c r="O374" s="2092" t="n"/>
      <c r="P374" s="1936">
        <f>'TEST_pour application'!B344</f>
        <v/>
      </c>
      <c r="Q374" s="26">
        <f>P374*D374</f>
        <v/>
      </c>
      <c r="R374" s="301" t="n"/>
      <c r="V374" s="2002" t="n"/>
      <c r="X374" s="2002" t="n"/>
      <c r="Y374" s="2002" t="n"/>
      <c r="Z374" s="2002" t="n"/>
      <c r="AA374" s="2002" t="n"/>
      <c r="AB374" s="2002" t="n"/>
      <c r="AC374" s="2002" t="n"/>
      <c r="AE374" s="522" t="n"/>
      <c r="AF374" s="93" t="n"/>
      <c r="AG374" s="93" t="n"/>
      <c r="AH374" s="93" t="n"/>
      <c r="AI374" s="775" t="n"/>
      <c r="AJ374" s="775" t="n"/>
      <c r="AK374" s="775" t="n"/>
      <c r="AL374" s="775" t="n"/>
      <c r="AM374" s="775" t="n"/>
      <c r="AN374" s="775" t="n"/>
      <c r="AO374" s="775" t="n"/>
      <c r="AP374" s="775" t="n"/>
    </row>
    <row r="375" ht="26" customFormat="1" customHeight="1" s="7">
      <c r="A375" s="1437" t="n"/>
      <c r="B375" s="158">
        <f>IF($P$306&gt;=4,"Je reste calme, mais je ne me laisse pas insulter par mon enfant ","")</f>
        <v/>
      </c>
      <c r="C375" s="125" t="n"/>
      <c r="D375" s="1930" t="n">
        <v>1</v>
      </c>
      <c r="E375" s="52">
        <f>IF(P$374=D375,1,"x")</f>
        <v/>
      </c>
      <c r="F375" s="2092" t="n"/>
      <c r="G375" s="2092" t="n"/>
      <c r="H375" s="2092" t="n"/>
      <c r="I375" s="2092" t="n"/>
      <c r="J375" s="2092" t="n"/>
      <c r="K375" s="2092" t="n"/>
      <c r="L375" s="2092" t="n"/>
      <c r="M375" s="2092" t="n"/>
      <c r="N375" s="2092" t="n"/>
      <c r="O375" s="2092" t="n"/>
      <c r="P375" s="25" t="n"/>
      <c r="Q375" s="26" t="n"/>
      <c r="R375" s="301" t="n"/>
      <c r="V375" s="2002" t="n"/>
      <c r="X375" s="2002" t="n"/>
      <c r="Y375" s="2002" t="n"/>
      <c r="Z375" s="2002" t="n"/>
      <c r="AA375" s="2002" t="n"/>
      <c r="AB375" s="2002" t="n"/>
      <c r="AC375" s="2002" t="n"/>
      <c r="AE375" s="522" t="n"/>
      <c r="AF375" s="93" t="n"/>
      <c r="AG375" s="93" t="n"/>
      <c r="AH375" s="93" t="n"/>
      <c r="AI375" s="775" t="n"/>
      <c r="AJ375" s="775" t="n"/>
      <c r="AK375" s="775" t="n"/>
      <c r="AL375" s="775" t="n"/>
      <c r="AM375" s="775" t="n"/>
      <c r="AN375" s="775" t="n"/>
      <c r="AO375" s="775" t="n"/>
      <c r="AP375" s="775" t="n"/>
    </row>
    <row r="376" ht="26" customFormat="1" customHeight="1" s="7">
      <c r="A376" s="1437" t="n"/>
      <c r="B376" s="158">
        <f>IF($P$306&gt;=4,"Je l'envoie réfléchir et lui demande de revenir lorsqu'il sera calme","")</f>
        <v/>
      </c>
      <c r="C376" s="125" t="n"/>
      <c r="D376" s="1930" t="n">
        <v>2</v>
      </c>
      <c r="E376" s="52">
        <f>IF(P$374=D376,1,"x")</f>
        <v/>
      </c>
      <c r="F376" s="2092" t="n"/>
      <c r="G376" s="2092" t="n"/>
      <c r="H376" s="2092" t="n"/>
      <c r="I376" s="2092" t="n"/>
      <c r="J376" s="2092" t="n"/>
      <c r="K376" s="2092" t="n"/>
      <c r="L376" s="2092" t="n"/>
      <c r="M376" s="2092" t="n"/>
      <c r="N376" s="2092" t="n"/>
      <c r="O376" s="2092" t="n"/>
      <c r="P376" s="25" t="n"/>
      <c r="Q376" s="26" t="n"/>
      <c r="R376" s="301" t="n"/>
      <c r="X376" s="2002" t="n"/>
      <c r="Y376" s="2002" t="n"/>
      <c r="Z376" s="2002" t="n"/>
      <c r="AA376" s="2002" t="n"/>
      <c r="AB376" s="2002" t="n"/>
      <c r="AC376" s="2002" t="n"/>
      <c r="AE376" s="522" t="n"/>
      <c r="AF376" s="93" t="n"/>
      <c r="AG376" s="93" t="n"/>
      <c r="AH376" s="93" t="n"/>
      <c r="AI376" s="775" t="n"/>
      <c r="AJ376" s="775" t="n"/>
      <c r="AK376" s="775" t="n"/>
      <c r="AL376" s="775" t="n"/>
      <c r="AM376" s="775" t="n"/>
      <c r="AN376" s="775" t="n"/>
      <c r="AO376" s="775" t="n"/>
      <c r="AP376" s="775" t="n"/>
    </row>
    <row r="377" ht="26" customFormat="1" customHeight="1" s="7">
      <c r="A377" s="1437" t="n"/>
      <c r="B377" s="158">
        <f>IF($P$306&gt;=4,"J'impose des conséquences pour corriger le comportement inadéquat de mon enfant ","")</f>
        <v/>
      </c>
      <c r="C377" s="125" t="n"/>
      <c r="D377" s="1930" t="n">
        <v>3</v>
      </c>
      <c r="E377" s="52">
        <f>IF(P$374=D377,1,"x")</f>
        <v/>
      </c>
      <c r="F377" s="2092" t="n"/>
      <c r="G377" s="2092" t="n"/>
      <c r="H377" s="2092" t="n"/>
      <c r="I377" s="2092" t="n"/>
      <c r="J377" s="2092" t="n"/>
      <c r="K377" s="2092" t="n"/>
      <c r="L377" s="2092" t="n"/>
      <c r="M377" s="2092" t="n"/>
      <c r="N377" s="2092" t="n"/>
      <c r="O377" s="2092" t="n"/>
      <c r="P377" s="25" t="n"/>
      <c r="Q377" s="26" t="n"/>
      <c r="R377" s="301" t="n"/>
      <c r="X377" s="2002" t="n"/>
      <c r="Y377" s="2002" t="n"/>
      <c r="Z377" s="2002" t="n"/>
      <c r="AA377" s="2002" t="n"/>
      <c r="AB377" s="2002" t="n"/>
      <c r="AC377" s="2002" t="n"/>
      <c r="AE377" s="522" t="n"/>
      <c r="AF377" s="93" t="n"/>
      <c r="AG377" s="93" t="n"/>
      <c r="AH377" s="93" t="n"/>
      <c r="AI377" s="775" t="n"/>
      <c r="AJ377" s="775" t="n"/>
      <c r="AK377" s="775" t="n"/>
      <c r="AL377" s="775" t="n"/>
      <c r="AM377" s="775" t="n"/>
      <c r="AN377" s="775" t="n"/>
      <c r="AO377" s="775" t="n"/>
      <c r="AP377" s="775" t="n"/>
    </row>
    <row r="378" ht="26" customFormat="1" customHeight="1" s="7">
      <c r="A378" s="1437" t="n"/>
      <c r="B378" s="158">
        <f>IF($P$306&gt;=4,"Je suis en colère contre l'autre parent car je sais que le reproche vient de lui et non de mon enfant. Et je le signifie à mon enfant.","")</f>
        <v/>
      </c>
      <c r="C378" s="125" t="n"/>
      <c r="D378" s="1930" t="n">
        <v>4</v>
      </c>
      <c r="E378" s="52">
        <f>IF(P$374=D378,1,"x")</f>
        <v/>
      </c>
      <c r="F378" s="2092" t="n"/>
      <c r="G378" s="2092" t="n"/>
      <c r="H378" s="2092" t="n"/>
      <c r="I378" s="2092" t="n"/>
      <c r="J378" s="2092" t="n"/>
      <c r="K378" s="2092" t="n"/>
      <c r="L378" s="2092" t="n"/>
      <c r="M378" s="2092" t="n"/>
      <c r="N378" s="2092" t="n"/>
      <c r="O378" s="2092" t="n"/>
      <c r="P378" s="25" t="n"/>
      <c r="Q378" s="26" t="n"/>
      <c r="R378" s="301" t="n"/>
      <c r="X378" s="2002" t="n"/>
      <c r="Y378" s="2002" t="n"/>
      <c r="Z378" s="2002" t="n"/>
      <c r="AA378" s="2002" t="n"/>
      <c r="AB378" s="2002" t="n"/>
      <c r="AC378" s="2002" t="n"/>
      <c r="AE378" s="522" t="n"/>
      <c r="AF378" s="93" t="n"/>
      <c r="AG378" s="93" t="n"/>
      <c r="AH378" s="93" t="n"/>
      <c r="AI378" s="775" t="n"/>
      <c r="AJ378" s="775" t="n"/>
      <c r="AK378" s="775" t="n"/>
      <c r="AL378" s="775" t="n"/>
      <c r="AM378" s="775" t="n"/>
      <c r="AN378" s="775" t="n"/>
      <c r="AO378" s="775" t="n"/>
      <c r="AP378" s="775" t="n"/>
    </row>
    <row r="379" ht="26" customFormat="1" customHeight="1" s="7">
      <c r="A379" s="1437" t="n"/>
      <c r="B379" s="158">
        <f>IF($P$306&gt;=4,"Aucune de ces réponses ","")</f>
        <v/>
      </c>
      <c r="C379" s="125" t="n"/>
      <c r="D379" s="1930" t="n">
        <v>5</v>
      </c>
      <c r="E379" s="52">
        <f>IF(P$374=D379,1,"x")</f>
        <v/>
      </c>
      <c r="F379" s="2092" t="n"/>
      <c r="G379" s="2092" t="n"/>
      <c r="H379" s="2092" t="n"/>
      <c r="I379" s="2092" t="n"/>
      <c r="J379" s="2092" t="n"/>
      <c r="K379" s="2092" t="n"/>
      <c r="L379" s="2092" t="n"/>
      <c r="M379" s="2092" t="n"/>
      <c r="N379" s="2092" t="n"/>
      <c r="O379" s="2092" t="n"/>
      <c r="P379" s="25" t="n"/>
      <c r="Q379" s="26" t="n"/>
      <c r="R379" s="301" t="n"/>
      <c r="X379" s="2002" t="n"/>
      <c r="Y379" s="2002" t="n"/>
      <c r="Z379" s="2002" t="n"/>
      <c r="AA379" s="2002" t="n"/>
      <c r="AB379" s="2002" t="n"/>
      <c r="AC379" s="2002" t="n"/>
      <c r="AE379" s="522" t="n"/>
      <c r="AF379" s="93" t="n"/>
      <c r="AG379" s="93" t="n"/>
      <c r="AH379" s="93" t="n"/>
      <c r="AI379" s="775" t="n"/>
      <c r="AJ379" s="775" t="n"/>
      <c r="AK379" s="775" t="n"/>
      <c r="AL379" s="775" t="n"/>
      <c r="AM379" s="775" t="n"/>
      <c r="AN379" s="775" t="n"/>
      <c r="AO379" s="775" t="n"/>
      <c r="AP379" s="775" t="n"/>
    </row>
    <row r="380" customFormat="1" s="7">
      <c r="A380" s="1437" t="n"/>
      <c r="B380" s="158" t="n"/>
      <c r="C380" s="125" t="n"/>
      <c r="D380" s="125" t="n"/>
      <c r="E380" s="2092" t="n"/>
      <c r="F380" s="2092" t="n"/>
      <c r="G380" s="2092" t="n"/>
      <c r="H380" s="2092" t="n"/>
      <c r="I380" s="2092" t="n"/>
      <c r="J380" s="2092" t="n"/>
      <c r="K380" s="2092" t="n"/>
      <c r="L380" s="2092" t="n"/>
      <c r="M380" s="2092" t="n"/>
      <c r="N380" s="2092" t="n"/>
      <c r="O380" s="2092" t="n"/>
      <c r="P380" s="25" t="n"/>
      <c r="Q380" s="26" t="n"/>
      <c r="R380" s="301" t="n"/>
      <c r="X380" s="2002" t="n"/>
      <c r="Y380" s="2002" t="n"/>
      <c r="Z380" s="2002" t="n"/>
      <c r="AA380" s="2002" t="n"/>
      <c r="AB380" s="2002" t="n"/>
      <c r="AC380" s="2002" t="n"/>
      <c r="AE380" s="522" t="n"/>
      <c r="AF380" s="93" t="n"/>
      <c r="AG380" s="93" t="n"/>
      <c r="AH380" s="93" t="n"/>
      <c r="AI380" s="775" t="n"/>
      <c r="AJ380" s="775" t="n"/>
      <c r="AK380" s="775" t="n"/>
      <c r="AL380" s="775" t="n"/>
      <c r="AM380" s="775" t="n"/>
      <c r="AN380" s="775" t="n"/>
      <c r="AO380" s="775" t="n"/>
      <c r="AP380" s="775" t="n"/>
    </row>
    <row r="381" ht="17" customFormat="1" customHeight="1" s="7">
      <c r="A381" s="1437">
        <f>BIBLE!E212</f>
        <v/>
      </c>
      <c r="B381" s="158">
        <f>IF(OR($P$265&gt;=4,$P$320&gt;=4),BIBLE!F212,"")</f>
        <v/>
      </c>
      <c r="C381" s="125" t="n"/>
      <c r="D381" s="125" t="n"/>
      <c r="E381" s="2002" t="n"/>
      <c r="F381" s="2092" t="n"/>
      <c r="G381" s="2092" t="n"/>
      <c r="H381" s="2092" t="n"/>
      <c r="I381" s="2092" t="n"/>
      <c r="J381" s="2092" t="n"/>
      <c r="K381" s="2092" t="n"/>
      <c r="L381" s="2092" t="n"/>
      <c r="M381" s="2092" t="n"/>
      <c r="N381" s="2092" t="n"/>
      <c r="O381" s="2092" t="n"/>
      <c r="P381" s="1936">
        <f>'TEST_pour application'!B345</f>
        <v/>
      </c>
      <c r="Q381" s="26">
        <f>P381*D381</f>
        <v/>
      </c>
      <c r="R381" s="301" t="n"/>
      <c r="V381" s="2002" t="n"/>
      <c r="X381" s="2002" t="n"/>
      <c r="Y381" s="2002" t="n"/>
      <c r="Z381" s="2002" t="n"/>
      <c r="AA381" s="2002" t="n"/>
      <c r="AB381" s="2002" t="n"/>
      <c r="AC381" s="2002" t="n"/>
      <c r="AE381" s="522" t="n"/>
      <c r="AF381" s="93" t="n"/>
      <c r="AG381" s="93" t="n"/>
      <c r="AH381" s="93" t="n"/>
      <c r="AI381" s="775" t="n"/>
      <c r="AJ381" s="775" t="n"/>
      <c r="AK381" s="775" t="n"/>
      <c r="AL381" s="775" t="n"/>
      <c r="AM381" s="775" t="n"/>
      <c r="AN381" s="775" t="n"/>
      <c r="AO381" s="775" t="n"/>
      <c r="AP381" s="775" t="n"/>
    </row>
    <row r="382" ht="17" customFormat="1" customHeight="1" s="7">
      <c r="A382" s="1437" t="n"/>
      <c r="B382" s="158">
        <f>IF(OR($P$265&gt;=4,$P$284&gt;=4),"Vous tentez de le raisonner et vous vous justifiez ","")</f>
        <v/>
      </c>
      <c r="C382" s="125" t="n"/>
      <c r="D382" s="1930" t="n">
        <v>1</v>
      </c>
      <c r="E382" s="52">
        <f>IF(P$381=D382,1,"x")</f>
        <v/>
      </c>
      <c r="F382" s="2002" t="n"/>
      <c r="G382" s="2002" t="n"/>
      <c r="H382" s="2002" t="n"/>
      <c r="I382" s="2002" t="n"/>
      <c r="J382" s="2002" t="n"/>
      <c r="K382" s="2002" t="n"/>
      <c r="L382" s="2002" t="n"/>
      <c r="M382" s="2002" t="n"/>
      <c r="N382" s="2002" t="n"/>
      <c r="O382" s="2002" t="n"/>
      <c r="P382" s="25" t="n"/>
      <c r="Q382" s="26" t="n"/>
      <c r="R382" s="301" t="n"/>
      <c r="V382" s="86" t="n"/>
      <c r="X382" s="2002" t="n"/>
      <c r="Y382" s="2002" t="n"/>
      <c r="Z382" s="2002" t="n"/>
      <c r="AA382" s="2002" t="n"/>
      <c r="AB382" s="2002" t="n"/>
      <c r="AC382" s="2002" t="n"/>
      <c r="AE382" s="522" t="n"/>
      <c r="AF382" s="93" t="n"/>
      <c r="AG382" s="93" t="n"/>
      <c r="AH382" s="93" t="n"/>
      <c r="AI382" s="775" t="n"/>
      <c r="AJ382" s="775" t="n"/>
      <c r="AK382" s="775" t="n"/>
      <c r="AL382" s="775" t="n"/>
      <c r="AM382" s="775" t="n"/>
      <c r="AN382" s="775" t="n"/>
      <c r="AO382" s="775" t="n"/>
      <c r="AP382" s="775" t="n"/>
    </row>
    <row r="383" ht="17" customFormat="1" customHeight="1" s="7">
      <c r="A383" s="1437" t="n"/>
      <c r="B383" s="158">
        <f>IF(OR($P$265&gt;=4,$P$284&gt;=4),"Vous faites valoir que l'autre parent lui a menti ","")</f>
        <v/>
      </c>
      <c r="C383" s="125" t="n"/>
      <c r="D383" s="1930" t="n">
        <v>2</v>
      </c>
      <c r="E383" s="52">
        <f>IF(P$381=D383,1,"x")</f>
        <v/>
      </c>
      <c r="F383" s="2002" t="n"/>
      <c r="G383" s="2002" t="n"/>
      <c r="H383" s="2002" t="n"/>
      <c r="I383" s="2002" t="n"/>
      <c r="J383" s="2002" t="n"/>
      <c r="K383" s="2002" t="n"/>
      <c r="L383" s="2002" t="n"/>
      <c r="M383" s="2002" t="n"/>
      <c r="N383" s="2002" t="n"/>
      <c r="O383" s="2002" t="n"/>
      <c r="P383" s="25" t="n"/>
      <c r="Q383" s="26" t="n"/>
      <c r="R383" s="301" t="n"/>
      <c r="V383" s="2002" t="n"/>
      <c r="X383" s="2002" t="n"/>
      <c r="Y383" s="2002" t="n"/>
      <c r="Z383" s="2002" t="n"/>
      <c r="AA383" s="2002" t="n"/>
      <c r="AB383" s="2002" t="n"/>
      <c r="AC383" s="2002" t="n"/>
      <c r="AE383" s="522" t="n"/>
      <c r="AF383" s="93" t="n"/>
      <c r="AG383" s="93" t="n"/>
      <c r="AH383" s="93" t="n"/>
      <c r="AI383" s="775" t="n"/>
      <c r="AJ383" s="775" t="n"/>
      <c r="AK383" s="775" t="n"/>
      <c r="AL383" s="775" t="n"/>
      <c r="AM383" s="775" t="n"/>
      <c r="AN383" s="775" t="n"/>
      <c r="AO383" s="775" t="n"/>
      <c r="AP383" s="775" t="n"/>
    </row>
    <row r="384" ht="17" customFormat="1" customHeight="1" s="7">
      <c r="A384" s="1437" t="n"/>
      <c r="B384" s="158">
        <f>IF(OR($P$265&gt;=4,$P$284&gt;=4),"Vous êtes blessé·e, vous êtes émotif ou émotive ","")</f>
        <v/>
      </c>
      <c r="C384" s="125" t="n"/>
      <c r="D384" s="1930" t="n">
        <v>3</v>
      </c>
      <c r="E384" s="52">
        <f>IF(P$381=D384,1,"x")</f>
        <v/>
      </c>
      <c r="F384" s="2002" t="n"/>
      <c r="G384" s="2002" t="n"/>
      <c r="H384" s="2002" t="n"/>
      <c r="I384" s="2002" t="n"/>
      <c r="J384" s="2002" t="n"/>
      <c r="K384" s="2002" t="n"/>
      <c r="L384" s="2002" t="n"/>
      <c r="M384" s="2002" t="n"/>
      <c r="N384" s="2002" t="n"/>
      <c r="O384" s="2002" t="n"/>
      <c r="P384" s="25" t="n"/>
      <c r="Q384" s="26" t="n"/>
      <c r="R384" s="301" t="n"/>
      <c r="V384" s="2002" t="n"/>
      <c r="X384" s="2002" t="n"/>
      <c r="Y384" s="2002" t="n"/>
      <c r="Z384" s="2002" t="n"/>
      <c r="AA384" s="2002" t="n"/>
      <c r="AB384" s="2002" t="n"/>
      <c r="AC384" s="2002" t="n"/>
      <c r="AE384" s="522" t="n"/>
      <c r="AF384" s="93" t="n"/>
      <c r="AG384" s="93" t="n"/>
      <c r="AH384" s="93" t="n"/>
      <c r="AI384" s="775" t="n"/>
      <c r="AJ384" s="775" t="n"/>
      <c r="AK384" s="775" t="n"/>
      <c r="AL384" s="775" t="n"/>
      <c r="AM384" s="775" t="n"/>
      <c r="AN384" s="775" t="n"/>
      <c r="AO384" s="775" t="n"/>
      <c r="AP384" s="775" t="n"/>
    </row>
    <row r="385" ht="17" customFormat="1" customHeight="1" s="7">
      <c r="A385" s="1437" t="n"/>
      <c r="B385" s="158">
        <f>IF(OR($P$265&gt;=4,$P$284&gt;=4),"Aucune de ces réponses","")</f>
        <v/>
      </c>
      <c r="C385" s="125" t="n"/>
      <c r="D385" s="1930" t="n">
        <v>4</v>
      </c>
      <c r="E385" s="52">
        <f>IF(P$381=D385,1,"x")</f>
        <v/>
      </c>
      <c r="V385" s="2002" t="n"/>
      <c r="X385" s="2002" t="n"/>
      <c r="Y385" s="2002" t="n"/>
      <c r="Z385" s="2002" t="n"/>
      <c r="AA385" s="2002" t="n"/>
      <c r="AB385" s="2002" t="n"/>
      <c r="AC385" s="2002" t="n"/>
      <c r="AE385" s="522" t="n"/>
      <c r="AF385" s="93" t="n"/>
      <c r="AG385" s="93" t="n"/>
      <c r="AH385" s="93" t="n"/>
      <c r="AI385" s="775" t="n"/>
      <c r="AJ385" s="775" t="n"/>
      <c r="AK385" s="775" t="n"/>
      <c r="AL385" s="775" t="n"/>
      <c r="AM385" s="775" t="n"/>
      <c r="AN385" s="775" t="n"/>
      <c r="AO385" s="775" t="n"/>
      <c r="AP385" s="775" t="n"/>
    </row>
    <row r="386" customFormat="1" s="7">
      <c r="A386" s="1437" t="n"/>
      <c r="B386" s="158" t="n"/>
      <c r="D386" s="295" t="n"/>
      <c r="V386" s="2002" t="n"/>
      <c r="X386" s="2002" t="n"/>
      <c r="Y386" s="2002" t="n"/>
      <c r="Z386" s="2002" t="n"/>
      <c r="AA386" s="2002" t="n"/>
      <c r="AB386" s="2002" t="n"/>
      <c r="AC386" s="2002" t="n"/>
      <c r="AE386" s="522" t="n"/>
      <c r="AF386" s="93" t="n"/>
      <c r="AG386" s="93" t="n"/>
      <c r="AH386" s="93" t="n"/>
      <c r="AI386" s="775" t="n"/>
      <c r="AJ386" s="775" t="n"/>
      <c r="AK386" s="775" t="n"/>
      <c r="AL386" s="775" t="n"/>
      <c r="AM386" s="775" t="n"/>
      <c r="AN386" s="775" t="n"/>
      <c r="AO386" s="775" t="n"/>
      <c r="AP386" s="775" t="n"/>
    </row>
    <row r="387" customFormat="1" s="7">
      <c r="A387" s="130" t="n"/>
      <c r="B387" s="2066" t="n"/>
      <c r="C387" s="1991" t="n"/>
      <c r="D387" s="295" t="n"/>
      <c r="G387" s="2002" t="n"/>
      <c r="H387" s="2002" t="n"/>
      <c r="I387" s="2002" t="n"/>
      <c r="J387" s="2002" t="n"/>
      <c r="P387" s="90" t="n"/>
      <c r="Q387" s="6" t="n"/>
      <c r="V387" s="2002" t="n"/>
      <c r="X387" s="2002" t="n"/>
      <c r="Y387" s="2002" t="n"/>
      <c r="Z387" s="2002" t="n"/>
      <c r="AA387" s="2002" t="n"/>
      <c r="AB387" s="2002" t="n"/>
      <c r="AC387" s="2002" t="n"/>
      <c r="AE387" s="522" t="n"/>
      <c r="AF387" s="93" t="n"/>
      <c r="AG387" s="93" t="n"/>
      <c r="AH387" s="93" t="n"/>
      <c r="AI387" s="775" t="n"/>
      <c r="AJ387" s="775" t="n"/>
      <c r="AK387" s="775" t="n"/>
      <c r="AL387" s="775" t="n"/>
      <c r="AM387" s="775" t="n"/>
      <c r="AN387" s="775" t="n"/>
      <c r="AO387" s="775" t="n"/>
      <c r="AP387" s="775" t="n"/>
    </row>
    <row r="388" ht="25" customFormat="1" customHeight="1" s="7" thickBot="1">
      <c r="A388" s="570" t="inlineStr">
        <is>
          <t>Nouveau·lle conjoint·e</t>
        </is>
      </c>
      <c r="B388" s="2066" t="n"/>
      <c r="C388" s="24" t="n"/>
      <c r="D388" s="24" t="inlineStr">
        <is>
          <t>Intensité :</t>
        </is>
      </c>
      <c r="E388" s="517">
        <f>$E$52</f>
        <v/>
      </c>
      <c r="F388" s="303">
        <f>$F$52</f>
        <v/>
      </c>
      <c r="G388" s="303">
        <f>$G$52</f>
        <v/>
      </c>
      <c r="H388" s="303" t="n">
        <v>2</v>
      </c>
      <c r="I388" s="303" t="n">
        <v>4</v>
      </c>
      <c r="J388" s="303" t="n">
        <v>7</v>
      </c>
      <c r="K388" s="303" t="n">
        <v>10</v>
      </c>
      <c r="N388" s="55" t="n"/>
      <c r="O388" s="55" t="n"/>
      <c r="P388" s="78" t="inlineStr">
        <is>
          <t>Fréquence seul.</t>
        </is>
      </c>
      <c r="Q388" s="78" t="inlineStr">
        <is>
          <t>Fréquence * Intensité
(valeur de base)</t>
        </is>
      </c>
      <c r="R388" s="78" t="inlineStr">
        <is>
          <t>Condition SQ</t>
        </is>
      </c>
      <c r="S388" s="55" t="n"/>
      <c r="T388" s="55" t="n"/>
      <c r="U388" s="55" t="n"/>
      <c r="V388" s="301" t="n"/>
      <c r="W388" s="55" t="n"/>
      <c r="X388" s="493" t="n">
        <v>0</v>
      </c>
      <c r="Y388" s="493">
        <f>G388</f>
        <v/>
      </c>
      <c r="Z388" s="493">
        <f>H388</f>
        <v/>
      </c>
      <c r="AA388" s="493">
        <f>I388</f>
        <v/>
      </c>
      <c r="AB388" s="493">
        <f>J388</f>
        <v/>
      </c>
      <c r="AC388" s="493">
        <f>K388</f>
        <v/>
      </c>
      <c r="AE388" s="522" t="n"/>
      <c r="AF388" s="93" t="n"/>
      <c r="AG388" s="93" t="n"/>
      <c r="AH388" s="93" t="n"/>
      <c r="AI388" s="775" t="n"/>
      <c r="AJ388" s="775" t="n"/>
      <c r="AK388" s="775" t="n"/>
      <c r="AL388" s="775" t="n"/>
      <c r="AM388" s="775" t="n"/>
      <c r="AN388" s="775" t="n"/>
      <c r="AO388" s="775" t="n"/>
      <c r="AP388" s="775" t="n"/>
    </row>
    <row r="389" ht="75" customFormat="1" customHeight="1" s="7" thickTop="1">
      <c r="A389" s="1439">
        <f>BIBLE!E215</f>
        <v/>
      </c>
      <c r="B389" s="158">
        <f>IF(OR($E$48=1,$E$49=1),BIBLE!F215,"")</f>
        <v/>
      </c>
      <c r="C389" s="2003">
        <f>BIBLE!O215</f>
        <v/>
      </c>
      <c r="D389" s="125">
        <f>IF(P390=0,BIBLE!L215,BIBLE!M215)</f>
        <v/>
      </c>
      <c r="E389" s="2092" t="n"/>
      <c r="F389" s="2092" t="n"/>
      <c r="G389" s="2092" t="n"/>
      <c r="H389" s="2092" t="n"/>
      <c r="I389" s="2092" t="n">
        <v>1</v>
      </c>
      <c r="J389" s="2092" t="n"/>
      <c r="K389" s="2092" t="n"/>
      <c r="L389" s="2092" t="n"/>
      <c r="M389" s="2092" t="n"/>
      <c r="N389" s="2092" t="n"/>
      <c r="O389" s="2092" t="n"/>
      <c r="P389" s="25">
        <f>'TEST_pour application'!B367</f>
        <v/>
      </c>
      <c r="Q389" s="26">
        <f>P389*D389</f>
        <v/>
      </c>
      <c r="R389" s="545">
        <f>BIBLE!K215</f>
        <v/>
      </c>
      <c r="S389" s="55" t="n"/>
      <c r="T389" s="2059" t="n"/>
      <c r="U389" s="2059" t="n"/>
      <c r="V389" s="6">
        <f>IF(P389&gt;=R389,IF(Q389&gt;Q390,Q389,Q390),Q389)</f>
        <v/>
      </c>
      <c r="W389" s="2002" t="n"/>
      <c r="X389" s="6">
        <f>IF(($P389&gt;=$R389),IF($Q389&gt;$Q390,X$108*$D389,X$108*$D390),X$108*$D389)</f>
        <v/>
      </c>
      <c r="Y389" s="6">
        <f>IF(($P389&gt;=$R389),IF($Q389&gt;$Q390,Y$108*$D389,Y$108*$D390),Y$108*$D389)</f>
        <v/>
      </c>
      <c r="Z389" s="6">
        <f>IF(($P389&gt;=$R389),IF($Q389&gt;$Q390,Z$108*$D389,Z$108*$D390),Z$108*$D389)</f>
        <v/>
      </c>
      <c r="AA389" s="6">
        <f>IF(($P389&gt;=$R389),IF($Q389&gt;$Q390,AA$108*$D389,AA$108*$D390),AA$108*$D389)</f>
        <v/>
      </c>
      <c r="AB389" s="6">
        <f>IF(($P389&gt;=$R389),IF($Q389&gt;$Q390,AB$108*$D389,AB$108*$D390),AB$108*$D389)</f>
        <v/>
      </c>
      <c r="AC389" s="6">
        <f>IF(($P389&gt;=$R389),IF($Q389&gt;$Q390,AC$108*$D389,AC$108*$D390),AC$108*$D389)</f>
        <v/>
      </c>
      <c r="AE389" s="522" t="n"/>
      <c r="AF389" s="24">
        <f>IF($Q389=$V389,$Q389*BIBLE!R215,$Q390*BIBLE!R216)</f>
        <v/>
      </c>
      <c r="AG389" s="24">
        <f>IF($Q389=$V389,$Q389*BIBLE!S215,$Q390*BIBLE!S216)</f>
        <v/>
      </c>
      <c r="AH389" s="24">
        <f>IF($Q389=$V389,$Q389*BIBLE!T215,$Q390*BIBLE!T216)</f>
        <v/>
      </c>
      <c r="AI389" s="1539">
        <f>IF($Q389=$V389,$Q389*BIBLE!V215,$Q390*BIBLE!V216)</f>
        <v/>
      </c>
      <c r="AJ389" s="1539">
        <f>IF($Q389=$V389,$Q389*BIBLE!W215,$Q390*BIBLE!W216)</f>
        <v/>
      </c>
      <c r="AK389" s="1539">
        <f>IF($Q389=$V389,$Q389*BIBLE!X215,$Q390*BIBLE!X216)</f>
        <v/>
      </c>
      <c r="AL389" s="1539">
        <f>IF($Q389=$V389,$Q389*BIBLE!Y215,$Q390*BIBLE!Y216)</f>
        <v/>
      </c>
      <c r="AM389" s="1539">
        <f>IF($Q389=$V389,$Q389*BIBLE!Z215,$Q390*BIBLE!Z216)</f>
        <v/>
      </c>
      <c r="AN389" s="1539">
        <f>IF($Q389=$V389,$Q389*BIBLE!AA215,$Q390*BIBLE!AA216)</f>
        <v/>
      </c>
      <c r="AO389" s="1539">
        <f>IF($Q389=$V389,$Q389*BIBLE!AB215,$Q390*BIBLE!AB216)</f>
        <v/>
      </c>
      <c r="AP389" s="1539">
        <f>IF($Q389=$V389,$Q389*BIBLE!AC215,$Q390*BIBLE!AC216)</f>
        <v/>
      </c>
    </row>
    <row r="390" ht="75" customFormat="1" customHeight="1" s="7">
      <c r="A390" s="1439">
        <f>BIBLE!E216</f>
        <v/>
      </c>
      <c r="B390" s="159">
        <f>IF(P389&gt;=R389,BIBLE!F216,"")</f>
        <v/>
      </c>
      <c r="C390" s="2003">
        <f>BIBLE!O216</f>
        <v/>
      </c>
      <c r="D390" s="125">
        <f>BIBLE!L216</f>
        <v/>
      </c>
      <c r="E390" s="2092" t="n"/>
      <c r="F390" s="2092" t="n"/>
      <c r="G390" s="2092" t="n"/>
      <c r="H390" s="2092" t="n"/>
      <c r="I390" s="2092" t="n"/>
      <c r="J390" s="2092" t="n">
        <v>1</v>
      </c>
      <c r="K390" s="2092" t="n"/>
      <c r="L390" s="2092" t="n"/>
      <c r="M390" s="2092" t="n"/>
      <c r="N390" s="2092" t="n"/>
      <c r="O390" s="2092" t="n"/>
      <c r="P390" s="25">
        <f>'TEST_pour application'!B368</f>
        <v/>
      </c>
      <c r="Q390" s="26">
        <f>P390*D390</f>
        <v/>
      </c>
      <c r="R390" s="301" t="n"/>
      <c r="S390" s="55" t="n"/>
      <c r="T390" s="2059" t="n"/>
      <c r="U390" s="2059" t="n"/>
      <c r="V390" s="2073" t="n"/>
      <c r="W390" s="2059" t="n"/>
      <c r="X390" s="6" t="n"/>
      <c r="Y390" s="6" t="n"/>
      <c r="Z390" s="6" t="n"/>
      <c r="AA390" s="6" t="n"/>
      <c r="AB390" s="6" t="n"/>
      <c r="AC390" s="6" t="n"/>
      <c r="AE390" s="522" t="n"/>
      <c r="AF390" s="93" t="n"/>
      <c r="AG390" s="93" t="n"/>
      <c r="AH390" s="93" t="n"/>
      <c r="AI390" s="775" t="n"/>
      <c r="AJ390" s="775" t="n"/>
      <c r="AK390" s="775" t="n"/>
      <c r="AL390" s="775" t="n"/>
      <c r="AM390" s="775" t="n"/>
      <c r="AN390" s="775" t="n"/>
      <c r="AO390" s="775" t="n"/>
      <c r="AP390" s="775" t="n"/>
    </row>
    <row r="391" ht="75" customFormat="1" customHeight="1" s="7">
      <c r="A391" s="1439">
        <f>BIBLE!E217</f>
        <v/>
      </c>
      <c r="B391" s="1899">
        <f>IF(AND(OR(E$62=1,E$63=1,E$64=1,E$65=1),OR($E$48=1,$E$49=1)),BIBLE!F217,"")</f>
        <v/>
      </c>
      <c r="C391" s="2003">
        <f>BIBLE!O217</f>
        <v/>
      </c>
      <c r="D391" s="125">
        <f>BIBLE!L217</f>
        <v/>
      </c>
      <c r="E391" s="2092" t="n"/>
      <c r="F391" s="2092" t="n"/>
      <c r="G391" s="2092" t="n"/>
      <c r="H391" s="2092" t="n"/>
      <c r="I391" s="2092" t="n"/>
      <c r="J391" s="2092" t="n">
        <v>1</v>
      </c>
      <c r="K391" s="2092" t="n"/>
      <c r="L391" s="2092" t="n"/>
      <c r="M391" s="2092" t="n"/>
      <c r="N391" s="2092" t="n"/>
      <c r="O391" s="2092" t="n"/>
      <c r="P391" s="25">
        <f>'TEST_pour application'!B369</f>
        <v/>
      </c>
      <c r="Q391" s="26">
        <f>P391*D391</f>
        <v/>
      </c>
      <c r="R391" s="301" t="n"/>
      <c r="S391" s="55" t="n"/>
      <c r="T391" s="55" t="n"/>
      <c r="U391" s="55" t="n"/>
      <c r="V391" s="6">
        <f>Q391</f>
        <v/>
      </c>
      <c r="W391" s="301" t="n"/>
      <c r="X391" s="6">
        <f>IF($Q391&gt;0,X$108*$D391,0)</f>
        <v/>
      </c>
      <c r="Y391" s="6">
        <f>IF($Q391&gt;0,Y$108*$D391,0)</f>
        <v/>
      </c>
      <c r="Z391" s="6">
        <f>IF($Q391&gt;0,Z$108*$D391,0)</f>
        <v/>
      </c>
      <c r="AA391" s="6">
        <f>IF($Q391&gt;0,AA$108*$D391,0)</f>
        <v/>
      </c>
      <c r="AB391" s="6">
        <f>IF($Q391&gt;0,AB$108*$D391,0)</f>
        <v/>
      </c>
      <c r="AC391" s="6">
        <f>IF($Q391&gt;0,AC$108*$D391,0)</f>
        <v/>
      </c>
      <c r="AE391" s="522" t="n"/>
      <c r="AF391" s="24">
        <f>$V391*BIBLE!R217</f>
        <v/>
      </c>
      <c r="AG391" s="24">
        <f>$V391*BIBLE!S217</f>
        <v/>
      </c>
      <c r="AH391" s="24">
        <f>$V391*BIBLE!T217</f>
        <v/>
      </c>
      <c r="AI391" s="1539">
        <f>$V391*BIBLE!V217</f>
        <v/>
      </c>
      <c r="AJ391" s="1539">
        <f>$V391*BIBLE!W217</f>
        <v/>
      </c>
      <c r="AK391" s="1539">
        <f>$V391*BIBLE!X217</f>
        <v/>
      </c>
      <c r="AL391" s="1539">
        <f>$V391*BIBLE!Y217</f>
        <v/>
      </c>
      <c r="AM391" s="1539">
        <f>$V391*BIBLE!Z217</f>
        <v/>
      </c>
      <c r="AN391" s="1539">
        <f>$V391*BIBLE!AA217</f>
        <v/>
      </c>
      <c r="AO391" s="1539">
        <f>$V391*BIBLE!AB217</f>
        <v/>
      </c>
      <c r="AP391" s="1539">
        <f>$V391*BIBLE!AC217</f>
        <v/>
      </c>
    </row>
    <row r="392" ht="75" customFormat="1" customHeight="1" s="7">
      <c r="A392" s="1439">
        <f>BIBLE!E218</f>
        <v/>
      </c>
      <c r="B392" s="158">
        <f>IF(OR($E$48=1,$E$49=1),BIBLE!F218,"")</f>
        <v/>
      </c>
      <c r="C392" s="2003">
        <f>BIBLE!O218</f>
        <v/>
      </c>
      <c r="D392" s="125">
        <f>BIBLE!L218</f>
        <v/>
      </c>
      <c r="E392" s="2092" t="n"/>
      <c r="F392" s="2092" t="n"/>
      <c r="G392" s="2092" t="n"/>
      <c r="H392" s="2092" t="n"/>
      <c r="I392" s="2092" t="n"/>
      <c r="J392" s="2092" t="n">
        <v>1</v>
      </c>
      <c r="K392" s="2092" t="n"/>
      <c r="L392" s="2092" t="n"/>
      <c r="M392" s="2092" t="n"/>
      <c r="N392" s="2092" t="n"/>
      <c r="O392" s="2092" t="n"/>
      <c r="P392" s="25">
        <f>'TEST_pour application'!B370</f>
        <v/>
      </c>
      <c r="Q392" s="26">
        <f>P392*D392</f>
        <v/>
      </c>
      <c r="R392" s="119" t="n"/>
      <c r="S392" s="502" t="n"/>
      <c r="T392" s="502" t="n"/>
      <c r="U392" s="502" t="n"/>
      <c r="V392" s="6">
        <f>Q392</f>
        <v/>
      </c>
      <c r="W392" s="301" t="n"/>
      <c r="X392" s="6">
        <f>IF($Q392&gt;0,X$108*$D392,0)</f>
        <v/>
      </c>
      <c r="Y392" s="6">
        <f>IF($Q392&gt;0,Y$108*$D392,0)</f>
        <v/>
      </c>
      <c r="Z392" s="6">
        <f>IF($Q392&gt;0,Z$108*$D392,0)</f>
        <v/>
      </c>
      <c r="AA392" s="6">
        <f>IF($Q392&gt;0,AA$108*$D392,0)</f>
        <v/>
      </c>
      <c r="AB392" s="6">
        <f>IF($Q392&gt;0,AB$108*$D392,0)</f>
        <v/>
      </c>
      <c r="AC392" s="6">
        <f>IF($Q392&gt;0,AC$108*$D392,0)</f>
        <v/>
      </c>
      <c r="AE392" s="522" t="n"/>
      <c r="AF392" s="24">
        <f>$V392*BIBLE!R218</f>
        <v/>
      </c>
      <c r="AG392" s="24">
        <f>$V392*BIBLE!S218</f>
        <v/>
      </c>
      <c r="AH392" s="24">
        <f>$V392*BIBLE!T218</f>
        <v/>
      </c>
      <c r="AI392" s="1539">
        <f>$V392*BIBLE!V218</f>
        <v/>
      </c>
      <c r="AJ392" s="1539">
        <f>$V392*BIBLE!W218</f>
        <v/>
      </c>
      <c r="AK392" s="1539">
        <f>$V392*BIBLE!X218</f>
        <v/>
      </c>
      <c r="AL392" s="1539">
        <f>$V392*BIBLE!Y218</f>
        <v/>
      </c>
      <c r="AM392" s="1539">
        <f>$V392*BIBLE!Z218</f>
        <v/>
      </c>
      <c r="AN392" s="1539">
        <f>$V392*BIBLE!AA218</f>
        <v/>
      </c>
      <c r="AO392" s="1539">
        <f>$V392*BIBLE!AB218</f>
        <v/>
      </c>
      <c r="AP392" s="1539">
        <f>$V392*BIBLE!AC218</f>
        <v/>
      </c>
    </row>
    <row r="393" ht="23" customFormat="1" customHeight="1" s="7">
      <c r="A393" s="1439">
        <f>BIBLE!E219</f>
        <v/>
      </c>
      <c r="B393" s="2115">
        <f>IF(OR($E$48=1,$E$49=1),BIBLE!F219,"")</f>
        <v/>
      </c>
      <c r="C393" s="93" t="n"/>
      <c r="D393" s="93" t="n"/>
      <c r="E393" s="2092" t="n"/>
      <c r="F393" s="2092" t="n"/>
      <c r="G393" s="2092" t="n"/>
      <c r="H393" s="2092" t="n"/>
      <c r="I393" s="2092" t="n"/>
      <c r="J393" s="2092" t="n"/>
      <c r="K393" s="2092" t="n"/>
      <c r="L393" s="2092" t="n"/>
      <c r="M393" s="2092" t="n"/>
      <c r="N393" s="2092" t="n"/>
      <c r="O393" s="2092" t="n"/>
      <c r="P393" s="26" t="n"/>
      <c r="Q393" s="26" t="n"/>
      <c r="R393" s="119" t="n"/>
      <c r="S393" s="502" t="n"/>
      <c r="T393" s="502" t="n"/>
      <c r="U393" s="502" t="n"/>
      <c r="V393" s="6">
        <f>BJ399</f>
        <v/>
      </c>
      <c r="W393" s="301" t="n"/>
      <c r="X393" s="6">
        <f>BL399</f>
        <v/>
      </c>
      <c r="Y393" s="6">
        <f>BM399</f>
        <v/>
      </c>
      <c r="Z393" s="6">
        <f>BN399</f>
        <v/>
      </c>
      <c r="AA393" s="6">
        <f>BO399</f>
        <v/>
      </c>
      <c r="AB393" s="6">
        <f>BP399</f>
        <v/>
      </c>
      <c r="AC393" s="6">
        <f>BQ399</f>
        <v/>
      </c>
      <c r="AE393" s="522" t="n"/>
      <c r="AF393" s="24" t="n"/>
      <c r="AG393" s="24" t="n"/>
      <c r="AH393" s="24" t="n"/>
      <c r="AI393" s="1539" t="n"/>
      <c r="AJ393" s="1539" t="n"/>
      <c r="AK393" s="1539" t="n"/>
      <c r="AL393" s="1539" t="n"/>
      <c r="AM393" s="1539" t="n"/>
      <c r="AN393" s="1539" t="n"/>
      <c r="AO393" s="1539" t="n"/>
      <c r="AP393" s="1539" t="n"/>
    </row>
    <row r="394" ht="24" customFormat="1" customHeight="1" s="7">
      <c r="A394" s="1439" t="n"/>
      <c r="B394" s="2114" t="n"/>
      <c r="C394" s="1062" t="inlineStr">
        <is>
          <t xml:space="preserve">Bonne  </t>
        </is>
      </c>
      <c r="D394" s="1930" t="n">
        <v>1</v>
      </c>
      <c r="E394" s="2095">
        <f>'TEST_pour application'!B371</f>
        <v/>
      </c>
      <c r="F394" s="2092" t="n"/>
      <c r="G394" s="2092" t="n"/>
      <c r="H394" s="2092" t="n"/>
      <c r="I394" s="2092" t="n"/>
      <c r="J394" s="2092" t="n"/>
      <c r="K394" s="2092" t="n"/>
      <c r="L394" s="2092" t="n"/>
      <c r="M394" s="2092" t="n"/>
      <c r="N394" s="2092" t="n"/>
      <c r="O394" s="2092" t="n"/>
      <c r="P394" s="1945">
        <f>D394*E394</f>
        <v/>
      </c>
      <c r="Q394" s="26" t="n"/>
      <c r="R394" s="119" t="n"/>
      <c r="S394" s="502" t="n"/>
      <c r="T394" s="502" t="n"/>
      <c r="U394" s="502" t="n"/>
      <c r="V394" s="6" t="n"/>
      <c r="W394" s="301" t="n"/>
      <c r="X394" s="6" t="n"/>
      <c r="Y394" s="6" t="n"/>
      <c r="Z394" s="6" t="n"/>
      <c r="AA394" s="6" t="n"/>
      <c r="AB394" s="6" t="n"/>
      <c r="AC394" s="6" t="n"/>
      <c r="AE394" s="522" t="n"/>
      <c r="AF394" s="24" t="n"/>
      <c r="AG394" s="24" t="n"/>
      <c r="AH394" s="24" t="n"/>
      <c r="AI394" s="1539" t="n"/>
      <c r="AJ394" s="1539" t="n"/>
      <c r="AK394" s="1539" t="n"/>
      <c r="AL394" s="1539" t="n"/>
      <c r="AM394" s="1539" t="n"/>
      <c r="AN394" s="1539" t="n"/>
      <c r="AO394" s="1539" t="n"/>
      <c r="AP394" s="1539" t="n"/>
    </row>
    <row r="395" ht="24" customFormat="1" customHeight="1" s="7">
      <c r="A395" s="1439" t="n"/>
      <c r="B395" s="158" t="n"/>
      <c r="C395" s="1062" t="inlineStr">
        <is>
          <t>Courtoise</t>
        </is>
      </c>
      <c r="D395" s="1930" t="n">
        <v>2</v>
      </c>
      <c r="E395" s="2095">
        <f>'TEST_pour application'!B372</f>
        <v/>
      </c>
      <c r="F395" s="2092" t="n"/>
      <c r="G395" s="2092" t="n"/>
      <c r="H395" s="2092" t="n"/>
      <c r="I395" s="2092" t="n"/>
      <c r="J395" s="2092" t="n"/>
      <c r="K395" s="2092" t="n"/>
      <c r="L395" s="2092" t="n"/>
      <c r="M395" s="2092" t="n"/>
      <c r="N395" s="2092" t="n"/>
      <c r="O395" s="2092" t="n"/>
      <c r="P395" s="1945">
        <f>D395*E395</f>
        <v/>
      </c>
      <c r="Q395" s="26" t="n"/>
      <c r="R395" s="119" t="n"/>
      <c r="S395" s="502" t="n"/>
      <c r="T395" s="502" t="n"/>
      <c r="U395" s="502" t="n"/>
      <c r="V395" s="6" t="n"/>
      <c r="W395" s="301" t="n"/>
      <c r="X395" s="6" t="n"/>
      <c r="Y395" s="6" t="n"/>
      <c r="Z395" s="6" t="n"/>
      <c r="AA395" s="6" t="n"/>
      <c r="AB395" s="6" t="n"/>
      <c r="AC395" s="6" t="n"/>
      <c r="AE395" s="522" t="n"/>
      <c r="AF395" s="24" t="n"/>
      <c r="AG395" s="24" t="n"/>
      <c r="AH395" s="24" t="n"/>
      <c r="AI395" s="1539" t="n"/>
      <c r="AJ395" s="1539" t="n"/>
      <c r="AK395" s="1539" t="n"/>
      <c r="AL395" s="1539" t="n"/>
      <c r="AM395" s="1539" t="n"/>
      <c r="AN395" s="1539" t="n"/>
      <c r="AO395" s="1539" t="n"/>
      <c r="AP395" s="1539" t="n"/>
    </row>
    <row r="396" ht="24" customFormat="1" customHeight="1" s="7">
      <c r="A396" s="1439" t="n"/>
      <c r="B396" s="158" t="n"/>
      <c r="C396" s="1062" t="inlineStr">
        <is>
          <t>Neutre</t>
        </is>
      </c>
      <c r="D396" s="1930" t="n">
        <v>3</v>
      </c>
      <c r="E396" s="2095">
        <f>'TEST_pour application'!B373</f>
        <v/>
      </c>
      <c r="F396" s="2092" t="n"/>
      <c r="G396" s="2092" t="n"/>
      <c r="H396" s="2092" t="n"/>
      <c r="I396" s="2092" t="n"/>
      <c r="J396" s="2092" t="n"/>
      <c r="K396" s="2092" t="n"/>
      <c r="L396" s="2092" t="n"/>
      <c r="M396" s="2092" t="n"/>
      <c r="N396" s="2092" t="n"/>
      <c r="O396" s="2092" t="n"/>
      <c r="P396" s="1945">
        <f>D396*E396</f>
        <v/>
      </c>
      <c r="Q396" s="26" t="n"/>
      <c r="R396" s="119" t="n"/>
      <c r="S396" s="502" t="n"/>
      <c r="T396" s="502" t="n"/>
      <c r="U396" s="502" t="n"/>
      <c r="V396" s="6" t="n"/>
      <c r="W396" s="301" t="n"/>
      <c r="X396" s="6" t="n"/>
      <c r="Y396" s="6" t="n"/>
      <c r="Z396" s="6" t="n"/>
      <c r="AA396" s="6" t="n"/>
      <c r="AB396" s="6" t="n"/>
      <c r="AC396" s="6" t="n"/>
      <c r="AE396" s="522" t="n"/>
      <c r="AF396" s="24" t="n"/>
      <c r="AG396" s="24" t="n"/>
      <c r="AH396" s="24" t="n"/>
      <c r="AI396" s="1539" t="n"/>
      <c r="AJ396" s="1539" t="n"/>
      <c r="AK396" s="1539" t="n"/>
      <c r="AL396" s="1539" t="n"/>
      <c r="AM396" s="1539" t="n"/>
      <c r="AN396" s="1539" t="n"/>
      <c r="AO396" s="1539" t="n"/>
      <c r="AP396" s="1539" t="n"/>
    </row>
    <row r="397" ht="24" customFormat="1" customHeight="1" s="7">
      <c r="A397" s="1439" t="n"/>
      <c r="B397" s="158" t="n"/>
      <c r="C397" s="1062" t="inlineStr">
        <is>
          <t xml:space="preserve">Difficile </t>
        </is>
      </c>
      <c r="D397" s="1930" t="n">
        <v>4</v>
      </c>
      <c r="E397" s="2095">
        <f>'TEST_pour application'!B374</f>
        <v/>
      </c>
      <c r="F397" s="2092" t="n"/>
      <c r="G397" s="2092" t="n"/>
      <c r="H397" s="2092" t="n"/>
      <c r="I397" s="2092" t="n"/>
      <c r="J397" s="2092" t="n"/>
      <c r="K397" s="2092" t="n"/>
      <c r="L397" s="2092" t="n"/>
      <c r="M397" s="2092" t="n"/>
      <c r="N397" s="2092" t="n"/>
      <c r="O397" s="2092" t="n"/>
      <c r="P397" s="1945">
        <f>D397*E397</f>
        <v/>
      </c>
      <c r="Q397" s="26" t="n"/>
      <c r="R397" s="119" t="n"/>
      <c r="S397" s="502" t="n"/>
      <c r="T397" s="502" t="n"/>
      <c r="U397" s="502" t="n"/>
      <c r="V397" s="6" t="n"/>
      <c r="W397" s="301" t="n"/>
      <c r="X397" s="6" t="n"/>
      <c r="Y397" s="6" t="n"/>
      <c r="Z397" s="6" t="n"/>
      <c r="AA397" s="6" t="n"/>
      <c r="AB397" s="6" t="n"/>
      <c r="AC397" s="6" t="n"/>
      <c r="AE397" s="522" t="n"/>
      <c r="AF397" s="24" t="n"/>
      <c r="AG397" s="24" t="n"/>
      <c r="AH397" s="24" t="n"/>
      <c r="AI397" s="1539" t="n"/>
      <c r="AJ397" s="1539" t="n"/>
      <c r="AK397" s="1539" t="n"/>
      <c r="AL397" s="1539" t="n"/>
      <c r="AM397" s="1539" t="n"/>
      <c r="AN397" s="1539" t="n"/>
      <c r="AO397" s="1539" t="n"/>
      <c r="AP397" s="1539" t="n"/>
    </row>
    <row r="398" ht="24" customFormat="1" customHeight="1" s="7">
      <c r="A398" s="1439" t="n"/>
      <c r="B398" s="158" t="n"/>
      <c r="C398" s="1062" t="inlineStr">
        <is>
          <t>Conflictuelle</t>
        </is>
      </c>
      <c r="D398" s="1930" t="n">
        <v>5</v>
      </c>
      <c r="E398" s="2095">
        <f>'TEST_pour application'!B375</f>
        <v/>
      </c>
      <c r="F398" s="2092" t="n"/>
      <c r="G398" s="2092" t="n"/>
      <c r="H398" s="2092" t="n"/>
      <c r="I398" s="2092" t="n"/>
      <c r="J398" s="2092" t="n"/>
      <c r="K398" s="2092" t="n"/>
      <c r="L398" s="2092" t="n"/>
      <c r="M398" s="2092" t="n"/>
      <c r="N398" s="2092" t="n"/>
      <c r="O398" s="2092" t="n"/>
      <c r="P398" s="1945">
        <f>D398*E398</f>
        <v/>
      </c>
      <c r="Q398" s="26" t="n"/>
      <c r="R398" s="119" t="n"/>
      <c r="S398" s="502" t="n"/>
      <c r="T398" s="502" t="n"/>
      <c r="U398" s="502" t="n"/>
      <c r="V398" s="6" t="n"/>
      <c r="W398" s="301" t="n"/>
      <c r="X398" s="6" t="n"/>
      <c r="Y398" s="6" t="n"/>
      <c r="Z398" s="6" t="n"/>
      <c r="AA398" s="6" t="n"/>
      <c r="AB398" s="6" t="n"/>
      <c r="AC398" s="6" t="n"/>
      <c r="AE398" s="522" t="n"/>
      <c r="AF398" s="24" t="n"/>
      <c r="AG398" s="24" t="n"/>
      <c r="AH398" s="24" t="n"/>
      <c r="AI398" s="1539" t="n"/>
      <c r="AJ398" s="1539" t="n"/>
      <c r="AK398" s="1539" t="n"/>
      <c r="AL398" s="1539" t="n"/>
      <c r="AM398" s="1539" t="n"/>
      <c r="AN398" s="1539" t="n"/>
      <c r="AO398" s="1539" t="n"/>
      <c r="AP398" s="1539" t="n"/>
      <c r="AZ398" s="17" t="inlineStr">
        <is>
          <t>Max Q et SQ</t>
        </is>
      </c>
      <c r="BJ398" s="17" t="inlineStr">
        <is>
          <t>Addition des sous-questions de même niveau</t>
        </is>
      </c>
    </row>
    <row r="399" ht="44" customFormat="1" customHeight="1" s="7">
      <c r="A399" s="1439">
        <f>BIBLE!E220</f>
        <v/>
      </c>
      <c r="B399" s="1899">
        <f>IF(OR(E$396=1,E$397=1,E$398=1),BIBLE!F220,"")</f>
        <v/>
      </c>
      <c r="C399" s="2003">
        <f>BIBLE!O221</f>
        <v/>
      </c>
      <c r="D399" s="125">
        <f>BIBLE!L221</f>
        <v/>
      </c>
      <c r="E399" s="2092" t="n"/>
      <c r="F399" s="2092" t="n"/>
      <c r="G399" s="2092" t="n"/>
      <c r="H399" s="2092" t="n"/>
      <c r="I399" s="2092" t="n">
        <v>1</v>
      </c>
      <c r="J399" s="2092" t="n"/>
      <c r="K399" s="2092" t="n"/>
      <c r="L399" s="2092" t="n"/>
      <c r="M399" s="2092" t="n"/>
      <c r="N399" s="2092" t="n"/>
      <c r="O399" s="2092" t="n"/>
      <c r="P399" s="25">
        <f>'TEST_pour application'!B376</f>
        <v/>
      </c>
      <c r="Q399" s="26">
        <f>P399*D399</f>
        <v/>
      </c>
      <c r="R399" s="301">
        <f>BIBLE!K220</f>
        <v/>
      </c>
      <c r="S399" s="55" t="n"/>
      <c r="T399" s="55" t="n"/>
      <c r="U399" s="55" t="n"/>
      <c r="V399" s="6" t="n"/>
      <c r="W399" s="301" t="n"/>
      <c r="X399" s="6" t="n"/>
      <c r="Y399" s="6" t="n"/>
      <c r="Z399" s="6" t="n"/>
      <c r="AA399" s="6" t="n"/>
      <c r="AB399" s="6" t="n"/>
      <c r="AC399" s="6" t="n"/>
      <c r="AE399" s="522" t="n"/>
      <c r="AF399" s="24">
        <f>$V399*BIBLE!R221</f>
        <v/>
      </c>
      <c r="AG399" s="24">
        <f>$V399*BIBLE!S221</f>
        <v/>
      </c>
      <c r="AH399" s="24">
        <f>$V399*BIBLE!T221</f>
        <v/>
      </c>
      <c r="AI399" s="1539">
        <f>$V399*BIBLE!V221</f>
        <v/>
      </c>
      <c r="AJ399" s="1539">
        <f>$V399*BIBLE!W221</f>
        <v/>
      </c>
      <c r="AK399" s="1539">
        <f>$V399*BIBLE!X221</f>
        <v/>
      </c>
      <c r="AL399" s="1539">
        <f>$V399*BIBLE!Y221</f>
        <v/>
      </c>
      <c r="AM399" s="1539">
        <f>$V399*BIBLE!Z221</f>
        <v/>
      </c>
      <c r="AN399" s="1539">
        <f>$V399*BIBLE!AA221</f>
        <v/>
      </c>
      <c r="AO399" s="1539">
        <f>$V399*BIBLE!AB221</f>
        <v/>
      </c>
      <c r="AP399" s="1539">
        <f>$V399*BIBLE!AC221</f>
        <v/>
      </c>
      <c r="AQ399" s="6">
        <f>Q399</f>
        <v/>
      </c>
      <c r="AR399" s="2073" t="n"/>
      <c r="AS399" s="6">
        <f>IF($Q399&gt;0,X$108*$D399,0)</f>
        <v/>
      </c>
      <c r="AT399" s="6">
        <f>IF($Q399&gt;0,Y$108*$D399,0)</f>
        <v/>
      </c>
      <c r="AU399" s="6">
        <f>IF($Q399&gt;0,Z$108*$D399,0)</f>
        <v/>
      </c>
      <c r="AV399" s="6">
        <f>IF($Q399&gt;0,AA$108*$D399,0)</f>
        <v/>
      </c>
      <c r="AW399" s="6">
        <f>IF($Q399&gt;0,AB$108*$D399,0)</f>
        <v/>
      </c>
      <c r="AX399" s="6">
        <f>IF($Q399&gt;0,AC$108*$D399,0)</f>
        <v/>
      </c>
      <c r="AZ399" s="575">
        <f>MAX(AQ399:AQ400)</f>
        <v/>
      </c>
      <c r="BB399" s="575">
        <f>MAX(AS399:AS400)</f>
        <v/>
      </c>
      <c r="BC399" s="575">
        <f>MAX(AT399:AT400)</f>
        <v/>
      </c>
      <c r="BD399" s="575">
        <f>MAX(AU399:AU400)</f>
        <v/>
      </c>
      <c r="BE399" s="575">
        <f>MAX(AV399:AV400)</f>
        <v/>
      </c>
      <c r="BF399" s="575">
        <f>MAX(AW399:AW400)</f>
        <v/>
      </c>
      <c r="BG399" s="575">
        <f>MAX(AX399:AX400)</f>
        <v/>
      </c>
      <c r="BJ399" s="575">
        <f>AZ399+AQ401</f>
        <v/>
      </c>
      <c r="BL399" s="575">
        <f>BB399+AS401</f>
        <v/>
      </c>
      <c r="BM399" s="575">
        <f>BC399+AT401</f>
        <v/>
      </c>
      <c r="BN399" s="575">
        <f>BD399+AU401</f>
        <v/>
      </c>
      <c r="BO399" s="575">
        <f>BE399+AV401</f>
        <v/>
      </c>
      <c r="BP399" s="575">
        <f>BF399+AW401</f>
        <v/>
      </c>
      <c r="BQ399" s="575">
        <f>BG399+AX401</f>
        <v/>
      </c>
    </row>
    <row r="400" ht="44" customFormat="1" customHeight="1" s="7">
      <c r="A400" s="1439">
        <f>BIBLE!E221</f>
        <v/>
      </c>
      <c r="B400" s="1899">
        <f>IF(P399&gt;=R399,BIBLE!F221,"")</f>
        <v/>
      </c>
      <c r="C400" s="2003">
        <f>BIBLE!O220</f>
        <v/>
      </c>
      <c r="D400" s="125">
        <f>BIBLE!L220</f>
        <v/>
      </c>
      <c r="E400" s="2092" t="n"/>
      <c r="F400" s="2092" t="n"/>
      <c r="G400" s="2092" t="n">
        <v>1</v>
      </c>
      <c r="H400" s="2092" t="n"/>
      <c r="I400" s="2092" t="n"/>
      <c r="J400" s="2092" t="n"/>
      <c r="K400" s="2092" t="n"/>
      <c r="L400" s="2092" t="n"/>
      <c r="M400" s="2092" t="n"/>
      <c r="N400" s="2092" t="n"/>
      <c r="O400" s="2092" t="n"/>
      <c r="P400" s="25">
        <f>'TEST_pour application'!B377</f>
        <v/>
      </c>
      <c r="Q400" s="26">
        <f>P400*D400</f>
        <v/>
      </c>
      <c r="R400" s="301" t="n"/>
      <c r="S400" s="55" t="n"/>
      <c r="T400" s="55" t="n"/>
      <c r="U400" s="55" t="n"/>
      <c r="V400" s="6" t="n"/>
      <c r="W400" s="301" t="n"/>
      <c r="X400" s="6" t="n"/>
      <c r="Y400" s="6" t="n"/>
      <c r="Z400" s="6" t="n"/>
      <c r="AA400" s="6" t="n"/>
      <c r="AB400" s="6" t="n"/>
      <c r="AC400" s="6" t="n"/>
      <c r="AE400" s="522" t="n"/>
      <c r="AF400" s="24">
        <f>$V400*BIBLE!R220</f>
        <v/>
      </c>
      <c r="AG400" s="24">
        <f>$V400*BIBLE!S220</f>
        <v/>
      </c>
      <c r="AH400" s="24">
        <f>$V400*BIBLE!T220</f>
        <v/>
      </c>
      <c r="AI400" s="1539">
        <f>$V400*BIBLE!V220</f>
        <v/>
      </c>
      <c r="AJ400" s="1539">
        <f>$V400*BIBLE!W220</f>
        <v/>
      </c>
      <c r="AK400" s="1539">
        <f>$V400*BIBLE!X220</f>
        <v/>
      </c>
      <c r="AL400" s="1539">
        <f>$V400*BIBLE!Y220</f>
        <v/>
      </c>
      <c r="AM400" s="1539">
        <f>$V400*BIBLE!Z220</f>
        <v/>
      </c>
      <c r="AN400" s="1539">
        <f>$V400*BIBLE!AA220</f>
        <v/>
      </c>
      <c r="AO400" s="1539">
        <f>$V400*BIBLE!AB220</f>
        <v/>
      </c>
      <c r="AP400" s="1539">
        <f>$V400*BIBLE!AC220</f>
        <v/>
      </c>
      <c r="AQ400" s="6">
        <f>Q400</f>
        <v/>
      </c>
      <c r="AR400" s="2073" t="n"/>
      <c r="AS400" s="6">
        <f>IF($Q400&gt;0,X$108*$D400,0)</f>
        <v/>
      </c>
      <c r="AT400" s="6">
        <f>IF($Q400&gt;0,Y$108*$D400,0)</f>
        <v/>
      </c>
      <c r="AU400" s="6">
        <f>IF($Q400&gt;0,Z$108*$D400,0)</f>
        <v/>
      </c>
      <c r="AV400" s="6">
        <f>IF($Q400&gt;0,AA$108*$D400,0)</f>
        <v/>
      </c>
      <c r="AW400" s="6">
        <f>IF($Q400&gt;0,AB$108*$D400,0)</f>
        <v/>
      </c>
      <c r="AX400" s="6">
        <f>IF($Q400&gt;0,AC$108*$D400,0)</f>
        <v/>
      </c>
      <c r="AZ400" s="575" t="n"/>
      <c r="BB400" s="575" t="n"/>
      <c r="BC400" s="575" t="n"/>
      <c r="BD400" s="575" t="n"/>
      <c r="BE400" s="575" t="n"/>
      <c r="BF400" s="575" t="n"/>
      <c r="BG400" s="575" t="n"/>
    </row>
    <row r="401" ht="53" customFormat="1" customHeight="1" s="7">
      <c r="A401" s="1439">
        <f>BIBLE!E222</f>
        <v/>
      </c>
      <c r="B401" s="1899">
        <f>IF(AND(E43&lt;&gt;1,OR(E$396=1,E$397=1,E$398=1)),BIBLE!F222,"")</f>
        <v/>
      </c>
      <c r="C401" s="2003">
        <f>BIBLE!O222</f>
        <v/>
      </c>
      <c r="D401" s="125">
        <f>BIBLE!L222</f>
        <v/>
      </c>
      <c r="E401" s="2092" t="n"/>
      <c r="F401" s="2092" t="n"/>
      <c r="G401" s="2092" t="n"/>
      <c r="H401" s="2092" t="n"/>
      <c r="I401" s="2092" t="n"/>
      <c r="J401" s="2092" t="n"/>
      <c r="K401" s="2092" t="n"/>
      <c r="L401" s="2092" t="n"/>
      <c r="M401" s="2092" t="n"/>
      <c r="N401" s="2092" t="n"/>
      <c r="O401" s="2092" t="n"/>
      <c r="P401" s="25">
        <f>'TEST_pour application'!B378</f>
        <v/>
      </c>
      <c r="Q401" s="26">
        <f>P401*D401</f>
        <v/>
      </c>
      <c r="R401" s="301" t="n"/>
      <c r="S401" s="55" t="n"/>
      <c r="T401" s="55" t="n"/>
      <c r="U401" s="55" t="n"/>
      <c r="V401" s="6" t="n"/>
      <c r="W401" s="301" t="n"/>
      <c r="X401" s="6" t="n"/>
      <c r="Y401" s="6" t="n"/>
      <c r="Z401" s="6" t="n"/>
      <c r="AA401" s="6" t="n"/>
      <c r="AB401" s="6" t="n"/>
      <c r="AC401" s="6" t="n"/>
      <c r="AE401" s="522" t="n"/>
      <c r="AF401" s="24">
        <f>$V401*BIBLE!R222</f>
        <v/>
      </c>
      <c r="AG401" s="24">
        <f>$V401*BIBLE!S222</f>
        <v/>
      </c>
      <c r="AH401" s="24">
        <f>$V401*BIBLE!T222</f>
        <v/>
      </c>
      <c r="AI401" s="1539">
        <f>$V401*BIBLE!V222</f>
        <v/>
      </c>
      <c r="AJ401" s="1539">
        <f>$V401*BIBLE!W222</f>
        <v/>
      </c>
      <c r="AK401" s="1539">
        <f>$V401*BIBLE!X222</f>
        <v/>
      </c>
      <c r="AL401" s="1539">
        <f>$V401*BIBLE!Y222</f>
        <v/>
      </c>
      <c r="AM401" s="1539">
        <f>$V401*BIBLE!Z222</f>
        <v/>
      </c>
      <c r="AN401" s="1539">
        <f>$V401*BIBLE!AA222</f>
        <v/>
      </c>
      <c r="AO401" s="1539">
        <f>$V401*BIBLE!AB222</f>
        <v/>
      </c>
      <c r="AP401" s="1539">
        <f>$V401*BIBLE!AC222</f>
        <v/>
      </c>
      <c r="AQ401" s="6">
        <f>Q401</f>
        <v/>
      </c>
      <c r="AR401" s="2073" t="n"/>
      <c r="AS401" s="6">
        <f>IF($Q401&gt;0,X$108*$D401,0)</f>
        <v/>
      </c>
      <c r="AT401" s="6">
        <f>IF($Q401&gt;0,Y$108*$D401,0)</f>
        <v/>
      </c>
      <c r="AU401" s="6">
        <f>IF($Q401&gt;0,Z$108*$D401,0)</f>
        <v/>
      </c>
      <c r="AV401" s="6">
        <f>IF($Q401&gt;0,AA$108*$D401,0)</f>
        <v/>
      </c>
      <c r="AW401" s="6">
        <f>IF($Q401&gt;0,AB$108*$D401,0)</f>
        <v/>
      </c>
      <c r="AX401" s="6">
        <f>IF($Q401&gt;0,AC$108*$D401,0)</f>
        <v/>
      </c>
    </row>
    <row r="402" ht="75" customFormat="1" customHeight="1" s="7">
      <c r="A402" s="1439">
        <f>BIBLE!E223</f>
        <v/>
      </c>
      <c r="B402" s="158">
        <f>IF(OR($E$48=1,$E$49=1),BIBLE!F223,"")</f>
        <v/>
      </c>
      <c r="C402" s="2003">
        <f>BIBLE!O223</f>
        <v/>
      </c>
      <c r="D402" s="125">
        <f>BIBLE!L223</f>
        <v/>
      </c>
      <c r="E402" s="2092" t="n"/>
      <c r="F402" s="2092" t="n"/>
      <c r="G402" s="2092" t="n"/>
      <c r="H402" s="2092" t="n"/>
      <c r="I402" s="2092" t="n">
        <v>1</v>
      </c>
      <c r="J402" s="2092" t="n"/>
      <c r="K402" s="2092" t="n"/>
      <c r="L402" s="2092" t="n"/>
      <c r="M402" s="2092" t="n"/>
      <c r="N402" s="2092" t="n"/>
      <c r="O402" s="2092" t="n"/>
      <c r="P402" s="25">
        <f>'TEST_pour application'!B379</f>
        <v/>
      </c>
      <c r="Q402" s="26">
        <f>P402*D402</f>
        <v/>
      </c>
      <c r="R402" s="2002">
        <f>BIBLE!K223</f>
        <v/>
      </c>
      <c r="S402" s="56" t="n"/>
      <c r="T402" s="56" t="n"/>
      <c r="U402" s="56" t="n"/>
      <c r="V402" s="6">
        <f>IF(P402&gt;=R402,IF(Q402&gt;Q403,Q402,Q403),Q402)</f>
        <v/>
      </c>
      <c r="W402" s="2002" t="n"/>
      <c r="X402" s="6">
        <f>IF(($P402&gt;=$R402),IF($Q402&gt;$Q403,X$108*$D402,X$108*$D403),X$108*$D402)</f>
        <v/>
      </c>
      <c r="Y402" s="6">
        <f>IF(($P402&gt;=$R402),IF($Q402&gt;$Q403,Y$108*$D402,Y$108*$D403),Y$108*$D402)</f>
        <v/>
      </c>
      <c r="Z402" s="6">
        <f>IF(($P402&gt;=$R402),IF($Q402&gt;$Q403,Z$108*$D402,Z$108*$D403),Z$108*$D402)</f>
        <v/>
      </c>
      <c r="AA402" s="6">
        <f>IF(($P402&gt;=$R402),IF($Q402&gt;$Q403,AA$108*$D402,AA$108*$D403),AA$108*$D402)</f>
        <v/>
      </c>
      <c r="AB402" s="6">
        <f>IF(($P402&gt;=$R402),IF($Q402&gt;$Q403,AB$108*$D402,AB$108*$D403),AB$108*$D402)</f>
        <v/>
      </c>
      <c r="AC402" s="6">
        <f>IF(($P402&gt;=$R402),IF($Q402&gt;$Q403,AC$108*$D402,AC$108*$D403),AC$108*$D402)</f>
        <v/>
      </c>
      <c r="AE402" s="522" t="n"/>
      <c r="AF402" s="24">
        <f>IF($Q402=$V402,$Q402*BIBLE!R273,$Q403*BIBLE!R274)</f>
        <v/>
      </c>
      <c r="AG402" s="24">
        <f>IF($Q402=$V402,$Q402*BIBLE!S273,$Q403*BIBLE!S274)</f>
        <v/>
      </c>
      <c r="AH402" s="24">
        <f>IF($Q402=$V402,$Q402*BIBLE!T273,$Q403*BIBLE!T274)</f>
        <v/>
      </c>
      <c r="AI402" s="1539">
        <f>IF($Q402=$V402,$Q402*BIBLE!V273,$Q403*BIBLE!V274)</f>
        <v/>
      </c>
      <c r="AJ402" s="1539">
        <f>IF($Q402=$V402,$Q402*BIBLE!W273,$Q403*BIBLE!W274)</f>
        <v/>
      </c>
      <c r="AK402" s="1539">
        <f>IF($Q402=$V402,$Q402*BIBLE!X273,$Q403*BIBLE!X274)</f>
        <v/>
      </c>
      <c r="AL402" s="1539">
        <f>IF($Q402=$V402,$Q402*BIBLE!Y273,$Q403*BIBLE!Y274)</f>
        <v/>
      </c>
      <c r="AM402" s="1539">
        <f>IF($Q402=$V402,$Q402*BIBLE!Z273,$Q403*BIBLE!Z274)</f>
        <v/>
      </c>
      <c r="AN402" s="1539">
        <f>IF($Q402=$V402,$Q402*BIBLE!AA273,$Q403*BIBLE!AA274)</f>
        <v/>
      </c>
      <c r="AO402" s="1539">
        <f>IF($Q402=$V402,$Q402*BIBLE!AB273,$Q403*BIBLE!AB274)</f>
        <v/>
      </c>
      <c r="AP402" s="1539">
        <f>IF($Q402=$V402,$Q402*BIBLE!AC273,$Q403*BIBLE!AC274)</f>
        <v/>
      </c>
    </row>
    <row r="403" ht="75" customFormat="1" customHeight="1" s="7">
      <c r="A403" s="1439">
        <f>BIBLE!E224</f>
        <v/>
      </c>
      <c r="B403" s="159">
        <f>IF(P402&gt;=R402,BIBLE!F224,"")</f>
        <v/>
      </c>
      <c r="C403" s="2003">
        <f>BIBLE!O224</f>
        <v/>
      </c>
      <c r="D403" s="125">
        <f>BIBLE!L224</f>
        <v/>
      </c>
      <c r="E403" s="2092" t="n"/>
      <c r="F403" s="2092" t="n"/>
      <c r="G403" s="2092" t="n"/>
      <c r="H403" s="2092" t="n"/>
      <c r="I403" s="2092" t="n">
        <v>1</v>
      </c>
      <c r="J403" s="2092" t="n"/>
      <c r="K403" s="2092" t="n"/>
      <c r="L403" s="2092" t="n"/>
      <c r="M403" s="2092" t="n"/>
      <c r="N403" s="2092" t="n"/>
      <c r="O403" s="2092" t="n"/>
      <c r="P403" s="25">
        <f>'TEST_pour application'!B380</f>
        <v/>
      </c>
      <c r="Q403" s="26">
        <f>P403*D403</f>
        <v/>
      </c>
      <c r="R403" s="2002">
        <f>IF(BIBLE!K274=0,"",BIBLE!K274)</f>
        <v/>
      </c>
      <c r="S403" s="56" t="n"/>
      <c r="T403" s="56" t="n"/>
      <c r="U403" s="56" t="n"/>
      <c r="V403" s="6" t="n"/>
      <c r="W403" s="301" t="n"/>
      <c r="X403" s="6" t="n"/>
      <c r="Y403" s="6" t="n"/>
      <c r="Z403" s="6" t="n"/>
      <c r="AA403" s="6" t="n"/>
      <c r="AB403" s="6" t="n"/>
      <c r="AC403" s="6" t="n"/>
      <c r="AE403" s="522" t="n"/>
      <c r="AF403" s="93" t="n"/>
      <c r="AG403" s="93" t="n"/>
      <c r="AH403" s="93" t="n"/>
      <c r="AI403" s="775" t="n"/>
      <c r="AJ403" s="775" t="n"/>
      <c r="AK403" s="775" t="n"/>
      <c r="AL403" s="775" t="n"/>
      <c r="AM403" s="775" t="n"/>
      <c r="AN403" s="775" t="n"/>
      <c r="AO403" s="775" t="n"/>
      <c r="AP403" s="775" t="n"/>
    </row>
    <row r="404" ht="75" customFormat="1" customHeight="1" s="7">
      <c r="A404" s="1439">
        <f>BIBLE!E225</f>
        <v/>
      </c>
      <c r="B404" s="158">
        <f>IF(OR($E$48=1,$E$49=1),BIBLE!F225,"")</f>
        <v/>
      </c>
      <c r="C404" s="2003">
        <f>BIBLE!O225</f>
        <v/>
      </c>
      <c r="D404" s="125">
        <f>BIBLE!L225</f>
        <v/>
      </c>
      <c r="E404" s="2092" t="n"/>
      <c r="F404" s="2092" t="n"/>
      <c r="G404" s="2092" t="n"/>
      <c r="H404" s="2092" t="n">
        <v>1</v>
      </c>
      <c r="I404" s="2092" t="n"/>
      <c r="J404" s="2092" t="n"/>
      <c r="K404" s="2092" t="n"/>
      <c r="L404" s="2092" t="n"/>
      <c r="M404" s="2092" t="n"/>
      <c r="N404" s="2092" t="n"/>
      <c r="O404" s="2092" t="n"/>
      <c r="P404" s="25">
        <f>'TEST_pour application'!B381</f>
        <v/>
      </c>
      <c r="Q404" s="26">
        <f>P404*D404</f>
        <v/>
      </c>
      <c r="R404" s="301" t="n"/>
      <c r="S404" s="55" t="n"/>
      <c r="T404" s="55" t="n"/>
      <c r="U404" s="55" t="n"/>
      <c r="V404" s="6">
        <f>Q404</f>
        <v/>
      </c>
      <c r="W404" s="301" t="n"/>
      <c r="X404" s="6">
        <f>IF($Q404&gt;0,X$108*$D404,0)</f>
        <v/>
      </c>
      <c r="Y404" s="6">
        <f>IF($Q404&gt;0,Y$108*$D404,0)</f>
        <v/>
      </c>
      <c r="Z404" s="6">
        <f>IF($Q404&gt;0,Z$108*$D404,0)</f>
        <v/>
      </c>
      <c r="AA404" s="6">
        <f>IF($Q404&gt;0,AA$108*$D404,0)</f>
        <v/>
      </c>
      <c r="AB404" s="6">
        <f>IF($Q404&gt;0,AB$108*$D404,0)</f>
        <v/>
      </c>
      <c r="AC404" s="6">
        <f>IF($Q404&gt;0,AC$108*$D404,0)</f>
        <v/>
      </c>
      <c r="AE404" s="522" t="n"/>
      <c r="AF404" s="24">
        <f>$V404*BIBLE!R225</f>
        <v/>
      </c>
      <c r="AG404" s="24">
        <f>$V404*BIBLE!S225</f>
        <v/>
      </c>
      <c r="AH404" s="24">
        <f>$V404*BIBLE!T225</f>
        <v/>
      </c>
      <c r="AI404" s="1539">
        <f>$V404*BIBLE!V225</f>
        <v/>
      </c>
      <c r="AJ404" s="1539">
        <f>$V404*BIBLE!W225</f>
        <v/>
      </c>
      <c r="AK404" s="1539">
        <f>$V404*BIBLE!X225</f>
        <v/>
      </c>
      <c r="AL404" s="1539">
        <f>$V404*BIBLE!Y225</f>
        <v/>
      </c>
      <c r="AM404" s="1539">
        <f>$V404*BIBLE!Z225</f>
        <v/>
      </c>
      <c r="AN404" s="1539">
        <f>$V404*BIBLE!AA225</f>
        <v/>
      </c>
      <c r="AO404" s="1539">
        <f>$V404*BIBLE!AB225</f>
        <v/>
      </c>
      <c r="AP404" s="1539">
        <f>$V404*BIBLE!AC225</f>
        <v/>
      </c>
    </row>
    <row r="405" ht="75" customFormat="1" customHeight="1" s="7">
      <c r="A405" s="1439">
        <f>BIBLE!E226</f>
        <v/>
      </c>
      <c r="B405" s="158">
        <f>IF(OR($E$48=1,$E$49=1),BIBLE!F226,"")</f>
        <v/>
      </c>
      <c r="C405" s="2003">
        <f>BIBLE!O226</f>
        <v/>
      </c>
      <c r="D405" s="125">
        <f>BIBLE!L226</f>
        <v/>
      </c>
      <c r="E405" s="2092" t="n"/>
      <c r="F405" s="2092" t="n"/>
      <c r="G405" s="2092" t="n"/>
      <c r="H405" s="2092" t="n"/>
      <c r="I405" s="2092" t="n"/>
      <c r="J405" s="2092" t="n">
        <v>1</v>
      </c>
      <c r="K405" s="2092" t="n"/>
      <c r="L405" s="2092" t="n"/>
      <c r="M405" s="2092" t="n"/>
      <c r="N405" s="2092" t="n"/>
      <c r="O405" s="2092" t="n"/>
      <c r="P405" s="25">
        <f>'TEST_pour application'!B382</f>
        <v/>
      </c>
      <c r="Q405" s="26">
        <f>P405*D405</f>
        <v/>
      </c>
      <c r="R405" s="2002" t="n"/>
      <c r="V405" s="6">
        <f>Q405</f>
        <v/>
      </c>
      <c r="W405" s="301" t="n"/>
      <c r="X405" s="6">
        <f>IF($Q405&gt;0,X$108*$D405,0)</f>
        <v/>
      </c>
      <c r="Y405" s="6">
        <f>IF($Q405&gt;0,Y$108*$D405,0)</f>
        <v/>
      </c>
      <c r="Z405" s="6">
        <f>IF($Q405&gt;0,Z$108*$D405,0)</f>
        <v/>
      </c>
      <c r="AA405" s="6">
        <f>IF($Q405&gt;0,AA$108*$D405,0)</f>
        <v/>
      </c>
      <c r="AB405" s="6">
        <f>IF($Q405&gt;0,AB$108*$D405,0)</f>
        <v/>
      </c>
      <c r="AC405" s="6">
        <f>IF($Q405&gt;0,AC$108*$D405,0)</f>
        <v/>
      </c>
      <c r="AE405" s="522" t="n"/>
      <c r="AF405" s="24">
        <f>$V405*BIBLE!R226</f>
        <v/>
      </c>
      <c r="AG405" s="24">
        <f>$V405*BIBLE!S226</f>
        <v/>
      </c>
      <c r="AH405" s="24">
        <f>$V405*BIBLE!T226</f>
        <v/>
      </c>
      <c r="AI405" s="1539">
        <f>$V405*BIBLE!V226</f>
        <v/>
      </c>
      <c r="AJ405" s="1539">
        <f>$V405*BIBLE!W226</f>
        <v/>
      </c>
      <c r="AK405" s="1539">
        <f>$V405*BIBLE!X226</f>
        <v/>
      </c>
      <c r="AL405" s="1539">
        <f>$V405*BIBLE!Y226</f>
        <v/>
      </c>
      <c r="AM405" s="1539">
        <f>$V405*BIBLE!Z226</f>
        <v/>
      </c>
      <c r="AN405" s="1539">
        <f>$V405*BIBLE!AA226</f>
        <v/>
      </c>
      <c r="AO405" s="1539">
        <f>$V405*BIBLE!AB226</f>
        <v/>
      </c>
      <c r="AP405" s="1539">
        <f>$V405*BIBLE!AC226</f>
        <v/>
      </c>
    </row>
    <row r="406" ht="75" customFormat="1" customHeight="1" s="7">
      <c r="A406" s="1439">
        <f>BIBLE!E227</f>
        <v/>
      </c>
      <c r="B406" s="158">
        <f>IF(OR($E$48=1,$E$49=1),BIBLE!F227,"")</f>
        <v/>
      </c>
      <c r="C406" s="2003">
        <f>BIBLE!O227</f>
        <v/>
      </c>
      <c r="D406" s="125">
        <f>BIBLE!L227</f>
        <v/>
      </c>
      <c r="E406" s="2092" t="n"/>
      <c r="F406" s="2092" t="n"/>
      <c r="G406" s="2092" t="n"/>
      <c r="H406" s="2092" t="n"/>
      <c r="I406" s="2092" t="n"/>
      <c r="J406" s="2092" t="n">
        <v>1</v>
      </c>
      <c r="K406" s="2092" t="n"/>
      <c r="L406" s="2092" t="n"/>
      <c r="M406" s="2092" t="n"/>
      <c r="N406" s="2092" t="n"/>
      <c r="O406" s="2092" t="n"/>
      <c r="P406" s="25">
        <f>'TEST_pour application'!B383</f>
        <v/>
      </c>
      <c r="Q406" s="26">
        <f>P406*D406</f>
        <v/>
      </c>
      <c r="R406" s="2002" t="n"/>
      <c r="V406" s="6">
        <f>Q406</f>
        <v/>
      </c>
      <c r="W406" s="301" t="n"/>
      <c r="X406" s="6">
        <f>IF($Q406&gt;0,X$108*$D406,0)</f>
        <v/>
      </c>
      <c r="Y406" s="6">
        <f>IF($Q406&gt;0,Y$108*$D406,0)</f>
        <v/>
      </c>
      <c r="Z406" s="6">
        <f>IF($Q406&gt;0,Z$108*$D406,0)</f>
        <v/>
      </c>
      <c r="AA406" s="6">
        <f>IF($Q406&gt;0,AA$108*$D406,0)</f>
        <v/>
      </c>
      <c r="AB406" s="6">
        <f>IF($Q406&gt;0,AB$108*$D406,0)</f>
        <v/>
      </c>
      <c r="AC406" s="6">
        <f>IF($Q406&gt;0,AC$108*$D406,0)</f>
        <v/>
      </c>
      <c r="AE406" s="522" t="n"/>
      <c r="AF406" s="24">
        <f>$V406*BIBLE!R227</f>
        <v/>
      </c>
      <c r="AG406" s="24">
        <f>$V406*BIBLE!S227</f>
        <v/>
      </c>
      <c r="AH406" s="24">
        <f>$V406*BIBLE!T227</f>
        <v/>
      </c>
      <c r="AI406" s="1539">
        <f>$V406*BIBLE!V227</f>
        <v/>
      </c>
      <c r="AJ406" s="1539">
        <f>$V406*BIBLE!W227</f>
        <v/>
      </c>
      <c r="AK406" s="1539">
        <f>$V406*BIBLE!X227</f>
        <v/>
      </c>
      <c r="AL406" s="1539">
        <f>$V406*BIBLE!Y227</f>
        <v/>
      </c>
      <c r="AM406" s="1539">
        <f>$V406*BIBLE!Z227</f>
        <v/>
      </c>
      <c r="AN406" s="1539">
        <f>$V406*BIBLE!AA227</f>
        <v/>
      </c>
      <c r="AO406" s="1539">
        <f>$V406*BIBLE!AB227</f>
        <v/>
      </c>
      <c r="AP406" s="1539">
        <f>$V406*BIBLE!AC227</f>
        <v/>
      </c>
    </row>
    <row r="407" ht="75" customFormat="1" customHeight="1" s="7">
      <c r="A407" s="1439">
        <f>BIBLE!E228</f>
        <v/>
      </c>
      <c r="B407" s="1899">
        <f>IF(AND(OR($E$48=1,$E$49=1),OR(E$62=1,E$63=1,E$64=1,E$65=1)),BIBLE!F228,"")</f>
        <v/>
      </c>
      <c r="C407" s="2003">
        <f>BIBLE!O228</f>
        <v/>
      </c>
      <c r="D407" s="125">
        <f>BIBLE!L228</f>
        <v/>
      </c>
      <c r="E407" s="2092" t="n"/>
      <c r="F407" s="2092" t="n"/>
      <c r="G407" s="2092" t="n"/>
      <c r="H407" s="2092" t="n"/>
      <c r="I407" s="2092" t="n"/>
      <c r="J407" s="2092" t="n">
        <v>1</v>
      </c>
      <c r="K407" s="2092" t="n"/>
      <c r="L407" s="2092" t="n"/>
      <c r="M407" s="2092" t="n"/>
      <c r="N407" s="2092" t="n"/>
      <c r="O407" s="2092" t="n"/>
      <c r="P407" s="25">
        <f>'TEST_pour application'!B384</f>
        <v/>
      </c>
      <c r="Q407" s="26">
        <f>P407*D407</f>
        <v/>
      </c>
      <c r="R407" s="2002" t="n"/>
      <c r="V407" s="6">
        <f>Q407</f>
        <v/>
      </c>
      <c r="W407" s="301" t="n"/>
      <c r="X407" s="6">
        <f>IF($Q407&gt;0,X$108*$D407,0)</f>
        <v/>
      </c>
      <c r="Y407" s="6">
        <f>IF($Q407&gt;0,Y$108*$D407,0)</f>
        <v/>
      </c>
      <c r="Z407" s="6">
        <f>IF($Q407&gt;0,Z$108*$D407,0)</f>
        <v/>
      </c>
      <c r="AA407" s="6">
        <f>IF($Q407&gt;0,AA$108*$D407,0)</f>
        <v/>
      </c>
      <c r="AB407" s="6">
        <f>IF($Q407&gt;0,AB$108*$D407,0)</f>
        <v/>
      </c>
      <c r="AC407" s="6">
        <f>IF($Q407&gt;0,AC$108*$D407,0)</f>
        <v/>
      </c>
      <c r="AE407" s="522" t="n"/>
      <c r="AF407" s="24">
        <f>$V407*BIBLE!R228</f>
        <v/>
      </c>
      <c r="AG407" s="24">
        <f>$V407*BIBLE!S228</f>
        <v/>
      </c>
      <c r="AH407" s="24">
        <f>$V407*BIBLE!T228</f>
        <v/>
      </c>
      <c r="AI407" s="1539">
        <f>$V407*BIBLE!V228</f>
        <v/>
      </c>
      <c r="AJ407" s="1539">
        <f>$V407*BIBLE!W228</f>
        <v/>
      </c>
      <c r="AK407" s="1539">
        <f>$V407*BIBLE!X228</f>
        <v/>
      </c>
      <c r="AL407" s="1539">
        <f>$V407*BIBLE!Y228</f>
        <v/>
      </c>
      <c r="AM407" s="1539">
        <f>$V407*BIBLE!Z228</f>
        <v/>
      </c>
      <c r="AN407" s="1539">
        <f>$V407*BIBLE!AA228</f>
        <v/>
      </c>
      <c r="AO407" s="1539">
        <f>$V407*BIBLE!AB228</f>
        <v/>
      </c>
      <c r="AP407" s="1539">
        <f>$V407*BIBLE!AC228</f>
        <v/>
      </c>
    </row>
    <row r="408" ht="75" customFormat="1" customHeight="1" s="17">
      <c r="A408" s="1439">
        <f>BIBLE!E229</f>
        <v/>
      </c>
      <c r="B408" s="158">
        <f>IF(OR($E$48=1,$E$49=1),BIBLE!F229,"")</f>
        <v/>
      </c>
      <c r="C408" s="2003">
        <f>BIBLE!O229</f>
        <v/>
      </c>
      <c r="D408" s="125">
        <f>BIBLE!L229</f>
        <v/>
      </c>
      <c r="E408" s="2092" t="n"/>
      <c r="F408" s="2092" t="n"/>
      <c r="G408" s="2092" t="n"/>
      <c r="H408" s="2092" t="n"/>
      <c r="I408" s="2092" t="n"/>
      <c r="J408" s="2092" t="n">
        <v>1</v>
      </c>
      <c r="K408" s="2092" t="n"/>
      <c r="L408" s="2092" t="n"/>
      <c r="M408" s="2092" t="n"/>
      <c r="N408" s="2092" t="n"/>
      <c r="O408" s="2092" t="n"/>
      <c r="P408" s="25">
        <f>'TEST_pour application'!B385</f>
        <v/>
      </c>
      <c r="Q408" s="26">
        <f>P408*D408</f>
        <v/>
      </c>
      <c r="R408" s="2002" t="n"/>
      <c r="V408" s="6">
        <f>Q408</f>
        <v/>
      </c>
      <c r="W408" s="301" t="n"/>
      <c r="X408" s="6">
        <f>IF($Q408&gt;0,X$108*$D408,0)</f>
        <v/>
      </c>
      <c r="Y408" s="6">
        <f>IF($Q408&gt;0,Y$108*$D408,0)</f>
        <v/>
      </c>
      <c r="Z408" s="6">
        <f>IF($Q408&gt;0,Z$108*$D408,0)</f>
        <v/>
      </c>
      <c r="AA408" s="6">
        <f>IF($Q408&gt;0,AA$108*$D408,0)</f>
        <v/>
      </c>
      <c r="AB408" s="6">
        <f>IF($Q408&gt;0,AB$108*$D408,0)</f>
        <v/>
      </c>
      <c r="AC408" s="6">
        <f>IF($Q408&gt;0,AC$108*$D408,0)</f>
        <v/>
      </c>
      <c r="AE408" s="522" t="n"/>
      <c r="AF408" s="24">
        <f>$V408*BIBLE!R229</f>
        <v/>
      </c>
      <c r="AG408" s="24">
        <f>$V408*BIBLE!S229</f>
        <v/>
      </c>
      <c r="AH408" s="24">
        <f>$V408*BIBLE!T229</f>
        <v/>
      </c>
      <c r="AI408" s="1539">
        <f>$V408*BIBLE!V229</f>
        <v/>
      </c>
      <c r="AJ408" s="1539">
        <f>$V408*BIBLE!W229</f>
        <v/>
      </c>
      <c r="AK408" s="1539">
        <f>$V408*BIBLE!X229</f>
        <v/>
      </c>
      <c r="AL408" s="1539">
        <f>$V408*BIBLE!Y229</f>
        <v/>
      </c>
      <c r="AM408" s="1539">
        <f>$V408*BIBLE!Z229</f>
        <v/>
      </c>
      <c r="AN408" s="1539">
        <f>$V408*BIBLE!AA229</f>
        <v/>
      </c>
      <c r="AO408" s="1539">
        <f>$V408*BIBLE!AB229</f>
        <v/>
      </c>
      <c r="AP408" s="1539">
        <f>$V408*BIBLE!AC229</f>
        <v/>
      </c>
    </row>
    <row r="409" ht="75" customFormat="1" customHeight="1" s="17">
      <c r="A409" s="1439">
        <f>BIBLE!E230</f>
        <v/>
      </c>
      <c r="B409" s="1760">
        <f>IF(OR($E$48=1,$E$49=1),BIBLE!F230,"")</f>
        <v/>
      </c>
      <c r="C409" s="1056">
        <f>BIBLE!O230</f>
        <v/>
      </c>
      <c r="D409" s="125">
        <f>BIBLE!L230</f>
        <v/>
      </c>
      <c r="E409" s="2092" t="n"/>
      <c r="F409" s="2092" t="n"/>
      <c r="G409" s="2092" t="n"/>
      <c r="H409" s="2092" t="n">
        <v>1</v>
      </c>
      <c r="I409" s="2092" t="n"/>
      <c r="J409" s="2092" t="n"/>
      <c r="K409" s="2092" t="n"/>
      <c r="L409" s="2092" t="n"/>
      <c r="M409" s="2092" t="n"/>
      <c r="N409" s="2092" t="n"/>
      <c r="O409" s="2092" t="n"/>
      <c r="P409" s="25">
        <f>'TEST_pour application'!B386</f>
        <v/>
      </c>
      <c r="Q409" s="26">
        <f>P409*D409</f>
        <v/>
      </c>
      <c r="R409" s="15" t="n"/>
      <c r="S409" s="503" t="n"/>
      <c r="T409" s="503" t="n"/>
      <c r="U409" s="503" t="n"/>
      <c r="V409" s="6">
        <f>Q409</f>
        <v/>
      </c>
      <c r="W409" s="301" t="n"/>
      <c r="X409" s="6">
        <f>IF($Q409&gt;0,X$108*$D409,0)</f>
        <v/>
      </c>
      <c r="Y409" s="6">
        <f>IF($Q409&gt;0,Y$108*$D409,0)</f>
        <v/>
      </c>
      <c r="Z409" s="6">
        <f>IF($Q409&gt;0,Z$108*$D409,0)</f>
        <v/>
      </c>
      <c r="AA409" s="6">
        <f>IF($Q409&gt;0,AA$108*$D409,0)</f>
        <v/>
      </c>
      <c r="AB409" s="6">
        <f>IF($Q409&gt;0,AB$108*$D409,0)</f>
        <v/>
      </c>
      <c r="AC409" s="6">
        <f>IF($Q409&gt;0,AC$108*$D409,0)</f>
        <v/>
      </c>
      <c r="AE409" s="522" t="n"/>
      <c r="AF409" s="24">
        <f>$V409*BIBLE!R230</f>
        <v/>
      </c>
      <c r="AG409" s="24">
        <f>$V409*BIBLE!S230</f>
        <v/>
      </c>
      <c r="AH409" s="24">
        <f>$V409*BIBLE!T230</f>
        <v/>
      </c>
      <c r="AI409" s="1539">
        <f>$V409*BIBLE!V230</f>
        <v/>
      </c>
      <c r="AJ409" s="1539">
        <f>$V409*BIBLE!W230</f>
        <v/>
      </c>
      <c r="AK409" s="1539">
        <f>$V409*BIBLE!X230</f>
        <v/>
      </c>
      <c r="AL409" s="1539">
        <f>$V409*BIBLE!Y230</f>
        <v/>
      </c>
      <c r="AM409" s="1539">
        <f>$V409*BIBLE!Z230</f>
        <v/>
      </c>
      <c r="AN409" s="1539">
        <f>$V409*BIBLE!AA230</f>
        <v/>
      </c>
      <c r="AO409" s="1539">
        <f>$V409*BIBLE!AB230</f>
        <v/>
      </c>
      <c r="AP409" s="1539">
        <f>$V409*BIBLE!AC230</f>
        <v/>
      </c>
    </row>
    <row r="410" ht="75" customFormat="1" customHeight="1" s="17">
      <c r="A410" s="1439">
        <f>BIBLE!E231</f>
        <v/>
      </c>
      <c r="B410" s="1899">
        <f>IF(AND(OR($E$48=1,$E$49=1),OR(E$62=1,E$63=1,E$64=1,E$65=1)),BIBLE!F231,"")</f>
        <v/>
      </c>
      <c r="C410" s="2003">
        <f>BIBLE!O231</f>
        <v/>
      </c>
      <c r="D410" s="125">
        <f>BIBLE!L231</f>
        <v/>
      </c>
      <c r="E410" s="2092" t="n"/>
      <c r="F410" s="2092" t="n"/>
      <c r="G410" s="2092" t="n"/>
      <c r="H410" s="2092" t="n"/>
      <c r="I410" s="2092" t="n"/>
      <c r="J410" s="2092" t="n"/>
      <c r="K410" s="2092" t="n">
        <v>1</v>
      </c>
      <c r="L410" s="2092" t="n"/>
      <c r="M410" s="2092" t="n"/>
      <c r="N410" s="2092" t="n"/>
      <c r="O410" s="2092" t="n"/>
      <c r="P410" s="25">
        <f>'TEST_pour application'!B387</f>
        <v/>
      </c>
      <c r="Q410" s="26">
        <f>P410*D410</f>
        <v/>
      </c>
      <c r="R410" s="2002" t="n"/>
      <c r="S410" s="7" t="n"/>
      <c r="T410" s="7" t="n"/>
      <c r="U410" s="7" t="n"/>
      <c r="V410" s="6">
        <f>Q410</f>
        <v/>
      </c>
      <c r="W410" s="301" t="n"/>
      <c r="X410" s="6">
        <f>IF($Q410&gt;0,X$108*$D410,0)</f>
        <v/>
      </c>
      <c r="Y410" s="6">
        <f>IF($Q410&gt;0,Y$108*$D410,0)</f>
        <v/>
      </c>
      <c r="Z410" s="6">
        <f>IF($Q410&gt;0,Z$108*$D410,0)</f>
        <v/>
      </c>
      <c r="AA410" s="6">
        <f>IF($Q410&gt;0,AA$108*$D410,0)</f>
        <v/>
      </c>
      <c r="AB410" s="6">
        <f>IF($Q410&gt;0,AB$108*$D410,0)</f>
        <v/>
      </c>
      <c r="AC410" s="6">
        <f>IF($Q410&gt;0,AC$108*$D410,0)</f>
        <v/>
      </c>
      <c r="AE410" s="522" t="n"/>
      <c r="AF410" s="24">
        <f>$V410*BIBLE!R231</f>
        <v/>
      </c>
      <c r="AG410" s="24">
        <f>$V410*BIBLE!S231</f>
        <v/>
      </c>
      <c r="AH410" s="24">
        <f>$V410*BIBLE!T231</f>
        <v/>
      </c>
      <c r="AI410" s="1539">
        <f>$V410*BIBLE!V231</f>
        <v/>
      </c>
      <c r="AJ410" s="1539">
        <f>$V410*BIBLE!W231</f>
        <v/>
      </c>
      <c r="AK410" s="1539">
        <f>$V410*BIBLE!X231</f>
        <v/>
      </c>
      <c r="AL410" s="1539">
        <f>$V410*BIBLE!Y231</f>
        <v/>
      </c>
      <c r="AM410" s="1539">
        <f>$V410*BIBLE!Z231</f>
        <v/>
      </c>
      <c r="AN410" s="1539">
        <f>$V410*BIBLE!AA231</f>
        <v/>
      </c>
      <c r="AO410" s="1539">
        <f>$V410*BIBLE!AB231</f>
        <v/>
      </c>
      <c r="AP410" s="1539">
        <f>$V410*BIBLE!AC231</f>
        <v/>
      </c>
    </row>
    <row r="411" ht="75" customFormat="1" customHeight="1" s="17">
      <c r="A411" s="1439">
        <f>BIBLE!E232</f>
        <v/>
      </c>
      <c r="B411" s="158">
        <f>IF(P179&gt;=R179,BIBLE!F232,"")</f>
        <v/>
      </c>
      <c r="C411" s="2003">
        <f>BIBLE!O232</f>
        <v/>
      </c>
      <c r="D411" s="125">
        <f>IF(E40&gt;=11,BIBLE!L232,BIBLE!M232)</f>
        <v/>
      </c>
      <c r="E411" s="2092" t="n"/>
      <c r="F411" s="2092" t="n"/>
      <c r="G411" s="2092" t="n"/>
      <c r="H411" s="2092" t="n"/>
      <c r="I411" s="2092" t="n"/>
      <c r="J411" s="2092" t="n">
        <v>1</v>
      </c>
      <c r="K411" s="2092" t="n"/>
      <c r="L411" s="2092" t="n"/>
      <c r="M411" s="2092" t="n"/>
      <c r="N411" s="2092" t="n"/>
      <c r="O411" s="2092" t="n"/>
      <c r="P411" s="25">
        <f>'TEST_pour application'!B388</f>
        <v/>
      </c>
      <c r="Q411" s="26">
        <f>P411*D411</f>
        <v/>
      </c>
      <c r="R411" s="2002" t="n"/>
      <c r="V411" s="6">
        <f>Q411</f>
        <v/>
      </c>
      <c r="W411" s="301" t="n"/>
      <c r="X411" s="6">
        <f>IF($Q411&gt;0,X$108*$D411,0)</f>
        <v/>
      </c>
      <c r="Y411" s="6">
        <f>IF($Q411&gt;0,Y$108*$D411,0)</f>
        <v/>
      </c>
      <c r="Z411" s="6">
        <f>IF($Q411&gt;0,Z$108*$D411,0)</f>
        <v/>
      </c>
      <c r="AA411" s="6">
        <f>IF($Q411&gt;0,AA$108*$D411,0)</f>
        <v/>
      </c>
      <c r="AB411" s="6">
        <f>IF($Q411&gt;0,AB$108*$D411,0)</f>
        <v/>
      </c>
      <c r="AC411" s="6">
        <f>IF($Q411&gt;0,AC$108*$D411,0)</f>
        <v/>
      </c>
      <c r="AE411" s="522" t="n"/>
      <c r="AF411" s="24">
        <f>$V411*BIBLE!R232</f>
        <v/>
      </c>
      <c r="AG411" s="24">
        <f>$V411*BIBLE!S232</f>
        <v/>
      </c>
      <c r="AH411" s="24">
        <f>$V411*BIBLE!T232</f>
        <v/>
      </c>
      <c r="AI411" s="1539">
        <f>$V411*BIBLE!V232</f>
        <v/>
      </c>
      <c r="AJ411" s="1539">
        <f>$V411*BIBLE!W232</f>
        <v/>
      </c>
      <c r="AK411" s="1539">
        <f>$V411*BIBLE!X232</f>
        <v/>
      </c>
      <c r="AL411" s="1539">
        <f>$V411*BIBLE!Y232</f>
        <v/>
      </c>
      <c r="AM411" s="1539">
        <f>$V411*BIBLE!Z232</f>
        <v/>
      </c>
      <c r="AN411" s="1539">
        <f>$V411*BIBLE!AA232</f>
        <v/>
      </c>
      <c r="AO411" s="1539">
        <f>$V411*BIBLE!AB232</f>
        <v/>
      </c>
      <c r="AP411" s="1539">
        <f>$V411*BIBLE!AC232</f>
        <v/>
      </c>
    </row>
    <row r="412" customFormat="1" s="7">
      <c r="A412" s="56" t="n"/>
      <c r="C412" s="56" t="n"/>
      <c r="D412" s="291" t="n"/>
      <c r="E412" s="56" t="n"/>
      <c r="F412" s="56" t="n"/>
      <c r="G412" s="56" t="n"/>
      <c r="H412" s="56" t="n"/>
      <c r="I412" s="56" t="n"/>
      <c r="J412" s="56" t="n"/>
      <c r="K412" s="56" t="n"/>
      <c r="L412" s="56" t="n"/>
      <c r="M412" s="56" t="n"/>
      <c r="N412" s="56" t="n"/>
      <c r="O412" s="56" t="n"/>
      <c r="P412" s="56" t="n"/>
      <c r="R412" s="56" t="n"/>
      <c r="S412" s="56" t="n"/>
      <c r="T412" s="56" t="n"/>
      <c r="U412" s="56" t="n"/>
      <c r="V412" s="496">
        <f>SUM(V389:V411)</f>
        <v/>
      </c>
      <c r="W412" s="56" t="n"/>
      <c r="X412" s="495">
        <f>SUM(X389:X411)</f>
        <v/>
      </c>
      <c r="Y412" s="495">
        <f>SUM(Y389:Y411)</f>
        <v/>
      </c>
      <c r="Z412" s="495">
        <f>SUM(Z389:Z411)</f>
        <v/>
      </c>
      <c r="AA412" s="495">
        <f>SUM(AA389:AA411)</f>
        <v/>
      </c>
      <c r="AB412" s="495">
        <f>SUM(AB389:AB411)</f>
        <v/>
      </c>
      <c r="AC412" s="495">
        <f>SUM(AC389:AC411)</f>
        <v/>
      </c>
      <c r="AD412" s="551">
        <f>V412/AC412</f>
        <v/>
      </c>
      <c r="AE412" s="521">
        <f>SUM(AE389:AE411)</f>
        <v/>
      </c>
      <c r="AF412" s="1545">
        <f>SUM(AF389:AF411)</f>
        <v/>
      </c>
      <c r="AG412" s="1545">
        <f>SUM(AG389:AG411)</f>
        <v/>
      </c>
      <c r="AH412" s="1545">
        <f>SUM(AH389:AH411)</f>
        <v/>
      </c>
      <c r="AI412" s="1546">
        <f>SUM(AI389:AI411)</f>
        <v/>
      </c>
      <c r="AJ412" s="1546">
        <f>SUM(AJ389:AJ411)</f>
        <v/>
      </c>
      <c r="AK412" s="1546">
        <f>SUM(AK389:AK411)</f>
        <v/>
      </c>
      <c r="AL412" s="1546">
        <f>SUM(AL389:AL411)</f>
        <v/>
      </c>
      <c r="AM412" s="1546">
        <f>SUM(AM389:AM411)</f>
        <v/>
      </c>
      <c r="AN412" s="1546">
        <f>SUM(AN389:AN411)</f>
        <v/>
      </c>
      <c r="AO412" s="1546">
        <f>SUM(AO389:AO411)</f>
        <v/>
      </c>
      <c r="AP412" s="1546">
        <f>SUM(AP389:AP411)</f>
        <v/>
      </c>
    </row>
    <row r="413" customFormat="1" s="7">
      <c r="A413" s="1440" t="n"/>
      <c r="C413" s="56" t="n"/>
      <c r="D413" s="291" t="n"/>
      <c r="E413" s="56" t="n"/>
      <c r="F413" s="56" t="n"/>
      <c r="G413" s="56" t="n"/>
      <c r="H413" s="56" t="n"/>
      <c r="I413" s="56" t="n"/>
      <c r="J413" s="56" t="n"/>
      <c r="K413" s="56" t="n"/>
      <c r="L413" s="56" t="n"/>
      <c r="M413" s="56" t="n"/>
      <c r="N413" s="56" t="n"/>
      <c r="O413" s="56" t="n"/>
      <c r="P413" s="56" t="n"/>
      <c r="Q413" s="56" t="n"/>
      <c r="R413" s="56" t="n"/>
      <c r="S413" s="56" t="n"/>
      <c r="T413" s="56" t="n"/>
      <c r="U413" s="56" t="n"/>
      <c r="V413" s="545" t="n"/>
      <c r="W413" s="56" t="n"/>
      <c r="X413" s="2002" t="n"/>
      <c r="Y413" s="7" t="inlineStr">
        <is>
          <t>Faible</t>
        </is>
      </c>
      <c r="Z413" s="2002" t="inlineStr">
        <is>
          <t>Faible à modéré</t>
        </is>
      </c>
      <c r="AA413" s="2002" t="inlineStr">
        <is>
          <t>Modéré</t>
        </is>
      </c>
      <c r="AB413" s="2002" t="inlineStr">
        <is>
          <t>Modéré à sévère</t>
        </is>
      </c>
      <c r="AC413" s="2002" t="inlineStr">
        <is>
          <t>Sévère</t>
        </is>
      </c>
      <c r="AE413" s="522" t="n"/>
      <c r="AF413" s="1543">
        <f>AF412/SUM($AF$412:$AH$412)</f>
        <v/>
      </c>
      <c r="AG413" s="1543">
        <f>AG412/SUM($AF$412:$AH$412)</f>
        <v/>
      </c>
      <c r="AH413" s="1543">
        <f>AH412/SUM($AF$412:$AH$412)</f>
        <v/>
      </c>
      <c r="AI413" s="1544">
        <f>AI412/SUM($AI$412:$AP$412)</f>
        <v/>
      </c>
      <c r="AJ413" s="1544">
        <f>AJ412/SUM($AI$412:$AP$412)</f>
        <v/>
      </c>
      <c r="AK413" s="1544">
        <f>AK412/SUM($AI$412:$AP$412)</f>
        <v/>
      </c>
      <c r="AL413" s="1544">
        <f>AL412/SUM($AI$412:$AP$412)</f>
        <v/>
      </c>
      <c r="AM413" s="1544">
        <f>AM412/SUM($AI$412:$AP$412)</f>
        <v/>
      </c>
      <c r="AN413" s="1544">
        <f>AN412/SUM($AI$412:$AP$412)</f>
        <v/>
      </c>
      <c r="AO413" s="1544">
        <f>AO412/SUM($AI$412:$AP$412)</f>
        <v/>
      </c>
      <c r="AP413" s="1544">
        <f>AP412/SUM($AI$412:$AP$412)</f>
        <v/>
      </c>
    </row>
    <row r="414" ht="18" customFormat="1" customHeight="1" s="7">
      <c r="A414" s="1451">
        <f>BIBLE!E238</f>
        <v/>
      </c>
      <c r="B414">
        <f>BIBLE!F238</f>
        <v/>
      </c>
      <c r="D414" s="291" t="n"/>
      <c r="E414" s="56" t="n"/>
      <c r="F414" s="56" t="n"/>
      <c r="G414" s="56" t="n"/>
      <c r="H414" s="56" t="n"/>
      <c r="I414" s="56" t="n"/>
      <c r="J414" s="56" t="n"/>
      <c r="K414" s="56" t="n"/>
      <c r="L414" s="56" t="n"/>
      <c r="M414" s="56" t="n"/>
      <c r="N414" s="56" t="n"/>
      <c r="O414" s="56" t="n"/>
      <c r="P414" s="1935">
        <f>'TEST_pour application'!B407</f>
        <v/>
      </c>
      <c r="Q414" s="56" t="n"/>
      <c r="R414" s="56" t="n"/>
      <c r="S414" s="56" t="n"/>
      <c r="T414" s="56" t="n"/>
      <c r="U414" s="56" t="n"/>
      <c r="V414" s="545" t="n"/>
      <c r="W414" s="56" t="n"/>
      <c r="X414" s="2002" t="n"/>
      <c r="Y414" s="2002" t="n"/>
      <c r="Z414" s="2002" t="n"/>
      <c r="AA414" s="2002" t="n"/>
      <c r="AB414" s="2002" t="n"/>
      <c r="AC414" s="2002" t="n"/>
    </row>
    <row r="415" ht="18" customFormat="1" customHeight="1" s="7">
      <c r="A415" s="1450" t="n"/>
      <c r="B415" s="2" t="inlineStr">
        <is>
          <t xml:space="preserve">moins de 24 ans </t>
        </is>
      </c>
      <c r="D415" s="1932" t="n">
        <v>1</v>
      </c>
      <c r="E415" s="52">
        <f>IF(P$414=D415,1,"x")</f>
        <v/>
      </c>
      <c r="F415" s="291" t="n"/>
      <c r="G415" s="56" t="n"/>
      <c r="H415" s="56" t="n"/>
      <c r="I415" s="56" t="n"/>
      <c r="J415" s="56" t="n"/>
      <c r="K415" s="56" t="n"/>
      <c r="L415" s="56" t="n"/>
      <c r="M415" s="56" t="n"/>
      <c r="N415" s="56" t="n"/>
      <c r="O415" s="56" t="n"/>
      <c r="P415" s="56" t="n"/>
      <c r="Q415" s="56" t="n"/>
      <c r="R415" s="56" t="n"/>
      <c r="S415" s="56" t="n"/>
      <c r="T415" s="56" t="n"/>
      <c r="U415" s="56" t="n"/>
      <c r="V415" s="545" t="n"/>
      <c r="W415" s="56" t="n"/>
      <c r="X415" s="2002" t="n"/>
      <c r="Y415" s="2002" t="n"/>
      <c r="Z415" s="2002" t="n"/>
      <c r="AA415" s="2002" t="n"/>
      <c r="AB415" s="2002" t="n"/>
      <c r="AC415" s="2002" t="n"/>
      <c r="AF415" s="2028" t="inlineStr">
        <is>
          <t>Baromètres Parents</t>
        </is>
      </c>
      <c r="AG415" s="69" t="n"/>
      <c r="AH415" s="69" t="n"/>
      <c r="AI415" s="69" t="n"/>
      <c r="AJ415" s="69" t="n"/>
      <c r="AK415" s="69" t="n"/>
      <c r="AL415" s="69" t="n"/>
      <c r="AM415" s="69" t="n"/>
      <c r="AN415" s="69" t="n"/>
      <c r="AO415" s="69" t="n"/>
      <c r="AP415" s="69" t="n"/>
    </row>
    <row r="416" ht="18" customFormat="1" customHeight="1" s="7">
      <c r="A416" s="1450" t="n"/>
      <c r="B416" s="2" t="inlineStr">
        <is>
          <t xml:space="preserve">25 à 29 ans </t>
        </is>
      </c>
      <c r="D416" s="1932" t="n">
        <v>2</v>
      </c>
      <c r="E416" s="52">
        <f>IF(P$414=D416,1,"x")</f>
        <v/>
      </c>
      <c r="F416" s="291" t="n"/>
      <c r="G416" s="56" t="n"/>
      <c r="H416" s="56" t="n"/>
      <c r="I416" s="56" t="n"/>
      <c r="J416" s="56" t="n"/>
      <c r="K416" s="56" t="n"/>
      <c r="L416" s="56" t="n"/>
      <c r="M416" s="56" t="n"/>
      <c r="N416" s="56" t="n"/>
      <c r="O416" s="56" t="n"/>
      <c r="P416" s="56" t="n"/>
      <c r="Q416" s="56" t="n"/>
      <c r="R416" s="56" t="n"/>
      <c r="S416" s="56" t="n"/>
      <c r="T416" s="56" t="n"/>
      <c r="U416" s="56" t="n"/>
      <c r="V416" s="545" t="n"/>
      <c r="W416" s="56" t="n"/>
      <c r="X416" s="2002" t="n"/>
      <c r="Y416" s="2002" t="n"/>
      <c r="Z416" s="2002" t="n"/>
      <c r="AA416" s="2002" t="n"/>
      <c r="AB416" s="2002" t="n"/>
      <c r="AC416" s="2002" t="n"/>
      <c r="AD416" s="71" t="n"/>
      <c r="AF416" s="2029" t="inlineStr">
        <is>
          <t>CEV</t>
        </is>
      </c>
      <c r="AG416" s="2106" t="n"/>
      <c r="AH416" s="2106" t="n"/>
      <c r="AI416" s="2029" t="inlineStr">
        <is>
          <t>Catégorie</t>
        </is>
      </c>
      <c r="AJ416" s="2106" t="n"/>
      <c r="AK416" s="2106" t="n"/>
      <c r="AL416" s="2106" t="n"/>
      <c r="AM416" s="2106" t="n"/>
      <c r="AN416" s="2106" t="n"/>
      <c r="AO416" s="2106" t="n"/>
      <c r="AP416" s="2106" t="n"/>
    </row>
    <row r="417" ht="18" customFormat="1" customHeight="1" s="7">
      <c r="A417" s="1450" t="n"/>
      <c r="B417" s="2" t="inlineStr">
        <is>
          <t xml:space="preserve">30 à 39 ans </t>
        </is>
      </c>
      <c r="D417" s="1932" t="n">
        <v>3</v>
      </c>
      <c r="E417" s="52">
        <f>IF(P$414=D417,1,"x")</f>
        <v/>
      </c>
      <c r="F417" s="291" t="n"/>
      <c r="G417" s="56" t="n"/>
      <c r="H417" s="56" t="n"/>
      <c r="I417" s="56" t="n"/>
      <c r="J417" s="56" t="n"/>
      <c r="K417" s="56" t="n"/>
      <c r="L417" s="56" t="n"/>
      <c r="M417" s="56" t="n"/>
      <c r="N417" s="56" t="n"/>
      <c r="O417" s="56" t="n"/>
      <c r="P417" s="56" t="n"/>
      <c r="Q417" s="56" t="n"/>
      <c r="R417" s="56" t="n"/>
      <c r="S417" s="56" t="n"/>
      <c r="T417" s="56" t="n"/>
      <c r="U417" s="56" t="n"/>
      <c r="V417" s="545" t="n"/>
      <c r="W417" s="56" t="n"/>
      <c r="X417" s="2002" t="n"/>
      <c r="Y417" s="2002" t="n"/>
      <c r="Z417" s="2002" t="n"/>
      <c r="AA417" s="2002" t="n"/>
      <c r="AB417" s="2002" t="n"/>
      <c r="AC417" s="2002" t="n"/>
      <c r="AD417" s="71" t="n"/>
      <c r="AF417" s="1572">
        <f>AF155+AF255+AF412</f>
        <v/>
      </c>
      <c r="AG417" s="1572">
        <f>AG155+AG255+AG412</f>
        <v/>
      </c>
      <c r="AH417" s="1572">
        <f>AH155+AH255+AH412</f>
        <v/>
      </c>
      <c r="AI417" s="1571">
        <f>AI155+AI255+AI412</f>
        <v/>
      </c>
      <c r="AJ417" s="1571">
        <f>AJ155+AJ255+AJ412</f>
        <v/>
      </c>
      <c r="AK417" s="1571">
        <f>AK155+AK255+AK412</f>
        <v/>
      </c>
      <c r="AL417" s="1571">
        <f>AL155+AL255+AL412</f>
        <v/>
      </c>
      <c r="AM417" s="1571">
        <f>AM155+AM255+AM412</f>
        <v/>
      </c>
      <c r="AN417" s="1571">
        <f>AN155+AN255+AN412</f>
        <v/>
      </c>
      <c r="AO417" s="1571">
        <f>AO155+AO255+AO412</f>
        <v/>
      </c>
      <c r="AP417" s="1571">
        <f>AP155+AP255+AP412</f>
        <v/>
      </c>
    </row>
    <row r="418" ht="18" customFormat="1" customHeight="1" s="7">
      <c r="A418" s="1450" t="n"/>
      <c r="B418" s="2" t="inlineStr">
        <is>
          <t xml:space="preserve">40 à 49 ans </t>
        </is>
      </c>
      <c r="D418" s="1932" t="n">
        <v>4</v>
      </c>
      <c r="E418" s="52">
        <f>IF(P$414=D418,1,"x")</f>
        <v/>
      </c>
      <c r="F418" s="291" t="n"/>
      <c r="G418" s="56" t="n"/>
      <c r="H418" s="56" t="n"/>
      <c r="I418" s="56" t="n"/>
      <c r="J418" s="56" t="n"/>
      <c r="K418" s="56" t="n"/>
      <c r="L418" s="56" t="n"/>
      <c r="M418" s="56" t="n"/>
      <c r="N418" s="56" t="n"/>
      <c r="O418" s="56" t="n"/>
      <c r="P418" s="56" t="n"/>
      <c r="Q418" s="56" t="n"/>
      <c r="R418" s="56" t="n"/>
      <c r="S418" s="56" t="n"/>
      <c r="T418" s="56" t="n"/>
      <c r="U418" s="56" t="n"/>
      <c r="V418" s="545" t="n"/>
      <c r="W418" s="56" t="n"/>
      <c r="X418" s="2002" t="n"/>
      <c r="Y418" s="2002" t="n"/>
      <c r="Z418" s="2002" t="n"/>
      <c r="AA418" s="2002" t="n"/>
      <c r="AB418" s="2002" t="n"/>
      <c r="AC418" s="2002" t="n"/>
      <c r="AD418" s="71" t="n"/>
      <c r="AF418" s="1543">
        <f>AF417/SUM($AF$417:$AH$417)</f>
        <v/>
      </c>
      <c r="AG418" s="1543">
        <f>AG417/SUM($AF$417:$AH$417)</f>
        <v/>
      </c>
      <c r="AH418" s="1543">
        <f>AH417/SUM($AF$417:$AH$417)</f>
        <v/>
      </c>
      <c r="AI418" s="1544">
        <f>AI417/SUM($AI$417:$AP$417)</f>
        <v/>
      </c>
      <c r="AJ418" s="1544">
        <f>AJ417/SUM($AI$417:$AP$417)</f>
        <v/>
      </c>
      <c r="AK418" s="1544">
        <f>AK417/SUM($AI$417:$AP$417)</f>
        <v/>
      </c>
      <c r="AL418" s="1544">
        <f>AL417/SUM($AI$417:$AP$417)</f>
        <v/>
      </c>
      <c r="AM418" s="1544">
        <f>AM417/SUM($AI$417:$AP$417)</f>
        <v/>
      </c>
      <c r="AN418" s="1544">
        <f>AN417/SUM($AI$417:$AP$417)</f>
        <v/>
      </c>
      <c r="AO418" s="1544">
        <f>AO417/SUM($AI$417:$AP$417)</f>
        <v/>
      </c>
      <c r="AP418" s="1544">
        <f>AP417/SUM($AI$417:$AP$417)</f>
        <v/>
      </c>
    </row>
    <row r="419" ht="18" customFormat="1" customHeight="1" s="7">
      <c r="A419" s="1450" t="n"/>
      <c r="B419" s="2" t="inlineStr">
        <is>
          <t xml:space="preserve">50 à 59 ans </t>
        </is>
      </c>
      <c r="D419" s="1932" t="n">
        <v>5</v>
      </c>
      <c r="E419" s="52">
        <f>IF(P$414=D419,1,"x")</f>
        <v/>
      </c>
      <c r="F419" s="291" t="n"/>
      <c r="G419" s="56" t="n"/>
      <c r="H419" s="56" t="n"/>
      <c r="I419" s="56" t="n"/>
      <c r="J419" s="56" t="n"/>
      <c r="K419" s="56" t="n"/>
      <c r="L419" s="56" t="n"/>
      <c r="M419" s="56" t="n"/>
      <c r="N419" s="56" t="n"/>
      <c r="O419" s="56" t="n"/>
      <c r="P419" s="56" t="n"/>
      <c r="Q419" s="56" t="n"/>
      <c r="R419" s="56" t="n"/>
      <c r="S419" s="56" t="n"/>
      <c r="T419" s="56" t="n"/>
      <c r="U419" s="56" t="n"/>
      <c r="V419" s="545" t="n"/>
      <c r="W419" s="56" t="n"/>
      <c r="X419" s="2002" t="n"/>
      <c r="Y419" s="2002" t="n"/>
      <c r="Z419" s="2002" t="n"/>
      <c r="AA419" s="2002" t="n"/>
      <c r="AB419" s="2002" t="n"/>
      <c r="AC419" s="2002" t="n"/>
    </row>
    <row r="420" ht="18" customFormat="1" customHeight="1" s="7">
      <c r="A420" s="1450" t="n"/>
      <c r="B420" s="2" t="inlineStr">
        <is>
          <t xml:space="preserve">plus de 60 ans </t>
        </is>
      </c>
      <c r="D420" s="1932" t="n">
        <v>6</v>
      </c>
      <c r="E420" s="52">
        <f>IF(P$414=D420,1,"x")</f>
        <v/>
      </c>
      <c r="F420" s="291" t="n"/>
      <c r="G420" s="56" t="n"/>
      <c r="H420" s="56" t="n"/>
      <c r="I420" s="56" t="n"/>
      <c r="J420" s="56" t="n"/>
      <c r="K420" s="56" t="n"/>
      <c r="L420" s="56" t="n"/>
      <c r="M420" s="56" t="n"/>
      <c r="N420" s="56" t="n"/>
      <c r="O420" s="56" t="n"/>
      <c r="P420" s="56" t="n"/>
      <c r="Q420" s="56" t="n"/>
      <c r="R420" s="56" t="n"/>
      <c r="S420" s="56" t="n"/>
      <c r="T420" s="56" t="n"/>
      <c r="U420" s="56" t="n"/>
      <c r="V420" s="545" t="n"/>
      <c r="W420" s="56" t="n"/>
      <c r="X420" s="2002" t="n"/>
      <c r="Y420" s="2002" t="n"/>
      <c r="Z420" s="2002" t="n"/>
      <c r="AA420" s="2002" t="n"/>
      <c r="AB420" s="2002" t="n"/>
      <c r="AC420" s="2002" t="n"/>
      <c r="AF420" s="2028" t="inlineStr">
        <is>
          <t>Baromètres Co-parent et nouveau conjoint.e (uniquement)</t>
        </is>
      </c>
      <c r="AG420" s="69" t="n"/>
      <c r="AH420" s="69" t="n"/>
      <c r="AI420" s="69" t="n"/>
      <c r="AJ420" s="69" t="n"/>
      <c r="AK420" s="69" t="n"/>
      <c r="AL420" s="69" t="n"/>
      <c r="AM420" s="69" t="n"/>
      <c r="AN420" s="69" t="n"/>
      <c r="AO420" s="69" t="n"/>
      <c r="AP420" s="69" t="n"/>
    </row>
    <row r="421" ht="24" customFormat="1" customHeight="1" s="7">
      <c r="A421" s="1441">
        <f>BIBLE!E239</f>
        <v/>
      </c>
      <c r="B421" s="7">
        <f>BIBLE!F239</f>
        <v/>
      </c>
      <c r="D421" s="991" t="n"/>
      <c r="F421" s="295" t="n"/>
      <c r="H421" s="56" t="n"/>
      <c r="I421" s="56" t="n"/>
      <c r="J421" s="56" t="n"/>
      <c r="K421" s="56" t="n"/>
      <c r="L421" s="56" t="n"/>
      <c r="M421" s="56" t="n"/>
      <c r="N421" s="56" t="n"/>
      <c r="O421" s="56" t="n"/>
      <c r="P421" s="1935">
        <f>'TEST_pour application'!B408</f>
        <v/>
      </c>
      <c r="Q421" s="56" t="n"/>
      <c r="R421" s="56" t="n"/>
      <c r="S421" s="56" t="n"/>
      <c r="T421" s="56" t="n"/>
      <c r="U421" s="56" t="n"/>
      <c r="V421" s="545" t="n"/>
      <c r="W421" s="56" t="n"/>
      <c r="X421" s="2002" t="n"/>
      <c r="Z421" s="2002" t="n"/>
      <c r="AA421" s="2002" t="n"/>
      <c r="AB421" s="2002" t="n"/>
      <c r="AC421" s="2002" t="n"/>
      <c r="AF421" s="2029" t="inlineStr">
        <is>
          <t>CEV</t>
        </is>
      </c>
      <c r="AG421" s="2106" t="n"/>
      <c r="AH421" s="2106" t="n"/>
      <c r="AI421" s="2029" t="inlineStr">
        <is>
          <t>Catégorie</t>
        </is>
      </c>
      <c r="AJ421" s="2106" t="n"/>
      <c r="AK421" s="2106" t="n"/>
      <c r="AL421" s="2106" t="n"/>
      <c r="AM421" s="2106" t="n"/>
      <c r="AN421" s="2106" t="n"/>
      <c r="AO421" s="2106" t="n"/>
      <c r="AP421" s="2106" t="n"/>
    </row>
    <row r="422" customFormat="1" s="7">
      <c r="A422" s="1441" t="n"/>
      <c r="B422" s="71" t="inlineStr">
        <is>
          <t>Non, Je ne le suis pas</t>
        </is>
      </c>
      <c r="D422" s="1932" t="n">
        <v>1</v>
      </c>
      <c r="E422" s="52">
        <f>IF(P$421=D422,1,"x")</f>
        <v/>
      </c>
      <c r="F422" s="295" t="n"/>
      <c r="H422" s="56" t="n"/>
      <c r="I422" s="56" t="n"/>
      <c r="J422" s="56" t="n"/>
      <c r="K422" s="56" t="n"/>
      <c r="L422" s="56" t="n"/>
      <c r="M422" s="56" t="n"/>
      <c r="N422" s="56" t="n"/>
      <c r="O422" s="56" t="n"/>
      <c r="P422" s="56" t="n"/>
      <c r="Q422" s="56" t="n"/>
      <c r="R422" s="56" t="n"/>
      <c r="S422" s="56" t="n"/>
      <c r="T422" s="56" t="n"/>
      <c r="U422" s="56" t="n"/>
      <c r="V422" s="545" t="n"/>
      <c r="W422" s="56" t="n"/>
      <c r="X422" s="2002" t="n"/>
      <c r="Y422" s="2002" t="n"/>
      <c r="Z422" s="2002" t="n"/>
      <c r="AA422" s="2002" t="n"/>
      <c r="AB422" s="2002" t="n"/>
      <c r="AC422" s="2002" t="n"/>
      <c r="AF422" s="1572">
        <f>AF255+AF412</f>
        <v/>
      </c>
      <c r="AG422" s="1572">
        <f>AG255+AG412</f>
        <v/>
      </c>
      <c r="AH422" s="1572">
        <f>AH255+AH412</f>
        <v/>
      </c>
      <c r="AI422" s="1571">
        <f>AI255+AI412</f>
        <v/>
      </c>
      <c r="AJ422" s="1571">
        <f>AJ255+AJ412</f>
        <v/>
      </c>
      <c r="AK422" s="1571">
        <f>AK255+AK412</f>
        <v/>
      </c>
      <c r="AL422" s="1571">
        <f>AL255+AL412</f>
        <v/>
      </c>
      <c r="AM422" s="1571">
        <f>AM255+AM412</f>
        <v/>
      </c>
      <c r="AN422" s="1571">
        <f>AN255+AN412</f>
        <v/>
      </c>
      <c r="AO422" s="1571">
        <f>AO255+AO412</f>
        <v/>
      </c>
      <c r="AP422" s="1571">
        <f>AP255+AP412</f>
        <v/>
      </c>
    </row>
    <row r="423" customFormat="1" s="7">
      <c r="A423" s="1441" t="n"/>
      <c r="B423" s="71" t="inlineStr">
        <is>
          <t>Oui, Médiation</t>
        </is>
      </c>
      <c r="D423" s="1932" t="n">
        <v>2</v>
      </c>
      <c r="E423" s="52">
        <f>IF(P$421=D423,1,"x")</f>
        <v/>
      </c>
      <c r="F423" s="295" t="n"/>
      <c r="H423" s="56" t="n"/>
      <c r="I423" s="56" t="n"/>
      <c r="J423" s="56" t="n"/>
      <c r="K423" s="56" t="n"/>
      <c r="L423" s="56" t="n"/>
      <c r="M423" s="56" t="n"/>
      <c r="N423" s="56" t="n"/>
      <c r="O423" s="56" t="n"/>
      <c r="P423" s="56" t="n"/>
      <c r="Q423" s="56" t="n"/>
      <c r="R423" s="56" t="n"/>
      <c r="S423" s="56" t="n"/>
      <c r="T423" s="56" t="n"/>
      <c r="U423" s="56" t="n"/>
      <c r="V423" s="545" t="n"/>
      <c r="W423" s="56" t="n"/>
      <c r="X423" s="2002" t="n"/>
      <c r="Y423" s="2002" t="n"/>
      <c r="Z423" s="2002" t="n"/>
      <c r="AA423" s="2002" t="n"/>
      <c r="AB423" s="2002" t="n"/>
      <c r="AC423" s="2002" t="n"/>
      <c r="AF423" s="1543">
        <f>AF422/SUM($AF$422:$AH$422)</f>
        <v/>
      </c>
      <c r="AG423" s="1543">
        <f>AG422/SUM($AF$422:$AH$422)</f>
        <v/>
      </c>
      <c r="AH423" s="1543">
        <f>AH422/SUM($AF$422:$AH$422)</f>
        <v/>
      </c>
      <c r="AI423" s="1544">
        <f>AI422/SUM($AI$422:$AP$422)</f>
        <v/>
      </c>
      <c r="AJ423" s="1544">
        <f>AJ422/SUM($AI$422:$AP$422)</f>
        <v/>
      </c>
      <c r="AK423" s="1544">
        <f>AK422/SUM($AI$422:$AP$422)</f>
        <v/>
      </c>
      <c r="AL423" s="1544">
        <f>AL422/SUM($AI$422:$AP$422)</f>
        <v/>
      </c>
      <c r="AM423" s="1544">
        <f>AM422/SUM($AI$422:$AP$422)</f>
        <v/>
      </c>
      <c r="AN423" s="1544">
        <f>AN422/SUM($AI$422:$AP$422)</f>
        <v/>
      </c>
      <c r="AO423" s="1544">
        <f>AO422/SUM($AI$422:$AP$422)</f>
        <v/>
      </c>
      <c r="AP423" s="1544">
        <f>AP422/SUM($AI$422:$AP$422)</f>
        <v/>
      </c>
    </row>
    <row r="424" customFormat="1" s="7">
      <c r="A424" s="1441" t="n"/>
      <c r="B424" s="71" t="inlineStr">
        <is>
          <t>Oui, Tribunal droit de la famille  (ex.: Cour supérieure au Québec)</t>
        </is>
      </c>
      <c r="D424" s="1932" t="n">
        <v>3</v>
      </c>
      <c r="E424" s="52">
        <f>IF(P$421=D424,1,"x")</f>
        <v/>
      </c>
      <c r="F424" s="295" t="n"/>
      <c r="H424" s="56" t="n"/>
      <c r="I424" s="56" t="n"/>
      <c r="J424" s="56" t="n"/>
      <c r="K424" s="56" t="n"/>
      <c r="L424" s="56" t="n"/>
      <c r="M424" s="56" t="n"/>
      <c r="N424" s="56" t="n"/>
      <c r="O424" s="56" t="n"/>
      <c r="P424" s="56" t="n"/>
      <c r="Q424" s="56" t="n"/>
      <c r="R424" s="56" t="n"/>
      <c r="S424" s="56" t="n"/>
      <c r="T424" s="56" t="n"/>
      <c r="U424" s="56" t="n"/>
      <c r="V424" s="545" t="n"/>
      <c r="W424" s="56" t="n"/>
      <c r="X424" s="2002" t="n"/>
      <c r="Y424" s="2002" t="n"/>
      <c r="Z424" s="2002" t="n"/>
      <c r="AA424" s="2002" t="n"/>
      <c r="AB424" s="2002" t="n"/>
      <c r="AC424" s="2002" t="n"/>
    </row>
    <row r="425" customFormat="1" s="7">
      <c r="A425" s="1441" t="n"/>
      <c r="B425" s="71" t="inlineStr">
        <is>
          <t>Oui, Tribunal de la jeunesse (ex.: DPJ au Québec)</t>
        </is>
      </c>
      <c r="D425" s="1932" t="n">
        <v>4</v>
      </c>
      <c r="E425" s="52">
        <f>IF(P$421=D425,1,"x")</f>
        <v/>
      </c>
      <c r="F425" s="295" t="n"/>
      <c r="H425" s="56" t="n"/>
      <c r="I425" s="56" t="n"/>
      <c r="J425" s="56" t="n"/>
      <c r="K425" s="56" t="n"/>
      <c r="L425" s="56" t="n"/>
      <c r="M425" s="56" t="n"/>
      <c r="N425" s="56" t="n"/>
      <c r="O425" s="56" t="n"/>
      <c r="P425" s="56" t="n"/>
      <c r="Q425" s="56" t="n"/>
      <c r="R425" s="56" t="n"/>
      <c r="S425" s="56" t="n"/>
      <c r="T425" s="56" t="n"/>
      <c r="U425" s="56" t="n"/>
      <c r="V425" s="545" t="n"/>
      <c r="W425" s="56" t="n"/>
      <c r="X425" s="2002" t="n"/>
      <c r="Y425" s="2002" t="n"/>
      <c r="Z425" s="2002" t="n"/>
      <c r="AA425" s="2002" t="n"/>
      <c r="AB425" s="2002" t="n"/>
      <c r="AC425" s="2002" t="n"/>
    </row>
    <row r="426" ht="24" customFormat="1" customHeight="1" s="7">
      <c r="A426" s="1441" t="n"/>
      <c r="B426" s="71" t="inlineStr">
        <is>
          <t>Autre</t>
        </is>
      </c>
      <c r="D426" s="1932" t="n">
        <v>5</v>
      </c>
      <c r="E426" s="52">
        <f>IF(P$421=D426,1,"x")</f>
        <v/>
      </c>
      <c r="F426" s="295" t="n"/>
      <c r="H426" s="56" t="n"/>
      <c r="I426" s="56" t="n"/>
      <c r="J426" s="56" t="n"/>
      <c r="K426" s="56" t="n"/>
      <c r="L426" s="56" t="n"/>
      <c r="M426" s="56" t="n"/>
      <c r="N426" s="56" t="n"/>
      <c r="O426" s="56" t="n"/>
      <c r="P426" s="56" t="n"/>
      <c r="Q426" s="56" t="n"/>
      <c r="R426" s="56" t="n"/>
      <c r="S426" s="56" t="n"/>
      <c r="T426" s="56" t="n"/>
      <c r="U426" s="56" t="n"/>
      <c r="V426" s="545" t="n"/>
      <c r="W426" s="56" t="n"/>
      <c r="X426" s="2002" t="n"/>
      <c r="Y426" s="2002" t="n"/>
      <c r="Z426" s="2002" t="n"/>
      <c r="AA426" s="2002" t="n"/>
      <c r="AB426" s="2002" t="n"/>
      <c r="AC426" s="2002" t="n"/>
      <c r="AF426" s="2028" t="inlineStr">
        <is>
          <t>Baromètres Enfants</t>
        </is>
      </c>
      <c r="AG426" s="69" t="n"/>
      <c r="AH426" s="69" t="n"/>
      <c r="AI426" s="69" t="n"/>
      <c r="AJ426" s="69" t="n"/>
      <c r="AK426" s="69" t="n"/>
      <c r="AL426" s="69" t="n"/>
      <c r="AM426" s="69" t="n"/>
      <c r="AN426" s="69" t="n"/>
      <c r="AO426" s="69" t="n"/>
      <c r="AP426" s="69" t="n"/>
    </row>
    <row r="427" customFormat="1" s="7">
      <c r="A427" s="1441">
        <f>BIBLE!E240</f>
        <v/>
      </c>
      <c r="B427" s="7">
        <f>BIBLE!F240</f>
        <v/>
      </c>
      <c r="D427" s="991" t="n"/>
      <c r="F427" s="295" t="n"/>
      <c r="H427" s="56" t="n"/>
      <c r="I427" s="56" t="n"/>
      <c r="J427" s="56" t="n"/>
      <c r="K427" s="56" t="n"/>
      <c r="L427" s="56" t="n"/>
      <c r="M427" s="56" t="n"/>
      <c r="N427" s="56" t="n"/>
      <c r="O427" s="56" t="n"/>
      <c r="P427" s="1935">
        <f>'TEST_pour application'!B409</f>
        <v/>
      </c>
      <c r="Q427" s="56" t="n"/>
      <c r="R427" s="56" t="n"/>
      <c r="S427" s="56" t="n"/>
      <c r="T427" s="56" t="n"/>
      <c r="U427" s="56" t="n"/>
      <c r="V427" s="545" t="n"/>
      <c r="W427" s="56" t="n"/>
      <c r="X427" s="2002" t="n"/>
      <c r="Y427" s="2002" t="n"/>
      <c r="Z427" s="2002" t="n"/>
      <c r="AA427" s="2002" t="n"/>
      <c r="AB427" s="2002" t="n"/>
      <c r="AC427" s="2002" t="n"/>
      <c r="AF427" s="2029" t="inlineStr">
        <is>
          <t>CEV</t>
        </is>
      </c>
      <c r="AG427" s="2106" t="n"/>
      <c r="AH427" s="2106" t="n"/>
      <c r="AI427" s="2029" t="inlineStr">
        <is>
          <t>Catégorie</t>
        </is>
      </c>
      <c r="AJ427" s="2106" t="n"/>
      <c r="AK427" s="2106" t="n"/>
      <c r="AL427" s="2106" t="n"/>
      <c r="AM427" s="2106" t="n"/>
      <c r="AN427" s="2106" t="n"/>
      <c r="AO427" s="2106" t="n"/>
      <c r="AP427" s="2106" t="n"/>
    </row>
    <row r="428" customFormat="1" s="7">
      <c r="A428" s="1441" t="n"/>
      <c r="B428" s="71" t="inlineStr">
        <is>
          <t xml:space="preserve">Garde partagée (ou garde dite alternée) </t>
        </is>
      </c>
      <c r="D428" s="1932" t="n">
        <v>1</v>
      </c>
      <c r="E428" s="52">
        <f>IF(P$427=D428,1,"x")</f>
        <v/>
      </c>
      <c r="F428" s="295" t="n"/>
      <c r="H428" s="56" t="n"/>
      <c r="I428" s="56" t="n"/>
      <c r="J428" s="56" t="n"/>
      <c r="K428" s="56" t="n"/>
      <c r="L428" s="56" t="n"/>
      <c r="M428" s="56" t="n"/>
      <c r="N428" s="56" t="n"/>
      <c r="O428" s="56" t="n"/>
      <c r="P428" s="56" t="n"/>
      <c r="Q428" s="56" t="n"/>
      <c r="R428" s="56" t="n"/>
      <c r="S428" s="56" t="n"/>
      <c r="T428" s="56" t="n"/>
      <c r="U428" s="56" t="n"/>
      <c r="V428" s="545" t="n"/>
      <c r="W428" s="56" t="n"/>
      <c r="X428" s="2002" t="n"/>
      <c r="Y428" s="2002" t="n"/>
      <c r="Z428" s="2002" t="n"/>
      <c r="AA428" s="2002" t="n"/>
      <c r="AB428" s="2002" t="n"/>
      <c r="AC428" s="2002" t="n"/>
      <c r="AF428" s="1572">
        <f>AF367</f>
        <v/>
      </c>
      <c r="AG428" s="1572">
        <f>AG367</f>
        <v/>
      </c>
      <c r="AH428" s="1572">
        <f>AH367</f>
        <v/>
      </c>
      <c r="AI428" s="1571">
        <f>AI367</f>
        <v/>
      </c>
      <c r="AJ428" s="1571">
        <f>AJ367</f>
        <v/>
      </c>
      <c r="AK428" s="1571">
        <f>AK367</f>
        <v/>
      </c>
      <c r="AL428" s="1571">
        <f>AL367</f>
        <v/>
      </c>
      <c r="AM428" s="1571">
        <f>AM367</f>
        <v/>
      </c>
      <c r="AN428" s="1571">
        <f>AN367</f>
        <v/>
      </c>
      <c r="AO428" s="1571">
        <f>AO367</f>
        <v/>
      </c>
      <c r="AP428" s="1571">
        <f>AP367</f>
        <v/>
      </c>
    </row>
    <row r="429" customFormat="1" s="7">
      <c r="A429" s="1441" t="n"/>
      <c r="B429" s="71" t="inlineStr">
        <is>
          <t>Garde exclusive pour vous</t>
        </is>
      </c>
      <c r="D429" s="1932" t="n">
        <v>2</v>
      </c>
      <c r="E429" s="52">
        <f>IF(P$427=D429,1,"x")</f>
        <v/>
      </c>
      <c r="F429" s="295" t="n"/>
      <c r="H429" s="56" t="n"/>
      <c r="I429" s="56" t="n"/>
      <c r="J429" s="56" t="n"/>
      <c r="K429" s="56" t="n"/>
      <c r="L429" s="56" t="n"/>
      <c r="M429" s="56" t="n"/>
      <c r="N429" s="56" t="n"/>
      <c r="O429" s="56" t="n"/>
      <c r="P429" s="56" t="n"/>
      <c r="Q429" s="56" t="n"/>
      <c r="R429" s="56" t="n"/>
      <c r="S429" s="56" t="n"/>
      <c r="T429" s="56" t="n"/>
      <c r="U429" s="56" t="n"/>
      <c r="V429" s="545" t="n"/>
      <c r="W429" s="56" t="n"/>
      <c r="X429" s="2002" t="n"/>
      <c r="Y429" s="2002" t="n"/>
      <c r="Z429" s="2002" t="n"/>
      <c r="AA429" s="2002" t="n"/>
      <c r="AB429" s="2002" t="n"/>
      <c r="AC429" s="2002" t="n"/>
      <c r="AF429" s="1543">
        <f>AF428/SUM($AF$428:$AH$428)</f>
        <v/>
      </c>
      <c r="AG429" s="1543">
        <f>AG428/SUM($AF$428:$AH$428)</f>
        <v/>
      </c>
      <c r="AH429" s="1543">
        <f>AH428/SUM($AF$428:$AH$428)</f>
        <v/>
      </c>
      <c r="AI429" s="1544">
        <f>AI428/SUM($AI$428:$AP$428)</f>
        <v/>
      </c>
      <c r="AJ429" s="1544">
        <f>AJ428/SUM($AI$428:$AP$428)</f>
        <v/>
      </c>
      <c r="AK429" s="1544">
        <f>AK428/SUM($AI$428:$AP$428)</f>
        <v/>
      </c>
      <c r="AL429" s="1544">
        <f>AL428/SUM($AI$428:$AP$428)</f>
        <v/>
      </c>
      <c r="AM429" s="1544">
        <f>AM428/SUM($AI$428:$AP$428)</f>
        <v/>
      </c>
      <c r="AN429" s="1544">
        <f>AN428/SUM($AI$428:$AP$428)</f>
        <v/>
      </c>
      <c r="AO429" s="1544">
        <f>AO428/SUM($AI$428:$AP$428)</f>
        <v/>
      </c>
      <c r="AP429" s="1544">
        <f>AP428/SUM($AI$428:$AP$428)</f>
        <v/>
      </c>
    </row>
    <row r="430" customFormat="1" s="7">
      <c r="A430" s="1441" t="n"/>
      <c r="B430" s="71" t="inlineStr">
        <is>
          <t xml:space="preserve">Garde exclusive pour l'autre parent </t>
        </is>
      </c>
      <c r="D430" s="1932" t="n">
        <v>3</v>
      </c>
      <c r="E430" s="52">
        <f>IF(P$427=D430,1,"x")</f>
        <v/>
      </c>
      <c r="F430" s="295" t="n"/>
      <c r="H430" s="2066" t="n"/>
      <c r="I430" s="2066" t="n"/>
      <c r="J430" s="2066" t="n"/>
      <c r="K430" s="2066" t="n"/>
      <c r="L430" s="2066" t="n"/>
      <c r="M430" s="2066" t="n"/>
      <c r="N430" s="2066" t="n"/>
      <c r="O430" s="2066" t="n"/>
      <c r="P430" s="2066" t="n"/>
      <c r="Q430" s="2066" t="n"/>
      <c r="R430" s="2066" t="n"/>
      <c r="S430" s="2066" t="n"/>
      <c r="T430" s="2066" t="n"/>
      <c r="U430" s="2066" t="n"/>
      <c r="V430" s="2073" t="n"/>
      <c r="W430" s="2066" t="n"/>
      <c r="X430" s="2002" t="n"/>
      <c r="Y430" s="2002" t="n"/>
      <c r="Z430" s="2002" t="n"/>
      <c r="AA430" s="2002" t="n"/>
      <c r="AB430" s="2002" t="n"/>
      <c r="AC430" s="2002" t="n"/>
    </row>
    <row r="431" customFormat="1" s="7">
      <c r="A431" s="1441" t="n"/>
      <c r="B431" s="71" t="inlineStr">
        <is>
          <t>Aucune garde établie</t>
        </is>
      </c>
      <c r="D431" s="1932" t="n">
        <v>4</v>
      </c>
      <c r="E431" s="52">
        <f>IF(P$427=D431,1,"x")</f>
        <v/>
      </c>
      <c r="F431" s="295" t="n"/>
      <c r="V431" s="2002" t="n"/>
      <c r="X431" s="2002" t="n"/>
      <c r="Y431" s="2002" t="n"/>
      <c r="Z431" s="2002" t="n"/>
      <c r="AA431" s="2002" t="n"/>
      <c r="AB431" s="2002" t="n"/>
      <c r="AC431" s="2002" t="n"/>
    </row>
    <row r="432" customFormat="1" s="7">
      <c r="A432" s="1441" t="n"/>
      <c r="B432" s="71" t="inlineStr">
        <is>
          <t>Accès supervisés pour vous</t>
        </is>
      </c>
      <c r="D432" s="1932" t="n">
        <v>5</v>
      </c>
      <c r="E432" s="52">
        <f>IF(P$427=D432,1,"x")</f>
        <v/>
      </c>
      <c r="F432" s="295" t="n"/>
      <c r="V432" s="2002" t="n"/>
      <c r="X432" s="2002" t="n"/>
      <c r="Y432" s="2002" t="n"/>
      <c r="Z432" s="2002" t="n"/>
      <c r="AA432" s="2002" t="n"/>
      <c r="AB432" s="2002" t="n"/>
      <c r="AC432" s="2002" t="n"/>
    </row>
    <row r="433" customFormat="1" s="7">
      <c r="A433" s="1441" t="n"/>
      <c r="B433" s="71" t="inlineStr">
        <is>
          <t xml:space="preserve">Accès supervisés pour l'autre parent </t>
        </is>
      </c>
      <c r="D433" s="1932" t="n">
        <v>6</v>
      </c>
      <c r="E433" s="52">
        <f>IF(P$427=D433,1,"x")</f>
        <v/>
      </c>
      <c r="F433" s="295" t="n"/>
      <c r="V433" s="2002" t="n"/>
      <c r="X433" s="2002" t="n"/>
      <c r="Y433" s="2002" t="n"/>
      <c r="Z433" s="2002" t="n"/>
      <c r="AA433" s="2002" t="n"/>
      <c r="AB433" s="2002" t="n"/>
      <c r="AC433" s="2002" t="n"/>
    </row>
    <row r="434" customFormat="1" s="7">
      <c r="A434" s="1441" t="n"/>
      <c r="B434" s="71" t="inlineStr">
        <is>
          <t>Jeune adulte autonome</t>
        </is>
      </c>
      <c r="D434" s="1932" t="n">
        <v>7</v>
      </c>
      <c r="E434" s="52">
        <f>IF(P$427=D434,1,"x")</f>
        <v/>
      </c>
      <c r="F434" s="295" t="n"/>
      <c r="V434" s="2002" t="n"/>
      <c r="X434" s="2002" t="n"/>
      <c r="Y434" s="2002" t="n"/>
      <c r="Z434" s="2002" t="n"/>
      <c r="AA434" s="2002" t="n"/>
      <c r="AB434" s="2002" t="n"/>
      <c r="AC434" s="2002" t="n"/>
    </row>
    <row r="435" customFormat="1" s="7">
      <c r="A435" s="1441" t="n"/>
      <c r="B435" s="71" t="inlineStr">
        <is>
          <t>Autre</t>
        </is>
      </c>
      <c r="D435" s="1932" t="n">
        <v>8</v>
      </c>
      <c r="E435" s="52">
        <f>IF(P$427=D435,1,"x")</f>
        <v/>
      </c>
      <c r="F435" s="295" t="n"/>
      <c r="G435" s="305" t="inlineStr">
        <is>
          <t>!!! Pour Data seulement (fins d'études)</t>
        </is>
      </c>
      <c r="V435" s="2002" t="n"/>
      <c r="X435" s="2002" t="n"/>
      <c r="Y435" s="2002" t="n"/>
      <c r="Z435" s="2002" t="n"/>
      <c r="AA435" s="2002" t="n"/>
      <c r="AB435" s="2002" t="n"/>
      <c r="AC435" s="2002" t="n"/>
    </row>
    <row r="436" customFormat="1" s="7">
      <c r="A436" s="1441">
        <f>BIBLE!E241</f>
        <v/>
      </c>
      <c r="B436" s="22">
        <f>IF(E428=1,BIBLE!F241," ")</f>
        <v/>
      </c>
      <c r="D436" s="991" t="n"/>
      <c r="E436" s="22" t="n"/>
      <c r="F436" s="299" t="n"/>
      <c r="G436" s="305" t="n"/>
      <c r="P436" s="1935">
        <f>'TEST_pour application'!B410</f>
        <v/>
      </c>
      <c r="V436" s="2002" t="n"/>
      <c r="X436" s="2002" t="n"/>
      <c r="Y436" s="2002" t="n"/>
      <c r="Z436" s="2002" t="n"/>
      <c r="AA436" s="2002" t="n"/>
      <c r="AB436" s="2002" t="n"/>
      <c r="AC436" s="2002" t="n"/>
    </row>
    <row r="437" customFormat="1" s="7">
      <c r="A437" s="1441" t="n"/>
      <c r="B437" s="127">
        <f>IF(E$428=1,"50% / 50%","")</f>
        <v/>
      </c>
      <c r="D437" s="1932" t="n">
        <v>1</v>
      </c>
      <c r="E437" s="52">
        <f>IF(P$436=D437,1,"x")</f>
        <v/>
      </c>
      <c r="F437" s="299" t="n"/>
      <c r="G437" s="305" t="n"/>
      <c r="V437" s="2002" t="n"/>
      <c r="X437" s="2002" t="n"/>
      <c r="Y437" s="2002" t="n"/>
      <c r="Z437" s="2002" t="n"/>
      <c r="AA437" s="2002" t="n"/>
      <c r="AB437" s="2002" t="n"/>
      <c r="AC437" s="2002" t="n"/>
    </row>
    <row r="438" customFormat="1" s="7">
      <c r="A438" s="1441" t="n"/>
      <c r="B438" s="127">
        <f>IF(E$428=1,"Plus de 60% pour vous","")</f>
        <v/>
      </c>
      <c r="D438" s="1932" t="n">
        <v>2</v>
      </c>
      <c r="E438" s="52">
        <f>IF(P$436=D438,1,"x")</f>
        <v/>
      </c>
      <c r="F438" s="299" t="n"/>
      <c r="G438" s="305" t="n"/>
      <c r="H438" s="56" t="n"/>
      <c r="I438" s="56" t="n"/>
      <c r="J438" s="56" t="n"/>
      <c r="K438" s="56" t="n"/>
      <c r="L438" s="56" t="n"/>
      <c r="M438" s="56" t="n"/>
      <c r="N438" s="56" t="n"/>
      <c r="O438" s="56" t="n"/>
      <c r="P438" s="56" t="n"/>
      <c r="Q438" s="56" t="n"/>
      <c r="R438" s="56" t="n"/>
      <c r="S438" s="56" t="n"/>
      <c r="T438" s="56" t="n"/>
      <c r="U438" s="56" t="n"/>
      <c r="V438" s="545" t="n"/>
      <c r="W438" s="56" t="n"/>
      <c r="X438" s="2002" t="n"/>
      <c r="Y438" s="2002" t="n"/>
      <c r="Z438" s="2002" t="n"/>
      <c r="AA438" s="2002" t="n"/>
      <c r="AB438" s="2002" t="n"/>
      <c r="AC438" s="2002" t="n"/>
    </row>
    <row r="439" customFormat="1" s="7">
      <c r="A439" s="1441" t="n"/>
      <c r="B439" s="127">
        <f>IF(E$428=1,"Moins de 40% pour vous","")</f>
        <v/>
      </c>
      <c r="D439" s="1932" t="n">
        <v>3</v>
      </c>
      <c r="E439" s="52">
        <f>IF(P$436=D439,1,"x")</f>
        <v/>
      </c>
      <c r="F439" s="299" t="n"/>
      <c r="G439" s="305" t="n"/>
      <c r="H439" s="55" t="n"/>
      <c r="I439" s="55" t="n"/>
      <c r="J439" s="55" t="n"/>
      <c r="K439" s="55" t="n"/>
      <c r="L439" s="55" t="n"/>
      <c r="M439" s="55" t="n"/>
      <c r="N439" s="55" t="n"/>
      <c r="O439" s="55" t="n"/>
      <c r="P439" s="55" t="n"/>
      <c r="Q439" s="55" t="n"/>
      <c r="R439" s="55" t="n"/>
      <c r="S439" s="55" t="n"/>
      <c r="T439" s="55" t="n"/>
      <c r="U439" s="55" t="n"/>
      <c r="V439" s="301" t="n"/>
      <c r="W439" s="55" t="n"/>
      <c r="X439" s="2002" t="n"/>
      <c r="Y439" s="2002" t="n"/>
      <c r="Z439" s="2002" t="n"/>
      <c r="AA439" s="2002" t="n"/>
      <c r="AB439" s="2002" t="n"/>
      <c r="AC439" s="2002" t="n"/>
    </row>
    <row r="440" customFormat="1" s="7">
      <c r="A440" s="1441" t="n"/>
      <c r="B440" s="127">
        <f>IF(E$428=1,"Fin de semaine seulement pour vous","")</f>
        <v/>
      </c>
      <c r="D440" s="1932" t="n">
        <v>4</v>
      </c>
      <c r="E440" s="52">
        <f>IF(P$436=D440,1,"x")</f>
        <v/>
      </c>
      <c r="F440" s="299" t="n"/>
      <c r="G440" s="305" t="n"/>
      <c r="H440" s="55" t="n"/>
      <c r="I440" s="55" t="n"/>
      <c r="J440" s="55" t="n"/>
      <c r="K440" s="55" t="n"/>
      <c r="L440" s="55" t="n"/>
      <c r="M440" s="55" t="n"/>
      <c r="N440" s="55" t="n"/>
      <c r="O440" s="55" t="n"/>
      <c r="P440" s="55" t="n"/>
      <c r="Q440" s="55" t="n"/>
      <c r="R440" s="55" t="n"/>
      <c r="S440" s="55" t="n"/>
      <c r="T440" s="55" t="n"/>
      <c r="U440" s="55" t="n"/>
      <c r="V440" s="301" t="n"/>
      <c r="W440" s="55" t="n"/>
      <c r="X440" s="2002" t="n"/>
      <c r="Y440" s="2002" t="n"/>
      <c r="Z440" s="2002" t="n"/>
      <c r="AA440" s="2002" t="n"/>
      <c r="AB440" s="2002" t="n"/>
      <c r="AC440" s="2002" t="n"/>
    </row>
    <row r="441" customFormat="1" s="7">
      <c r="A441" s="1441" t="n"/>
      <c r="B441" s="127">
        <f>IF(E$428=1,"Autre (veuillez préciser)","")</f>
        <v/>
      </c>
      <c r="D441" s="1932" t="n">
        <v>5</v>
      </c>
      <c r="E441" s="52">
        <f>IF(P$436=D441,1,"x")</f>
        <v/>
      </c>
      <c r="F441" s="299" t="n"/>
      <c r="G441" s="305" t="inlineStr">
        <is>
          <t>!!! Pour Data seulement (fins d'études)</t>
        </is>
      </c>
      <c r="H441" s="56" t="n"/>
      <c r="I441" s="56" t="n"/>
      <c r="J441" s="56" t="n"/>
      <c r="K441" s="56" t="n"/>
      <c r="L441" s="56" t="n"/>
      <c r="M441" s="56" t="n"/>
      <c r="N441" s="56" t="n"/>
      <c r="O441" s="56" t="n"/>
      <c r="P441" s="56" t="n"/>
      <c r="Q441" s="56" t="n"/>
      <c r="R441" s="56" t="n"/>
      <c r="S441" s="56" t="n"/>
      <c r="T441" s="56" t="n"/>
      <c r="U441" s="56" t="n"/>
      <c r="V441" s="545" t="n"/>
      <c r="W441" s="56" t="n"/>
      <c r="X441" s="2002" t="n"/>
      <c r="Y441" s="2002" t="n"/>
      <c r="Z441" s="2002" t="n"/>
      <c r="AA441" s="2002" t="n"/>
      <c r="AB441" s="2002" t="n"/>
      <c r="AC441" s="2002" t="n"/>
    </row>
    <row r="442" ht="51" customFormat="1" customHeight="1" s="7">
      <c r="A442" s="2001">
        <f>BIBLE!E242</f>
        <v/>
      </c>
      <c r="B442" s="2066">
        <f>BIBLE!F242</f>
        <v/>
      </c>
      <c r="D442" s="991" t="n"/>
      <c r="E442" s="56" t="n"/>
      <c r="F442" s="291" t="n"/>
      <c r="G442" s="56" t="n"/>
      <c r="H442" s="56" t="n"/>
      <c r="I442" s="56" t="n"/>
      <c r="J442" s="56" t="n"/>
      <c r="K442" s="56" t="n"/>
      <c r="L442" s="56" t="n"/>
      <c r="M442" s="56" t="n"/>
      <c r="N442" s="56" t="n"/>
      <c r="O442" s="56" t="n"/>
      <c r="P442" s="1935">
        <f>'TEST_pour application'!B411</f>
        <v/>
      </c>
      <c r="Q442" s="56" t="n"/>
      <c r="R442" s="56" t="n"/>
      <c r="S442" s="56" t="n"/>
      <c r="T442" s="56" t="n"/>
      <c r="U442" s="56" t="n"/>
      <c r="V442" s="545" t="n"/>
      <c r="W442" s="56" t="n"/>
      <c r="X442" s="2002" t="n"/>
      <c r="Y442" s="2002" t="n"/>
      <c r="Z442" s="2002" t="n"/>
      <c r="AA442" s="2002" t="n"/>
      <c r="AB442" s="2002" t="n"/>
      <c r="AC442" s="2002" t="n"/>
    </row>
    <row r="443" ht="17" customHeight="1">
      <c r="A443" s="2001" t="n"/>
      <c r="B443" s="72" t="inlineStr">
        <is>
          <t>Deuil d’un parent</t>
        </is>
      </c>
      <c r="D443" s="1929" t="n">
        <v>1</v>
      </c>
      <c r="E443" s="52">
        <f>IF(P$442=D443,1,"x")</f>
        <v/>
      </c>
      <c r="F443" s="298" t="n"/>
      <c r="G443" s="55" t="n"/>
      <c r="H443" s="55" t="n"/>
      <c r="I443" s="55" t="n"/>
      <c r="J443" s="55" t="n"/>
      <c r="K443" s="55" t="n"/>
      <c r="L443" s="55" t="n"/>
      <c r="M443" s="55" t="n"/>
      <c r="N443" s="55" t="n"/>
      <c r="O443" s="55" t="n"/>
      <c r="P443" s="55" t="n"/>
      <c r="Q443" s="55" t="n"/>
      <c r="R443" s="55" t="n"/>
      <c r="S443" s="55" t="n"/>
      <c r="T443" s="55" t="n"/>
      <c r="U443" s="55" t="n"/>
      <c r="V443" s="301" t="n"/>
      <c r="W443" s="55" t="n"/>
    </row>
    <row r="444" ht="17" customHeight="1">
      <c r="B444" s="72" t="inlineStr">
        <is>
          <t>Adoption</t>
        </is>
      </c>
      <c r="D444" s="1929" t="n">
        <v>2</v>
      </c>
      <c r="E444" s="52">
        <f>IF(P$442=D444,1,"x")</f>
        <v/>
      </c>
      <c r="F444" s="298" t="n"/>
      <c r="G444" s="55" t="n"/>
      <c r="H444" s="55" t="n"/>
      <c r="I444" s="55" t="n"/>
      <c r="J444" s="55" t="n"/>
      <c r="K444" s="55" t="n"/>
      <c r="L444" s="55" t="n"/>
      <c r="M444" s="55" t="n"/>
      <c r="N444" s="55" t="n"/>
      <c r="O444" s="55" t="n"/>
      <c r="P444" s="55" t="n"/>
      <c r="Q444" s="55" t="n"/>
      <c r="R444" s="55" t="n"/>
      <c r="S444" s="55" t="n"/>
      <c r="T444" s="55" t="n"/>
      <c r="U444" s="55" t="n"/>
      <c r="V444" s="301" t="n"/>
      <c r="W444" s="55" t="n"/>
    </row>
    <row r="445" ht="17" customHeight="1">
      <c r="A445" s="2001" t="n"/>
      <c r="B445" s="72" t="inlineStr">
        <is>
          <t>Maltraitance en tant qu’enfant (intervention DPJ ou non)</t>
        </is>
      </c>
      <c r="D445" s="1929" t="n">
        <v>3</v>
      </c>
      <c r="E445" s="52">
        <f>IF(P$442=D445,1,"x")</f>
        <v/>
      </c>
      <c r="F445" s="291" t="n"/>
      <c r="G445" s="56" t="n"/>
      <c r="H445" s="56" t="n"/>
      <c r="I445" s="56" t="n"/>
      <c r="J445" s="56" t="n"/>
      <c r="K445" s="56" t="n"/>
      <c r="L445" s="56" t="n"/>
      <c r="M445" s="56" t="n"/>
      <c r="N445" s="56" t="n"/>
      <c r="O445" s="56" t="n"/>
      <c r="P445" s="56" t="n"/>
      <c r="Q445" s="56" t="n"/>
      <c r="R445" s="56" t="n"/>
      <c r="S445" s="56" t="n"/>
      <c r="T445" s="56" t="n"/>
      <c r="U445" s="56" t="n"/>
      <c r="V445" s="545" t="n"/>
      <c r="W445" s="56" t="n"/>
    </row>
    <row r="446" ht="34" customHeight="1">
      <c r="A446" s="2001" t="n"/>
      <c r="B446" s="72" t="inlineStr">
        <is>
          <t>Troubles mentaux chez l’un ou des deux parents (dépression, bipolarité, TPL, tentative suicide,..)</t>
        </is>
      </c>
      <c r="D446" s="1929" t="n">
        <v>4</v>
      </c>
      <c r="E446" s="52">
        <f>IF(P$442=D446,1,"x")</f>
        <v/>
      </c>
      <c r="F446" s="291" t="n"/>
      <c r="G446" s="56" t="n"/>
      <c r="H446" s="56" t="n"/>
      <c r="I446" s="56" t="n"/>
      <c r="J446" s="56" t="n"/>
      <c r="K446" s="56" t="n"/>
      <c r="L446" s="56" t="n"/>
      <c r="M446" s="56" t="n"/>
      <c r="N446" s="56" t="n"/>
      <c r="O446" s="56" t="n"/>
      <c r="P446" s="56" t="n"/>
      <c r="Q446" s="56" t="n"/>
      <c r="R446" s="56" t="n"/>
      <c r="S446" s="56" t="n"/>
      <c r="T446" s="56" t="n"/>
      <c r="U446" s="56" t="n"/>
      <c r="V446" s="545" t="n"/>
      <c r="W446" s="56" t="n"/>
    </row>
    <row r="447" ht="17" customHeight="1">
      <c r="A447" s="2001" t="n"/>
      <c r="B447" s="72" t="inlineStr">
        <is>
          <t>Problème de dépendances de l’un ou des deux parents (alcool, drogues,)</t>
        </is>
      </c>
      <c r="D447" s="1929" t="n">
        <v>5</v>
      </c>
      <c r="E447" s="52">
        <f>IF(P$442=D447,1,"x")</f>
        <v/>
      </c>
      <c r="F447" s="291" t="n"/>
      <c r="G447" s="56" t="n"/>
      <c r="H447" s="56" t="n"/>
      <c r="I447" s="56" t="n"/>
      <c r="J447" s="56" t="n"/>
      <c r="K447" s="56" t="n"/>
      <c r="L447" s="56" t="n"/>
      <c r="M447" s="56" t="n"/>
      <c r="N447" s="56" t="n"/>
      <c r="O447" s="56" t="n"/>
      <c r="P447" s="56" t="n"/>
      <c r="Q447" s="56" t="n"/>
      <c r="R447" s="56" t="n"/>
      <c r="S447" s="56" t="n"/>
      <c r="T447" s="56" t="n"/>
      <c r="U447" s="56" t="n"/>
      <c r="V447" s="545" t="n"/>
      <c r="W447" s="56" t="n"/>
    </row>
    <row r="448" ht="17" customHeight="1">
      <c r="A448" s="2001" t="n"/>
      <c r="B448" s="72" t="inlineStr">
        <is>
          <t>Violence conjugale entre les parents</t>
        </is>
      </c>
      <c r="D448" s="1929" t="n">
        <v>6</v>
      </c>
      <c r="E448" s="52">
        <f>IF(P$442=D448,1,"x")</f>
        <v/>
      </c>
      <c r="F448" s="291" t="n"/>
      <c r="G448" s="56" t="n"/>
      <c r="H448" s="56" t="n"/>
      <c r="I448" s="56" t="n"/>
      <c r="J448" s="56" t="n"/>
      <c r="K448" s="56" t="n"/>
      <c r="L448" s="56" t="n"/>
      <c r="M448" s="56" t="n"/>
      <c r="N448" s="56" t="n"/>
      <c r="O448" s="56" t="n"/>
      <c r="P448" s="56" t="n"/>
      <c r="Q448" s="56" t="n"/>
      <c r="R448" s="56" t="n"/>
      <c r="S448" s="56" t="n"/>
      <c r="T448" s="56" t="n"/>
      <c r="U448" s="56" t="n"/>
      <c r="V448" s="545" t="n"/>
      <c r="W448" s="56" t="n"/>
    </row>
    <row r="449" ht="17" customHeight="1">
      <c r="A449" s="2001" t="n"/>
      <c r="B449" s="72" t="inlineStr">
        <is>
          <t>Divorce conflictuel des parents</t>
        </is>
      </c>
      <c r="D449" s="1929" t="n">
        <v>7</v>
      </c>
      <c r="E449" s="52">
        <f>IF(P$442=D449,1,"x")</f>
        <v/>
      </c>
      <c r="F449" s="291" t="n"/>
      <c r="G449" s="56" t="n"/>
      <c r="H449" s="56" t="n"/>
      <c r="I449" s="56" t="n"/>
      <c r="J449" s="56" t="n"/>
      <c r="K449" s="56" t="n"/>
      <c r="L449" s="56" t="n"/>
      <c r="M449" s="56" t="n"/>
      <c r="N449" s="56" t="n"/>
      <c r="O449" s="56" t="n"/>
      <c r="P449" s="56" t="n"/>
      <c r="Q449" s="56" t="n"/>
      <c r="R449" s="56" t="n"/>
      <c r="S449" s="56" t="n"/>
      <c r="T449" s="56" t="n"/>
      <c r="U449" s="56" t="n"/>
      <c r="V449" s="545" t="n"/>
      <c r="W449" s="56" t="n"/>
    </row>
    <row r="450" ht="17" customHeight="1">
      <c r="A450" s="2001" t="n"/>
      <c r="B450" s="72" t="inlineStr">
        <is>
          <t>Rupture de lien avec un parent à la suite d’un divorce</t>
        </is>
      </c>
      <c r="D450" s="1929" t="n">
        <v>8</v>
      </c>
      <c r="E450" s="52">
        <f>IF(P$442=D450,1,"x")</f>
        <v/>
      </c>
      <c r="F450" s="291" t="n"/>
      <c r="G450" s="56" t="n"/>
      <c r="H450" s="56" t="n"/>
      <c r="I450" s="56" t="n"/>
      <c r="J450" s="56" t="n"/>
      <c r="K450" s="56" t="n"/>
      <c r="L450" s="56" t="n"/>
      <c r="M450" s="56" t="n"/>
      <c r="N450" s="56" t="n"/>
      <c r="O450" s="56" t="n"/>
      <c r="P450" s="56" t="n"/>
      <c r="Q450" s="56" t="n"/>
      <c r="R450" s="56" t="n"/>
      <c r="S450" s="56" t="n"/>
      <c r="T450" s="56" t="n"/>
      <c r="U450" s="56" t="n"/>
      <c r="V450" s="545" t="n"/>
      <c r="W450" s="56" t="n"/>
    </row>
    <row r="451" ht="17" customHeight="1">
      <c r="A451" s="2001" t="n"/>
      <c r="B451" s="72" t="inlineStr">
        <is>
          <t>Abus sexuels</t>
        </is>
      </c>
      <c r="D451" s="1929" t="n">
        <v>9</v>
      </c>
      <c r="E451" s="52">
        <f>IF(P$442=D451,1,"x")</f>
        <v/>
      </c>
      <c r="F451" s="298" t="n"/>
      <c r="G451" s="55" t="n"/>
      <c r="H451" s="55" t="n"/>
      <c r="I451" s="55" t="n"/>
      <c r="J451" s="55" t="n"/>
      <c r="K451" s="55" t="n"/>
      <c r="L451" s="55" t="n"/>
      <c r="M451" s="55" t="n"/>
      <c r="N451" s="55" t="n"/>
      <c r="O451" s="55" t="n"/>
      <c r="P451" s="55" t="n"/>
      <c r="Q451" s="55" t="n"/>
      <c r="R451" s="55" t="n"/>
      <c r="S451" s="55" t="n"/>
      <c r="T451" s="55" t="n"/>
      <c r="U451" s="55" t="n"/>
      <c r="V451" s="301" t="n"/>
      <c r="W451" s="55" t="n"/>
    </row>
    <row r="452" ht="17" customHeight="1">
      <c r="B452" s="72" t="inlineStr">
        <is>
          <t>Autres (spécifier)</t>
        </is>
      </c>
      <c r="D452" s="1929" t="n">
        <v>10</v>
      </c>
      <c r="E452" s="52">
        <f>IF(P$442=D452,1,"x")</f>
        <v/>
      </c>
      <c r="F452" s="298" t="n"/>
      <c r="G452" s="305" t="inlineStr">
        <is>
          <t>!!! Pour Data seulement (fins d'études)</t>
        </is>
      </c>
      <c r="H452" s="55" t="n"/>
      <c r="I452" s="55" t="n"/>
      <c r="J452" s="55" t="n"/>
      <c r="K452" s="55" t="n"/>
      <c r="L452" s="55" t="n"/>
      <c r="M452" s="55" t="n"/>
      <c r="N452" s="55" t="n"/>
      <c r="O452" s="55" t="n"/>
      <c r="P452" s="55" t="n"/>
      <c r="Q452" s="55" t="n"/>
      <c r="R452" s="55" t="n"/>
      <c r="S452" s="55" t="n"/>
      <c r="T452" s="55" t="n"/>
      <c r="U452" s="55" t="n"/>
      <c r="V452" s="301" t="n"/>
      <c r="W452" s="55" t="n"/>
    </row>
    <row r="453">
      <c r="A453" s="1443" t="n"/>
      <c r="D453" s="1757" t="n"/>
      <c r="E453" s="295" t="n"/>
    </row>
    <row r="458">
      <c r="A458" s="56" t="n"/>
      <c r="C458" s="56" t="n"/>
      <c r="D458" s="291" t="n"/>
      <c r="E458" s="56" t="n"/>
      <c r="F458" s="56" t="n"/>
      <c r="G458" s="56" t="n"/>
      <c r="H458" s="56" t="n"/>
      <c r="I458" s="56" t="n"/>
      <c r="J458" s="56" t="n"/>
      <c r="K458" s="56" t="n"/>
      <c r="L458" s="56" t="n"/>
      <c r="M458" s="56" t="n"/>
      <c r="N458" s="56" t="n"/>
      <c r="O458" s="56" t="n"/>
      <c r="P458" s="56" t="n"/>
      <c r="Q458" s="56" t="n"/>
      <c r="R458" s="56" t="n"/>
      <c r="S458" s="56" t="n"/>
      <c r="T458" s="56" t="n"/>
      <c r="U458" s="56" t="n"/>
      <c r="V458" s="545" t="n"/>
      <c r="W458" s="56" t="n"/>
    </row>
    <row r="459">
      <c r="A459" s="56" t="n"/>
      <c r="C459" s="56" t="n"/>
      <c r="D459" s="291" t="n"/>
      <c r="E459" s="56" t="n"/>
      <c r="F459" s="56" t="n"/>
      <c r="G459" s="56" t="n"/>
      <c r="H459" s="56" t="n"/>
      <c r="I459" s="56" t="n"/>
      <c r="J459" s="56" t="n"/>
      <c r="K459" s="56" t="n"/>
      <c r="L459" s="56" t="n"/>
      <c r="M459" s="56" t="n"/>
      <c r="N459" s="56" t="n"/>
      <c r="O459" s="56" t="n"/>
      <c r="P459" s="56" t="n"/>
      <c r="Q459" s="56" t="n"/>
      <c r="R459" s="56" t="n"/>
      <c r="S459" s="56" t="n"/>
      <c r="T459" s="56" t="n"/>
      <c r="U459" s="56" t="n"/>
      <c r="V459" s="545" t="n"/>
      <c r="W459" s="56" t="n"/>
    </row>
    <row r="460">
      <c r="A460" s="56" t="n"/>
      <c r="C460" s="56" t="n"/>
      <c r="D460" s="291" t="n"/>
      <c r="E460" s="56" t="n"/>
      <c r="F460" s="56" t="n"/>
      <c r="G460" s="56" t="n"/>
      <c r="H460" s="56" t="n"/>
      <c r="I460" s="56" t="n"/>
      <c r="J460" s="56" t="n"/>
      <c r="K460" s="56" t="n"/>
      <c r="L460" s="56" t="n"/>
      <c r="M460" s="56" t="n"/>
      <c r="N460" s="56" t="n"/>
      <c r="O460" s="56" t="n"/>
      <c r="P460" s="56" t="n"/>
      <c r="Q460" s="56" t="n"/>
      <c r="R460" s="56" t="n"/>
      <c r="S460" s="56" t="n"/>
      <c r="T460" s="56" t="n"/>
      <c r="U460" s="56" t="n"/>
      <c r="V460" s="545" t="n"/>
      <c r="W460" s="56" t="n"/>
    </row>
    <row r="461">
      <c r="A461" s="56" t="n"/>
      <c r="C461" s="56" t="n"/>
      <c r="D461" s="291" t="n"/>
      <c r="E461" s="56" t="n"/>
      <c r="F461" s="56" t="n"/>
      <c r="G461" s="56" t="n"/>
      <c r="H461" s="56" t="n"/>
      <c r="I461" s="56" t="n"/>
      <c r="J461" s="56" t="n"/>
      <c r="K461" s="56" t="n"/>
      <c r="L461" s="56" t="n"/>
      <c r="M461" s="56" t="n"/>
      <c r="N461" s="56" t="n"/>
      <c r="O461" s="56" t="n"/>
      <c r="P461" s="56" t="n"/>
      <c r="Q461" s="56" t="n"/>
      <c r="R461" s="56" t="n"/>
      <c r="S461" s="56" t="n"/>
      <c r="T461" s="56" t="n"/>
      <c r="U461" s="56" t="n"/>
      <c r="V461" s="545" t="n"/>
      <c r="W461" s="56" t="n"/>
    </row>
    <row r="462">
      <c r="A462" s="56" t="n"/>
      <c r="C462" s="56" t="n"/>
      <c r="D462" s="291" t="n"/>
      <c r="E462" s="56" t="n"/>
      <c r="F462" s="56" t="n"/>
      <c r="G462" s="56" t="n"/>
      <c r="H462" s="56" t="n"/>
      <c r="I462" s="56" t="n"/>
      <c r="J462" s="56" t="n"/>
      <c r="K462" s="56" t="n"/>
      <c r="L462" s="56" t="n"/>
      <c r="M462" s="56" t="n"/>
      <c r="N462" s="56" t="n"/>
      <c r="O462" s="56" t="n"/>
      <c r="P462" s="56" t="n"/>
      <c r="Q462" s="56" t="n"/>
      <c r="R462" s="56" t="n"/>
      <c r="S462" s="56" t="n"/>
      <c r="T462" s="56" t="n"/>
      <c r="U462" s="56" t="n"/>
      <c r="V462" s="545" t="n"/>
      <c r="W462" s="56" t="n"/>
    </row>
    <row r="463">
      <c r="A463" s="56" t="n"/>
      <c r="C463" s="56" t="n"/>
      <c r="D463" s="291" t="n"/>
      <c r="E463" s="56" t="n"/>
      <c r="F463" s="56" t="n"/>
      <c r="G463" s="56" t="n"/>
      <c r="H463" s="56" t="n"/>
      <c r="I463" s="56" t="n"/>
      <c r="J463" s="56" t="n"/>
      <c r="K463" s="56" t="n"/>
      <c r="L463" s="56" t="n"/>
      <c r="M463" s="56" t="n"/>
      <c r="N463" s="56" t="n"/>
      <c r="O463" s="56" t="n"/>
      <c r="P463" s="56" t="n"/>
      <c r="Q463" s="56" t="n"/>
      <c r="R463" s="56" t="n"/>
      <c r="S463" s="56" t="n"/>
      <c r="T463" s="56" t="n"/>
      <c r="U463" s="56" t="n"/>
      <c r="V463" s="545" t="n"/>
      <c r="W463" s="56" t="n"/>
    </row>
    <row r="464">
      <c r="A464" s="56" t="n"/>
      <c r="C464" s="56" t="n"/>
      <c r="D464" s="291" t="n"/>
      <c r="E464" s="56" t="n"/>
      <c r="F464" s="56" t="n"/>
      <c r="G464" s="56" t="n"/>
      <c r="H464" s="56" t="n"/>
      <c r="I464" s="56" t="n"/>
      <c r="J464" s="56" t="n"/>
      <c r="K464" s="56" t="n"/>
      <c r="L464" s="56" t="n"/>
      <c r="M464" s="56" t="n"/>
      <c r="N464" s="56" t="n"/>
      <c r="O464" s="56" t="n"/>
      <c r="P464" s="56" t="n"/>
      <c r="Q464" s="56" t="n"/>
      <c r="R464" s="56" t="n"/>
      <c r="S464" s="56" t="n"/>
      <c r="T464" s="56" t="n"/>
      <c r="U464" s="56" t="n"/>
      <c r="V464" s="545" t="n"/>
      <c r="W464" s="56" t="n"/>
    </row>
    <row r="465">
      <c r="A465" s="56" t="n"/>
      <c r="C465" s="56" t="n"/>
      <c r="D465" s="291" t="n"/>
      <c r="E465" s="56" t="n"/>
      <c r="F465" s="56" t="n"/>
      <c r="G465" s="56" t="n"/>
      <c r="H465" s="56" t="n"/>
      <c r="I465" s="56" t="n"/>
      <c r="J465" s="56" t="n"/>
      <c r="K465" s="56" t="n"/>
      <c r="L465" s="56" t="n"/>
      <c r="M465" s="56" t="n"/>
      <c r="N465" s="56" t="n"/>
      <c r="O465" s="56" t="n"/>
      <c r="P465" s="56" t="n"/>
      <c r="Q465" s="56" t="n"/>
      <c r="R465" s="56" t="n"/>
      <c r="S465" s="56" t="n"/>
      <c r="T465" s="56" t="n"/>
      <c r="U465" s="56" t="n"/>
      <c r="V465" s="545" t="n"/>
      <c r="W465" s="56" t="n"/>
    </row>
    <row r="466">
      <c r="A466" s="56" t="n"/>
      <c r="C466" s="56" t="n"/>
      <c r="D466" s="291" t="n"/>
      <c r="E466" s="56" t="n"/>
      <c r="F466" s="56" t="n"/>
      <c r="G466" s="56" t="n"/>
      <c r="H466" s="56" t="n"/>
      <c r="I466" s="56" t="n"/>
      <c r="J466" s="56" t="n"/>
      <c r="K466" s="56" t="n"/>
      <c r="L466" s="56" t="n"/>
      <c r="M466" s="56" t="n"/>
      <c r="N466" s="56" t="n"/>
      <c r="O466" s="56" t="n"/>
      <c r="P466" s="56" t="n"/>
      <c r="Q466" s="56" t="n"/>
      <c r="R466" s="56" t="n"/>
      <c r="S466" s="56" t="n"/>
      <c r="T466" s="56" t="n"/>
      <c r="U466" s="56" t="n"/>
      <c r="V466" s="545" t="n"/>
      <c r="W466" s="56" t="n"/>
    </row>
    <row r="467">
      <c r="A467" s="56" t="n"/>
      <c r="C467" s="56" t="n"/>
      <c r="D467" s="291" t="n"/>
      <c r="E467" s="56" t="n"/>
      <c r="F467" s="56" t="n"/>
      <c r="G467" s="56" t="n"/>
      <c r="H467" s="56" t="n"/>
      <c r="I467" s="56" t="n"/>
      <c r="J467" s="56" t="n"/>
      <c r="K467" s="56" t="n"/>
      <c r="L467" s="56" t="n"/>
      <c r="M467" s="56" t="n"/>
      <c r="N467" s="56" t="n"/>
      <c r="O467" s="56" t="n"/>
      <c r="P467" s="56" t="n"/>
      <c r="Q467" s="56" t="n"/>
      <c r="R467" s="56" t="n"/>
      <c r="S467" s="56" t="n"/>
      <c r="T467" s="56" t="n"/>
      <c r="U467" s="56" t="n"/>
      <c r="V467" s="545" t="n"/>
      <c r="W467" s="56" t="n"/>
    </row>
    <row r="468">
      <c r="A468" s="56" t="n"/>
      <c r="C468" s="56" t="n"/>
      <c r="D468" s="291" t="n"/>
      <c r="E468" s="56" t="n"/>
      <c r="F468" s="56" t="n"/>
      <c r="G468" s="56" t="n"/>
      <c r="H468" s="56" t="n"/>
      <c r="I468" s="56" t="n"/>
      <c r="J468" s="56" t="n"/>
      <c r="K468" s="56" t="n"/>
      <c r="L468" s="56" t="n"/>
      <c r="M468" s="56" t="n"/>
      <c r="N468" s="56" t="n"/>
      <c r="O468" s="56" t="n"/>
      <c r="P468" s="56" t="n"/>
      <c r="Q468" s="56" t="n"/>
      <c r="R468" s="56" t="n"/>
      <c r="S468" s="56" t="n"/>
      <c r="T468" s="56" t="n"/>
      <c r="U468" s="56" t="n"/>
      <c r="V468" s="545" t="n"/>
      <c r="W468" s="56" t="n"/>
    </row>
    <row r="469">
      <c r="A469" s="56" t="n"/>
      <c r="C469" s="56" t="n"/>
      <c r="D469" s="291" t="n"/>
      <c r="E469" s="56" t="n"/>
      <c r="F469" s="56" t="n"/>
      <c r="G469" s="56" t="n"/>
      <c r="H469" s="56" t="n"/>
      <c r="I469" s="56" t="n"/>
      <c r="J469" s="56" t="n"/>
      <c r="K469" s="56" t="n"/>
      <c r="L469" s="56" t="n"/>
      <c r="M469" s="56" t="n"/>
      <c r="N469" s="56" t="n"/>
      <c r="O469" s="56" t="n"/>
      <c r="P469" s="56" t="n"/>
      <c r="Q469" s="56" t="n"/>
      <c r="R469" s="56" t="n"/>
      <c r="S469" s="56" t="n"/>
      <c r="T469" s="56" t="n"/>
      <c r="U469" s="56" t="n"/>
      <c r="V469" s="545" t="n"/>
      <c r="W469" s="56" t="n"/>
    </row>
    <row r="470">
      <c r="A470" s="56" t="n"/>
      <c r="C470" s="56" t="n"/>
      <c r="D470" s="291" t="n"/>
      <c r="E470" s="56" t="n"/>
      <c r="F470" s="56" t="n"/>
      <c r="G470" s="56" t="n"/>
      <c r="H470" s="56" t="n"/>
      <c r="I470" s="56" t="n"/>
      <c r="J470" s="56" t="n"/>
      <c r="K470" s="56" t="n"/>
      <c r="L470" s="56" t="n"/>
      <c r="M470" s="56" t="n"/>
      <c r="N470" s="56" t="n"/>
      <c r="O470" s="56" t="n"/>
      <c r="P470" s="56" t="n"/>
      <c r="Q470" s="56" t="n"/>
      <c r="R470" s="56" t="n"/>
      <c r="S470" s="56" t="n"/>
      <c r="T470" s="56" t="n"/>
      <c r="U470" s="56" t="n"/>
      <c r="V470" s="545" t="n"/>
      <c r="W470" s="56" t="n"/>
    </row>
    <row r="471">
      <c r="A471" s="56" t="n"/>
      <c r="C471" s="56" t="n"/>
      <c r="D471" s="291" t="n"/>
      <c r="E471" s="56" t="n"/>
      <c r="F471" s="56" t="n"/>
      <c r="G471" s="56" t="n"/>
      <c r="H471" s="56" t="n"/>
      <c r="I471" s="56" t="n"/>
      <c r="J471" s="56" t="n"/>
      <c r="K471" s="56" t="n"/>
      <c r="L471" s="56" t="n"/>
      <c r="M471" s="56" t="n"/>
      <c r="N471" s="56" t="n"/>
      <c r="O471" s="56" t="n"/>
      <c r="P471" s="56" t="n"/>
      <c r="Q471" s="56" t="n"/>
      <c r="R471" s="56" t="n"/>
      <c r="S471" s="56" t="n"/>
      <c r="T471" s="56" t="n"/>
      <c r="U471" s="56" t="n"/>
      <c r="V471" s="545" t="n"/>
      <c r="W471" s="56" t="n"/>
    </row>
  </sheetData>
  <mergeCells count="33">
    <mergeCell ref="AK89:AK93"/>
    <mergeCell ref="AF427:AH427"/>
    <mergeCell ref="AF89:AF93"/>
    <mergeCell ref="AI421:AP421"/>
    <mergeCell ref="AI88:AP88"/>
    <mergeCell ref="E50:O50"/>
    <mergeCell ref="AI427:AP427"/>
    <mergeCell ref="B148:B149"/>
    <mergeCell ref="AF416:AH416"/>
    <mergeCell ref="AP89:AP93"/>
    <mergeCell ref="AJ89:AJ93"/>
    <mergeCell ref="A443:A444"/>
    <mergeCell ref="B287:B288"/>
    <mergeCell ref="AF88:AH88"/>
    <mergeCell ref="AM89:AM93"/>
    <mergeCell ref="AG89:AG93"/>
    <mergeCell ref="AF426:AP426"/>
    <mergeCell ref="AH89:AH93"/>
    <mergeCell ref="AE88:AE93"/>
    <mergeCell ref="A451:A452"/>
    <mergeCell ref="AL89:AL93"/>
    <mergeCell ref="AF415:AP415"/>
    <mergeCell ref="B393:B394"/>
    <mergeCell ref="AN89:AN93"/>
    <mergeCell ref="AI416:AP416"/>
    <mergeCell ref="AF421:AH421"/>
    <mergeCell ref="B163:B164"/>
    <mergeCell ref="X107:AC107"/>
    <mergeCell ref="AF420:AP420"/>
    <mergeCell ref="E95:K95"/>
    <mergeCell ref="AO89:AO93"/>
    <mergeCell ref="AI89:AI93"/>
    <mergeCell ref="C269:C272"/>
  </mergeCells>
  <pageMargins left="0.7" right="0.7" top="0.75" bottom="0.75" header="0.3" footer="0.3"/>
  <pageSetup orientation="portrait" horizontalDpi="0" verticalDpi="0"/>
  <drawing r:id="rId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fitToPage="1"/>
  </sheetPr>
  <dimension ref="A1:O197"/>
  <sheetViews>
    <sheetView topLeftCell="A12" workbookViewId="0">
      <selection activeCell="D19" sqref="D19"/>
    </sheetView>
  </sheetViews>
  <sheetFormatPr baseColWidth="10" defaultColWidth="11" defaultRowHeight="40" customHeight="1"/>
  <cols>
    <col width="20.33203125" customWidth="1" style="2002" min="1" max="1"/>
    <col width="8.5" bestFit="1" customWidth="1" style="1325" min="2" max="2"/>
    <col width="63" customWidth="1" style="17" min="3" max="3"/>
    <col width="77.6640625" bestFit="1" customWidth="1" style="17" min="4" max="4"/>
    <col hidden="1" width="10.83203125" customWidth="1" style="1991" min="5" max="5"/>
    <col hidden="1" width="14" customWidth="1" style="1991" min="6" max="6"/>
    <col hidden="1" width="14.83203125" customWidth="1" style="1991" min="7" max="7"/>
    <col hidden="1" width="65.5" customWidth="1" style="602" min="8" max="8"/>
    <col hidden="1" width="11.6640625" customWidth="1" style="1991" min="9" max="10"/>
    <col width="19.33203125" bestFit="1" customWidth="1" min="11" max="11"/>
    <col width="20.1640625" customWidth="1" min="12" max="15"/>
  </cols>
  <sheetData>
    <row r="1" ht="78" customHeight="1">
      <c r="A1" s="1287" t="n"/>
      <c r="B1" s="1288" t="n"/>
      <c r="C1" s="1289" t="inlineStr">
        <is>
          <t>Questions</t>
        </is>
      </c>
      <c r="D1" s="1289" t="n"/>
      <c r="E1" s="1290" t="inlineStr">
        <is>
          <t>Intensité de Base : 1 à 3</t>
        </is>
      </c>
      <c r="F1" s="1291" t="inlineStr">
        <is>
          <t>Intensité conditionnelle (âge, temps de séparation)</t>
        </is>
      </c>
      <c r="G1" s="1990" t="inlineStr">
        <is>
          <t>Échelle</t>
        </is>
      </c>
      <c r="H1" s="1292" t="inlineStr">
        <is>
          <t>Trois types d'échelle:
Numérique : 0 - 10 (aucune à excellente)
Libelé : Voir Légende ci-haut
Choix de réponse (Voir fichier Test_Bible)</t>
        </is>
      </c>
      <c r="I1" s="1293" t="inlineStr">
        <is>
          <t>Fréquence</t>
        </is>
      </c>
      <c r="J1" s="1293" t="inlineStr">
        <is>
          <t>Fréquence * Intensité</t>
        </is>
      </c>
      <c r="K1" s="2030" t="inlineStr">
        <is>
          <t>Utilité de la question qualitative</t>
        </is>
      </c>
    </row>
    <row r="2" ht="78" customHeight="1">
      <c r="A2" s="1287" t="n"/>
      <c r="B2" s="1288" t="n"/>
      <c r="C2" s="1289" t="n"/>
      <c r="D2" s="1289" t="n"/>
      <c r="E2" s="1290" t="n"/>
      <c r="F2" s="1291" t="n"/>
      <c r="G2" s="1990" t="n"/>
      <c r="H2" s="1292" t="n"/>
      <c r="I2" s="1990" t="n"/>
      <c r="J2" s="1990" t="n"/>
      <c r="K2" s="1332" t="inlineStr">
        <is>
          <t>Comme condition de profil de base et ouverture de question</t>
        </is>
      </c>
      <c r="L2" s="1332" t="inlineStr">
        <is>
          <t>Fins de statistiques</t>
        </is>
      </c>
      <c r="M2" s="1332" t="inlineStr">
        <is>
          <t>Pour introspection</t>
        </is>
      </c>
      <c r="N2" s="1332" t="inlineStr">
        <is>
          <t>Comme condition pour l'analyse</t>
        </is>
      </c>
      <c r="O2" s="1332" t="inlineStr">
        <is>
          <t>Pour donner un conseil dans le rapport selon la|les réponses</t>
        </is>
      </c>
    </row>
    <row r="3" ht="50" customHeight="1">
      <c r="A3" s="79" t="inlineStr">
        <is>
          <t>Questionnaire 
BASE</t>
        </is>
      </c>
      <c r="B3" s="1285" t="n"/>
      <c r="C3" s="2059" t="n"/>
      <c r="D3" s="2059" t="n"/>
      <c r="E3" s="1990" t="n"/>
      <c r="F3" s="1990" t="n"/>
      <c r="G3" s="1990" t="n"/>
      <c r="I3" s="1990" t="n"/>
      <c r="J3" s="1990" t="n"/>
    </row>
    <row r="4" ht="102" customHeight="1">
      <c r="A4" s="553" t="n"/>
      <c r="B4" s="1445">
        <f>BIBLE!E18</f>
        <v/>
      </c>
      <c r="C4" s="1445">
        <f>BIBLE!F18</f>
        <v/>
      </c>
      <c r="D4" s="1333" t="inlineStr">
        <is>
          <t>Une mère
Un père 
Un parent (non binaire) 
Un grand-parent 
Un·e nouveau ou nouvelle conjoint·e
Autre (spécifiez)</t>
        </is>
      </c>
      <c r="E4" s="1990" t="n">
        <v>0</v>
      </c>
      <c r="F4" s="1990" t="n"/>
      <c r="G4" s="1990" t="n"/>
      <c r="I4" s="1990" t="n"/>
      <c r="J4" s="1990" t="n"/>
      <c r="K4" s="1326" t="n"/>
      <c r="L4" s="1326" t="inlineStr">
        <is>
          <t>✓</t>
        </is>
      </c>
      <c r="M4" s="1327" t="n"/>
      <c r="N4" s="1327" t="n"/>
      <c r="O4" s="1327" t="n"/>
    </row>
    <row r="5" ht="51" customHeight="1">
      <c r="A5" s="553" t="n"/>
      <c r="B5" s="1445">
        <f>BIBLE!E19</f>
        <v/>
      </c>
      <c r="C5" s="1445">
        <f>BIBLE!F19</f>
        <v/>
      </c>
      <c r="D5" s="1334" t="inlineStr">
        <is>
          <t>En mon nom ou celui d'une autre mère 
En mon nom ou celui d'un autre père 
En mon nom ou celui d'un autre parent (non binaire)</t>
        </is>
      </c>
      <c r="E5" s="645" t="n">
        <v>0</v>
      </c>
      <c r="F5" s="645" t="n"/>
      <c r="G5" s="1990" t="inlineStr">
        <is>
          <t>Choix de réponses</t>
        </is>
      </c>
      <c r="I5" s="1990" t="n"/>
      <c r="J5" s="1990" t="n"/>
      <c r="K5" s="1326" t="n"/>
      <c r="L5" s="1326" t="inlineStr">
        <is>
          <t>✓</t>
        </is>
      </c>
      <c r="M5" s="1327" t="n"/>
      <c r="N5" s="1327" t="n"/>
      <c r="O5" s="1326" t="inlineStr">
        <is>
          <t>✓</t>
        </is>
      </c>
    </row>
    <row r="6" ht="44" customHeight="1">
      <c r="A6" s="553" t="n"/>
      <c r="B6" s="1445">
        <f>BIBLE!E20</f>
        <v/>
      </c>
      <c r="C6" s="1445">
        <f>BIBLE!F20</f>
        <v/>
      </c>
      <c r="D6" s="1334" t="inlineStr">
        <is>
          <t>Analyse au présent
Analyse rétrospective</t>
        </is>
      </c>
      <c r="E6" s="645" t="n"/>
      <c r="F6" s="645" t="n"/>
      <c r="G6" s="1990" t="n"/>
      <c r="I6" s="1990" t="n"/>
      <c r="J6" s="1990" t="n"/>
      <c r="K6" s="1326" t="inlineStr">
        <is>
          <t>✓</t>
        </is>
      </c>
      <c r="L6" s="1326" t="n"/>
      <c r="M6" s="1327" t="n"/>
      <c r="N6" s="1327" t="n"/>
      <c r="O6" s="1326" t="n"/>
    </row>
    <row r="7" ht="85" customHeight="1">
      <c r="A7" s="553" t="n"/>
      <c r="B7" s="1445">
        <f>BIBLE!E21</f>
        <v/>
      </c>
      <c r="C7" s="1445">
        <f>BIBLE!F21</f>
        <v/>
      </c>
      <c r="D7" s="1334" t="inlineStr">
        <is>
          <t xml:space="preserve">1 an et moins
2 à 5 ans
6 à 10 ans
11 à 20 ans 
plus de 20 ans  </t>
        </is>
      </c>
      <c r="E7" s="645" t="n">
        <v>0</v>
      </c>
      <c r="F7" s="645" t="n"/>
      <c r="G7" s="1990" t="inlineStr">
        <is>
          <t>Choix de réponses</t>
        </is>
      </c>
      <c r="I7" s="1990" t="n"/>
      <c r="J7" s="1990" t="n"/>
      <c r="K7" s="1327" t="n"/>
      <c r="L7" s="1326" t="inlineStr">
        <is>
          <t>✓</t>
        </is>
      </c>
      <c r="M7" s="1327" t="n"/>
      <c r="N7" s="1327" t="n"/>
      <c r="O7" s="1327" t="n"/>
    </row>
    <row r="8" ht="85" customHeight="1">
      <c r="A8" s="553" t="n"/>
      <c r="B8" s="1445">
        <f>BIBLE!E22</f>
        <v/>
      </c>
      <c r="C8" s="1445">
        <f>BIBLE!F22</f>
        <v/>
      </c>
      <c r="D8" s="1334" t="inlineStr">
        <is>
          <t xml:space="preserve">moins de 1 an
1 à 2 ans
2 à 5 ans
5 à 10 ans 
plus de 10 ans  </t>
        </is>
      </c>
      <c r="E8" s="645" t="n">
        <v>0</v>
      </c>
      <c r="F8" s="645" t="n"/>
      <c r="G8" s="1990" t="inlineStr">
        <is>
          <t>Choix de réponses</t>
        </is>
      </c>
      <c r="I8" s="1990" t="n"/>
      <c r="J8" s="1990" t="n"/>
      <c r="K8" s="1326" t="inlineStr">
        <is>
          <t>✓</t>
        </is>
      </c>
      <c r="L8" s="1326" t="inlineStr">
        <is>
          <t>✓</t>
        </is>
      </c>
      <c r="M8" s="1327" t="n"/>
      <c r="N8" s="1326" t="inlineStr">
        <is>
          <t>✓</t>
        </is>
      </c>
      <c r="O8" s="1326" t="inlineStr">
        <is>
          <t>✓</t>
        </is>
      </c>
    </row>
    <row r="9" ht="68" customHeight="1">
      <c r="A9" s="553" t="n"/>
      <c r="B9" s="1445">
        <f>BIBLE!E23</f>
        <v/>
      </c>
      <c r="C9" s="1445">
        <f>BIBLE!F23</f>
        <v/>
      </c>
      <c r="D9" s="1334" t="inlineStr">
        <is>
          <t>1 enfant (c elui qui fait l'objet de l'analyse)
2
3
Plus de 4 enfants</t>
        </is>
      </c>
      <c r="E9" s="645" t="n"/>
      <c r="F9" s="645" t="n"/>
      <c r="G9" s="1990" t="n"/>
      <c r="I9" s="1990" t="n"/>
      <c r="J9" s="1990" t="n"/>
      <c r="K9" s="1326" t="n"/>
      <c r="L9" s="1326" t="inlineStr">
        <is>
          <t>✓</t>
        </is>
      </c>
      <c r="M9" s="1327" t="n"/>
      <c r="N9" s="1326" t="n"/>
      <c r="O9" s="1326" t="n"/>
    </row>
    <row r="10" ht="40" customHeight="1">
      <c r="A10" s="553" t="n"/>
      <c r="B10" s="1445">
        <f>BIBLE!E24</f>
        <v/>
      </c>
      <c r="C10" s="1445">
        <f>BIBLE!F24</f>
        <v/>
      </c>
      <c r="D10" s="1333" t="inlineStr">
        <is>
          <t>Âge</t>
        </is>
      </c>
      <c r="E10" s="645" t="n">
        <v>0</v>
      </c>
      <c r="F10" s="645" t="n"/>
      <c r="G10" s="1990" t="inlineStr">
        <is>
          <t>Choix de réponses</t>
        </is>
      </c>
      <c r="I10" s="1990" t="n"/>
      <c r="J10" s="1990" t="n"/>
      <c r="K10" s="1326" t="inlineStr">
        <is>
          <t>✓</t>
        </is>
      </c>
      <c r="L10" s="1326" t="inlineStr">
        <is>
          <t>✓</t>
        </is>
      </c>
      <c r="M10" s="1327" t="n"/>
      <c r="N10" s="1326" t="inlineStr">
        <is>
          <t>✓</t>
        </is>
      </c>
      <c r="O10" s="1326" t="inlineStr">
        <is>
          <t>✓</t>
        </is>
      </c>
    </row>
    <row r="11" ht="51" customHeight="1">
      <c r="A11" s="553" t="n"/>
      <c r="B11" s="1445">
        <f>BIBLE!E25</f>
        <v/>
      </c>
      <c r="C11" s="1445">
        <f>BIBLE!F25</f>
        <v/>
      </c>
      <c r="D11" s="1334" t="inlineStr">
        <is>
          <t xml:space="preserve">Célibataire
En couple ou famille recomposée SANS enfant issu de la nouvelle union
Famile recomposée AVEC enfant(s) issu(s) de la nouvelle union </t>
        </is>
      </c>
      <c r="E11" s="645" t="n">
        <v>0</v>
      </c>
      <c r="F11" s="645" t="n"/>
      <c r="G11" s="1990" t="inlineStr">
        <is>
          <t>Choix de réponses</t>
        </is>
      </c>
      <c r="I11" s="1990" t="n"/>
      <c r="J11" s="1990" t="n"/>
      <c r="K11" s="1326" t="inlineStr">
        <is>
          <t>✓</t>
        </is>
      </c>
      <c r="L11" s="1326" t="inlineStr">
        <is>
          <t>✓</t>
        </is>
      </c>
      <c r="M11" s="1327" t="n"/>
      <c r="N11" s="1327" t="n"/>
      <c r="O11" s="1327" t="n"/>
    </row>
    <row r="12" ht="51" customHeight="1">
      <c r="A12" s="553" t="n"/>
      <c r="B12" s="1445">
        <f>BIBLE!E26</f>
        <v/>
      </c>
      <c r="C12" s="1445">
        <f>BIBLE!F26</f>
        <v/>
      </c>
      <c r="D12" s="1334" t="inlineStr">
        <is>
          <t xml:space="preserve">Célibataire 
En couple 
Famille recomposée </t>
        </is>
      </c>
      <c r="E12" s="645" t="n">
        <v>0</v>
      </c>
      <c r="F12" s="645" t="n"/>
      <c r="G12" s="1990" t="inlineStr">
        <is>
          <t>Choix de réponses</t>
        </is>
      </c>
      <c r="I12" s="1990" t="n"/>
      <c r="J12" s="1990" t="n"/>
      <c r="K12" s="1326" t="inlineStr">
        <is>
          <t>✓</t>
        </is>
      </c>
      <c r="L12" s="1326" t="inlineStr">
        <is>
          <t>✓</t>
        </is>
      </c>
      <c r="M12" s="1327" t="n"/>
      <c r="N12" s="1327" t="n"/>
      <c r="O12" s="1327" t="n"/>
    </row>
    <row r="13" ht="40" customHeight="1">
      <c r="A13" s="553" t="n"/>
      <c r="B13" s="1445">
        <f>BIBLE!E27</f>
        <v/>
      </c>
      <c r="C13" s="1445">
        <f>BIBLE!F27</f>
        <v/>
      </c>
      <c r="D13" s="1335" t="n"/>
      <c r="E13" s="607" t="n">
        <v>3</v>
      </c>
      <c r="F13" s="607" t="n"/>
      <c r="G13" s="1990" t="inlineStr">
        <is>
          <t>E1B</t>
        </is>
      </c>
      <c r="H13" s="597" t="inlineStr">
        <is>
          <t>Toujours / Souvent / Régullièrement / Parfois / Rarement / Jamais / S.O.</t>
        </is>
      </c>
      <c r="I13" s="1295">
        <f>Test_Bible!P53</f>
        <v/>
      </c>
      <c r="J13" s="1295">
        <f>Test_Bible!Q53</f>
        <v/>
      </c>
      <c r="K13" s="1328" t="n"/>
      <c r="L13" s="1328" t="n"/>
      <c r="M13" s="1328" t="n"/>
      <c r="N13" s="1328" t="n"/>
      <c r="O13" s="1328" t="n"/>
    </row>
    <row r="14" ht="40" customHeight="1">
      <c r="A14" s="553" t="n"/>
      <c r="B14" s="1446">
        <f>BIBLE!E28</f>
        <v/>
      </c>
      <c r="C14" s="1446">
        <f>BIBLE!F28</f>
        <v/>
      </c>
      <c r="D14" s="1336" t="inlineStr">
        <is>
          <t>-Oui
-Non</t>
        </is>
      </c>
      <c r="E14" s="1296" t="n">
        <v>0</v>
      </c>
      <c r="F14" s="1296" t="n"/>
      <c r="G14" s="1990" t="inlineStr">
        <is>
          <t>O/N</t>
        </is>
      </c>
      <c r="I14" s="1990" t="n"/>
      <c r="J14" s="1990" t="n"/>
      <c r="K14" s="1326" t="inlineStr">
        <is>
          <t>✓</t>
        </is>
      </c>
      <c r="L14" s="1327" t="n"/>
      <c r="M14" s="1327" t="n"/>
      <c r="N14" s="1326" t="n"/>
      <c r="O14" s="1327" t="n"/>
    </row>
    <row r="15" ht="40" customHeight="1">
      <c r="A15" s="553" t="n"/>
      <c r="B15" s="1446">
        <f>BIBLE!E29</f>
        <v/>
      </c>
      <c r="C15" s="1446">
        <f>BIBLE!F29</f>
        <v/>
      </c>
      <c r="D15" s="1336" t="n"/>
      <c r="E15" s="608" t="n">
        <v>2</v>
      </c>
      <c r="F15" s="608" t="n"/>
      <c r="G15" s="1990" t="inlineStr">
        <is>
          <t>E1B</t>
        </is>
      </c>
      <c r="H15" s="597" t="inlineStr">
        <is>
          <t>Toujours / Souvent / Régullièrement / Parfois / Rarement / Jamais / S.O.</t>
        </is>
      </c>
      <c r="I15" s="1295">
        <f>Test_Bible!P56</f>
        <v/>
      </c>
      <c r="J15" s="1295">
        <f>Test_Bible!Q56</f>
        <v/>
      </c>
      <c r="K15" s="1328" t="n"/>
      <c r="L15" s="1328" t="n"/>
      <c r="M15" s="1328" t="n"/>
      <c r="N15" s="1328" t="n"/>
      <c r="O15" s="1328" t="n"/>
    </row>
    <row r="16" ht="40" customHeight="1">
      <c r="A16" s="553" t="n"/>
      <c r="B16" s="1446">
        <f>BIBLE!E30</f>
        <v/>
      </c>
      <c r="C16" s="1446">
        <f>BIBLE!F30</f>
        <v/>
      </c>
      <c r="D16" s="1337" t="n"/>
      <c r="E16" s="608" t="n">
        <v>2</v>
      </c>
      <c r="F16" s="608" t="n"/>
      <c r="G16" s="1990" t="inlineStr">
        <is>
          <t>E1B</t>
        </is>
      </c>
      <c r="H16" s="597" t="inlineStr">
        <is>
          <t>Toujours / Souvent / Régullièrement / Parfois / Rarement / Jamais / S.O.</t>
        </is>
      </c>
      <c r="I16" s="1295">
        <f>Test_Bible!P57</f>
        <v/>
      </c>
      <c r="J16" s="1295">
        <f>Test_Bible!Q57</f>
        <v/>
      </c>
      <c r="K16" s="1328" t="n"/>
      <c r="L16" s="1328" t="n"/>
      <c r="M16" s="1328" t="n"/>
      <c r="N16" s="1328" t="n"/>
      <c r="O16" s="1328" t="n"/>
    </row>
    <row r="17" ht="96" customHeight="1">
      <c r="A17" s="553" t="n"/>
      <c r="B17" s="1445">
        <f>BIBLE!E31</f>
        <v/>
      </c>
      <c r="C17" s="1445">
        <f>BIBLE!F31</f>
        <v/>
      </c>
      <c r="D17" s="1825">
        <f>BIBLE!H31</f>
        <v/>
      </c>
      <c r="E17" s="1296" t="n">
        <v>0</v>
      </c>
      <c r="F17" s="1296" t="n"/>
      <c r="G17" s="1990" t="inlineStr">
        <is>
          <t>Choix de réponses</t>
        </is>
      </c>
      <c r="I17" s="1990" t="n"/>
      <c r="J17" s="1990" t="n"/>
      <c r="K17" s="1326" t="inlineStr">
        <is>
          <t>✓</t>
        </is>
      </c>
      <c r="L17" s="1326" t="inlineStr">
        <is>
          <t>✓</t>
        </is>
      </c>
      <c r="M17" s="1327" t="n"/>
      <c r="N17" s="1326" t="inlineStr">
        <is>
          <t>✓</t>
        </is>
      </c>
      <c r="O17" s="1326" t="inlineStr">
        <is>
          <t>✓</t>
        </is>
      </c>
    </row>
    <row r="18" ht="140" customHeight="1">
      <c r="A18" s="553" t="n"/>
      <c r="B18" s="1446">
        <f>BIBLE!E32</f>
        <v/>
      </c>
      <c r="C18" s="1446">
        <f>BIBLE!F32</f>
        <v/>
      </c>
      <c r="D18" s="1338">
        <f>BIBLE!H32</f>
        <v/>
      </c>
      <c r="E18" s="1296" t="n">
        <v>0</v>
      </c>
      <c r="F18" s="1296" t="n"/>
      <c r="G18" s="1990" t="inlineStr">
        <is>
          <t>choix multiple</t>
        </is>
      </c>
      <c r="I18" s="1990" t="n"/>
      <c r="J18" s="1990" t="n"/>
      <c r="K18" s="1327" t="n"/>
      <c r="L18" s="1327" t="n"/>
      <c r="M18" s="1326" t="inlineStr">
        <is>
          <t>✓</t>
        </is>
      </c>
      <c r="N18" s="1327" t="n"/>
      <c r="O18" s="1326" t="n"/>
    </row>
    <row r="19" ht="87" customHeight="1">
      <c r="A19" s="553" t="n"/>
      <c r="B19" s="1446">
        <f>BIBLE!E33</f>
        <v/>
      </c>
      <c r="C19" s="1446">
        <f>BIBLE!F33</f>
        <v/>
      </c>
      <c r="D19" s="1337" t="inlineStr">
        <is>
          <t>&lt; 9 mois
Entre 9 mois et 2 ans
Entre 2 ans et 5 ans
Entre 5 ans et 10 ans
Plus de 10 ans</t>
        </is>
      </c>
      <c r="E19" s="1296" t="n">
        <v>0</v>
      </c>
      <c r="F19" s="1296" t="n"/>
      <c r="G19" s="1990" t="inlineStr">
        <is>
          <t>choix multiple</t>
        </is>
      </c>
      <c r="I19" s="1990" t="n"/>
      <c r="J19" s="1990" t="n"/>
      <c r="K19" s="1327" t="n"/>
      <c r="L19" s="1327" t="n"/>
      <c r="M19" s="1326" t="inlineStr">
        <is>
          <t>✓</t>
        </is>
      </c>
      <c r="N19" s="1327" t="n"/>
      <c r="O19" s="1326" t="n"/>
    </row>
    <row r="20" ht="48" customHeight="1">
      <c r="A20" s="553" t="n"/>
      <c r="B20" s="1446">
        <f>BIBLE!E34</f>
        <v/>
      </c>
      <c r="C20" s="1446">
        <f>BIBLE!F34</f>
        <v/>
      </c>
      <c r="D20" s="1336" t="inlineStr">
        <is>
          <t>-Oui
-Non</t>
        </is>
      </c>
      <c r="E20" s="1296" t="n">
        <v>0</v>
      </c>
      <c r="F20" s="1296" t="n"/>
      <c r="G20" s="1990" t="inlineStr">
        <is>
          <t>O/N</t>
        </is>
      </c>
      <c r="I20" s="1990" t="n"/>
      <c r="J20" s="1990" t="n"/>
      <c r="K20" s="1327" t="n"/>
      <c r="L20" s="1326" t="inlineStr">
        <is>
          <t>✓</t>
        </is>
      </c>
      <c r="M20" s="1326" t="inlineStr">
        <is>
          <t>✓</t>
        </is>
      </c>
      <c r="N20" s="1327" t="n"/>
      <c r="O20" s="1327" t="n"/>
    </row>
    <row r="21" ht="130" customHeight="1">
      <c r="A21" s="553" t="n"/>
      <c r="B21" s="1446">
        <f>BIBLE!E35</f>
        <v/>
      </c>
      <c r="C21" s="1446">
        <f>BIBLE!F35</f>
        <v/>
      </c>
      <c r="D21" s="1338" t="inlineStr">
        <is>
          <t>Épisode de dépression (pour vous ou l'autre parent)
Épisode de violence (de votre part ou de l'autre parent)
Infidélité (de votre part ou de l'autre parent)
Événement déclencheur (ex.: déménagement, deuil,...) 
Arrivée d'un·e nouveau ou nouvelle conjoint·e
Autre
Aucun</t>
        </is>
      </c>
      <c r="E21" s="1296" t="n">
        <v>0</v>
      </c>
      <c r="F21" s="1296" t="n"/>
      <c r="G21" s="1990" t="inlineStr">
        <is>
          <t>choix multiple</t>
        </is>
      </c>
      <c r="I21" s="1990" t="n"/>
      <c r="J21" s="1990" t="n"/>
      <c r="K21" s="1327" t="n"/>
      <c r="L21" s="1326" t="inlineStr">
        <is>
          <t>✓</t>
        </is>
      </c>
      <c r="M21" s="1326" t="inlineStr">
        <is>
          <t>✓</t>
        </is>
      </c>
      <c r="N21" s="1327" t="n"/>
      <c r="O21" s="1326" t="n"/>
    </row>
    <row r="22" ht="40" customHeight="1">
      <c r="A22" s="2073" t="n"/>
      <c r="B22" s="1285" t="n"/>
      <c r="C22" s="2059" t="n"/>
      <c r="D22" s="2059" t="n"/>
      <c r="E22" s="2073" t="n"/>
      <c r="F22" s="2073" t="n"/>
      <c r="G22" s="1990" t="n"/>
      <c r="I22" s="1990" t="n"/>
      <c r="J22" s="1990" t="n"/>
    </row>
    <row r="23" ht="30" customFormat="1" customHeight="1" s="106">
      <c r="A23" s="1331" t="inlineStr">
        <is>
          <t>Parent répondant</t>
        </is>
      </c>
      <c r="B23" s="370" t="n"/>
      <c r="C23" s="371" t="n"/>
      <c r="D23" s="371" t="n"/>
      <c r="E23" s="370" t="n"/>
      <c r="F23" s="370" t="n"/>
      <c r="G23" s="1045" t="n"/>
      <c r="H23" s="601" t="n"/>
      <c r="I23" s="1045" t="n"/>
      <c r="J23" s="1045" t="n"/>
      <c r="K23" s="1297" t="n"/>
      <c r="L23" s="1297" t="n"/>
      <c r="M23" s="1297" t="n"/>
      <c r="N23" s="1297" t="n"/>
      <c r="O23" s="1297" t="n"/>
    </row>
    <row r="24" ht="51" customHeight="1">
      <c r="A24" s="1298" t="n"/>
      <c r="B24" s="1444">
        <f>BIBLE!E56</f>
        <v/>
      </c>
      <c r="C24" s="1444">
        <f>BIBLE!F56</f>
        <v/>
      </c>
      <c r="D24" s="1340" t="n"/>
      <c r="E24" s="608" t="n">
        <v>2</v>
      </c>
      <c r="F24" s="608" t="n"/>
      <c r="G24" s="1990" t="inlineStr">
        <is>
          <t>E1A</t>
        </is>
      </c>
      <c r="H24" s="597" t="inlineStr">
        <is>
          <t>Jamais / Rarement / Parfois / Régulièrement / Souvent / Toujours / S.O.</t>
        </is>
      </c>
      <c r="I24" s="1299">
        <f>Test_Bible!P123</f>
        <v/>
      </c>
      <c r="J24" s="1299">
        <f>Test_Bible!Q123</f>
        <v/>
      </c>
      <c r="K24" s="1328" t="n"/>
      <c r="L24" s="1328" t="n"/>
      <c r="M24" s="1328" t="n"/>
      <c r="N24" s="1328" t="n"/>
      <c r="O24" s="1328" t="n"/>
    </row>
    <row r="25" ht="98" customHeight="1">
      <c r="A25" s="1298" t="n"/>
      <c r="B25" s="1446">
        <f>BIBLE!E52</f>
        <v/>
      </c>
      <c r="C25" s="1446">
        <f>BIBLE!F52</f>
        <v/>
      </c>
      <c r="D25" s="1341" t="inlineStr">
        <is>
          <t>- Préparation des repas (et boîte à lunch) des enfants
- Accompagnement des devoirs
- Gestion des vêtements
- Choix des activités sportives
- Question d'argent
- Autres</t>
        </is>
      </c>
      <c r="E25" s="593" t="n">
        <v>1</v>
      </c>
      <c r="F25" s="593" t="n"/>
      <c r="G25" s="1990" t="inlineStr">
        <is>
          <t>choix multiples</t>
        </is>
      </c>
      <c r="H25" s="602" t="inlineStr">
        <is>
          <t>- Préparation des repas et/ou boîte à lunch des enfants
- Accompagnement des devoirs
- Gestion des vêtements
- Choix des activités culturelles ou sportives
- Autres</t>
        </is>
      </c>
      <c r="I25" s="1300" t="n"/>
      <c r="J25" s="1300" t="n"/>
      <c r="K25" s="1327" t="n"/>
      <c r="L25" s="1326" t="inlineStr">
        <is>
          <t>✓</t>
        </is>
      </c>
      <c r="M25" s="1326" t="inlineStr">
        <is>
          <t>✓</t>
        </is>
      </c>
      <c r="N25" s="1327" t="n"/>
      <c r="O25" s="1326" t="n"/>
    </row>
    <row r="26" ht="34" customFormat="1" customHeight="1" s="7">
      <c r="A26" s="1298" t="n"/>
      <c r="B26" s="1444">
        <f>BIBLE!E64</f>
        <v/>
      </c>
      <c r="C26" s="1444">
        <f>BIBLE!F64</f>
        <v/>
      </c>
      <c r="D26" s="1342" t="n"/>
      <c r="E26" s="608" t="n">
        <v>2</v>
      </c>
      <c r="F26" s="608" t="n"/>
      <c r="G26" s="1990" t="inlineStr">
        <is>
          <t>E1A</t>
        </is>
      </c>
      <c r="H26" s="597" t="inlineStr">
        <is>
          <t>Jamais / Rarement / Parfois / Régulièrement / Souvent / Toujours / S.O.</t>
        </is>
      </c>
      <c r="I26" s="1299">
        <f>Test_Bible!P136</f>
        <v/>
      </c>
      <c r="J26" s="1299">
        <f>Test_Bible!Q136</f>
        <v/>
      </c>
      <c r="K26" s="1330" t="n"/>
      <c r="L26" s="1330" t="n"/>
      <c r="M26" s="1330" t="n"/>
      <c r="N26" s="1330" t="n"/>
      <c r="O26" s="1330" t="n"/>
    </row>
    <row r="27" ht="102" customFormat="1" customHeight="1" s="7">
      <c r="A27" s="1298" t="n"/>
      <c r="B27" s="1446">
        <f>BIBLE!E65</f>
        <v/>
      </c>
      <c r="C27" s="1446">
        <f>BIBLE!F65</f>
        <v/>
      </c>
      <c r="D27" s="1343" t="inlineStr">
        <is>
          <t xml:space="preserve">(cochez la ou les réponses pertinentes à votre situation) 
Choix d'école (primaire et/ou secondaire)  
Programmes sportifs 
Soins médicaux ou dentaires 
Déménagement dans une autre ville en raison du travail 
Autres  </t>
        </is>
      </c>
      <c r="E27" s="608" t="n">
        <v>2</v>
      </c>
      <c r="F27" s="608" t="n"/>
      <c r="G27" s="1990" t="inlineStr">
        <is>
          <t>choix multiples</t>
        </is>
      </c>
      <c r="H27" s="597" t="n"/>
      <c r="I27" s="1301" t="n"/>
      <c r="J27" s="1301" t="n"/>
      <c r="K27" s="1329" t="n"/>
      <c r="L27" s="1329" t="n"/>
      <c r="M27" s="1326" t="inlineStr">
        <is>
          <t>✓</t>
        </is>
      </c>
      <c r="N27" s="1567" t="inlineStr">
        <is>
          <t>Face à face miroir avec le coparent</t>
        </is>
      </c>
      <c r="O27" s="1326" t="inlineStr">
        <is>
          <t>✓</t>
        </is>
      </c>
    </row>
    <row r="28" ht="51" customHeight="1">
      <c r="A28" s="1298" t="n"/>
      <c r="B28" s="1444">
        <f>BIBLE!E68</f>
        <v/>
      </c>
      <c r="C28" s="1444">
        <f>BIBLE!F68</f>
        <v/>
      </c>
      <c r="D28" s="1340" t="n"/>
      <c r="E28" s="608" t="n">
        <v>2</v>
      </c>
      <c r="F28" s="607" t="n">
        <v>3</v>
      </c>
      <c r="G28" s="1990" t="inlineStr">
        <is>
          <t>E3A</t>
        </is>
      </c>
      <c r="H28" s="597" t="inlineStr">
        <is>
          <t>Pas du tout d’accord / Pas d’accord / Ni d’accord, ni pas d’accord / Partiellement d’accord / D’accord / Tout à fait d’accord / S.O.</t>
        </is>
      </c>
      <c r="I28" s="1299">
        <f>Test_Bible!P147</f>
        <v/>
      </c>
      <c r="J28" s="1299">
        <f>Test_Bible!Q147</f>
        <v/>
      </c>
      <c r="K28" s="1328" t="n"/>
      <c r="L28" s="1328" t="n"/>
      <c r="M28" s="1328" t="n"/>
      <c r="N28" s="1328" t="n"/>
      <c r="O28" s="1328" t="n"/>
    </row>
    <row r="29" ht="61" customHeight="1">
      <c r="A29" s="1298" t="n"/>
      <c r="B29" s="1446">
        <f>BIBLE!E69</f>
        <v/>
      </c>
      <c r="C29" s="1446">
        <f>BIBLE!F69</f>
        <v/>
      </c>
      <c r="D29" s="1344" t="inlineStr">
        <is>
          <t>-Oui
-Non</t>
        </is>
      </c>
      <c r="E29" s="673" t="n">
        <v>0</v>
      </c>
      <c r="F29" s="673" t="n"/>
      <c r="G29" s="1990" t="inlineStr">
        <is>
          <t>O/N</t>
        </is>
      </c>
      <c r="I29" s="1299" t="n"/>
      <c r="J29" s="1299" t="n"/>
      <c r="K29" s="1327" t="n"/>
      <c r="L29" s="1327" t="n"/>
      <c r="M29" s="1326" t="inlineStr">
        <is>
          <t>✓</t>
        </is>
      </c>
      <c r="N29" s="1327" t="n"/>
      <c r="O29" s="1326" t="inlineStr">
        <is>
          <t>✓</t>
        </is>
      </c>
    </row>
    <row r="30" ht="31" customHeight="1">
      <c r="A30" s="1302" t="n"/>
      <c r="B30" s="2073" t="n"/>
      <c r="C30" s="2059" t="n"/>
      <c r="D30" s="1303" t="n"/>
      <c r="E30" s="1990" t="n"/>
      <c r="F30" s="1990" t="n"/>
      <c r="G30" s="1990" t="n"/>
      <c r="I30" s="1299" t="n"/>
      <c r="J30" s="1299" t="n"/>
      <c r="M30" s="1294" t="n"/>
      <c r="O30" s="1294" t="n"/>
    </row>
    <row r="31" ht="36" customHeight="1">
      <c r="A31" s="1304" t="inlineStr">
        <is>
          <t>Co-parent</t>
        </is>
      </c>
      <c r="B31" s="587" t="n"/>
      <c r="C31" s="1141" t="n"/>
      <c r="D31" s="1141" t="n"/>
      <c r="E31" s="1141" t="n"/>
      <c r="F31" s="1141" t="n"/>
      <c r="G31" s="1141" t="n"/>
      <c r="H31" s="1141" t="n"/>
      <c r="I31" s="1141" t="n"/>
      <c r="J31" s="1141" t="n"/>
    </row>
    <row r="32" ht="34" customHeight="1">
      <c r="A32" s="1305" t="n"/>
      <c r="B32" s="1345">
        <f>BIBLE!E80</f>
        <v/>
      </c>
      <c r="C32" s="1346" t="inlineStr">
        <is>
          <t>Selon vous, dans quelle mesure l'autre parent entretien (aujourd'hui) une relation fusionnelle avec votre enfant ?</t>
        </is>
      </c>
      <c r="D32" s="1347" t="n"/>
      <c r="E32" s="1306" t="n">
        <v>1</v>
      </c>
      <c r="F32" s="1306" t="n"/>
      <c r="G32" s="1307" t="inlineStr">
        <is>
          <t xml:space="preserve">1 à 10 </t>
        </is>
      </c>
      <c r="H32" s="1308" t="inlineStr">
        <is>
          <t>Aucune (0) à Excellente (10)</t>
        </is>
      </c>
      <c r="I32" s="1309">
        <f>Test_Bible!P162</f>
        <v/>
      </c>
      <c r="J32" s="1309">
        <f>Test_Bible!Q162</f>
        <v/>
      </c>
      <c r="K32" s="1328" t="n"/>
      <c r="L32" s="1328" t="n"/>
      <c r="M32" s="1328" t="n"/>
      <c r="N32" s="1328" t="n"/>
      <c r="O32" s="1328" t="n"/>
    </row>
    <row r="33" ht="90" customHeight="1">
      <c r="A33" s="428" t="n"/>
      <c r="B33" s="1345">
        <f>BIBLE!E81</f>
        <v/>
      </c>
      <c r="C33" s="1111" t="inlineStr">
        <is>
          <t>Diriez-vous que la relation fusionnelle entre votre enfant et l'autre parent est consciente (intentionnelle) ou inconsciente ?</t>
        </is>
      </c>
      <c r="D33" s="1341" t="inlineStr">
        <is>
          <t>-Intentionelle
-Inconsciente</t>
        </is>
      </c>
      <c r="E33" s="1306" t="n">
        <v>1</v>
      </c>
      <c r="F33" s="1306" t="n"/>
      <c r="G33" s="1990" t="inlineStr">
        <is>
          <t>échelle à deux pôles</t>
        </is>
      </c>
      <c r="I33" s="1990" t="n"/>
      <c r="J33" s="1990" t="n"/>
      <c r="K33" s="1327" t="n"/>
      <c r="L33" s="1327" t="n"/>
      <c r="M33" s="1326" t="n"/>
      <c r="N33" s="1326" t="inlineStr">
        <is>
          <t>✓ indice d'exclusion</t>
        </is>
      </c>
      <c r="O33" s="1326" t="inlineStr">
        <is>
          <t>✓</t>
        </is>
      </c>
    </row>
    <row r="34" ht="34" customFormat="1" customHeight="1" s="7">
      <c r="A34" s="428" t="n"/>
      <c r="B34" s="1345">
        <f>BIBLE!E123</f>
        <v/>
      </c>
      <c r="C34" s="1346" t="inlineStr">
        <is>
          <t>Dans quelle mesure l'autre parent vous appelle par votre prénom devant votre enfant (versus maman ou papa) ?</t>
        </is>
      </c>
      <c r="D34" s="1347" t="n"/>
      <c r="E34" s="593" t="n">
        <v>1</v>
      </c>
      <c r="F34" s="593" t="n"/>
      <c r="G34" s="1990" t="inlineStr">
        <is>
          <t>E1A</t>
        </is>
      </c>
      <c r="H34" s="597" t="inlineStr">
        <is>
          <t>Jamais / Rarement / Parfois / Régulièrement / Souvent / Toujours / S.O.</t>
        </is>
      </c>
      <c r="I34" s="1295">
        <f>Test_Bible!P207</f>
        <v/>
      </c>
      <c r="J34" s="1295">
        <f>Test_Bible!Q207</f>
        <v/>
      </c>
      <c r="K34" s="1330" t="n"/>
      <c r="L34" s="1330" t="n"/>
      <c r="M34" s="1330" t="n"/>
      <c r="N34" s="1330" t="n"/>
      <c r="O34" s="1330" t="n"/>
    </row>
    <row r="35" ht="45" customFormat="1" customHeight="1" s="7">
      <c r="A35" s="428" t="n"/>
      <c r="B35" s="1345">
        <f>BIBLE!E124</f>
        <v/>
      </c>
      <c r="C35" s="1111" t="inlineStr">
        <is>
          <t xml:space="preserve">Cette façon de s'adresser à vous devant l'enfant (prénom versus maman ou papa), est-elle habituelle ou est-ce nouveau depuis la séparation ? </t>
        </is>
      </c>
      <c r="D35" s="1348" t="inlineStr">
        <is>
          <t>- Normal / usuel
- Nouveau</t>
        </is>
      </c>
      <c r="E35" s="608" t="n">
        <v>2</v>
      </c>
      <c r="F35" s="608" t="n"/>
      <c r="G35" s="1990" t="inlineStr">
        <is>
          <t>choix de réponses</t>
        </is>
      </c>
      <c r="H35" s="602" t="inlineStr">
        <is>
          <t>Usuel / Normal
Nouveau</t>
        </is>
      </c>
      <c r="I35" s="1991" t="n"/>
      <c r="J35" s="1991" t="n"/>
      <c r="K35" s="1329" t="n"/>
      <c r="L35" s="1329" t="n"/>
      <c r="M35" s="1329" t="n"/>
      <c r="N35" s="1326" t="inlineStr">
        <is>
          <t>✓</t>
        </is>
      </c>
      <c r="O35" s="1329" t="n"/>
    </row>
    <row r="36" ht="51" customFormat="1" customHeight="1" s="7">
      <c r="A36" s="428" t="n"/>
      <c r="B36" s="1447">
        <f>BIBLE!E129</f>
        <v/>
      </c>
      <c r="C36" s="1447">
        <f>BIBLE!F129</f>
        <v/>
      </c>
      <c r="D36" s="1349" t="n"/>
      <c r="E36" s="607" t="n">
        <v>3</v>
      </c>
      <c r="F36" s="607" t="n"/>
      <c r="G36" s="1990" t="inlineStr">
        <is>
          <t>E3A</t>
        </is>
      </c>
      <c r="H36" s="597" t="inlineStr">
        <is>
          <t>Pas du tout d’accord / Pas d’accord / Ni d’accord, ni pas d’accord / Partiellement d’accord / D’accord / Tout à fait d’accord / S.O.</t>
        </is>
      </c>
      <c r="I36" s="651">
        <f>Test_Bible!P216</f>
        <v/>
      </c>
      <c r="J36" s="651">
        <f>Test_Bible!Q216</f>
        <v/>
      </c>
      <c r="K36" s="1330" t="n"/>
      <c r="L36" s="1330" t="n"/>
      <c r="M36" s="1330" t="n"/>
      <c r="N36" s="1330" t="n"/>
      <c r="O36" s="1330" t="n"/>
    </row>
    <row r="37" ht="106" customFormat="1" customHeight="1" s="7">
      <c r="A37" s="428" t="n"/>
      <c r="B37" s="1446">
        <f>BIBLE!E131</f>
        <v/>
      </c>
      <c r="C37" s="1446">
        <f>BIBLE!F131</f>
        <v/>
      </c>
      <c r="D37" s="1343" t="inlineStr">
        <is>
          <t>Choix d'école et/ou inscription (primaire et secondaire)
Choix de club|programme sportif
Soins médicaux ou dentaires 
Déménagement (forçant un changement majeur ou autres)
Achat d'une valeur significative (auto, animal,…)
Autre (spécifiez)</t>
        </is>
      </c>
      <c r="E37" s="629" t="n">
        <v>0</v>
      </c>
      <c r="F37" s="629" t="n"/>
      <c r="G37" s="1990" t="inlineStr">
        <is>
          <t>choix multiple</t>
        </is>
      </c>
      <c r="H37" s="597" t="n"/>
      <c r="I37" s="1310" t="n"/>
      <c r="J37" s="1310" t="n"/>
      <c r="K37" s="1329" t="n"/>
      <c r="L37" s="1329" t="n"/>
      <c r="M37" s="1326" t="inlineStr">
        <is>
          <t>✓</t>
        </is>
      </c>
      <c r="N37" s="1567" t="inlineStr">
        <is>
          <t>Face à face miroir avec le parent répondant</t>
        </is>
      </c>
      <c r="O37" s="1326" t="inlineStr">
        <is>
          <t>✓</t>
        </is>
      </c>
    </row>
    <row r="38" ht="41" customFormat="1" customHeight="1" s="7">
      <c r="A38" s="428" t="n"/>
      <c r="B38" s="1446">
        <f>BIBLE!E132</f>
        <v/>
      </c>
      <c r="C38" s="1446">
        <f>BIBLE!F132</f>
        <v/>
      </c>
      <c r="D38" s="1350" t="inlineStr">
        <is>
          <t>-Oui
- Non</t>
        </is>
      </c>
      <c r="E38" s="593" t="n">
        <v>1</v>
      </c>
      <c r="F38" s="593" t="n"/>
      <c r="G38" s="1990" t="inlineStr">
        <is>
          <t>O/N</t>
        </is>
      </c>
      <c r="H38" s="597" t="n"/>
      <c r="I38" s="1301" t="n"/>
      <c r="J38" s="1301" t="n"/>
      <c r="K38" s="1329" t="n"/>
      <c r="L38" s="1329" t="n"/>
      <c r="M38" s="1329" t="n"/>
      <c r="N38" s="1329" t="n"/>
      <c r="O38" s="1326" t="inlineStr">
        <is>
          <t>✓</t>
        </is>
      </c>
    </row>
    <row r="39" ht="46" customHeight="1">
      <c r="A39" s="428" t="n"/>
      <c r="B39" s="1446">
        <f>BIBLE!E134</f>
        <v/>
      </c>
      <c r="C39" s="1446">
        <f>BIBLE!F134</f>
        <v/>
      </c>
      <c r="D39" s="1351" t="n"/>
      <c r="E39" s="607" t="n">
        <v>3</v>
      </c>
      <c r="F39" s="607" t="n"/>
      <c r="G39" s="1990" t="inlineStr">
        <is>
          <t>E4A</t>
        </is>
      </c>
      <c r="H39" s="597" t="inlineStr">
        <is>
          <t>Nulle / Très faible / Faible / Moyenne / Élevé / Très élevé / S.O.</t>
        </is>
      </c>
      <c r="I39" s="1295">
        <f>Test_Bible!P231</f>
        <v/>
      </c>
      <c r="J39" s="1295">
        <f>Test_Bible!Q231</f>
        <v/>
      </c>
      <c r="K39" s="1328" t="n"/>
      <c r="L39" s="1328" t="n"/>
      <c r="M39" s="1328" t="n"/>
      <c r="N39" s="1328" t="n"/>
      <c r="O39" s="1328" t="n"/>
    </row>
    <row r="40" ht="46" customHeight="1">
      <c r="A40" s="428" t="n"/>
      <c r="B40" s="1446">
        <f>BIBLE!E135</f>
        <v/>
      </c>
      <c r="C40" s="1448">
        <f>BIBLE!F135</f>
        <v/>
      </c>
      <c r="D40" s="1352" t="n"/>
      <c r="E40" s="607" t="n">
        <v>3</v>
      </c>
      <c r="F40" s="607" t="n"/>
      <c r="G40" s="1990" t="inlineStr">
        <is>
          <t>E1A</t>
        </is>
      </c>
      <c r="H40" s="597" t="inlineStr">
        <is>
          <t>Jamais / Rarement / Parfois / Régulièrement / Souvent / Toujours / S.O.</t>
        </is>
      </c>
      <c r="I40" s="1295">
        <f>Test_Bible!P232</f>
        <v/>
      </c>
      <c r="J40" s="1295">
        <f>Test_Bible!Q232</f>
        <v/>
      </c>
      <c r="K40" s="1327" t="n"/>
      <c r="L40" s="1327" t="n"/>
      <c r="M40" s="1327" t="n"/>
      <c r="N40" s="1327" t="n"/>
      <c r="O40" s="1327" t="n"/>
    </row>
    <row r="41" ht="136" customHeight="1">
      <c r="A41" s="428" t="n"/>
      <c r="B41" s="1446">
        <f>BIBLE!E136</f>
        <v/>
      </c>
      <c r="C41" s="1446">
        <f>BIBLE!F136</f>
        <v/>
      </c>
      <c r="D41" s="1341" t="inlineStr">
        <is>
          <t>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is>
      </c>
      <c r="E41" s="629" t="n">
        <v>0</v>
      </c>
      <c r="F41" s="629" t="n"/>
      <c r="G41" s="1990" t="inlineStr">
        <is>
          <t>choix multiple</t>
        </is>
      </c>
      <c r="I41" s="1990" t="n"/>
      <c r="J41" s="1990" t="n"/>
      <c r="K41" s="1327" t="n"/>
      <c r="L41" s="1327" t="n"/>
      <c r="M41" s="1326" t="inlineStr">
        <is>
          <t>✓</t>
        </is>
      </c>
      <c r="N41" s="1326" t="inlineStr">
        <is>
          <t>✓ indice d'exclusion</t>
        </is>
      </c>
      <c r="O41" s="1326" t="inlineStr">
        <is>
          <t>✓</t>
        </is>
      </c>
    </row>
    <row r="42" ht="34" customFormat="1" customHeight="1" s="7">
      <c r="A42" s="428" t="n"/>
      <c r="B42" s="1447">
        <f>BIBLE!E144</f>
        <v/>
      </c>
      <c r="C42" s="1447">
        <f>BIBLE!F144</f>
        <v/>
      </c>
      <c r="D42" s="1353" t="n"/>
      <c r="E42" s="627" t="n">
        <v>3</v>
      </c>
      <c r="F42" s="627" t="n"/>
      <c r="G42" s="1990" t="inlineStr">
        <is>
          <t>E3A</t>
        </is>
      </c>
      <c r="H42" s="597" t="inlineStr">
        <is>
          <t>Pas du tout d’accord / Pas d’accord / Ni d’accord, ni pas d’accord / Partiellement d’accord / D’accord / Tout à fait d’accord / S.O.</t>
        </is>
      </c>
      <c r="I42" s="1311">
        <f>Test_Bible!P230</f>
        <v/>
      </c>
      <c r="J42" s="1311">
        <f>Test_Bible!Q230</f>
        <v/>
      </c>
      <c r="K42" s="1330" t="n"/>
      <c r="L42" s="1330" t="n"/>
      <c r="M42" s="1330" t="n"/>
      <c r="N42" s="1330" t="n"/>
      <c r="O42" s="1330" t="n"/>
    </row>
    <row r="43" ht="102" customHeight="1">
      <c r="A43" s="428" t="n"/>
      <c r="B43" s="1447">
        <f>BIBLE!E145</f>
        <v/>
      </c>
      <c r="C43" s="1447">
        <f>BIBLE!F145</f>
        <v/>
      </c>
      <c r="D43" s="1354" t="inlineStr">
        <is>
          <t xml:space="preserve">-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is>
      </c>
      <c r="E43" s="1312" t="inlineStr">
        <is>
          <t>tbd</t>
        </is>
      </c>
      <c r="F43" s="1312" t="n"/>
      <c r="G43" s="1990" t="inlineStr">
        <is>
          <t>choix multiple</t>
        </is>
      </c>
      <c r="H43" s="602" t="inlineStr">
        <is>
          <t>-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exclisive)</t>
        </is>
      </c>
      <c r="I43" s="1990" t="n"/>
      <c r="J43" s="1990" t="n"/>
      <c r="K43" s="1327" t="n"/>
      <c r="L43" s="1327" t="n"/>
      <c r="M43" s="1326" t="inlineStr">
        <is>
          <t>✓</t>
        </is>
      </c>
      <c r="N43" s="1326" t="inlineStr">
        <is>
          <t>✓ indice d'exclusion</t>
        </is>
      </c>
      <c r="O43" s="1326" t="inlineStr">
        <is>
          <t>✓</t>
        </is>
      </c>
    </row>
    <row r="44" ht="55" customHeight="1">
      <c r="A44" s="2073" t="n"/>
      <c r="B44" s="1285" t="n"/>
      <c r="C44" s="2059" t="n"/>
      <c r="D44" s="1286" t="n"/>
      <c r="E44" s="1990" t="n"/>
      <c r="F44" s="1990" t="n"/>
      <c r="G44" s="1990" t="n"/>
      <c r="I44" s="1990" t="n"/>
      <c r="J44" s="1990" t="n"/>
    </row>
    <row r="45" ht="42" customHeight="1">
      <c r="A45" s="1313" t="inlineStr">
        <is>
          <t>Questionnaire
ENFANT</t>
        </is>
      </c>
      <c r="B45" s="562" t="n"/>
      <c r="C45" s="1314" t="n"/>
      <c r="D45" s="1144" t="n"/>
      <c r="E45" s="630" t="n"/>
      <c r="F45" s="630" t="n"/>
      <c r="G45" s="1315" t="n"/>
      <c r="H45" s="1316" t="n"/>
      <c r="I45" s="1315" t="n"/>
      <c r="J45" s="1315" t="n"/>
    </row>
    <row r="46" ht="42" customFormat="1" customHeight="1" s="163">
      <c r="A46" s="1317" t="inlineStr">
        <is>
          <t> </t>
        </is>
      </c>
      <c r="B46" s="1355">
        <f>BIBLE!E156</f>
        <v/>
      </c>
      <c r="C46" s="1449">
        <f>BIBLE!F156</f>
        <v/>
      </c>
      <c r="D46" s="1356" t="n"/>
      <c r="E46" s="608" t="n">
        <v>2</v>
      </c>
      <c r="F46" s="608" t="n"/>
      <c r="G46" s="1990" t="inlineStr">
        <is>
          <t>E1A</t>
        </is>
      </c>
      <c r="H46" s="597" t="inlineStr">
        <is>
          <t>Jamais / Rarement / Parfois / Régulièrement / Souvent / Toujours / S.O.</t>
        </is>
      </c>
      <c r="I46" s="1299">
        <f>Test_Bible!P267</f>
        <v/>
      </c>
      <c r="J46" s="1299">
        <f>Test_Bible!Q267</f>
        <v/>
      </c>
      <c r="K46" s="1328" t="n"/>
      <c r="L46" s="1328" t="n"/>
      <c r="M46" s="1328" t="n"/>
      <c r="N46" s="1328" t="n"/>
      <c r="O46" s="1328" t="n"/>
    </row>
    <row r="47" ht="86" customFormat="1" customHeight="1" s="163">
      <c r="A47" s="1317" t="inlineStr">
        <is>
          <t> </t>
        </is>
      </c>
      <c r="B47" s="1355">
        <f>BIBLE!E157</f>
        <v/>
      </c>
      <c r="C47" s="1446">
        <f>BIBLE!F157</f>
        <v/>
      </c>
      <c r="D47" s="1348" t="inlineStr">
        <is>
          <t xml:space="preserve">- Au retour d'un séjour (garde) de l'autre parent
- Lorsque l'enfant est en présence de l'autre parent
- Lorsque mon enfant cherche à me convaincre de passer plus de temps chez l'autre parent 
- Lorsque mon enfant me fait des reproches 
 </t>
        </is>
      </c>
      <c r="E47" s="608" t="n">
        <v>2</v>
      </c>
      <c r="F47" s="608" t="n"/>
      <c r="G47" s="1990" t="inlineStr">
        <is>
          <t>Choix multiples+E1A</t>
        </is>
      </c>
      <c r="H47" s="602" t="inlineStr">
        <is>
          <t>- Au retour d'un séjour (garde) de l'autre parent
- Lorsque l'enfant est en présence de l'autre parent
- Lorsque mon enfant cherche à me convaincre de passer plus de temps chez l'autre parent 
- Lprsque mon enfant me fait des reproches</t>
        </is>
      </c>
      <c r="I47" s="440" t="n"/>
      <c r="J47" s="440" t="n"/>
      <c r="K47" s="1327" t="n"/>
      <c r="L47" s="1327" t="n"/>
      <c r="M47" s="1326" t="inlineStr">
        <is>
          <t>✓</t>
        </is>
      </c>
      <c r="N47" s="1327" t="n"/>
      <c r="O47" s="1326" t="inlineStr">
        <is>
          <t>✓</t>
        </is>
      </c>
    </row>
    <row r="48" ht="44" customFormat="1" customHeight="1" s="163">
      <c r="A48" s="1317" t="n"/>
      <c r="B48" s="1355">
        <f>BIBLE!E171</f>
        <v/>
      </c>
      <c r="C48" s="1449">
        <f>BIBLE!F171</f>
        <v/>
      </c>
      <c r="D48" s="1826" t="n"/>
      <c r="E48" s="608" t="n"/>
      <c r="F48" s="608" t="n"/>
      <c r="G48" s="1990" t="n"/>
      <c r="H48" s="602" t="n"/>
      <c r="I48" s="440" t="n"/>
      <c r="J48" s="440" t="n"/>
      <c r="K48" s="1328" t="n"/>
      <c r="L48" s="1328" t="n"/>
      <c r="M48" s="1328" t="n"/>
      <c r="N48" s="1328" t="n"/>
      <c r="O48" s="1328" t="n"/>
    </row>
    <row r="49" ht="41" customFormat="1" customHeight="1" s="163">
      <c r="A49" s="1317" t="n"/>
      <c r="B49" s="1832">
        <f>BIBLE!E172</f>
        <v/>
      </c>
      <c r="C49" s="1838">
        <f>BIBLE!F172</f>
        <v/>
      </c>
      <c r="D49" s="1839" t="n"/>
      <c r="E49" s="607" t="n"/>
      <c r="F49" s="607" t="n"/>
      <c r="G49" s="607" t="n"/>
      <c r="H49" s="1840" t="n"/>
      <c r="I49" s="1841" t="n"/>
      <c r="J49" s="1841" t="n"/>
      <c r="K49" s="1837" t="inlineStr">
        <is>
          <t>✓</t>
        </is>
      </c>
      <c r="L49" s="1836" t="n"/>
      <c r="M49" s="1837" t="n"/>
      <c r="N49" s="1836" t="n"/>
      <c r="O49" s="1837" t="n"/>
    </row>
    <row r="50" ht="42" customFormat="1" customHeight="1" s="163">
      <c r="A50" s="1317" t="inlineStr">
        <is>
          <t> </t>
        </is>
      </c>
      <c r="B50" s="1355">
        <f>BIBLE!E188</f>
        <v/>
      </c>
      <c r="C50" s="1449">
        <f>BIBLE!F188</f>
        <v/>
      </c>
      <c r="D50" s="1356" t="n"/>
      <c r="E50" s="608" t="n">
        <v>2</v>
      </c>
      <c r="F50" s="608" t="n"/>
      <c r="G50" s="1990" t="inlineStr">
        <is>
          <t>E1A</t>
        </is>
      </c>
      <c r="H50" s="597" t="inlineStr">
        <is>
          <t>Jamais / Rarement / Parfois / Régulièrement / Souvent / Toujours / S.O.</t>
        </is>
      </c>
      <c r="I50" s="1299">
        <f>Test_Bible!P306</f>
        <v/>
      </c>
      <c r="J50" s="1299">
        <f>Test_Bible!Q306</f>
        <v/>
      </c>
      <c r="K50" s="1328" t="n"/>
      <c r="L50" s="1328" t="n"/>
      <c r="M50" s="1328" t="n"/>
      <c r="N50" s="1328" t="n"/>
      <c r="O50" s="1328" t="n"/>
    </row>
    <row r="51" ht="34" customFormat="1" customHeight="1" s="163">
      <c r="A51" s="1317" t="inlineStr">
        <is>
          <t> </t>
        </is>
      </c>
      <c r="B51" s="1355">
        <f>BIBLE!E189</f>
        <v/>
      </c>
      <c r="C51" s="1446">
        <f>BIBLE!F189</f>
        <v/>
      </c>
      <c r="D51" s="1343" t="inlineStr">
        <is>
          <t>calme (0)/ neutre(0) / enjoué.e(0) / taciturne(1) / anxieux(1) / agressif (1). - ON/OFF</t>
        </is>
      </c>
      <c r="E51" s="558" t="n">
        <v>0</v>
      </c>
      <c r="F51" s="558" t="n"/>
      <c r="G51" s="1990" t="inlineStr">
        <is>
          <t>choix
multiples</t>
        </is>
      </c>
      <c r="H51" s="597" t="n"/>
      <c r="I51" s="1318" t="n"/>
      <c r="J51" s="1318" t="n"/>
      <c r="K51" s="1327" t="n"/>
      <c r="L51" s="1327" t="n"/>
      <c r="M51" s="1326" t="inlineStr">
        <is>
          <t>✓</t>
        </is>
      </c>
      <c r="N51" s="1327" t="n"/>
      <c r="O51" s="1326" t="inlineStr">
        <is>
          <t>✓</t>
        </is>
      </c>
    </row>
    <row r="52" ht="42" customHeight="1">
      <c r="A52" s="1319" t="n"/>
      <c r="B52" s="1355">
        <f>BIBLE!E204</f>
        <v/>
      </c>
      <c r="C52" s="1355">
        <f>BIBLE!F204</f>
        <v/>
      </c>
      <c r="D52" s="1357" t="inlineStr">
        <is>
          <t>-Oui
-Non</t>
        </is>
      </c>
      <c r="E52" s="614" t="n">
        <v>0</v>
      </c>
      <c r="F52" s="614" t="n"/>
      <c r="G52" s="1990" t="inlineStr">
        <is>
          <t>O/N</t>
        </is>
      </c>
      <c r="H52" s="597" t="n"/>
      <c r="I52" s="1300" t="n"/>
      <c r="J52" s="1300" t="n"/>
      <c r="K52" s="1328" t="n"/>
      <c r="L52" s="1328" t="n"/>
      <c r="M52" s="1328" t="n"/>
      <c r="N52" s="1328" t="n"/>
      <c r="O52" s="1328" t="n"/>
    </row>
    <row r="53" ht="170" customHeight="1">
      <c r="A53" s="1319" t="n"/>
      <c r="B53" s="1355">
        <f>BIBLE!E205</f>
        <v/>
      </c>
      <c r="C53" s="1446">
        <f>BIBLE!F205</f>
        <v/>
      </c>
      <c r="D53" s="1358" t="inlineStr">
        <is>
          <t>automutilation
anxiété
dépresssion
idéation suicidaire
insomnie
isolement et difficulté à socialiser
trouble de l'opposition
trouble alimentaire
Aucune de ces réponses
autres (veuillez spécifier)</t>
        </is>
      </c>
      <c r="E53" s="614" t="n">
        <v>0</v>
      </c>
      <c r="F53" s="614" t="n"/>
      <c r="G53" s="1990" t="inlineStr">
        <is>
          <t>choix
multiples + E1A</t>
        </is>
      </c>
      <c r="H53" s="597" t="inlineStr">
        <is>
          <t>Jamais / Rarement / Parfois / Régulièrement / Souvent / Toujours / S.O.</t>
        </is>
      </c>
      <c r="I53" s="1300" t="n"/>
      <c r="J53" s="1300" t="n"/>
      <c r="K53" s="1327" t="n"/>
      <c r="L53" s="1326" t="inlineStr">
        <is>
          <t>✓</t>
        </is>
      </c>
      <c r="M53" s="1326" t="inlineStr">
        <is>
          <t>✓</t>
        </is>
      </c>
      <c r="N53" s="1327" t="n"/>
      <c r="O53" s="1326" t="inlineStr">
        <is>
          <t>✓</t>
        </is>
      </c>
    </row>
    <row r="54" ht="170" customHeight="1">
      <c r="A54" s="1319" t="n"/>
      <c r="B54" s="1355">
        <f>BIBLE!E205</f>
        <v/>
      </c>
      <c r="C54" s="1446">
        <f>BIBLE!F205</f>
        <v/>
      </c>
      <c r="D54" s="1358" t="inlineStr">
        <is>
          <t>automutilation
anxiété
dépresssion
idéation suicidaire
insomnie
isolement et difficulté à socialiser
trouble de l'opposition
trouble alimentaire
Aucune de ces réponses
autres (veuillez spécifier)</t>
        </is>
      </c>
      <c r="E54" s="614" t="n">
        <v>0</v>
      </c>
      <c r="F54" s="614" t="n"/>
      <c r="G54" s="1990" t="inlineStr">
        <is>
          <t>choix
multiples + E1A</t>
        </is>
      </c>
      <c r="H54" s="597" t="inlineStr">
        <is>
          <t>Jamais / Rarement / Parfois / Régulièrement / Souvent / Toujours / S.O.</t>
        </is>
      </c>
      <c r="I54" s="1990" t="n"/>
      <c r="J54" s="1990" t="n"/>
      <c r="K54" s="1329" t="n"/>
      <c r="L54" s="1329" t="n"/>
      <c r="M54" s="1326" t="inlineStr">
        <is>
          <t>✓</t>
        </is>
      </c>
      <c r="N54" s="1329" t="n"/>
      <c r="O54" s="1326" t="inlineStr">
        <is>
          <t>✓</t>
        </is>
      </c>
    </row>
    <row r="55" ht="77" customHeight="1">
      <c r="A55" s="1319" t="n"/>
      <c r="B55" s="1355">
        <f>BIBLE!E207</f>
        <v/>
      </c>
      <c r="C55" s="1446">
        <f>BIBLE!F207</f>
        <v/>
      </c>
      <c r="D55" s="1358" t="n"/>
      <c r="E55" s="614" t="n"/>
      <c r="F55" s="614" t="n"/>
      <c r="G55" s="1990" t="n"/>
      <c r="H55" s="597" t="n"/>
      <c r="I55" s="1990" t="n"/>
      <c r="J55" s="1990" t="n"/>
      <c r="K55" s="1330" t="n"/>
      <c r="L55" s="1330" t="n"/>
      <c r="M55" s="1607" t="n"/>
      <c r="N55" s="1330" t="n"/>
      <c r="O55" s="1607" t="n"/>
    </row>
    <row r="56" ht="39" customFormat="1" customHeight="1" s="7">
      <c r="A56" s="1319" t="n"/>
      <c r="B56" s="1355">
        <f>BIBLE!E208</f>
        <v/>
      </c>
      <c r="C56" s="1446">
        <f>BIBLE!F208</f>
        <v/>
      </c>
      <c r="D56" s="1343" t="inlineStr">
        <is>
          <t>calme (0)/ neutre(0) / enjoué.e(0) / taciturne(1) / anxieux(1) / agressif (1). - ON/OFF</t>
        </is>
      </c>
      <c r="E56" s="614" t="n"/>
      <c r="F56" s="614" t="n"/>
      <c r="G56" s="1990" t="n"/>
      <c r="H56" s="597" t="n"/>
      <c r="I56" s="1990" t="n"/>
      <c r="J56" s="1990" t="n"/>
      <c r="K56" s="1329" t="n"/>
      <c r="L56" s="1329" t="n"/>
      <c r="M56" s="1326" t="inlineStr">
        <is>
          <t>✓</t>
        </is>
      </c>
      <c r="N56" s="1327" t="n"/>
      <c r="O56" s="1326" t="inlineStr">
        <is>
          <t>✓</t>
        </is>
      </c>
    </row>
    <row r="57" ht="39" customFormat="1" customHeight="1" s="7">
      <c r="A57" s="1302" t="n"/>
      <c r="B57" s="2073" t="n"/>
      <c r="C57" s="2059" t="n"/>
      <c r="D57" s="1464" t="n"/>
      <c r="E57" s="1990" t="n"/>
      <c r="F57" s="1990" t="n"/>
      <c r="G57" s="1990" t="n"/>
      <c r="H57" s="597" t="n"/>
      <c r="I57" s="1990" t="n"/>
      <c r="J57" s="1990" t="n"/>
      <c r="M57" s="1294" t="n"/>
      <c r="O57" s="1294" t="n"/>
    </row>
    <row r="58" ht="51" customFormat="1" customHeight="1" s="7">
      <c r="A58" s="1827" t="inlineStr">
        <is>
          <t>Questionnaire
NOUVEAU CONJOINT.E</t>
        </is>
      </c>
      <c r="B58" s="1828" t="n"/>
      <c r="C58" s="1829" t="n"/>
      <c r="D58" s="1830" t="n"/>
      <c r="E58" s="630" t="n"/>
      <c r="F58" s="630" t="n"/>
      <c r="G58" s="1315" t="n"/>
      <c r="H58" s="1316" t="n"/>
      <c r="I58" s="1315" t="n"/>
      <c r="J58" s="1315" t="n"/>
    </row>
    <row r="59" ht="95" customHeight="1">
      <c r="A59" s="1831" t="inlineStr">
        <is>
          <t> </t>
        </is>
      </c>
      <c r="B59" s="1832">
        <f>BIBLE!E219</f>
        <v/>
      </c>
      <c r="C59" s="1832">
        <f>BIBLE!F219</f>
        <v/>
      </c>
      <c r="D59" s="1833">
        <f>BIBLE!L219</f>
        <v/>
      </c>
      <c r="E59" s="607" t="n">
        <v>2</v>
      </c>
      <c r="F59" s="607" t="n"/>
      <c r="G59" s="607" t="inlineStr">
        <is>
          <t>E1A</t>
        </is>
      </c>
      <c r="H59" s="1834" t="inlineStr">
        <is>
          <t>Jamais / Rarement / Parfois / Régulièrement / Souvent / Toujours / S.O.</t>
        </is>
      </c>
      <c r="I59" s="1835">
        <f>Test_Bible!P279</f>
        <v/>
      </c>
      <c r="J59" s="1835">
        <f>Test_Bible!Q279</f>
        <v/>
      </c>
      <c r="K59" s="1836" t="n"/>
      <c r="L59" s="1836" t="n"/>
      <c r="M59" s="1837" t="inlineStr">
        <is>
          <t>✓</t>
        </is>
      </c>
      <c r="N59" s="1836" t="n"/>
      <c r="O59" s="1837" t="n"/>
    </row>
    <row r="60" ht="55" customHeight="1">
      <c r="A60" s="1302" t="n"/>
      <c r="B60" s="1285" t="n"/>
      <c r="C60" s="2059" t="n"/>
      <c r="D60" s="1320" t="n"/>
      <c r="E60" s="1990" t="n"/>
      <c r="F60" s="1990" t="n"/>
      <c r="G60" s="1990" t="n"/>
      <c r="H60" s="597" t="n"/>
      <c r="I60" s="1990" t="n"/>
      <c r="J60" s="1990" t="n"/>
      <c r="K60" s="7" t="n"/>
      <c r="L60" s="7" t="n"/>
      <c r="M60" s="7" t="n"/>
      <c r="N60" s="7" t="n"/>
      <c r="O60" s="7" t="n"/>
    </row>
    <row r="61" ht="150" customHeight="1">
      <c r="A61" s="2031" t="n"/>
      <c r="B61" s="1339">
        <f>BIBLE!E211</f>
        <v/>
      </c>
      <c r="C61" s="1444">
        <f>BIBLE!F211</f>
        <v/>
      </c>
      <c r="D61" s="1359" t="inlineStr">
        <is>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is>
      </c>
      <c r="E61" s="631" t="n">
        <v>0</v>
      </c>
      <c r="F61" s="631" t="n"/>
      <c r="G61" s="1300" t="inlineStr">
        <is>
          <t>choix multiples</t>
        </is>
      </c>
      <c r="H61" s="602" t="inlineStr">
        <is>
          <t>Je ne me laisse pas insulter par mon enfant 
Je l'envoie réfléchir et lui demande de revenir lorsqu'il sera calme
J'impose des conséquences pour corriger le comportement inadéquat de mon enfant 
Je suis d'abord en colère et je me calme ensuite 
Je suis en colère contre l'autre parent car je sais que le reproche vient de lui et non de mon enfant. Et je le signifie à mon enfant.</t>
        </is>
      </c>
      <c r="I61" s="440" t="n"/>
      <c r="J61" s="440" t="n"/>
      <c r="K61" s="1327" t="n"/>
      <c r="L61" s="1327" t="n"/>
      <c r="M61" s="1326" t="n"/>
      <c r="N61" s="1689" t="inlineStr">
        <is>
          <t xml:space="preserve"> Clarifier compréhension de cette note : réactions aux cpts de l'enfant si réponse est positive et incidence élevée </t>
        </is>
      </c>
      <c r="O61" s="1326" t="inlineStr">
        <is>
          <t>✓</t>
        </is>
      </c>
    </row>
    <row r="62" ht="85" customHeight="1">
      <c r="B62" s="1339">
        <f>BIBLE!E212</f>
        <v/>
      </c>
      <c r="C62" s="1444">
        <f>BIBLE!F212</f>
        <v/>
      </c>
      <c r="D62" s="1360" t="inlineStr">
        <is>
          <t xml:space="preserve"> - Vous tentez de le raisonner et vous vous justifiez 
- Vous faites valoir que l'autre parent lui a menti 
- Vous êtes blessé·e, vous êtes émotif ou émotive 
- Aucune de ces réponses </t>
        </is>
      </c>
      <c r="E62" s="631" t="n">
        <v>0</v>
      </c>
      <c r="F62" s="631" t="n"/>
      <c r="G62" s="1300" t="inlineStr">
        <is>
          <t>choix multiples</t>
        </is>
      </c>
      <c r="H62" s="602" t="inlineStr">
        <is>
          <t xml:space="preserve">Vous tentez de le raisonner et vous vous justifiez 
Vous faites valoir que l'autre parent lui a menti 
Vous êtes blessé·e, vous êtes émotif uo émotive 
</t>
        </is>
      </c>
      <c r="I62" s="440" t="n"/>
      <c r="J62" s="440" t="n"/>
      <c r="K62" s="1327" t="n"/>
      <c r="L62" s="1327" t="n"/>
      <c r="M62" s="1327" t="n"/>
      <c r="N62" s="1690" t="n"/>
      <c r="O62" s="1326" t="inlineStr">
        <is>
          <t>✓</t>
        </is>
      </c>
    </row>
    <row r="63" ht="49" customHeight="1">
      <c r="A63" s="545" t="n"/>
      <c r="B63" s="2073" t="n"/>
      <c r="C63" s="2059" t="n"/>
      <c r="D63" s="1321" t="n"/>
      <c r="E63" s="691" t="n"/>
      <c r="F63" s="691" t="n"/>
      <c r="G63" s="1300" t="n"/>
      <c r="I63" s="1300" t="n"/>
      <c r="J63" s="1300" t="n"/>
      <c r="N63" s="1371" t="n"/>
      <c r="O63" s="1294" t="n"/>
    </row>
    <row r="64" ht="86" customHeight="1">
      <c r="A64" s="1909" t="n"/>
      <c r="B64" s="1909">
        <f>BIBLE!E219</f>
        <v/>
      </c>
      <c r="C64" s="1909">
        <f>BIBLE!F219</f>
        <v/>
      </c>
      <c r="D64" s="1910">
        <f>BIBLE!L219</f>
        <v/>
      </c>
      <c r="E64" s="1911" t="n"/>
      <c r="F64" s="1911" t="n"/>
      <c r="G64" s="1912" t="n"/>
      <c r="H64" s="1913" t="n"/>
      <c r="I64" s="1912" t="n"/>
      <c r="J64" s="1912" t="n"/>
      <c r="K64" s="112" t="n"/>
      <c r="L64" s="112" t="n"/>
      <c r="M64" s="112" t="n"/>
      <c r="N64" s="1914" t="n"/>
      <c r="O64" s="1915" t="n"/>
    </row>
    <row r="65" ht="49" customHeight="1">
      <c r="A65" s="1909" t="n"/>
      <c r="B65" s="1909" t="n"/>
      <c r="C65" s="1909" t="n"/>
      <c r="D65" s="1910" t="n"/>
      <c r="E65" s="1911" t="n"/>
      <c r="F65" s="1911" t="n"/>
      <c r="G65" s="1912" t="n"/>
      <c r="H65" s="1913" t="n"/>
      <c r="I65" s="1912" t="n"/>
      <c r="J65" s="1912" t="n"/>
      <c r="K65" s="112" t="n"/>
      <c r="L65" s="112" t="n"/>
      <c r="M65" s="112" t="n"/>
      <c r="N65" s="1914" t="n"/>
      <c r="O65" s="1915" t="n"/>
    </row>
    <row r="66" ht="49" customHeight="1">
      <c r="A66" s="1909" t="n"/>
      <c r="B66" s="1909" t="n"/>
      <c r="C66" s="1909" t="n"/>
      <c r="D66" s="1910" t="n"/>
      <c r="E66" s="1911" t="n"/>
      <c r="F66" s="1911" t="n"/>
      <c r="G66" s="1912" t="n"/>
      <c r="H66" s="1913" t="n"/>
      <c r="I66" s="1912" t="n"/>
      <c r="J66" s="1912" t="n"/>
      <c r="K66" s="112" t="n"/>
      <c r="L66" s="112" t="n"/>
      <c r="M66" s="112" t="n"/>
      <c r="N66" s="1914" t="n"/>
      <c r="O66" s="1915" t="n"/>
    </row>
    <row r="67" ht="16" customHeight="1">
      <c r="A67" s="545" t="n"/>
      <c r="B67" s="1285" t="n"/>
      <c r="C67" s="2059" t="n"/>
      <c r="D67" s="1321" t="n"/>
      <c r="E67" s="691" t="n"/>
      <c r="F67" s="691" t="n"/>
      <c r="G67" s="1300" t="n"/>
      <c r="I67" s="1300" t="n"/>
      <c r="J67" s="1300" t="n"/>
    </row>
    <row r="68" ht="102" customHeight="1">
      <c r="A68" s="1997" t="inlineStr">
        <is>
          <t>Pour des fins statistiques*(Mettre note pour encourager les gens à répondre : En y répondant, il contribue à la recherche et à l'écriture de publications qui seront des moteurs de changement.</t>
        </is>
      </c>
      <c r="B68" s="1361" t="inlineStr">
        <is>
          <t>S01</t>
        </is>
      </c>
      <c r="C68" s="211" t="inlineStr">
        <is>
          <t xml:space="preserve">À quel groupe d'âge appartenez-vous? </t>
        </is>
      </c>
      <c r="D68" s="1334" t="inlineStr">
        <is>
          <t xml:space="preserve">moins de 24 ans 
25 à 29 ans 
30 à 39 ans 
40 à 49 ans 
50 à 59 ans 
plus de 60 ans </t>
        </is>
      </c>
      <c r="E68" s="645" t="n">
        <v>0</v>
      </c>
      <c r="F68" s="645" t="n"/>
      <c r="G68" s="1990" t="inlineStr">
        <is>
          <t>Choix de réponses</t>
        </is>
      </c>
      <c r="I68" s="1990" t="n"/>
      <c r="J68" s="1990" t="n"/>
      <c r="K68" s="1326" t="n"/>
      <c r="L68" s="1326" t="inlineStr">
        <is>
          <t>✓</t>
        </is>
      </c>
      <c r="M68" s="1327" t="n"/>
      <c r="N68" s="1327" t="n"/>
      <c r="O68" s="1327" t="n"/>
    </row>
    <row r="69" ht="189" customHeight="1">
      <c r="B69" s="1361" t="inlineStr">
        <is>
          <t>S02</t>
        </is>
      </c>
      <c r="C69" s="211" t="inlineStr">
        <is>
          <t xml:space="preserve">Êtes-vous en processus juridique actuellement ? 
</t>
        </is>
      </c>
      <c r="D69" s="1334" t="inlineStr">
        <is>
          <t xml:space="preserve">- Non, je ne le suis pas
- Oui -- Médiation 
- Oui -- Tribunal droit de la famille  (ex.: Cour supérieure au Québec)
- Oui -- Tribunal de la jeunesse (ex.: DPJ au Québec) 
- Autre </t>
        </is>
      </c>
      <c r="E69" s="645" t="n">
        <v>0</v>
      </c>
      <c r="F69" s="645" t="n"/>
      <c r="G69" s="1990" t="inlineStr">
        <is>
          <t>Choix de réponses</t>
        </is>
      </c>
      <c r="I69" s="1990" t="n"/>
      <c r="J69" s="1990" t="n"/>
      <c r="K69" s="1327" t="n"/>
      <c r="L69" s="1326" t="inlineStr">
        <is>
          <t>✓</t>
        </is>
      </c>
      <c r="M69" s="1327" t="n"/>
      <c r="N69" s="1327" t="n"/>
      <c r="O69" s="1327" t="n"/>
    </row>
    <row r="70" ht="54" customHeight="1">
      <c r="B70" s="1361" t="inlineStr">
        <is>
          <t>S03</t>
        </is>
      </c>
      <c r="C70" s="211" t="inlineStr">
        <is>
          <t xml:space="preserve">Quelles sont les modalités de garde des enfants aujourd'hui ?
</t>
        </is>
      </c>
      <c r="D70" s="1334" t="inlineStr">
        <is>
          <t xml:space="preserve">- Garde partagée (ou garde dite alternée) 
- Garde exclusive pour vous 
- Garde exclusive pour l'autre parent 
- Aucune garde établie 
- Accès supervisés pour vous
- Accès supervisés pour l'autre parent 
- Autre </t>
        </is>
      </c>
      <c r="E70" s="645" t="n">
        <v>0</v>
      </c>
      <c r="F70" s="645" t="n"/>
      <c r="G70" s="1990" t="inlineStr">
        <is>
          <t>Choix de réponses</t>
        </is>
      </c>
      <c r="I70" s="1990" t="n"/>
      <c r="J70" s="1990" t="n"/>
      <c r="K70" s="1327" t="n"/>
      <c r="L70" s="1326" t="inlineStr">
        <is>
          <t>✓</t>
        </is>
      </c>
      <c r="M70" s="1327" t="n"/>
      <c r="N70" s="1327" t="n"/>
      <c r="O70" s="1327" t="n"/>
    </row>
    <row r="71" ht="40" customHeight="1">
      <c r="B71" s="1361" t="inlineStr">
        <is>
          <t>S03a</t>
        </is>
      </c>
      <c r="C71" s="1111" t="inlineStr">
        <is>
          <t xml:space="preserve">Si vous avez répondu garde partagée (ou garde dite alternée), dans quelle proportion avez-vous la garde ? 
</t>
        </is>
      </c>
      <c r="D71" s="1338" t="inlineStr">
        <is>
          <t xml:space="preserve">- 50% / 50% 
- Plus de 50% pour vous 
- Moins de 40% pour vous  
- Autre (veuillez préciser) </t>
        </is>
      </c>
      <c r="E71" s="1296" t="n">
        <v>0</v>
      </c>
      <c r="F71" s="1296" t="n"/>
      <c r="G71" s="1990" t="inlineStr">
        <is>
          <t>Choix de réponses</t>
        </is>
      </c>
      <c r="I71" s="1990" t="n"/>
      <c r="J71" s="1990" t="n"/>
      <c r="K71" s="1327" t="n"/>
      <c r="L71" s="1326" t="inlineStr">
        <is>
          <t>✓</t>
        </is>
      </c>
      <c r="M71" s="1327" t="n"/>
      <c r="N71" s="1327" t="n"/>
      <c r="O71" s="1327" t="n"/>
    </row>
    <row r="72" ht="69" customHeight="1">
      <c r="B72" s="1361" t="inlineStr">
        <is>
          <t>S04</t>
        </is>
      </c>
      <c r="C72" s="211" t="inlineStr">
        <is>
          <t xml:space="preserve">Durant l’enfance et avant 14 ans, est-ce que vous et/ou votre ex-conjoint·e avez vécu l’une des situations familiales suivantes ? Cochez les réponses qui s'appliquent dans chaque colonne. </t>
        </is>
      </c>
      <c r="D72" s="1334" t="inlineStr">
        <is>
          <t>Deuil d’un parent
Adoption
Maltraitance en tant qu’enfant (intervention DPJ ou non)
Troubles mentaux chez l’un ou des deux parents (dépression, bipolarité, TPL, tentative suicide,..)
Problème de dépendances de l’un ou des deux parents (alcool, drogues,)
Violence conjugale entre les parents
Divorce conflictuel des parents
Rupture de lien avec un parent à la suite d’un divorce
Abus sexuels
Autres (spécifiez)</t>
        </is>
      </c>
      <c r="E72" s="645" t="n"/>
      <c r="F72" s="645" t="n"/>
      <c r="G72" s="645" t="inlineStr">
        <is>
          <t>Choix multiples</t>
        </is>
      </c>
      <c r="H72" s="1322" t="n"/>
      <c r="I72" s="1990" t="n"/>
      <c r="J72" s="1990" t="n"/>
      <c r="K72" s="1327" t="n"/>
      <c r="L72" s="1326" t="inlineStr">
        <is>
          <t>✓</t>
        </is>
      </c>
      <c r="M72" s="1327" t="n"/>
      <c r="N72" s="1327" t="n"/>
      <c r="O72" s="1327" t="n"/>
    </row>
    <row r="73" ht="40" customHeight="1">
      <c r="A73" s="2073" t="inlineStr">
        <is>
          <t>Fin du questionnaire</t>
        </is>
      </c>
      <c r="B73" s="1285" t="n"/>
      <c r="C73" s="2059" t="n"/>
      <c r="D73" s="648" t="n"/>
      <c r="E73" s="1990" t="n"/>
      <c r="F73" s="1990" t="n"/>
      <c r="G73" s="1990" t="n"/>
      <c r="I73" s="1990" t="n"/>
      <c r="J73" s="1990" t="n"/>
    </row>
    <row r="75" ht="40" customHeight="1">
      <c r="A75" s="2073" t="n"/>
      <c r="B75" s="1285" t="n"/>
      <c r="C75" s="1323" t="n"/>
      <c r="D75" s="2059" t="n"/>
      <c r="E75" s="1990" t="n"/>
      <c r="F75" s="1990" t="n"/>
      <c r="G75" s="1990" t="n"/>
      <c r="I75" s="1990" t="n"/>
      <c r="J75" s="1990" t="n"/>
    </row>
    <row r="76" ht="40" customHeight="1">
      <c r="B76" s="1324" t="n"/>
      <c r="C76" s="2002" t="n"/>
      <c r="D76" s="2002" t="n"/>
      <c r="E76" s="644" t="n"/>
      <c r="H76" s="1046" t="n"/>
      <c r="I76" s="2000" t="n"/>
      <c r="J76" s="2000" t="n"/>
    </row>
    <row r="77" ht="40" customHeight="1">
      <c r="B77" s="1324" t="n"/>
      <c r="C77" s="2002" t="n"/>
      <c r="D77" s="2002" t="n"/>
      <c r="E77" s="644" t="n"/>
      <c r="H77" s="1046" t="n"/>
      <c r="I77" s="2000" t="n"/>
      <c r="J77" s="2000" t="n"/>
    </row>
    <row r="78" ht="40" customHeight="1">
      <c r="B78" s="1324" t="n"/>
      <c r="C78" s="2002" t="n"/>
      <c r="D78" s="2002" t="n"/>
      <c r="E78" s="644" t="n"/>
      <c r="H78" s="1046" t="n"/>
      <c r="I78" s="2000" t="n"/>
      <c r="J78" s="2000" t="n"/>
    </row>
    <row r="79" ht="40" customHeight="1">
      <c r="B79" s="1324" t="n"/>
      <c r="C79" s="2002" t="n"/>
      <c r="D79" s="2002" t="n"/>
      <c r="E79" s="644" t="n"/>
      <c r="H79" s="1046" t="n"/>
      <c r="I79" s="2000" t="n"/>
      <c r="J79" s="2000" t="n"/>
    </row>
    <row r="80" ht="40" customHeight="1">
      <c r="B80" s="1324" t="n"/>
      <c r="C80" s="2002" t="n"/>
      <c r="D80" s="2002" t="n"/>
      <c r="E80" s="644" t="n"/>
      <c r="H80" s="1046" t="n"/>
      <c r="I80" s="2000" t="n"/>
      <c r="J80" s="2000" t="n"/>
    </row>
    <row r="81" ht="40" customHeight="1">
      <c r="B81" s="1324" t="n"/>
      <c r="C81" s="2002" t="n"/>
      <c r="D81" s="2002" t="n"/>
      <c r="E81" s="644" t="n"/>
      <c r="H81" s="1046" t="n"/>
      <c r="I81" s="2000" t="n"/>
      <c r="J81" s="2000" t="n"/>
    </row>
    <row r="82" ht="40" customHeight="1">
      <c r="B82" s="1324" t="n"/>
      <c r="C82" s="2002" t="n"/>
      <c r="D82" s="2002" t="n"/>
      <c r="E82" s="644" t="n"/>
      <c r="H82" s="1046" t="n"/>
      <c r="I82" s="2000" t="n"/>
      <c r="J82" s="2000" t="n"/>
    </row>
    <row r="83" ht="40" customHeight="1">
      <c r="B83" s="1324" t="n"/>
      <c r="C83" s="2002" t="n"/>
      <c r="D83" s="2002" t="n"/>
      <c r="E83" s="644" t="n"/>
      <c r="H83" s="1046" t="n"/>
      <c r="I83" s="2000" t="n"/>
      <c r="J83" s="2000" t="n"/>
    </row>
    <row r="84" ht="40" customHeight="1">
      <c r="B84" s="1324" t="n"/>
      <c r="C84" s="2002" t="n"/>
      <c r="D84" s="2002" t="n"/>
      <c r="E84" s="644" t="n"/>
      <c r="H84" s="1046" t="n"/>
      <c r="I84" s="2000" t="n"/>
      <c r="J84" s="2000" t="n"/>
    </row>
    <row r="85" ht="40" customHeight="1">
      <c r="B85" s="1324" t="n"/>
      <c r="C85" s="2002" t="n"/>
      <c r="D85" s="2002" t="n"/>
      <c r="E85" s="644" t="n"/>
      <c r="H85" s="1046" t="n"/>
      <c r="I85" s="2000" t="n"/>
      <c r="J85" s="2000" t="n"/>
    </row>
    <row r="86" ht="40" customHeight="1">
      <c r="B86" s="1324" t="n"/>
      <c r="C86" s="2002" t="n"/>
      <c r="D86" s="2002" t="n"/>
      <c r="E86" s="644" t="n"/>
      <c r="H86" s="1046" t="n"/>
      <c r="I86" s="2000" t="n"/>
      <c r="J86" s="2000" t="n"/>
    </row>
    <row r="87" ht="40" customHeight="1">
      <c r="B87" s="1324" t="n"/>
      <c r="C87" s="2002" t="n"/>
      <c r="D87" s="2002" t="n"/>
      <c r="E87" s="644" t="n"/>
      <c r="H87" s="1046" t="n"/>
      <c r="I87" s="2000" t="n"/>
      <c r="J87" s="2000" t="n"/>
    </row>
    <row r="88" ht="40" customHeight="1">
      <c r="B88" s="1324" t="n"/>
      <c r="C88" s="2002" t="n"/>
      <c r="D88" s="2002" t="n"/>
      <c r="E88" s="644" t="n"/>
      <c r="H88" s="1046" t="n"/>
      <c r="I88" s="2000" t="n"/>
      <c r="J88" s="2000" t="n"/>
    </row>
    <row r="89" ht="40" customHeight="1">
      <c r="H89" s="644" t="n"/>
    </row>
    <row r="90" ht="40" customHeight="1">
      <c r="H90" s="644" t="n"/>
    </row>
    <row r="91" ht="40" customHeight="1">
      <c r="H91" s="644" t="n"/>
    </row>
    <row r="92" ht="40" customHeight="1">
      <c r="H92" s="644" t="n"/>
    </row>
    <row r="93" ht="40" customHeight="1">
      <c r="H93" s="644" t="n"/>
    </row>
    <row r="94" ht="40" customHeight="1">
      <c r="H94" s="644" t="n"/>
    </row>
    <row r="95" ht="40" customFormat="1" customHeight="1" s="1991">
      <c r="A95" s="2002" t="n"/>
      <c r="B95" s="1325" t="n"/>
      <c r="C95" s="17" t="n"/>
      <c r="D95" s="17" t="n"/>
      <c r="H95" s="644" t="n"/>
    </row>
    <row r="96" ht="40" customFormat="1" customHeight="1" s="1991">
      <c r="A96" s="2002" t="n"/>
      <c r="B96" s="1325" t="n"/>
      <c r="C96" s="17" t="n"/>
      <c r="D96" s="17" t="n"/>
      <c r="H96" s="644" t="n"/>
    </row>
    <row r="97" ht="40" customFormat="1" customHeight="1" s="1991">
      <c r="A97" s="2002" t="n"/>
      <c r="B97" s="1325" t="n"/>
      <c r="C97" s="17" t="n"/>
      <c r="D97" s="17" t="n"/>
      <c r="H97" s="644" t="n"/>
    </row>
    <row r="98" ht="40" customFormat="1" customHeight="1" s="1991">
      <c r="A98" s="2002" t="n"/>
      <c r="B98" s="1325" t="n"/>
      <c r="C98" s="17" t="n"/>
      <c r="D98" s="17" t="n"/>
      <c r="H98" s="644" t="n"/>
    </row>
    <row r="99" ht="40" customFormat="1" customHeight="1" s="1991">
      <c r="A99" s="2002" t="n"/>
      <c r="B99" s="1325" t="n"/>
      <c r="C99" s="17" t="n"/>
      <c r="D99" s="17" t="n"/>
      <c r="H99" s="644" t="n"/>
    </row>
    <row r="100" ht="40" customFormat="1" customHeight="1" s="1991">
      <c r="A100" s="2002" t="n"/>
      <c r="B100" s="1325" t="n"/>
      <c r="C100" s="17" t="n"/>
      <c r="D100" s="17" t="n"/>
      <c r="H100" s="644" t="n"/>
    </row>
    <row r="101" ht="40" customFormat="1" customHeight="1" s="1991">
      <c r="A101" s="2002" t="n"/>
      <c r="B101" s="1325" t="n"/>
      <c r="C101" s="17" t="n"/>
      <c r="D101" s="17" t="n"/>
      <c r="H101" s="644" t="n"/>
    </row>
    <row r="102" ht="40" customFormat="1" customHeight="1" s="1991">
      <c r="A102" s="2002" t="n"/>
      <c r="B102" s="1325" t="n"/>
      <c r="C102" s="17" t="n"/>
      <c r="D102" s="17" t="n"/>
      <c r="H102" s="644" t="n"/>
    </row>
    <row r="103" ht="40" customFormat="1" customHeight="1" s="1991">
      <c r="A103" s="2002" t="n"/>
      <c r="B103" s="1325" t="n"/>
      <c r="C103" s="17" t="n"/>
      <c r="D103" s="17" t="n"/>
      <c r="H103" s="644" t="n"/>
    </row>
    <row r="104" ht="40" customFormat="1" customHeight="1" s="1991">
      <c r="A104" s="2002" t="n"/>
      <c r="B104" s="1325" t="n"/>
      <c r="C104" s="17" t="n"/>
      <c r="D104" s="17" t="n"/>
      <c r="H104" s="644" t="n"/>
    </row>
    <row r="105" ht="40" customFormat="1" customHeight="1" s="1991">
      <c r="A105" s="2002" t="n"/>
      <c r="B105" s="1325" t="n"/>
      <c r="C105" s="17" t="n"/>
      <c r="D105" s="17" t="n"/>
      <c r="H105" s="644" t="n"/>
    </row>
    <row r="106" ht="40" customFormat="1" customHeight="1" s="1991">
      <c r="A106" s="2002" t="n"/>
      <c r="B106" s="1325" t="n"/>
      <c r="C106" s="17" t="n"/>
      <c r="D106" s="17" t="n"/>
      <c r="H106" s="644" t="n"/>
    </row>
    <row r="107" ht="40" customFormat="1" customHeight="1" s="1991">
      <c r="A107" s="2002" t="n"/>
      <c r="B107" s="1325" t="n"/>
      <c r="C107" s="17" t="n"/>
      <c r="D107" s="17" t="n"/>
      <c r="H107" s="644" t="n"/>
    </row>
    <row r="108" ht="40" customFormat="1" customHeight="1" s="1991">
      <c r="A108" s="2002" t="n"/>
      <c r="B108" s="1325" t="n"/>
      <c r="C108" s="17" t="n"/>
      <c r="D108" s="17" t="n"/>
      <c r="H108" s="644" t="n"/>
    </row>
    <row r="109" ht="40" customFormat="1" customHeight="1" s="1991">
      <c r="A109" s="2002" t="n"/>
      <c r="B109" s="1325" t="n"/>
      <c r="C109" s="17" t="n"/>
      <c r="D109" s="17" t="n"/>
      <c r="H109" s="644" t="n"/>
    </row>
    <row r="110" ht="40" customFormat="1" customHeight="1" s="1991">
      <c r="A110" s="2002" t="n"/>
      <c r="B110" s="1325" t="n"/>
      <c r="C110" s="17" t="n"/>
      <c r="D110" s="17" t="n"/>
      <c r="H110" s="644" t="n"/>
    </row>
    <row r="111" ht="40" customFormat="1" customHeight="1" s="1991">
      <c r="A111" s="2002" t="n"/>
      <c r="B111" s="1325" t="n"/>
      <c r="C111" s="17" t="n"/>
      <c r="D111" s="17" t="n"/>
      <c r="H111" s="644" t="n"/>
    </row>
    <row r="112" ht="40" customFormat="1" customHeight="1" s="1991">
      <c r="A112" s="2002" t="n"/>
      <c r="B112" s="1325" t="n"/>
      <c r="C112" s="17" t="n"/>
      <c r="D112" s="17" t="n"/>
      <c r="H112" s="644" t="n"/>
    </row>
    <row r="113" ht="40" customFormat="1" customHeight="1" s="1991">
      <c r="A113" s="2002" t="n"/>
      <c r="B113" s="1325" t="n"/>
      <c r="C113" s="17" t="n"/>
      <c r="D113" s="17" t="n"/>
      <c r="H113" s="644" t="n"/>
    </row>
    <row r="114" ht="40" customFormat="1" customHeight="1" s="1991">
      <c r="A114" s="2002" t="n"/>
      <c r="B114" s="1325" t="n"/>
      <c r="C114" s="17" t="n"/>
      <c r="D114" s="17" t="n"/>
      <c r="H114" s="644" t="n"/>
    </row>
    <row r="115" ht="40" customFormat="1" customHeight="1" s="1991">
      <c r="A115" s="2002" t="n"/>
      <c r="B115" s="1325" t="n"/>
      <c r="C115" s="17" t="n"/>
      <c r="D115" s="17" t="n"/>
      <c r="H115" s="644" t="n"/>
    </row>
    <row r="116" ht="40" customFormat="1" customHeight="1" s="1991">
      <c r="A116" s="2002" t="n"/>
      <c r="B116" s="1325" t="n"/>
      <c r="C116" s="17" t="n"/>
      <c r="D116" s="17" t="n"/>
      <c r="H116" s="644" t="n"/>
    </row>
    <row r="117" ht="40" customFormat="1" customHeight="1" s="1991">
      <c r="A117" s="2002" t="n"/>
      <c r="B117" s="1325" t="n"/>
      <c r="C117" s="17" t="n"/>
      <c r="D117" s="17" t="n"/>
      <c r="H117" s="644" t="n"/>
    </row>
    <row r="118" ht="40" customFormat="1" customHeight="1" s="1991">
      <c r="A118" s="2002" t="n"/>
      <c r="B118" s="1325" t="n"/>
      <c r="C118" s="17" t="n"/>
      <c r="D118" s="17" t="n"/>
      <c r="H118" s="644" t="n"/>
    </row>
    <row r="119" ht="40" customFormat="1" customHeight="1" s="1991">
      <c r="A119" s="2002" t="n"/>
      <c r="B119" s="1325" t="n"/>
      <c r="C119" s="17" t="n"/>
      <c r="D119" s="17" t="n"/>
      <c r="H119" s="644" t="n"/>
    </row>
    <row r="120" ht="40" customFormat="1" customHeight="1" s="1991">
      <c r="A120" s="2002" t="n"/>
      <c r="B120" s="1325" t="n"/>
      <c r="C120" s="17" t="n"/>
      <c r="D120" s="17" t="n"/>
      <c r="H120" s="644" t="n"/>
    </row>
    <row r="121" ht="40" customFormat="1" customHeight="1" s="1991">
      <c r="A121" s="2002" t="n"/>
      <c r="B121" s="1325" t="n"/>
      <c r="C121" s="17" t="n"/>
      <c r="D121" s="17" t="n"/>
      <c r="H121" s="644" t="n"/>
    </row>
    <row r="122" ht="40" customFormat="1" customHeight="1" s="1991">
      <c r="A122" s="2002" t="n"/>
      <c r="B122" s="1325" t="n"/>
      <c r="C122" s="17" t="n"/>
      <c r="D122" s="17" t="n"/>
      <c r="H122" s="644" t="n"/>
    </row>
    <row r="123" ht="40" customFormat="1" customHeight="1" s="1991">
      <c r="A123" s="2002" t="n"/>
      <c r="B123" s="1325" t="n"/>
      <c r="C123" s="17" t="n"/>
      <c r="D123" s="17" t="n"/>
      <c r="H123" s="644" t="n"/>
    </row>
    <row r="124" ht="40" customFormat="1" customHeight="1" s="1991">
      <c r="A124" s="2002" t="n"/>
      <c r="B124" s="1325" t="n"/>
      <c r="C124" s="17" t="n"/>
      <c r="D124" s="17" t="n"/>
      <c r="H124" s="644" t="n"/>
    </row>
    <row r="125" ht="40" customFormat="1" customHeight="1" s="1991">
      <c r="A125" s="2002" t="n"/>
      <c r="B125" s="1325" t="n"/>
      <c r="C125" s="17" t="n"/>
      <c r="D125" s="17" t="n"/>
      <c r="H125" s="644" t="n"/>
    </row>
    <row r="126" ht="40" customFormat="1" customHeight="1" s="1991">
      <c r="A126" s="2002" t="n"/>
      <c r="B126" s="1325" t="n"/>
      <c r="C126" s="17" t="n"/>
      <c r="D126" s="17" t="n"/>
      <c r="H126" s="644" t="n"/>
    </row>
    <row r="127" ht="40" customFormat="1" customHeight="1" s="1991">
      <c r="A127" s="2002" t="n"/>
      <c r="B127" s="1325" t="n"/>
      <c r="C127" s="17" t="n"/>
      <c r="D127" s="17" t="n"/>
      <c r="H127" s="644" t="n"/>
    </row>
    <row r="128" ht="40" customFormat="1" customHeight="1" s="1991">
      <c r="A128" s="2002" t="n"/>
      <c r="B128" s="1325" t="n"/>
      <c r="C128" s="17" t="n"/>
      <c r="D128" s="17" t="n"/>
      <c r="H128" s="644" t="n"/>
    </row>
    <row r="129" ht="40" customFormat="1" customHeight="1" s="1991">
      <c r="A129" s="2002" t="n"/>
      <c r="B129" s="1325" t="n"/>
      <c r="C129" s="17" t="n"/>
      <c r="D129" s="17" t="n"/>
      <c r="H129" s="644" t="n"/>
    </row>
    <row r="130" ht="40" customFormat="1" customHeight="1" s="1991">
      <c r="A130" s="2002" t="n"/>
      <c r="B130" s="1325" t="n"/>
      <c r="C130" s="17" t="n"/>
      <c r="D130" s="17" t="n"/>
      <c r="H130" s="644" t="n"/>
    </row>
    <row r="131" ht="40" customFormat="1" customHeight="1" s="1991">
      <c r="A131" s="2002" t="n"/>
      <c r="B131" s="1325" t="n"/>
      <c r="C131" s="17" t="n"/>
      <c r="D131" s="17" t="n"/>
      <c r="H131" s="644" t="n"/>
    </row>
    <row r="132" ht="40" customFormat="1" customHeight="1" s="1991">
      <c r="A132" s="2002" t="n"/>
      <c r="B132" s="1325" t="n"/>
      <c r="C132" s="17" t="n"/>
      <c r="D132" s="17" t="n"/>
      <c r="H132" s="644" t="n"/>
    </row>
    <row r="133" ht="40" customFormat="1" customHeight="1" s="1991">
      <c r="A133" s="2002" t="n"/>
      <c r="B133" s="1325" t="n"/>
      <c r="C133" s="17" t="n"/>
      <c r="D133" s="17" t="n"/>
      <c r="H133" s="644" t="n"/>
    </row>
    <row r="134" ht="40" customFormat="1" customHeight="1" s="1991">
      <c r="A134" s="2002" t="n"/>
      <c r="B134" s="1325" t="n"/>
      <c r="C134" s="17" t="n"/>
      <c r="D134" s="17" t="n"/>
      <c r="H134" s="644" t="n"/>
    </row>
    <row r="135" ht="40" customFormat="1" customHeight="1" s="1991">
      <c r="A135" s="2002" t="n"/>
      <c r="B135" s="1325" t="n"/>
      <c r="C135" s="17" t="n"/>
      <c r="D135" s="17" t="n"/>
      <c r="H135" s="644" t="n"/>
    </row>
    <row r="136" ht="40" customFormat="1" customHeight="1" s="1991">
      <c r="A136" s="2002" t="n"/>
      <c r="B136" s="1325" t="n"/>
      <c r="C136" s="17" t="n"/>
      <c r="D136" s="17" t="n"/>
      <c r="H136" s="644" t="n"/>
    </row>
    <row r="137" ht="40" customFormat="1" customHeight="1" s="1991">
      <c r="A137" s="2002" t="n"/>
      <c r="B137" s="1325" t="n"/>
      <c r="C137" s="17" t="n"/>
      <c r="D137" s="17" t="n"/>
      <c r="H137" s="644" t="n"/>
    </row>
    <row r="138" ht="40" customFormat="1" customHeight="1" s="1991">
      <c r="A138" s="2002" t="n"/>
      <c r="B138" s="1325" t="n"/>
      <c r="C138" s="17" t="n"/>
      <c r="D138" s="17" t="n"/>
      <c r="H138" s="644" t="n"/>
    </row>
    <row r="139" ht="40" customFormat="1" customHeight="1" s="1991">
      <c r="A139" s="2002" t="n"/>
      <c r="B139" s="1325" t="n"/>
      <c r="C139" s="17" t="n"/>
      <c r="D139" s="17" t="n"/>
      <c r="H139" s="644" t="n"/>
    </row>
    <row r="140" ht="40" customFormat="1" customHeight="1" s="1991">
      <c r="A140" s="2002" t="n"/>
      <c r="B140" s="1325" t="n"/>
      <c r="C140" s="17" t="n"/>
      <c r="D140" s="17" t="n"/>
      <c r="H140" s="644" t="n"/>
    </row>
    <row r="141" ht="40" customFormat="1" customHeight="1" s="1991">
      <c r="A141" s="2002" t="n"/>
      <c r="B141" s="1325" t="n"/>
      <c r="C141" s="17" t="n"/>
      <c r="D141" s="17" t="n"/>
      <c r="H141" s="644" t="n"/>
    </row>
    <row r="142" ht="40" customFormat="1" customHeight="1" s="1991">
      <c r="A142" s="2002" t="n"/>
      <c r="B142" s="1325" t="n"/>
      <c r="C142" s="17" t="n"/>
      <c r="D142" s="17" t="n"/>
      <c r="H142" s="644" t="n"/>
    </row>
    <row r="143" ht="40" customFormat="1" customHeight="1" s="1991">
      <c r="A143" s="2002" t="n"/>
      <c r="B143" s="1325" t="n"/>
      <c r="C143" s="17" t="n"/>
      <c r="D143" s="17" t="n"/>
      <c r="H143" s="644" t="n"/>
    </row>
    <row r="144" ht="40" customFormat="1" customHeight="1" s="1991">
      <c r="A144" s="2002" t="n"/>
      <c r="B144" s="1325" t="n"/>
      <c r="C144" s="17" t="n"/>
      <c r="D144" s="17" t="n"/>
      <c r="H144" s="644" t="n"/>
    </row>
    <row r="145" ht="40" customFormat="1" customHeight="1" s="1991">
      <c r="A145" s="2002" t="n"/>
      <c r="B145" s="1325" t="n"/>
      <c r="C145" s="17" t="n"/>
      <c r="D145" s="17" t="n"/>
      <c r="H145" s="644" t="n"/>
    </row>
    <row r="146" ht="40" customFormat="1" customHeight="1" s="1991">
      <c r="A146" s="2002" t="n"/>
      <c r="B146" s="1325" t="n"/>
      <c r="C146" s="17" t="n"/>
      <c r="D146" s="17" t="n"/>
      <c r="H146" s="644" t="n"/>
    </row>
    <row r="147" ht="40" customFormat="1" customHeight="1" s="1991">
      <c r="A147" s="2002" t="n"/>
      <c r="B147" s="1325" t="n"/>
      <c r="C147" s="17" t="n"/>
      <c r="D147" s="17" t="n"/>
      <c r="H147" s="644" t="n"/>
    </row>
    <row r="148" ht="40" customFormat="1" customHeight="1" s="1991">
      <c r="A148" s="2002" t="n"/>
      <c r="B148" s="1325" t="n"/>
      <c r="C148" s="17" t="n"/>
      <c r="D148" s="17" t="n"/>
      <c r="H148" s="644" t="n"/>
    </row>
    <row r="149" ht="40" customFormat="1" customHeight="1" s="1991">
      <c r="A149" s="2002" t="n"/>
      <c r="B149" s="1325" t="n"/>
      <c r="C149" s="17" t="n"/>
      <c r="D149" s="17" t="n"/>
      <c r="H149" s="644" t="n"/>
    </row>
    <row r="150" ht="40" customFormat="1" customHeight="1" s="1991">
      <c r="A150" s="2002" t="n"/>
      <c r="B150" s="1325" t="n"/>
      <c r="C150" s="17" t="n"/>
      <c r="D150" s="17" t="n"/>
      <c r="H150" s="644" t="n"/>
    </row>
    <row r="151" ht="40" customFormat="1" customHeight="1" s="1991">
      <c r="A151" s="2002" t="n"/>
      <c r="B151" s="1325" t="n"/>
      <c r="C151" s="17" t="n"/>
      <c r="D151" s="17" t="n"/>
      <c r="H151" s="644" t="n"/>
    </row>
    <row r="152" ht="40" customFormat="1" customHeight="1" s="1991">
      <c r="A152" s="2002" t="n"/>
      <c r="B152" s="1325" t="n"/>
      <c r="C152" s="17" t="n"/>
      <c r="D152" s="17" t="n"/>
      <c r="H152" s="644" t="n"/>
    </row>
    <row r="153" ht="40" customFormat="1" customHeight="1" s="1991">
      <c r="A153" s="2002" t="n"/>
      <c r="B153" s="1325" t="n"/>
      <c r="C153" s="17" t="n"/>
      <c r="D153" s="17" t="n"/>
      <c r="H153" s="644" t="n"/>
    </row>
    <row r="154" ht="40" customFormat="1" customHeight="1" s="1991">
      <c r="A154" s="2002" t="n"/>
      <c r="B154" s="1325" t="n"/>
      <c r="C154" s="17" t="n"/>
      <c r="D154" s="17" t="n"/>
      <c r="H154" s="644" t="n"/>
    </row>
    <row r="155" ht="40" customFormat="1" customHeight="1" s="1991">
      <c r="A155" s="2002" t="n"/>
      <c r="B155" s="1325" t="n"/>
      <c r="C155" s="17" t="n"/>
      <c r="D155" s="17" t="n"/>
      <c r="H155" s="644" t="n"/>
    </row>
    <row r="156" ht="40" customFormat="1" customHeight="1" s="1991">
      <c r="A156" s="2002" t="n"/>
      <c r="B156" s="1325" t="n"/>
      <c r="C156" s="17" t="n"/>
      <c r="D156" s="17" t="n"/>
      <c r="H156" s="644" t="n"/>
    </row>
    <row r="157" ht="40" customFormat="1" customHeight="1" s="1991">
      <c r="A157" s="2002" t="n"/>
      <c r="B157" s="1325" t="n"/>
      <c r="C157" s="17" t="n"/>
      <c r="D157" s="17" t="n"/>
      <c r="H157" s="644" t="n"/>
    </row>
    <row r="158" ht="40" customFormat="1" customHeight="1" s="1991">
      <c r="A158" s="2002" t="n"/>
      <c r="B158" s="1325" t="n"/>
      <c r="C158" s="17" t="n"/>
      <c r="D158" s="17" t="n"/>
      <c r="H158" s="644" t="n"/>
    </row>
    <row r="159" ht="40" customFormat="1" customHeight="1" s="1991">
      <c r="A159" s="2002" t="n"/>
      <c r="B159" s="1325" t="n"/>
      <c r="C159" s="17" t="n"/>
      <c r="D159" s="17" t="n"/>
      <c r="H159" s="644" t="n"/>
    </row>
    <row r="160" ht="40" customFormat="1" customHeight="1" s="1991">
      <c r="A160" s="2002" t="n"/>
      <c r="B160" s="1325" t="n"/>
      <c r="C160" s="17" t="n"/>
      <c r="D160" s="17" t="n"/>
      <c r="H160" s="644" t="n"/>
    </row>
    <row r="161" ht="40" customFormat="1" customHeight="1" s="1991">
      <c r="A161" s="2002" t="n"/>
      <c r="B161" s="1325" t="n"/>
      <c r="C161" s="17" t="n"/>
      <c r="D161" s="17" t="n"/>
      <c r="H161" s="644" t="n"/>
    </row>
    <row r="162" ht="40" customFormat="1" customHeight="1" s="1991">
      <c r="A162" s="2002" t="n"/>
      <c r="B162" s="1325" t="n"/>
      <c r="C162" s="17" t="n"/>
      <c r="D162" s="17" t="n"/>
      <c r="H162" s="644" t="n"/>
    </row>
    <row r="163" ht="40" customFormat="1" customHeight="1" s="1991">
      <c r="A163" s="2002" t="n"/>
      <c r="B163" s="1325" t="n"/>
      <c r="C163" s="17" t="n"/>
      <c r="D163" s="17" t="n"/>
      <c r="H163" s="644" t="n"/>
    </row>
    <row r="164" ht="40" customFormat="1" customHeight="1" s="1991">
      <c r="A164" s="2002" t="n"/>
      <c r="B164" s="1325" t="n"/>
      <c r="C164" s="17" t="n"/>
      <c r="D164" s="17" t="n"/>
      <c r="H164" s="644" t="n"/>
    </row>
    <row r="165" ht="40" customFormat="1" customHeight="1" s="1991">
      <c r="A165" s="2002" t="n"/>
      <c r="B165" s="1325" t="n"/>
      <c r="C165" s="17" t="n"/>
      <c r="D165" s="17" t="n"/>
      <c r="H165" s="644" t="n"/>
    </row>
    <row r="166" ht="40" customFormat="1" customHeight="1" s="1991">
      <c r="A166" s="2002" t="n"/>
      <c r="B166" s="1325" t="n"/>
      <c r="C166" s="17" t="n"/>
      <c r="D166" s="17" t="n"/>
      <c r="H166" s="644" t="n"/>
    </row>
    <row r="167" ht="40" customFormat="1" customHeight="1" s="1991">
      <c r="A167" s="2002" t="n"/>
      <c r="B167" s="1325" t="n"/>
      <c r="C167" s="17" t="n"/>
      <c r="D167" s="17" t="n"/>
      <c r="H167" s="644" t="n"/>
    </row>
    <row r="168" ht="40" customFormat="1" customHeight="1" s="1991">
      <c r="A168" s="2002" t="n"/>
      <c r="B168" s="1325" t="n"/>
      <c r="C168" s="17" t="n"/>
      <c r="D168" s="17" t="n"/>
      <c r="H168" s="644" t="n"/>
    </row>
    <row r="169" ht="40" customFormat="1" customHeight="1" s="1991">
      <c r="A169" s="2002" t="n"/>
      <c r="B169" s="1325" t="n"/>
      <c r="C169" s="17" t="n"/>
      <c r="D169" s="17" t="n"/>
      <c r="H169" s="644" t="n"/>
    </row>
    <row r="170" ht="40" customFormat="1" customHeight="1" s="1991">
      <c r="A170" s="2002" t="n"/>
      <c r="B170" s="1325" t="n"/>
      <c r="C170" s="17" t="n"/>
      <c r="D170" s="17" t="n"/>
      <c r="H170" s="644" t="n"/>
    </row>
    <row r="171" ht="40" customFormat="1" customHeight="1" s="1991">
      <c r="A171" s="2002" t="n"/>
      <c r="B171" s="1325" t="n"/>
      <c r="C171" s="17" t="n"/>
      <c r="D171" s="17" t="n"/>
      <c r="H171" s="644" t="n"/>
    </row>
    <row r="172" ht="40" customFormat="1" customHeight="1" s="1991">
      <c r="A172" s="2002" t="n"/>
      <c r="B172" s="1325" t="n"/>
      <c r="C172" s="17" t="n"/>
      <c r="D172" s="17" t="n"/>
      <c r="H172" s="644" t="n"/>
    </row>
    <row r="173" ht="40" customFormat="1" customHeight="1" s="1991">
      <c r="A173" s="2002" t="n"/>
      <c r="B173" s="1325" t="n"/>
      <c r="C173" s="17" t="n"/>
      <c r="D173" s="17" t="n"/>
      <c r="H173" s="644" t="n"/>
    </row>
    <row r="174" ht="40" customFormat="1" customHeight="1" s="1991">
      <c r="A174" s="2002" t="n"/>
      <c r="B174" s="1325" t="n"/>
      <c r="C174" s="17" t="n"/>
      <c r="D174" s="17" t="n"/>
      <c r="H174" s="644" t="n"/>
    </row>
    <row r="175" ht="40" customFormat="1" customHeight="1" s="1991">
      <c r="A175" s="2002" t="n"/>
      <c r="B175" s="1325" t="n"/>
      <c r="C175" s="17" t="n"/>
      <c r="D175" s="17" t="n"/>
      <c r="H175" s="644" t="n"/>
    </row>
    <row r="176" ht="40" customFormat="1" customHeight="1" s="1991">
      <c r="A176" s="2002" t="n"/>
      <c r="B176" s="1325" t="n"/>
      <c r="C176" s="17" t="n"/>
      <c r="D176" s="17" t="n"/>
      <c r="H176" s="644" t="n"/>
    </row>
    <row r="177" ht="40" customFormat="1" customHeight="1" s="1991">
      <c r="A177" s="2002" t="n"/>
      <c r="B177" s="1325" t="n"/>
      <c r="C177" s="17" t="n"/>
      <c r="D177" s="17" t="n"/>
      <c r="H177" s="644" t="n"/>
    </row>
    <row r="178" ht="40" customFormat="1" customHeight="1" s="1991">
      <c r="A178" s="2002" t="n"/>
      <c r="B178" s="1325" t="n"/>
      <c r="C178" s="17" t="n"/>
      <c r="D178" s="17" t="n"/>
      <c r="H178" s="644" t="n"/>
    </row>
    <row r="179" ht="40" customFormat="1" customHeight="1" s="1991">
      <c r="A179" s="2002" t="n"/>
      <c r="B179" s="1325" t="n"/>
      <c r="C179" s="17" t="n"/>
      <c r="D179" s="17" t="n"/>
      <c r="H179" s="644" t="n"/>
    </row>
    <row r="180" ht="40" customFormat="1" customHeight="1" s="1991">
      <c r="A180" s="2002" t="n"/>
      <c r="B180" s="1325" t="n"/>
      <c r="C180" s="17" t="n"/>
      <c r="D180" s="17" t="n"/>
      <c r="H180" s="644" t="n"/>
    </row>
    <row r="181" ht="40" customFormat="1" customHeight="1" s="1991">
      <c r="A181" s="2002" t="n"/>
      <c r="B181" s="1325" t="n"/>
      <c r="C181" s="17" t="n"/>
      <c r="D181" s="17" t="n"/>
      <c r="H181" s="644" t="n"/>
    </row>
    <row r="182" ht="40" customFormat="1" customHeight="1" s="1991">
      <c r="A182" s="2002" t="n"/>
      <c r="B182" s="1325" t="n"/>
      <c r="C182" s="17" t="n"/>
      <c r="D182" s="17" t="n"/>
      <c r="H182" s="644" t="n"/>
    </row>
    <row r="183" ht="40" customFormat="1" customHeight="1" s="1991">
      <c r="A183" s="2002" t="n"/>
      <c r="B183" s="1325" t="n"/>
      <c r="C183" s="17" t="n"/>
      <c r="D183" s="17" t="n"/>
      <c r="H183" s="644" t="n"/>
    </row>
    <row r="184" ht="40" customFormat="1" customHeight="1" s="1991">
      <c r="A184" s="2002" t="n"/>
      <c r="B184" s="1325" t="n"/>
      <c r="C184" s="17" t="n"/>
      <c r="D184" s="17" t="n"/>
      <c r="H184" s="644" t="n"/>
    </row>
    <row r="185" ht="40" customFormat="1" customHeight="1" s="1991">
      <c r="A185" s="2002" t="n"/>
      <c r="B185" s="1325" t="n"/>
      <c r="C185" s="17" t="n"/>
      <c r="D185" s="17" t="n"/>
      <c r="H185" s="644" t="n"/>
    </row>
    <row r="186" ht="40" customFormat="1" customHeight="1" s="1991">
      <c r="A186" s="2002" t="n"/>
      <c r="B186" s="1325" t="n"/>
      <c r="C186" s="17" t="n"/>
      <c r="D186" s="17" t="n"/>
      <c r="H186" s="644" t="n"/>
    </row>
    <row r="187" ht="40" customFormat="1" customHeight="1" s="1991">
      <c r="A187" s="2002" t="n"/>
      <c r="B187" s="1325" t="n"/>
      <c r="C187" s="17" t="n"/>
      <c r="D187" s="17" t="n"/>
      <c r="H187" s="644" t="n"/>
    </row>
    <row r="188" ht="40" customFormat="1" customHeight="1" s="1991">
      <c r="A188" s="2002" t="n"/>
      <c r="B188" s="1325" t="n"/>
      <c r="C188" s="17" t="n"/>
      <c r="D188" s="17" t="n"/>
      <c r="H188" s="644" t="n"/>
    </row>
    <row r="189" ht="40" customFormat="1" customHeight="1" s="1991">
      <c r="A189" s="2002" t="n"/>
      <c r="B189" s="1325" t="n"/>
      <c r="C189" s="17" t="n"/>
      <c r="D189" s="17" t="n"/>
      <c r="H189" s="644" t="n"/>
    </row>
    <row r="190" ht="40" customFormat="1" customHeight="1" s="1991">
      <c r="A190" s="2002" t="n"/>
      <c r="B190" s="1325" t="n"/>
      <c r="C190" s="17" t="n"/>
      <c r="D190" s="17" t="n"/>
      <c r="H190" s="644" t="n"/>
    </row>
    <row r="191" ht="40" customFormat="1" customHeight="1" s="1991">
      <c r="A191" s="2002" t="n"/>
      <c r="B191" s="1325" t="n"/>
      <c r="C191" s="17" t="n"/>
      <c r="D191" s="17" t="n"/>
      <c r="H191" s="644" t="n"/>
    </row>
    <row r="192" ht="40" customFormat="1" customHeight="1" s="1991">
      <c r="A192" s="2002" t="n"/>
      <c r="B192" s="1325" t="n"/>
      <c r="C192" s="17" t="n"/>
      <c r="D192" s="17" t="n"/>
      <c r="H192" s="644" t="n"/>
    </row>
    <row r="193" ht="40" customFormat="1" customHeight="1" s="1991">
      <c r="A193" s="2002" t="n"/>
      <c r="B193" s="1325" t="n"/>
      <c r="C193" s="17" t="n"/>
      <c r="D193" s="17" t="n"/>
      <c r="H193" s="644" t="n"/>
    </row>
    <row r="194" ht="40" customFormat="1" customHeight="1" s="1991">
      <c r="A194" s="2002" t="n"/>
      <c r="B194" s="1325" t="n"/>
      <c r="C194" s="17" t="n"/>
      <c r="D194" s="17" t="n"/>
      <c r="H194" s="644" t="n"/>
    </row>
    <row r="195" ht="40" customHeight="1">
      <c r="H195" s="644" t="n"/>
    </row>
    <row r="196" ht="40" customHeight="1">
      <c r="H196" s="644" t="n"/>
    </row>
    <row r="197" ht="40" customHeight="1">
      <c r="H197" s="644" t="n"/>
    </row>
  </sheetData>
  <mergeCells count="3">
    <mergeCell ref="K1:O1"/>
    <mergeCell ref="A68:A72"/>
    <mergeCell ref="A61:A62"/>
  </mergeCells>
  <pageMargins left="0.7" right="0.7" top="0.75" bottom="0.75" header="0.3" footer="0.3"/>
  <pageSetup orientation="landscape" scale="10" horizontalDpi="0" verticalDpi="0"/>
  <legacyDrawing r:id="anysvml"/>
</worksheet>
</file>

<file path=xl/worksheets/sheet7.xml><?xml version="1.0" encoding="utf-8"?>
<worksheet xmlns="http://schemas.openxmlformats.org/spreadsheetml/2006/main">
  <sheetPr>
    <outlinePr summaryBelow="1" summaryRight="1"/>
    <pageSetUpPr/>
  </sheetPr>
  <dimension ref="A1:M84"/>
  <sheetViews>
    <sheetView workbookViewId="0">
      <selection activeCell="M13" sqref="M13"/>
    </sheetView>
  </sheetViews>
  <sheetFormatPr baseColWidth="10" defaultRowHeight="16"/>
  <cols>
    <col width="58.6640625" customWidth="1" min="1" max="1"/>
    <col width="33.1640625" customWidth="1" min="2" max="2"/>
    <col width="86.83203125" customWidth="1" min="4" max="4"/>
    <col width="7.83203125" customWidth="1" min="5" max="7"/>
    <col hidden="1" width="14" customWidth="1" min="8" max="8"/>
    <col hidden="1" width="13.1640625" customWidth="1" min="9" max="9"/>
    <col width="13.6640625" customWidth="1" min="13" max="13"/>
  </cols>
  <sheetData>
    <row r="1" ht="17" customHeight="1">
      <c r="A1" s="13" t="inlineStr">
        <is>
          <t xml:space="preserve">Coalition avec un parent et distanciation avec l’autre ; </t>
        </is>
      </c>
      <c r="B1" s="1040" t="inlineStr">
        <is>
          <t>Dénigre le parent répondant</t>
        </is>
      </c>
    </row>
    <row r="2" ht="34" customHeight="1">
      <c r="A2" s="13" t="inlineStr">
        <is>
          <t xml:space="preserve">Craintes multiples (représailles, de décevoir, se faire abandonner, de faire de la peine et soulever la colère) ; </t>
        </is>
      </c>
      <c r="B2" s="1040" t="inlineStr">
        <is>
          <t>Il donne des raisons absurdes (incl. Souvenirs déformés)</t>
        </is>
      </c>
    </row>
    <row r="3" ht="51" customHeight="1">
      <c r="A3" s="13" t="inlineStr">
        <is>
          <t xml:space="preserve">Discrédite le parent, comportements agressifs, assaillants (fausses accusations, reproches non justifiés, discours clivé emprunté au parent aliénant) ; </t>
        </is>
      </c>
      <c r="B3" s="1040" t="inlineStr">
        <is>
          <t>Manque d'ambivalence</t>
        </is>
      </c>
    </row>
    <row r="4" ht="34" customHeight="1">
      <c r="A4" s="13" t="inlineStr">
        <is>
          <t xml:space="preserve">Manipulation de la réalité (mentir, prendre la défense du parent aliénant, absence de culpabilité) ; </t>
        </is>
      </c>
      <c r="B4" s="1040" t="inlineStr">
        <is>
          <t>Penseur indépendant</t>
        </is>
      </c>
    </row>
    <row r="5" ht="34" customHeight="1">
      <c r="A5" s="13" t="inlineStr">
        <is>
          <t xml:space="preserve">Participation active aux conflits ; Exagération des faits, les déformer ; </t>
        </is>
      </c>
      <c r="B5" s="1040" t="inlineStr">
        <is>
          <t>Champion du parent aliénant</t>
        </is>
      </c>
    </row>
    <row r="6" ht="34" customHeight="1">
      <c r="A6" s="13" t="inlineStr">
        <is>
          <t xml:space="preserve">Passivité et inhibition du discours (passif et soumis aux exigences du parent aliénant) ; </t>
        </is>
      </c>
      <c r="B6" s="1040" t="inlineStr">
        <is>
          <t>Absence de culpabilité</t>
        </is>
      </c>
    </row>
    <row r="7" ht="34" customHeight="1">
      <c r="A7" s="13" t="inlineStr">
        <is>
          <t xml:space="preserve">Changement d’attitudes et de comportements selon le parent avec lequel il est, selon les témoins (selon le degré d’AP). </t>
        </is>
      </c>
      <c r="B7" s="1040" t="inlineStr">
        <is>
          <t>Propos d'adultes</t>
        </is>
      </c>
      <c r="C7" s="981" t="inlineStr">
        <is>
          <t>Réflexion si soritr du spectre</t>
        </is>
      </c>
    </row>
    <row r="8" ht="17" customHeight="1">
      <c r="A8" s="13" t="n"/>
      <c r="B8" s="1040" t="inlineStr">
        <is>
          <t>Rejet de la famille élargie et valeurs</t>
        </is>
      </c>
    </row>
    <row r="11" ht="37" customHeight="1">
      <c r="E11" s="2032" t="inlineStr">
        <is>
          <t>Intensité</t>
        </is>
      </c>
      <c r="H11" s="2089" t="n"/>
      <c r="J11" s="2032" t="inlineStr">
        <is>
          <t>Intensité</t>
        </is>
      </c>
      <c r="M11" s="13" t="inlineStr">
        <is>
          <t>Condition de considération</t>
        </is>
      </c>
    </row>
    <row r="12" ht="24" customHeight="1">
      <c r="A12" s="1879" t="inlineStr">
        <is>
          <t>L'enfant dans la dynamique</t>
        </is>
      </c>
      <c r="B12" s="1879" t="inlineStr">
        <is>
          <t>Les 8 comportements de l'AP</t>
        </is>
      </c>
      <c r="E12" s="2089" t="inlineStr">
        <is>
          <t>Léger</t>
        </is>
      </c>
      <c r="F12" s="2089" t="inlineStr">
        <is>
          <t>Modéré</t>
        </is>
      </c>
      <c r="G12" s="2089" t="inlineStr">
        <is>
          <t>Sévère</t>
        </is>
      </c>
      <c r="H12" s="2089" t="inlineStr">
        <is>
          <t>Fréquence</t>
        </is>
      </c>
      <c r="I12" s="1" t="inlineStr">
        <is>
          <t>Total</t>
        </is>
      </c>
      <c r="J12" s="1882" t="inlineStr">
        <is>
          <t>Léger</t>
        </is>
      </c>
      <c r="K12" s="1882" t="inlineStr">
        <is>
          <t>Modéré</t>
        </is>
      </c>
      <c r="L12" s="1882" t="inlineStr">
        <is>
          <t>Sévère</t>
        </is>
      </c>
    </row>
    <row r="13" ht="48" customHeight="1">
      <c r="A13" s="13" t="inlineStr">
        <is>
          <t xml:space="preserve">Coalition avec un parent et distanciation avec l’autre ; </t>
        </is>
      </c>
      <c r="C13" s="1862">
        <f>BIBLE!E152</f>
        <v/>
      </c>
      <c r="D13" s="1863">
        <f>BIBLE!F152</f>
        <v/>
      </c>
      <c r="E13" s="2002" t="n">
        <v>1</v>
      </c>
      <c r="F13" s="2002" t="n"/>
      <c r="G13" s="2002" t="n"/>
      <c r="H13" s="6">
        <f>Test_Bible!P263</f>
        <v/>
      </c>
      <c r="I13" s="6">
        <f>Test_Bible!Q263</f>
        <v/>
      </c>
      <c r="J13" s="296">
        <f>IF(I13&lt;&gt;0,IF(I13/H13=E13,I13,""),"")</f>
        <v/>
      </c>
      <c r="K13" s="296">
        <f>IF(I13&lt;&gt;0,IF(I13/H13=F13,I13,""),"")</f>
        <v/>
      </c>
      <c r="L13" s="296">
        <f>IF(I13&lt;&gt;0,IF(I13/H13=G13,I13,""),"")</f>
        <v/>
      </c>
    </row>
    <row r="14" ht="34" customHeight="1">
      <c r="A14" s="13" t="inlineStr">
        <is>
          <t xml:space="preserve">Craintes multiples (représailles, de décevoir, se faire abandonner, de faire de la peine et soulever la colère) ; </t>
        </is>
      </c>
      <c r="C14" s="1862">
        <f>BIBLE!E161</f>
        <v/>
      </c>
      <c r="D14" s="1863">
        <f>BIBLE!F161</f>
        <v/>
      </c>
      <c r="E14" s="2002" t="n">
        <v>1</v>
      </c>
      <c r="F14" s="2002" t="n"/>
      <c r="G14" s="2002" t="n"/>
      <c r="H14" s="6">
        <f>Test_Bible!P276</f>
        <v/>
      </c>
      <c r="I14" s="6">
        <f>Test_Bible!Q276</f>
        <v/>
      </c>
      <c r="J14" s="296">
        <f>IF(I14&lt;&gt;0,IF(I14/H14=E14,I14,""),"")</f>
        <v/>
      </c>
      <c r="K14" s="296">
        <f>IF(I14&lt;&gt;0,IF(I14/H14=F14,I14,""),"")</f>
        <v/>
      </c>
      <c r="L14" s="296">
        <f>IF(I14&lt;&gt;0,IF(I14/H14=G14,I14,""),"")</f>
        <v/>
      </c>
    </row>
    <row r="15" ht="51" customHeight="1">
      <c r="A15" s="13" t="inlineStr">
        <is>
          <t xml:space="preserve">Discrédite le parent, comportements agressifs, assaillants (fausses accusations, reproches non justifiés, discours clivé emprunté au parent aliénant) ; </t>
        </is>
      </c>
      <c r="C15" s="1862">
        <f>BIBLE!E162</f>
        <v/>
      </c>
      <c r="D15" s="1867">
        <f>BIBLE!F162</f>
        <v/>
      </c>
      <c r="E15" s="2002" t="n">
        <v>1</v>
      </c>
      <c r="F15" s="2002" t="n"/>
      <c r="G15" s="2002" t="n"/>
      <c r="H15" s="6">
        <f>Test_Bible!P277</f>
        <v/>
      </c>
      <c r="I15" s="6">
        <f>Test_Bible!Q277</f>
        <v/>
      </c>
      <c r="J15" s="296">
        <f>IF(I15&lt;&gt;0,IF(I15/H15=E15,I15,""),"")</f>
        <v/>
      </c>
      <c r="K15" s="296">
        <f>IF(I15&lt;&gt;0,IF(I15/H15=F15,I15,""),"")</f>
        <v/>
      </c>
      <c r="L15" s="296">
        <f>IF(I15&lt;&gt;0,IF(I15/H15=G15,I15,""),"")</f>
        <v/>
      </c>
    </row>
    <row r="16" ht="51" customHeight="1">
      <c r="A16" s="13" t="inlineStr">
        <is>
          <t xml:space="preserve">Discrédite le parent, comportements agressifs, assaillants (fausses accusations, reproches non justifiés, discours clivé emprunté au parent aliénant) ; </t>
        </is>
      </c>
      <c r="C16" s="1864">
        <f>BIBLE!E170</f>
        <v/>
      </c>
      <c r="D16" s="1869">
        <f>BIBLE!F170</f>
        <v/>
      </c>
      <c r="E16" s="2002" t="n">
        <v>1</v>
      </c>
      <c r="F16" s="2002" t="n"/>
      <c r="G16" s="2002" t="n"/>
      <c r="H16" s="6">
        <f>Test_Bible!P285</f>
        <v/>
      </c>
      <c r="I16" s="6">
        <f>Test_Bible!Q285</f>
        <v/>
      </c>
      <c r="J16" s="296">
        <f>IF(I16&lt;&gt;0,IF(I16/H16=E16,I16,""),"")</f>
        <v/>
      </c>
      <c r="K16" s="296">
        <f>IF(I16&lt;&gt;0,IF(I16/H16=F16,I16,""),"")</f>
        <v/>
      </c>
      <c r="L16" s="296">
        <f>IF(I16&lt;&gt;0,IF(I16/H16=G16,I16,""),"")</f>
        <v/>
      </c>
    </row>
    <row r="17" ht="34" customHeight="1">
      <c r="C17" s="1862">
        <f>BIBLE!E179</f>
        <v/>
      </c>
      <c r="D17" s="1868">
        <f>BIBLE!F179</f>
        <v/>
      </c>
      <c r="E17" s="2002" t="n">
        <v>1</v>
      </c>
      <c r="F17" s="2002" t="n"/>
      <c r="G17" s="2002" t="n"/>
      <c r="H17" s="6">
        <f>Test_Bible!P297</f>
        <v/>
      </c>
      <c r="I17" s="6">
        <f>Test_Bible!Q297</f>
        <v/>
      </c>
      <c r="J17" s="296">
        <f>IF(I17&lt;&gt;0,IF(I17/H17=E17,I17,""),"")</f>
        <v/>
      </c>
      <c r="K17" s="296">
        <f>IF(I17&lt;&gt;0,IF(I17/H17=F17,I17,""),"")</f>
        <v/>
      </c>
      <c r="L17" s="296">
        <f>IF(I17&lt;&gt;0,IF(I17/H17=G17,I17,""),"")</f>
        <v/>
      </c>
    </row>
    <row r="18" ht="34" customHeight="1">
      <c r="A18" s="13" t="inlineStr">
        <is>
          <t xml:space="preserve">Craintes multiples (représailles, de décevoir, se faire abandonner, de faire de la peine et soulever la colère) ; </t>
        </is>
      </c>
      <c r="C18" s="1862">
        <f>BIBLE!E184</f>
        <v/>
      </c>
      <c r="D18" s="1867">
        <f>BIBLE!F184</f>
        <v/>
      </c>
      <c r="E18" s="2002" t="n">
        <v>1</v>
      </c>
      <c r="F18" s="2002" t="n"/>
      <c r="G18" s="2002" t="n"/>
      <c r="H18" s="6">
        <f>Test_Bible!P302</f>
        <v/>
      </c>
      <c r="I18" s="6">
        <f>Test_Bible!Q302</f>
        <v/>
      </c>
      <c r="J18" s="296">
        <f>IF(I18&lt;&gt;0,IF(I18/H18=E18,I18,""),"")</f>
        <v/>
      </c>
      <c r="K18" s="296">
        <f>IF(I18&lt;&gt;0,IF(I18/H18=F18,I18,""),"")</f>
        <v/>
      </c>
      <c r="L18" s="296">
        <f>IF(I18&lt;&gt;0,IF(I18/H18=G18,I18,""),"")</f>
        <v/>
      </c>
    </row>
    <row r="19" ht="51" customHeight="1">
      <c r="A19" s="13" t="inlineStr">
        <is>
          <t xml:space="preserve">Discrédite le parent, comportements agressifs, assaillants (fausses accusations, reproches non justifiés, discours clivé emprunté au parent aliénant) ; </t>
        </is>
      </c>
      <c r="C19" s="1862">
        <f>BIBLE!E158</f>
        <v/>
      </c>
      <c r="D19" s="1866">
        <f>BIBLE!F158</f>
        <v/>
      </c>
      <c r="E19" s="521" t="n">
        <v>1</v>
      </c>
      <c r="F19" s="521" t="n">
        <v>2</v>
      </c>
      <c r="G19" s="521" t="n"/>
      <c r="H19" s="1883">
        <f>Test_Bible!P273</f>
        <v/>
      </c>
      <c r="I19" s="1883">
        <f>Test_Bible!Q273</f>
        <v/>
      </c>
      <c r="J19" s="1884">
        <f>IF(I19&lt;&gt;0,IF(I19/H19=E19,I19,""),"")</f>
        <v/>
      </c>
      <c r="K19" s="1884">
        <f>IF(I19&lt;&gt;0,IF(I19/H19=F19,I19,""),"")</f>
        <v/>
      </c>
      <c r="L19" s="1884">
        <f>IF(I19&lt;&gt;0,IF(I19/H19=G19,I19,""),"")</f>
        <v/>
      </c>
    </row>
    <row r="20" ht="51" customHeight="1">
      <c r="C20" s="1862">
        <f>BIBLE!E183</f>
        <v/>
      </c>
      <c r="D20" s="1868">
        <f>BIBLE!F183</f>
        <v/>
      </c>
      <c r="E20" s="521" t="n">
        <v>1</v>
      </c>
      <c r="F20" s="521" t="n">
        <v>2</v>
      </c>
      <c r="G20" s="521" t="n"/>
      <c r="H20" s="1883">
        <f>Test_Bible!P301</f>
        <v/>
      </c>
      <c r="I20" s="1883">
        <f>Test_Bible!Q301</f>
        <v/>
      </c>
      <c r="J20" s="1884">
        <f>IF(I20&lt;&gt;0,IF(I20/H20=E20,I20,""),"")</f>
        <v/>
      </c>
      <c r="K20" s="1884">
        <f>IF(I20&lt;&gt;0,IF(I20/H20=F20,I20,""),"")</f>
        <v/>
      </c>
      <c r="L20" s="1884">
        <f>IF(I20&lt;&gt;0,IF(I20/H20=G20,I20,""),"")</f>
        <v/>
      </c>
    </row>
    <row r="21" ht="34" customHeight="1">
      <c r="A21" s="13" t="inlineStr">
        <is>
          <t xml:space="preserve">Participation active aux conflits ; Exagération des faits, les déformer ; </t>
        </is>
      </c>
      <c r="C21" s="1864">
        <f>BIBLE!E153</f>
        <v/>
      </c>
      <c r="D21" s="1865">
        <f>BIBLE!F153</f>
        <v/>
      </c>
      <c r="E21" s="2002" t="n"/>
      <c r="F21" s="2002" t="n">
        <v>2</v>
      </c>
      <c r="G21" s="2002" t="n"/>
      <c r="H21" s="6">
        <f>Test_Bible!P264</f>
        <v/>
      </c>
      <c r="I21" s="6">
        <f>Test_Bible!Q264</f>
        <v/>
      </c>
      <c r="J21" s="296">
        <f>IF(I21&lt;&gt;0,IF(I21/H21=E21,I21,""),"")</f>
        <v/>
      </c>
      <c r="K21" s="296">
        <f>IF(I21&lt;&gt;0,IF(I21/H21=F21,I21,""),"")</f>
        <v/>
      </c>
      <c r="L21" s="296">
        <f>IF(I21&lt;&gt;0,IF(I21/H21=G21,I21,""),"")</f>
        <v/>
      </c>
    </row>
    <row r="22" ht="34" customHeight="1">
      <c r="B22" s="1040" t="inlineStr">
        <is>
          <t>Champion du parent aliénant</t>
        </is>
      </c>
      <c r="C22" s="1862">
        <f>BIBLE!E154</f>
        <v/>
      </c>
      <c r="D22" s="1863">
        <f>BIBLE!F154</f>
        <v/>
      </c>
      <c r="E22" s="2002" t="n"/>
      <c r="F22" s="2002" t="n">
        <v>2</v>
      </c>
      <c r="G22" s="2002" t="n"/>
      <c r="H22" s="6">
        <f>Test_Bible!P265</f>
        <v/>
      </c>
      <c r="I22" s="6">
        <f>Test_Bible!Q265</f>
        <v/>
      </c>
      <c r="J22" s="296">
        <f>IF(I22&lt;&gt;0,IF(I22/H22=E22,I22,""),"")</f>
        <v/>
      </c>
      <c r="K22" s="296">
        <f>IF(I22&lt;&gt;0,IF(I22/H22=F22,I22,""),"")</f>
        <v/>
      </c>
      <c r="L22" s="296">
        <f>IF(I22&lt;&gt;0,IF(I22/H22=G22,I22,""),"")</f>
        <v/>
      </c>
    </row>
    <row r="23" ht="34" customHeight="1">
      <c r="B23" s="1040" t="inlineStr">
        <is>
          <t>Propos d'adultes</t>
        </is>
      </c>
      <c r="C23" s="1862">
        <f>BIBLE!E156</f>
        <v/>
      </c>
      <c r="D23" s="1863">
        <f>BIBLE!F156</f>
        <v/>
      </c>
      <c r="E23" s="2002" t="n"/>
      <c r="F23" s="2002" t="n">
        <v>2</v>
      </c>
      <c r="G23" s="2002" t="n"/>
      <c r="H23" s="6">
        <f>Test_Bible!P267</f>
        <v/>
      </c>
      <c r="I23" s="6">
        <f>Test_Bible!Q267</f>
        <v/>
      </c>
      <c r="J23" s="296">
        <f>IF(I23&lt;&gt;0,IF(I23/H23=E23,I23,""),"")</f>
        <v/>
      </c>
      <c r="K23" s="296">
        <f>IF(I23&lt;&gt;0,IF(I23/H23=F23,I23,""),"")</f>
        <v/>
      </c>
      <c r="L23" s="296">
        <f>IF(I23&lt;&gt;0,IF(I23/H23=G23,I23,""),"")</f>
        <v/>
      </c>
    </row>
    <row r="24" ht="34" customHeight="1">
      <c r="B24" s="1040" t="inlineStr">
        <is>
          <t>Champion du parent aliénant</t>
        </is>
      </c>
      <c r="C24" s="1862">
        <f>BIBLE!E163</f>
        <v/>
      </c>
      <c r="D24" s="1868">
        <f>BIBLE!F163</f>
        <v/>
      </c>
      <c r="E24" s="2002" t="n"/>
      <c r="F24" s="2002" t="n">
        <v>2</v>
      </c>
      <c r="G24" s="2002" t="n"/>
      <c r="H24" s="6">
        <f>Test_Bible!P278</f>
        <v/>
      </c>
      <c r="I24" s="6">
        <f>Test_Bible!Q278</f>
        <v/>
      </c>
      <c r="J24" s="296">
        <f>IF(I24&lt;&gt;0,IF(I24/H24=E24,I24,""),"")</f>
        <v/>
      </c>
      <c r="K24" s="296">
        <f>IF(I24&lt;&gt;0,IF(I24/H24=F24,I24,""),"")</f>
        <v/>
      </c>
      <c r="L24" s="296">
        <f>IF(I24&lt;&gt;0,IF(I24/H24=G24,I24,""),"")</f>
        <v/>
      </c>
    </row>
    <row r="25" ht="34" customHeight="1">
      <c r="B25" s="1040" t="inlineStr">
        <is>
          <t>Dénigre le parent répondant</t>
        </is>
      </c>
      <c r="C25" s="1862">
        <f>BIBLE!E166</f>
        <v/>
      </c>
      <c r="D25" s="1868">
        <f>BIBLE!F166</f>
        <v/>
      </c>
      <c r="E25" s="2002" t="n"/>
      <c r="F25" s="2002" t="n">
        <v>2</v>
      </c>
      <c r="G25" s="2002" t="n"/>
      <c r="H25" s="6">
        <f>Test_Bible!P281</f>
        <v/>
      </c>
      <c r="I25" s="6">
        <f>Test_Bible!Q281</f>
        <v/>
      </c>
      <c r="J25" s="296">
        <f>IF(I25&lt;&gt;0,IF(I25/H25=E25,I25,""),"")</f>
        <v/>
      </c>
      <c r="K25" s="296">
        <f>IF(I25&lt;&gt;0,IF(I25/H25=F25,I25,""),"")</f>
        <v/>
      </c>
      <c r="L25" s="296">
        <f>IF(I25&lt;&gt;0,IF(I25/H25=G25,I25,""),"")</f>
        <v/>
      </c>
    </row>
    <row r="26" ht="34" customHeight="1">
      <c r="B26" s="1040" t="inlineStr">
        <is>
          <t>Dénigre le parent répondant</t>
        </is>
      </c>
      <c r="C26" s="1862">
        <f>BIBLE!E167</f>
        <v/>
      </c>
      <c r="D26" s="1868">
        <f>BIBLE!F167</f>
        <v/>
      </c>
      <c r="E26" s="2002" t="n"/>
      <c r="F26" s="2002" t="n">
        <v>2</v>
      </c>
      <c r="G26" s="2002" t="n"/>
      <c r="H26" s="6">
        <f>Test_Bible!P282</f>
        <v/>
      </c>
      <c r="I26" s="6">
        <f>Test_Bible!Q282</f>
        <v/>
      </c>
      <c r="J26" s="296">
        <f>IF(I26&lt;&gt;0,IF(I26/H26=E26,I26,""),"")</f>
        <v/>
      </c>
      <c r="K26" s="296">
        <f>IF(I26&lt;&gt;0,IF(I26/H26=F26,I26,""),"")</f>
        <v/>
      </c>
      <c r="L26" s="296">
        <f>IF(I26&lt;&gt;0,IF(I26/H26=G26,I26,""),"")</f>
        <v/>
      </c>
    </row>
    <row r="27" ht="51" customHeight="1">
      <c r="A27" s="13" t="inlineStr">
        <is>
          <t xml:space="preserve">Discrédite le parent, comportements agressifs, assaillants (fausses accusations, reproches non justifiés, discours clivé emprunté au parent aliénant) ; </t>
        </is>
      </c>
      <c r="C27" s="1862">
        <f>BIBLE!E169</f>
        <v/>
      </c>
      <c r="D27" s="1868">
        <f>BIBLE!F169</f>
        <v/>
      </c>
      <c r="E27" s="2002" t="n"/>
      <c r="F27" s="2002" t="n">
        <v>2</v>
      </c>
      <c r="G27" s="2002" t="n"/>
      <c r="H27" s="6">
        <f>Test_Bible!P283</f>
        <v/>
      </c>
      <c r="I27" s="6">
        <f>Test_Bible!Q283</f>
        <v/>
      </c>
      <c r="J27" s="296">
        <f>IF(I27&lt;&gt;0,IF(I27/H27=E27,I27,""),"")</f>
        <v/>
      </c>
      <c r="K27" s="296">
        <f>IF(I27&lt;&gt;0,IF(I27/H27=F27,I27,""),"")</f>
        <v/>
      </c>
      <c r="L27" s="296">
        <f>IF(I27&lt;&gt;0,IF(I27/H27=G27,I27,""),"")</f>
        <v/>
      </c>
    </row>
    <row r="28" ht="35" customHeight="1">
      <c r="C28" s="1862">
        <f>BIBLE!E171</f>
        <v/>
      </c>
      <c r="D28" s="1867">
        <f>BIBLE!F171</f>
        <v/>
      </c>
      <c r="E28" s="2002" t="n"/>
      <c r="F28" s="2002" t="n">
        <v>2</v>
      </c>
      <c r="G28" s="2002" t="n"/>
      <c r="H28" s="6">
        <f>Test_Bible!P284</f>
        <v/>
      </c>
      <c r="I28" s="6">
        <f>Test_Bible!Q284</f>
        <v/>
      </c>
      <c r="J28" s="296">
        <f>IF(I28&lt;&gt;0,IF(I28/H28=E28,I28,""),"")</f>
        <v/>
      </c>
      <c r="K28" s="296">
        <f>IF(I28&lt;&gt;0,IF(I28/H28=F28,I28,""),"")</f>
        <v/>
      </c>
      <c r="L28" s="296">
        <f>IF(I28&lt;&gt;0,IF(I28/H28=G28,I28,""),"")</f>
        <v/>
      </c>
    </row>
    <row r="29" ht="32" customHeight="1">
      <c r="A29" s="13" t="inlineStr">
        <is>
          <t xml:space="preserve">Participation active aux conflits ; Exagération des faits, les déformer ; </t>
        </is>
      </c>
      <c r="C29" s="1862">
        <f>BIBLE!E185</f>
        <v/>
      </c>
      <c r="D29" s="1868">
        <f>BIBLE!F185</f>
        <v/>
      </c>
      <c r="E29" s="2002" t="n"/>
      <c r="F29" s="2002" t="n">
        <v>2</v>
      </c>
      <c r="G29" s="2002" t="n"/>
      <c r="H29" s="6">
        <f>Test_Bible!P303</f>
        <v/>
      </c>
      <c r="I29" s="6">
        <f>Test_Bible!Q303</f>
        <v/>
      </c>
      <c r="J29" s="296">
        <f>IF(I29&lt;&gt;0,IF(I29/H29=E29,I29,""),"")</f>
        <v/>
      </c>
      <c r="K29" s="296">
        <f>IF(I29&lt;&gt;0,IF(I29/H29=F29,I29,""),"")</f>
        <v/>
      </c>
      <c r="L29" s="296">
        <f>IF(I29&lt;&gt;0,IF(I29/H29=G29,I29,""),"")</f>
        <v/>
      </c>
    </row>
    <row r="30" ht="32" customHeight="1">
      <c r="B30" s="1040" t="inlineStr">
        <is>
          <t>Champion du parent aliénant</t>
        </is>
      </c>
      <c r="C30" s="1862">
        <f>BIBLE!E186</f>
        <v/>
      </c>
      <c r="D30" s="1868">
        <f>BIBLE!F186</f>
        <v/>
      </c>
      <c r="E30" s="2002" t="n"/>
      <c r="F30" s="2002" t="n">
        <v>2</v>
      </c>
      <c r="G30" s="2002" t="n"/>
      <c r="H30" s="6">
        <f>Test_Bible!P304</f>
        <v/>
      </c>
      <c r="I30" s="6">
        <f>Test_Bible!Q304</f>
        <v/>
      </c>
      <c r="J30" s="296">
        <f>IF(I30&lt;&gt;0,IF(I30/H30=E30,I30,""),"")</f>
        <v/>
      </c>
      <c r="K30" s="296">
        <f>IF(I30&lt;&gt;0,IF(I30/H30=F30,I30,""),"")</f>
        <v/>
      </c>
      <c r="L30" s="296">
        <f>IF(I30&lt;&gt;0,IF(I30/H30=G30,I30,""),"")</f>
        <v/>
      </c>
    </row>
    <row r="31" ht="32" customHeight="1">
      <c r="A31" s="13" t="inlineStr">
        <is>
          <t xml:space="preserve">Changement d’attitudes et de comportements selon le parent avec lequel il est, selon les témoins (selon le degré d’AP). </t>
        </is>
      </c>
      <c r="C31" s="1862">
        <f>BIBLE!E187</f>
        <v/>
      </c>
      <c r="D31" s="1868">
        <f>BIBLE!F187</f>
        <v/>
      </c>
      <c r="E31" s="2002" t="n"/>
      <c r="F31" s="2002" t="n">
        <v>2</v>
      </c>
      <c r="G31" s="2002" t="n"/>
      <c r="H31" s="6">
        <f>Test_Bible!P305</f>
        <v/>
      </c>
      <c r="I31" s="6">
        <f>Test_Bible!Q305</f>
        <v/>
      </c>
      <c r="J31" s="296">
        <f>IF(I31&lt;&gt;0,IF(I31/H31=E31,I31,""),"")</f>
        <v/>
      </c>
      <c r="K31" s="296">
        <f>IF(I31&lt;&gt;0,IF(I31/H31=F31,I31,""),"")</f>
        <v/>
      </c>
      <c r="L31" s="296">
        <f>IF(I31&lt;&gt;0,IF(I31/H31=G31,I31,""),"")</f>
        <v/>
      </c>
    </row>
    <row r="32" ht="32" customHeight="1">
      <c r="A32" s="13" t="inlineStr">
        <is>
          <t xml:space="preserve">Changement d’attitudes et de comportements selon le parent avec lequel il est, selon les témoins (selon le degré d’AP). </t>
        </is>
      </c>
      <c r="C32" s="1880">
        <f>BIBLE!E188</f>
        <v/>
      </c>
      <c r="D32" s="1868">
        <f>BIBLE!F188</f>
        <v/>
      </c>
      <c r="E32" s="2002" t="n"/>
      <c r="F32" s="2002" t="n">
        <v>2</v>
      </c>
      <c r="G32" s="2002" t="n"/>
      <c r="H32" s="6">
        <f>Test_Bible!P306</f>
        <v/>
      </c>
      <c r="I32" s="6">
        <f>Test_Bible!Q306</f>
        <v/>
      </c>
      <c r="J32" s="296">
        <f>IF(I32&lt;&gt;0,IF(I32/H32=E32,I32,""),"")</f>
        <v/>
      </c>
      <c r="K32" s="296">
        <f>IF(I32&lt;&gt;0,IF(I32/H32=F32,I32,""),"")</f>
        <v/>
      </c>
      <c r="L32" s="296">
        <f>IF(I32&lt;&gt;0,IF(I32/H32=G32,I32,""),"")</f>
        <v/>
      </c>
    </row>
    <row r="33" ht="32" customHeight="1">
      <c r="C33" s="1862">
        <f>BIBLE!E176</f>
        <v/>
      </c>
      <c r="D33" s="1868">
        <f>BIBLE!F176</f>
        <v/>
      </c>
      <c r="E33" s="2002" t="n"/>
      <c r="F33" s="2002" t="n">
        <v>2</v>
      </c>
      <c r="G33" s="2002" t="n"/>
      <c r="H33" s="6">
        <f>Test_Bible!P294</f>
        <v/>
      </c>
      <c r="I33" s="6">
        <f>Test_Bible!Q294</f>
        <v/>
      </c>
      <c r="J33" s="296">
        <f>IF(I33&lt;&gt;0,IF(I33/H33=E33,I33,""),"")</f>
        <v/>
      </c>
      <c r="K33" s="296">
        <f>IF(I33&lt;&gt;0,IF(I33/H33=F33,I33,""),"")</f>
        <v/>
      </c>
      <c r="L33" s="296">
        <f>IF(I33&lt;&gt;0,IF(I33/H33=G33,I33,""),"")</f>
        <v/>
      </c>
    </row>
    <row r="34" ht="32" customHeight="1">
      <c r="C34" s="1862">
        <f>BIBLE!E177</f>
        <v/>
      </c>
      <c r="D34" s="1868">
        <f>BIBLE!F177</f>
        <v/>
      </c>
      <c r="E34" s="2002" t="n"/>
      <c r="F34" s="2002" t="n">
        <v>2</v>
      </c>
      <c r="G34" s="2002" t="n"/>
      <c r="H34" s="6">
        <f>Test_Bible!P295</f>
        <v/>
      </c>
      <c r="I34" s="6">
        <f>Test_Bible!Q295</f>
        <v/>
      </c>
      <c r="J34" s="296">
        <f>IF(I34&lt;&gt;0,IF(I34/H34=E34,I34,""),"")</f>
        <v/>
      </c>
      <c r="K34" s="296">
        <f>IF(I34&lt;&gt;0,IF(I34/H34=F34,I34,""),"")</f>
        <v/>
      </c>
      <c r="L34" s="296">
        <f>IF(I34&lt;&gt;0,IF(I34/H34=G34,I34,""),"")</f>
        <v/>
      </c>
    </row>
    <row r="35" ht="32" customHeight="1">
      <c r="A35" s="13" t="inlineStr">
        <is>
          <t xml:space="preserve">Changement d’attitudes et de comportements selon le parent avec lequel il est, selon les témoins (selon le degré d’AP). </t>
        </is>
      </c>
      <c r="C35" s="1862">
        <f>BIBLE!E191</f>
        <v/>
      </c>
      <c r="D35" s="1868">
        <f>BIBLE!F191</f>
        <v/>
      </c>
      <c r="E35" s="2002" t="n"/>
      <c r="F35" s="2002" t="n">
        <v>2</v>
      </c>
      <c r="G35" s="2002" t="n"/>
      <c r="H35" s="6">
        <f>Test_Bible!P315</f>
        <v/>
      </c>
      <c r="I35" s="6">
        <f>Test_Bible!Q315</f>
        <v/>
      </c>
      <c r="J35" s="296">
        <f>IF(I35&lt;&gt;0,IF(I35/H35=E35,I35,""),"")</f>
        <v/>
      </c>
      <c r="K35" s="296">
        <f>IF(I35&lt;&gt;0,IF(I35/H35=F35,I35,""),"")</f>
        <v/>
      </c>
      <c r="L35" s="296">
        <f>IF(I35&lt;&gt;0,IF(I35/H35=G35,I35,""),"")</f>
        <v/>
      </c>
    </row>
    <row r="36" ht="32" customHeight="1">
      <c r="A36" s="13" t="inlineStr">
        <is>
          <t xml:space="preserve">Passivité et inhibition du discours (passif et soumis aux exigences du parent aliénant) ; </t>
        </is>
      </c>
      <c r="C36" s="1862">
        <f>BIBLE!E192</f>
        <v/>
      </c>
      <c r="D36" s="1868">
        <f>BIBLE!F192</f>
        <v/>
      </c>
      <c r="E36" s="2002" t="n"/>
      <c r="F36" s="2002" t="n">
        <v>2</v>
      </c>
      <c r="G36" s="2002" t="n"/>
      <c r="H36" s="6">
        <f>Test_Bible!P316</f>
        <v/>
      </c>
      <c r="I36" s="6">
        <f>Test_Bible!Q316</f>
        <v/>
      </c>
      <c r="J36" s="296">
        <f>IF(I36&lt;&gt;0,IF(I36/H36=E36,I36,""),"")</f>
        <v/>
      </c>
      <c r="K36" s="296">
        <f>IF(I36&lt;&gt;0,IF(I36/H36=F36,I36,""),"")</f>
        <v/>
      </c>
      <c r="L36" s="296">
        <f>IF(I36&lt;&gt;0,IF(I36/H36=G36,I36,""),"")</f>
        <v/>
      </c>
    </row>
    <row r="37" ht="32" customHeight="1">
      <c r="C37" s="1864">
        <f>BIBLE!E180</f>
        <v/>
      </c>
      <c r="D37" s="1869">
        <f>BIBLE!F180</f>
        <v/>
      </c>
      <c r="E37" s="2002" t="n"/>
      <c r="F37" s="2002" t="n">
        <v>2</v>
      </c>
      <c r="G37" s="2002" t="n"/>
      <c r="H37" s="6">
        <f>Test_Bible!P298</f>
        <v/>
      </c>
      <c r="I37" s="6">
        <f>Test_Bible!Q298</f>
        <v/>
      </c>
      <c r="J37" s="296">
        <f>IF(I37&lt;&gt;0,IF(I37/H37=E37,I37,""),"")</f>
        <v/>
      </c>
      <c r="K37" s="296">
        <f>IF(I37&lt;&gt;0,IF(I37/H37=F37,I37,""),"")</f>
        <v/>
      </c>
      <c r="L37" s="296">
        <f>IF(I37&lt;&gt;0,IF(I37/H37=G37,I37,""),"")</f>
        <v/>
      </c>
    </row>
    <row r="38" ht="32" customHeight="1">
      <c r="C38" s="1862">
        <f>BIBLE!E181</f>
        <v/>
      </c>
      <c r="D38" s="1868">
        <f>BIBLE!F181</f>
        <v/>
      </c>
      <c r="E38" s="2002" t="n"/>
      <c r="F38" s="2002" t="n">
        <v>2</v>
      </c>
      <c r="G38" s="2002" t="n"/>
      <c r="H38" s="6">
        <f>Test_Bible!P299</f>
        <v/>
      </c>
      <c r="I38" s="6">
        <f>Test_Bible!Q299</f>
        <v/>
      </c>
      <c r="J38" s="296">
        <f>IF(I38&lt;&gt;0,IF(I38/H38=E38,I38,""),"")</f>
        <v/>
      </c>
      <c r="K38" s="296">
        <f>IF(I38&lt;&gt;0,IF(I38/H38=F38,I38,""),"")</f>
        <v/>
      </c>
      <c r="L38" s="296">
        <f>IF(I38&lt;&gt;0,IF(I38/H38=G38,I38,""),"")</f>
        <v/>
      </c>
    </row>
    <row r="39" ht="32" customHeight="1">
      <c r="A39" s="13" t="inlineStr">
        <is>
          <t xml:space="preserve">Manipulation de la réalité (mentir, prendre la défense du parent aliénant, absence de culpabilité) ; </t>
        </is>
      </c>
      <c r="C39" s="1862">
        <f>BIBLE!E196</f>
        <v/>
      </c>
      <c r="D39" s="1868">
        <f>BIBLE!F196</f>
        <v/>
      </c>
      <c r="E39" s="2002" t="n"/>
      <c r="F39" s="2002" t="n">
        <v>2</v>
      </c>
      <c r="G39" s="2002" t="n"/>
      <c r="H39" s="6">
        <f>Test_Bible!P320</f>
        <v/>
      </c>
      <c r="I39" s="6">
        <f>Test_Bible!Q320</f>
        <v/>
      </c>
      <c r="J39" s="296">
        <f>IF(I39&lt;&gt;0,IF(I39/H39=E39,I39,""),"")</f>
        <v/>
      </c>
      <c r="K39" s="296">
        <f>IF(I39&lt;&gt;0,IF(I39/H39=F39,I39,""),"")</f>
        <v/>
      </c>
      <c r="L39" s="296">
        <f>IF(I39&lt;&gt;0,IF(I39/H39=G39,I39,""),"")</f>
        <v/>
      </c>
    </row>
    <row r="40" ht="32" customHeight="1">
      <c r="A40" s="13" t="n"/>
      <c r="C40" s="1864">
        <f>BIBLE!E198</f>
        <v/>
      </c>
      <c r="D40" s="1869">
        <f>BIBLE!F198</f>
        <v/>
      </c>
      <c r="E40" s="2002" t="n"/>
      <c r="F40" s="2002" t="n">
        <v>2</v>
      </c>
      <c r="G40" s="2002" t="n"/>
      <c r="H40" s="6">
        <f>Test_Bible!P322</f>
        <v/>
      </c>
      <c r="I40" s="6">
        <f>Test_Bible!Q322</f>
        <v/>
      </c>
      <c r="J40" s="296">
        <f>IF(I40&lt;&gt;0,IF(I40/H40=E40,I40,""),"")</f>
        <v/>
      </c>
      <c r="K40" s="296">
        <f>IF(I40&lt;&gt;0,IF(I40/H40=F40,I40,""),"")</f>
        <v/>
      </c>
      <c r="L40" s="296">
        <f>IF(I40&lt;&gt;0,IF(I40/H40=G40,I40,""),"")</f>
        <v/>
      </c>
    </row>
    <row r="41" ht="32" customHeight="1">
      <c r="A41" s="13" t="inlineStr">
        <is>
          <t xml:space="preserve">Changement d’attitudes et de comportements selon le parent avec lequel il est, selon les témoins (selon le degré d’AP). </t>
        </is>
      </c>
      <c r="C41" s="1881">
        <f>BIBLE!E207</f>
        <v/>
      </c>
      <c r="D41" s="1863">
        <f>BIBLE!F207</f>
        <v/>
      </c>
      <c r="E41" s="2002" t="n"/>
      <c r="F41" s="2002" t="n">
        <v>2</v>
      </c>
      <c r="G41" s="2002" t="n"/>
      <c r="H41" s="6">
        <f>Test_Bible!P358</f>
        <v/>
      </c>
      <c r="I41" s="6">
        <f>Test_Bible!Q358</f>
        <v/>
      </c>
      <c r="J41" s="296">
        <f>IF(I41&lt;&gt;0,IF(I41/H41=E41,I41,""),"")</f>
        <v/>
      </c>
      <c r="K41" s="296">
        <f>IF(I41&lt;&gt;0,IF(I41/H41=F41,I41,""),"")</f>
        <v/>
      </c>
      <c r="L41" s="296">
        <f>IF(I41&lt;&gt;0,IF(I41/H41=G41,I41,""),"")</f>
        <v/>
      </c>
    </row>
    <row r="42" ht="32" customHeight="1">
      <c r="A42" s="13" t="inlineStr">
        <is>
          <t xml:space="preserve">Changement d’attitudes et de comportements selon le parent avec lequel il est, selon les témoins (selon le degré d’AP). </t>
        </is>
      </c>
      <c r="C42" s="1862">
        <f>BIBLE!E164</f>
        <v/>
      </c>
      <c r="D42" s="1868">
        <f>BIBLE!F164</f>
        <v/>
      </c>
      <c r="E42" s="521" t="n"/>
      <c r="F42" s="521" t="n">
        <v>2</v>
      </c>
      <c r="G42" s="521" t="n">
        <v>3</v>
      </c>
      <c r="H42" s="1883">
        <f>Test_Bible!P279</f>
        <v/>
      </c>
      <c r="I42" s="1883">
        <f>Test_Bible!Q279</f>
        <v/>
      </c>
      <c r="J42" s="1884">
        <f>IF(I42&lt;&gt;0,IF(I42/H42=E42,I42,""),"")</f>
        <v/>
      </c>
      <c r="K42" s="1884">
        <f>IF(I42&lt;&gt;0,IF(I42/H42=F42,I42,""),"")</f>
        <v/>
      </c>
      <c r="L42" s="1884">
        <f>IF(I42&lt;&gt;0,IF(I42/H42=G42,I42,""),"")</f>
        <v/>
      </c>
    </row>
    <row r="43" ht="32" customHeight="1">
      <c r="B43" s="1040" t="inlineStr">
        <is>
          <t>Dénigre le parent répondant</t>
        </is>
      </c>
      <c r="C43" s="1862">
        <f>BIBLE!E165</f>
        <v/>
      </c>
      <c r="D43" s="1868">
        <f>BIBLE!F165</f>
        <v/>
      </c>
      <c r="E43" s="521" t="n"/>
      <c r="F43" s="521" t="n">
        <v>2</v>
      </c>
      <c r="G43" s="521" t="n">
        <v>3</v>
      </c>
      <c r="H43" s="1883">
        <f>Test_Bible!P280</f>
        <v/>
      </c>
      <c r="I43" s="1883">
        <f>Test_Bible!Q280</f>
        <v/>
      </c>
      <c r="J43" s="1884">
        <f>IF(I43&lt;&gt;0,IF(I43/H43=E43,I43,""),"")</f>
        <v/>
      </c>
      <c r="K43" s="1884">
        <f>IF(I43&lt;&gt;0,IF(I43/H43=F43,I43,""),"")</f>
        <v/>
      </c>
      <c r="L43" s="1884">
        <f>IF(I43&lt;&gt;0,IF(I43/H43=G43,I43,""),"")</f>
        <v/>
      </c>
    </row>
    <row r="44" ht="32" customHeight="1">
      <c r="C44" s="1864">
        <f>BIBLE!E173</f>
        <v/>
      </c>
      <c r="D44" s="1869">
        <f>BIBLE!F173</f>
        <v/>
      </c>
      <c r="E44" s="521" t="n"/>
      <c r="F44" s="521" t="n">
        <v>2</v>
      </c>
      <c r="G44" s="521" t="n">
        <v>3</v>
      </c>
      <c r="H44" s="1883">
        <f>Test_Bible!P291</f>
        <v/>
      </c>
      <c r="I44" s="1883">
        <f>Test_Bible!Q291</f>
        <v/>
      </c>
      <c r="J44" s="1884">
        <f>IF(I44&lt;&gt;0,IF(I44/H44=E44,I44,""),"")</f>
        <v/>
      </c>
      <c r="K44" s="1884">
        <f>IF(I44&lt;&gt;0,IF(I44/H44=F44,I44,""),"")</f>
        <v/>
      </c>
      <c r="L44" s="1884">
        <f>IF(I44&lt;&gt;0,IF(I44/H44=G44,I44,""),"")</f>
        <v/>
      </c>
    </row>
    <row r="45" ht="32" customHeight="1">
      <c r="C45" s="1864">
        <f>BIBLE!E175</f>
        <v/>
      </c>
      <c r="D45" s="1869">
        <f>BIBLE!F175</f>
        <v/>
      </c>
      <c r="E45" s="521" t="n"/>
      <c r="F45" s="521" t="n">
        <v>2</v>
      </c>
      <c r="G45" s="521" t="n">
        <v>3</v>
      </c>
      <c r="H45" s="1883">
        <f>Test_Bible!P293</f>
        <v/>
      </c>
      <c r="I45" s="1883">
        <f>Test_Bible!Q293</f>
        <v/>
      </c>
      <c r="J45" s="1884">
        <f>IF(I45&lt;&gt;0,IF(I45/H45=E45,I45,""),"")</f>
        <v/>
      </c>
      <c r="K45" s="1884">
        <f>IF(I45&lt;&gt;0,IF(I45/H45=F45,I45,""),"")</f>
        <v/>
      </c>
      <c r="L45" s="1884">
        <f>IF(I45&lt;&gt;0,IF(I45/H45=G45,I45,""),"")</f>
        <v/>
      </c>
    </row>
    <row r="46" ht="32" customHeight="1">
      <c r="C46" s="1862">
        <f>BIBLE!E194</f>
        <v/>
      </c>
      <c r="D46" s="1868">
        <f>BIBLE!F194</f>
        <v/>
      </c>
      <c r="E46" s="521" t="n"/>
      <c r="F46" s="521" t="n">
        <v>2</v>
      </c>
      <c r="G46" s="521" t="n">
        <v>3</v>
      </c>
      <c r="H46" s="1883">
        <f>Test_Bible!P318</f>
        <v/>
      </c>
      <c r="I46" s="1883">
        <f>Test_Bible!Q318</f>
        <v/>
      </c>
      <c r="J46" s="1884">
        <f>IF(I46&lt;&gt;0,IF(I46/H46=E46,I46,""),"")</f>
        <v/>
      </c>
      <c r="K46" s="1884">
        <f>IF(I46&lt;&gt;0,IF(I46/H46=F46,I46,""),"")</f>
        <v/>
      </c>
      <c r="L46" s="1884">
        <f>IF(I46&lt;&gt;0,IF(I46/H46=G46,I46,""),"")</f>
        <v/>
      </c>
    </row>
    <row r="47" ht="32" customHeight="1">
      <c r="C47" s="1872">
        <f>BIBLE!E200</f>
        <v/>
      </c>
      <c r="D47" s="1867">
        <f>BIBLE!F200</f>
        <v/>
      </c>
      <c r="E47" s="521" t="n"/>
      <c r="F47" s="521" t="n">
        <v>2</v>
      </c>
      <c r="G47" s="521" t="n">
        <v>3</v>
      </c>
      <c r="H47" s="1883">
        <f>Test_Bible!P324</f>
        <v/>
      </c>
      <c r="I47" s="1883">
        <f>Test_Bible!Q324</f>
        <v/>
      </c>
      <c r="J47" s="1884">
        <f>IF(I47&lt;&gt;0,IF(I47/H47=E47,I47,""),"")</f>
        <v/>
      </c>
      <c r="K47" s="1884">
        <f>IF(I47&lt;&gt;0,IF(I47/H47=F47,I47,""),"")</f>
        <v/>
      </c>
      <c r="L47" s="1884">
        <f>IF(I47&lt;&gt;0,IF(I47/H47=G47,I47,""),"")</f>
        <v/>
      </c>
    </row>
    <row r="48" ht="32" customHeight="1">
      <c r="B48" s="1040" t="inlineStr">
        <is>
          <t>Champion du parent aliénant</t>
        </is>
      </c>
      <c r="C48" s="1864">
        <f>BIBLE!E155</f>
        <v/>
      </c>
      <c r="D48" s="1865">
        <f>BIBLE!F155</f>
        <v/>
      </c>
      <c r="E48" s="2002" t="n"/>
      <c r="F48" s="2002" t="n"/>
      <c r="G48" s="2002" t="n">
        <v>3</v>
      </c>
      <c r="H48" s="6">
        <f>Test_Bible!P266</f>
        <v/>
      </c>
      <c r="I48" s="6">
        <f>Test_Bible!Q266</f>
        <v/>
      </c>
      <c r="J48" s="296">
        <f>IF(I48&lt;&gt;0,IF(I48/H48=E48,I48,""),"")</f>
        <v/>
      </c>
      <c r="K48" s="296">
        <f>IF(I48&lt;&gt;0,IF(I48/H48=F48,I48,""),"")</f>
        <v/>
      </c>
      <c r="L48" s="296">
        <f>IF(I48&lt;&gt;0,IF(I48/H48=G48,I48,""),"")</f>
        <v/>
      </c>
    </row>
    <row r="49" ht="32" customHeight="1">
      <c r="A49" s="13" t="inlineStr">
        <is>
          <t xml:space="preserve">Discrédite le parent, comportements agressifs, assaillants (fausses accusations, reproches non justifiés, discours clivé emprunté au parent aliénant) ; </t>
        </is>
      </c>
      <c r="B49" s="1040" t="inlineStr">
        <is>
          <t>Propos d'adultes</t>
        </is>
      </c>
      <c r="C49" s="1864">
        <f>BIBLE!E159</f>
        <v/>
      </c>
      <c r="D49" s="1865">
        <f>BIBLE!F159</f>
        <v/>
      </c>
      <c r="E49" s="2002" t="n"/>
      <c r="F49" s="2002" t="n"/>
      <c r="G49" s="2002" t="n">
        <v>3</v>
      </c>
      <c r="H49" s="6">
        <f>Test_Bible!P274</f>
        <v/>
      </c>
      <c r="I49" s="6">
        <f>Test_Bible!Q274</f>
        <v/>
      </c>
      <c r="J49" s="296">
        <f>IF(I49&lt;&gt;0,IF(I49/H49=E49,I49,""),"")</f>
        <v/>
      </c>
      <c r="K49" s="296">
        <f>IF(I49&lt;&gt;0,IF(I49/H49=F49,I49,""),"")</f>
        <v/>
      </c>
      <c r="L49" s="296">
        <f>IF(I49&lt;&gt;0,IF(I49/H49=G49,I49,""),"")</f>
        <v/>
      </c>
    </row>
    <row r="50" ht="32" customHeight="1">
      <c r="A50" s="13" t="inlineStr">
        <is>
          <t xml:space="preserve">Discrédite le parent, comportements agressifs, assaillants (fausses accusations, reproches non justifiés, discours clivé emprunté au parent aliénant) ; </t>
        </is>
      </c>
      <c r="B50" s="1040" t="inlineStr">
        <is>
          <t>Propos d'adultes</t>
        </is>
      </c>
      <c r="C50" s="1864">
        <f>BIBLE!E160</f>
        <v/>
      </c>
      <c r="D50" s="1865">
        <f>BIBLE!F160</f>
        <v/>
      </c>
      <c r="E50" s="2002" t="n"/>
      <c r="F50" s="2002" t="n"/>
      <c r="G50" s="2002" t="n">
        <v>3</v>
      </c>
      <c r="H50" s="6">
        <f>Test_Bible!P275</f>
        <v/>
      </c>
      <c r="I50" s="6">
        <f>Test_Bible!Q275</f>
        <v/>
      </c>
      <c r="J50" s="296">
        <f>IF(I50&lt;&gt;0,IF(I50/H50=E50,I50,""),"")</f>
        <v/>
      </c>
      <c r="K50" s="296">
        <f>IF(I50&lt;&gt;0,IF(I50/H50=F50,I50,""),"")</f>
        <v/>
      </c>
      <c r="L50" s="296">
        <f>IF(I50&lt;&gt;0,IF(I50/H50=G50,I50,""),"")</f>
        <v/>
      </c>
    </row>
    <row r="51" ht="32" customHeight="1">
      <c r="B51" s="1040" t="inlineStr">
        <is>
          <t>Dénigre le parent répondant</t>
        </is>
      </c>
      <c r="C51" s="1864">
        <f>BIBLE!E168</f>
        <v/>
      </c>
      <c r="D51" s="1869">
        <f>BIBLE!F168</f>
        <v/>
      </c>
      <c r="E51" s="2002" t="n"/>
      <c r="F51" s="2002" t="n"/>
      <c r="G51" s="2002" t="n">
        <v>3</v>
      </c>
      <c r="H51" s="6">
        <f>Test_Bible!P283</f>
        <v/>
      </c>
      <c r="I51" s="6">
        <f>Test_Bible!Q283</f>
        <v/>
      </c>
      <c r="J51" s="296">
        <f>IF(I51&lt;&gt;0,IF(I51/H51=E51,I51,""),"")</f>
        <v/>
      </c>
      <c r="K51" s="296">
        <f>IF(I51&lt;&gt;0,IF(I51/H51=F51,I51,""),"")</f>
        <v/>
      </c>
      <c r="L51" s="296">
        <f>IF(I51&lt;&gt;0,IF(I51/H51=G51,I51,""),"")</f>
        <v/>
      </c>
    </row>
    <row r="52" ht="32" customHeight="1">
      <c r="C52" s="1864">
        <f>BIBLE!E174</f>
        <v/>
      </c>
      <c r="D52" s="1869">
        <f>BIBLE!F174</f>
        <v/>
      </c>
      <c r="E52" s="2002" t="n"/>
      <c r="F52" s="2002" t="n"/>
      <c r="G52" s="2002" t="n">
        <v>3</v>
      </c>
      <c r="H52" s="6">
        <f>Test_Bible!P292</f>
        <v/>
      </c>
      <c r="I52" s="6">
        <f>Test_Bible!Q292</f>
        <v/>
      </c>
      <c r="J52" s="296">
        <f>IF(I52&lt;&gt;0,IF(I52/H52=E52,I52,""),"")</f>
        <v/>
      </c>
      <c r="K52" s="296">
        <f>IF(I52&lt;&gt;0,IF(I52/H52=F52,I52,""),"")</f>
        <v/>
      </c>
      <c r="L52" s="296">
        <f>IF(I52&lt;&gt;0,IF(I52/H52=G52,I52,""),"")</f>
        <v/>
      </c>
    </row>
    <row r="53" ht="32" customHeight="1">
      <c r="C53" s="1870">
        <f>BIBLE!E178</f>
        <v/>
      </c>
      <c r="D53" s="1867">
        <f>BIBLE!F178</f>
        <v/>
      </c>
      <c r="E53" s="2002" t="n"/>
      <c r="F53" s="2002" t="n"/>
      <c r="G53" s="2002" t="n">
        <v>3</v>
      </c>
      <c r="H53" s="6">
        <f>Test_Bible!P296</f>
        <v/>
      </c>
      <c r="I53" s="6">
        <f>Test_Bible!Q296</f>
        <v/>
      </c>
      <c r="J53" s="296">
        <f>IF(I53&lt;&gt;0,IF(I53/H53=E53,I53,""),"")</f>
        <v/>
      </c>
      <c r="K53" s="296">
        <f>IF(I53&lt;&gt;0,IF(I53/H53=F53,I53,""),"")</f>
        <v/>
      </c>
      <c r="L53" s="296">
        <f>IF(I53&lt;&gt;0,IF(I53/H53=G53,I53,""),"")</f>
        <v/>
      </c>
    </row>
    <row r="54" ht="32" customHeight="1">
      <c r="B54" s="1040" t="inlineStr">
        <is>
          <t>Il donne des raisons absurdes (incl. Souvenirs déformés)</t>
        </is>
      </c>
      <c r="C54" s="1864">
        <f>BIBLE!E182</f>
        <v/>
      </c>
      <c r="D54" s="1869">
        <f>BIBLE!F182</f>
        <v/>
      </c>
      <c r="E54" s="2002" t="n"/>
      <c r="F54" s="2002" t="n"/>
      <c r="G54" s="2002" t="n">
        <v>3</v>
      </c>
      <c r="H54" s="6">
        <f>Test_Bible!P300</f>
        <v/>
      </c>
      <c r="I54" s="6">
        <f>Test_Bible!Q300</f>
        <v/>
      </c>
      <c r="J54" s="296">
        <f>IF(I54&lt;&gt;0,IF(I54/H54=E54,I54,""),"")</f>
        <v/>
      </c>
      <c r="K54" s="296">
        <f>IF(I54&lt;&gt;0,IF(I54/H54=F54,I54,""),"")</f>
        <v/>
      </c>
      <c r="L54" s="296">
        <f>IF(I54&lt;&gt;0,IF(I54/H54=G54,I54,""),"")</f>
        <v/>
      </c>
    </row>
    <row r="55" ht="32" customHeight="1">
      <c r="A55" s="13" t="inlineStr">
        <is>
          <t xml:space="preserve">Discrédite le parent, comportements agressifs, assaillants (fausses accusations, reproches non justifiés, discours clivé emprunté au parent aliénant) ; </t>
        </is>
      </c>
      <c r="C55" s="1864">
        <f>BIBLE!E190</f>
        <v/>
      </c>
      <c r="D55" s="1869">
        <f>BIBLE!F190</f>
        <v/>
      </c>
      <c r="E55" s="2002" t="n"/>
      <c r="F55" s="2002" t="n"/>
      <c r="G55" s="2002" t="n">
        <v>3</v>
      </c>
      <c r="H55" s="6">
        <f>Test_Bible!P314</f>
        <v/>
      </c>
      <c r="I55" s="6">
        <f>Test_Bible!Q314</f>
        <v/>
      </c>
      <c r="J55" s="296">
        <f>IF(I55&lt;&gt;0,IF(I55/H55=E55,I55,""),"")</f>
        <v/>
      </c>
      <c r="K55" s="296">
        <f>IF(I55&lt;&gt;0,IF(I55/H55=F55,I55,""),"")</f>
        <v/>
      </c>
      <c r="L55" s="296">
        <f>IF(I55&lt;&gt;0,IF(I55/H55=G55,I55,""),"")</f>
        <v/>
      </c>
    </row>
    <row r="56" ht="32" customHeight="1">
      <c r="C56" s="1871">
        <f>BIBLE!E193</f>
        <v/>
      </c>
      <c r="D56" s="1869">
        <f>BIBLE!F193</f>
        <v/>
      </c>
      <c r="E56" s="2002" t="n"/>
      <c r="F56" s="2002" t="n"/>
      <c r="G56" s="2002" t="n">
        <v>3</v>
      </c>
      <c r="H56" s="6">
        <f>Test_Bible!P317</f>
        <v/>
      </c>
      <c r="I56" s="6">
        <f>Test_Bible!Q317</f>
        <v/>
      </c>
      <c r="J56" s="296">
        <f>IF(I56&lt;&gt;0,IF(I56/H56=E56,I56,""),"")</f>
        <v/>
      </c>
      <c r="K56" s="296">
        <f>IF(I56&lt;&gt;0,IF(I56/H56=F56,I56,""),"")</f>
        <v/>
      </c>
      <c r="L56" s="296">
        <f>IF(I56&lt;&gt;0,IF(I56/H56=G56,I56,""),"")</f>
        <v/>
      </c>
    </row>
    <row r="57" ht="32" customHeight="1">
      <c r="B57" s="1040" t="inlineStr">
        <is>
          <t>Propos d'adultes</t>
        </is>
      </c>
      <c r="C57" s="1862">
        <f>BIBLE!E195</f>
        <v/>
      </c>
      <c r="D57" s="1868">
        <f>BIBLE!F195</f>
        <v/>
      </c>
      <c r="E57" s="2002" t="n"/>
      <c r="F57" s="2002" t="n"/>
      <c r="G57" s="2002" t="n">
        <v>3</v>
      </c>
      <c r="H57" s="6">
        <f>Test_Bible!P319</f>
        <v/>
      </c>
      <c r="I57" s="6">
        <f>Test_Bible!Q319</f>
        <v/>
      </c>
      <c r="J57" s="296">
        <f>IF(I57&lt;&gt;0,IF(I57/H57=E57,I57,""),"")</f>
        <v/>
      </c>
      <c r="K57" s="296">
        <f>IF(I57&lt;&gt;0,IF(I57/H57=F57,I57,""),"")</f>
        <v/>
      </c>
      <c r="L57" s="296">
        <f>IF(I57&lt;&gt;0,IF(I57/H57=G57,I57,""),"")</f>
        <v/>
      </c>
    </row>
    <row r="58" ht="32" customHeight="1">
      <c r="C58" s="1862">
        <f>BIBLE!E197</f>
        <v/>
      </c>
      <c r="D58" s="1868">
        <f>BIBLE!F197</f>
        <v/>
      </c>
      <c r="E58" s="2002" t="n"/>
      <c r="F58" s="2002" t="n"/>
      <c r="G58" s="2002" t="n">
        <v>3</v>
      </c>
      <c r="H58" s="6">
        <f>Test_Bible!P321</f>
        <v/>
      </c>
      <c r="I58" s="6">
        <f>Test_Bible!Q321</f>
        <v/>
      </c>
      <c r="J58" s="296">
        <f>IF(I58&lt;&gt;0,IF(I58/H58=E58,I58,""),"")</f>
        <v/>
      </c>
      <c r="K58" s="296">
        <f>IF(I58&lt;&gt;0,IF(I58/H58=F58,I58,""),"")</f>
        <v/>
      </c>
      <c r="L58" s="296">
        <f>IF(I58&lt;&gt;0,IF(I58/H58=G58,I58,""),"")</f>
        <v/>
      </c>
    </row>
    <row r="59" ht="32" customHeight="1">
      <c r="C59" s="1864">
        <f>BIBLE!E199</f>
        <v/>
      </c>
      <c r="D59" s="1869">
        <f>BIBLE!F199</f>
        <v/>
      </c>
      <c r="E59" s="2002" t="n"/>
      <c r="F59" s="2002" t="n"/>
      <c r="G59" s="2002" t="n">
        <v>3</v>
      </c>
      <c r="H59" s="6">
        <f>Test_Bible!P323</f>
        <v/>
      </c>
      <c r="I59" s="6">
        <f>Test_Bible!Q323</f>
        <v/>
      </c>
      <c r="J59" s="296">
        <f>IF(I59&lt;&gt;0,IF(I59/H59=E59,I59,""),"")</f>
        <v/>
      </c>
      <c r="K59" s="296">
        <f>IF(I59&lt;&gt;0,IF(I59/H59=F59,I59,""),"")</f>
        <v/>
      </c>
      <c r="L59" s="296">
        <f>IF(I59&lt;&gt;0,IF(I59/H59=G59,I59,""),"")</f>
        <v/>
      </c>
    </row>
    <row r="60" ht="27" customHeight="1">
      <c r="G60" s="1890" t="inlineStr">
        <is>
          <t>Total</t>
        </is>
      </c>
      <c r="H60" s="75" t="n"/>
      <c r="I60" s="75" t="inlineStr">
        <is>
          <t>Valeut totale</t>
        </is>
      </c>
      <c r="J60" s="1889">
        <f>SUM(J13:J59)</f>
        <v/>
      </c>
      <c r="K60" s="1889">
        <f>SUM(K13:K59)</f>
        <v/>
      </c>
      <c r="L60" s="1889">
        <f>SUM(L13:L59)</f>
        <v/>
      </c>
    </row>
    <row r="61" ht="20" customHeight="1">
      <c r="G61" s="1890" t="inlineStr">
        <is>
          <t># compt.</t>
        </is>
      </c>
      <c r="H61" s="75" t="n"/>
      <c r="I61" s="75" t="inlineStr">
        <is>
          <t># comport.</t>
        </is>
      </c>
      <c r="J61" s="1889">
        <f>COUNT(J13:J59)</f>
        <v/>
      </c>
      <c r="K61" s="1889">
        <f>COUNT(K13:K59)</f>
        <v/>
      </c>
      <c r="L61" s="1889">
        <f>COUNT(L13:L59)</f>
        <v/>
      </c>
    </row>
    <row r="62" ht="21" customHeight="1">
      <c r="C62" s="1875" t="n"/>
      <c r="D62" s="1876" t="n"/>
      <c r="E62" s="7" t="n"/>
      <c r="F62" s="7" t="n"/>
      <c r="G62" s="1890" t="inlineStr">
        <is>
          <t>Moyenne</t>
        </is>
      </c>
      <c r="J62" s="1891">
        <f>J60/J61</f>
        <v/>
      </c>
      <c r="K62" s="1891">
        <f>K60/K61</f>
        <v/>
      </c>
      <c r="L62" s="1891">
        <f>L60/L61</f>
        <v/>
      </c>
    </row>
    <row r="63">
      <c r="G63" s="1890" t="inlineStr">
        <is>
          <t>Moyenne de fréquence</t>
        </is>
      </c>
      <c r="J63" s="2116">
        <f>J62/1</f>
        <v/>
      </c>
      <c r="K63" s="2116">
        <f>K62/2</f>
        <v/>
      </c>
      <c r="L63" s="2116">
        <f>L62/3</f>
        <v/>
      </c>
    </row>
    <row r="64">
      <c r="F64" s="7" t="n"/>
    </row>
    <row r="69" ht="34" customHeight="1">
      <c r="C69" s="1874" t="inlineStr">
        <is>
          <t>E36a</t>
        </is>
      </c>
      <c r="D69" s="1869" t="inlineStr">
        <is>
          <t>Quelles sont les manifestations ou troubles psychosomatiques présents chez votre enfant et à quelle fréquence?</t>
        </is>
      </c>
      <c r="E69" s="7" t="n"/>
      <c r="F69" s="7" t="n"/>
    </row>
    <row r="70" ht="41" customHeight="1">
      <c r="C70" s="1874" t="inlineStr">
        <is>
          <t>E36b</t>
        </is>
      </c>
      <c r="D70" s="1869" t="inlineStr">
        <is>
          <t>Lesquelles de ces manifestations étaient déjà apparentes avant la séparation et à quelle fréquence?</t>
        </is>
      </c>
      <c r="E70" s="7" t="n"/>
      <c r="F70" s="7" t="n"/>
    </row>
    <row r="74" ht="34" customHeight="1">
      <c r="C74" s="1873" t="inlineStr">
        <is>
          <t>E27</t>
        </is>
      </c>
      <c r="D74" s="1868" t="inlineStr">
        <is>
          <t>Dans quelle mesure notez-vous un changement au niveau du comportement de votre enfant à son retour de garde?</t>
        </is>
      </c>
    </row>
    <row r="75" ht="17" customHeight="1">
      <c r="C75" s="558" t="inlineStr">
        <is>
          <t>E27a</t>
        </is>
      </c>
      <c r="D75" s="799" t="inlineStr">
        <is>
          <t>De manière générale, au retour d'un séjour chez l'autre parent, votre enfant vous paraît :</t>
        </is>
      </c>
      <c r="E75" s="1885" t="inlineStr">
        <is>
          <t>calme (0)/ neutre(0) / enjoué.e(0) / taciturne(1) / anxieux(1) / agressif (1). - ON/OFF</t>
        </is>
      </c>
    </row>
    <row r="76" ht="34" customHeight="1">
      <c r="C76" s="1873" t="inlineStr">
        <is>
          <t>E37</t>
        </is>
      </c>
      <c r="D76" s="1863" t="inlineStr">
        <is>
          <t>Dans quelle mesure notez-vous un changement au niveau du comportement de votre enfant au moment de retouner chez l'autre parent (changement de garde)?</t>
        </is>
      </c>
      <c r="E76" s="1464" t="n"/>
    </row>
    <row r="77" ht="17" customHeight="1">
      <c r="C77" s="1877" t="inlineStr">
        <is>
          <t>E37a</t>
        </is>
      </c>
      <c r="D77" s="1878" t="inlineStr">
        <is>
          <t>Au moment de retouner chez l'autre parent (changement de garde), votre enfant vous paraît :</t>
        </is>
      </c>
      <c r="E77" s="1886" t="inlineStr">
        <is>
          <t>calme (0)/ neutre(0) / enjoué.e(0) / taciturne(1) / anxieux(1) / agressif (1). - ON/OFF</t>
        </is>
      </c>
    </row>
    <row r="83" ht="34" customHeight="1">
      <c r="A83" s="1040" t="inlineStr">
        <is>
          <t>Rejet de la famille élargie et valeurs</t>
        </is>
      </c>
      <c r="C83" s="1871" t="inlineStr">
        <is>
          <t>E35a</t>
        </is>
      </c>
      <c r="D83" s="1869" t="inlineStr">
        <is>
          <t>Dans quelle mesure diriez-vous que votre enfant refuse les contacts avec votre famille élargie (grands-parents, cousin.es, etc.)?</t>
        </is>
      </c>
      <c r="E83" s="7" t="n">
        <v>1</v>
      </c>
      <c r="F83" s="7" t="n"/>
    </row>
    <row r="84" ht="17" customHeight="1">
      <c r="A84" s="1040" t="inlineStr">
        <is>
          <t>Rejet de la famille élargie et valeurs (DIFF)</t>
        </is>
      </c>
      <c r="C84" s="1871">
        <f>BIBLE!E203</f>
        <v/>
      </c>
      <c r="D84" s="1869">
        <f>BIBLE!F203</f>
        <v/>
      </c>
      <c r="E84" s="7" t="n">
        <v>1</v>
      </c>
      <c r="F84" s="7" t="n"/>
    </row>
  </sheetData>
  <mergeCells count="2">
    <mergeCell ref="J11:L11"/>
    <mergeCell ref="E11:G11"/>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D1:AK82"/>
  <sheetViews>
    <sheetView showGridLines="0" topLeftCell="C1" zoomScale="95" zoomScaleNormal="95" workbookViewId="0">
      <selection activeCell="H22" sqref="H22"/>
    </sheetView>
  </sheetViews>
  <sheetFormatPr baseColWidth="10" defaultRowHeight="16"/>
  <cols>
    <col width="114.33203125" customWidth="1" min="6" max="6"/>
    <col width="5.33203125" customWidth="1" min="7" max="7"/>
    <col width="5.6640625" customWidth="1" min="8" max="8"/>
    <col width="12.33203125" customWidth="1" style="2089" min="9" max="9"/>
    <col width="3.33203125" customWidth="1" style="1661" min="10" max="10"/>
    <col width="9.33203125" customWidth="1" style="2089" min="11" max="11"/>
    <col width="12.33203125" customWidth="1" style="2089" min="12" max="14"/>
    <col width="10.83203125" customWidth="1" style="2089" min="15" max="15"/>
    <col width="9" customWidth="1" min="16" max="16"/>
    <col width="8.1640625" customWidth="1" min="18" max="18"/>
  </cols>
  <sheetData>
    <row r="1" ht="21" customHeight="1">
      <c r="D1" s="49" t="inlineStr">
        <is>
          <t>Questions qui démontre des intentions possibles d'exclusion :</t>
        </is>
      </c>
    </row>
    <row r="2" ht="48" customHeight="1" thickBot="1">
      <c r="I2" s="2073" t="inlineStr">
        <is>
          <t>MAX
(Q et SQ et|ou NC)</t>
        </is>
      </c>
      <c r="K2" s="2089" t="inlineStr">
        <is>
          <t>INDICE D'EXCLUSION</t>
        </is>
      </c>
    </row>
    <row r="3" ht="62" customHeight="1">
      <c r="G3" s="1637" t="inlineStr">
        <is>
          <t>Fréquence</t>
        </is>
      </c>
      <c r="H3" s="1638" t="inlineStr">
        <is>
          <t>intensité</t>
        </is>
      </c>
      <c r="I3" s="1634" t="inlineStr">
        <is>
          <t>Valeur d'analyse</t>
        </is>
      </c>
      <c r="K3" s="1568" t="inlineStr">
        <is>
          <t>Aucune</t>
        </is>
      </c>
      <c r="L3" s="1568" t="inlineStr">
        <is>
          <t>Faible</t>
        </is>
      </c>
      <c r="M3" s="1568" t="inlineStr">
        <is>
          <t>Possible</t>
        </is>
      </c>
      <c r="N3" s="1568" t="inlineStr">
        <is>
          <t>Probable</t>
        </is>
      </c>
      <c r="O3" s="1568" t="inlineStr">
        <is>
          <t>MAX</t>
        </is>
      </c>
      <c r="Q3" s="1" t="n"/>
    </row>
    <row r="4">
      <c r="G4" s="1639" t="n"/>
      <c r="H4" s="1640" t="n"/>
      <c r="I4" s="1579" t="n"/>
      <c r="K4" s="2032" t="n"/>
      <c r="L4" s="2032" t="n"/>
      <c r="M4" s="2032" t="n"/>
      <c r="N4" s="2032" t="n"/>
      <c r="O4" s="2032" t="n"/>
    </row>
    <row r="5">
      <c r="D5">
        <f>Test_Bible!A177</f>
        <v/>
      </c>
      <c r="E5">
        <f>Test_Bible!B177</f>
        <v/>
      </c>
      <c r="G5" s="1642">
        <f>Test_Bible!P177</f>
        <v/>
      </c>
      <c r="H5" s="1640" t="n"/>
      <c r="I5" s="1636">
        <f>G5</f>
        <v/>
      </c>
      <c r="J5" s="1664" t="n"/>
      <c r="K5" s="2032" t="n">
        <v>0</v>
      </c>
      <c r="L5" s="2032" t="n">
        <v>1</v>
      </c>
      <c r="M5" s="2032" t="inlineStr">
        <is>
          <t>2 à 3</t>
        </is>
      </c>
      <c r="N5" s="2032" t="inlineStr">
        <is>
          <t>4 à 10</t>
        </is>
      </c>
      <c r="O5" s="1570" t="n">
        <v>10</v>
      </c>
    </row>
    <row r="6">
      <c r="G6" s="1639" t="n"/>
      <c r="H6" s="1640" t="n"/>
      <c r="I6" s="1635" t="n"/>
      <c r="K6" s="2032" t="n"/>
      <c r="L6" s="2032" t="n"/>
      <c r="M6" s="2032" t="n"/>
      <c r="N6" s="2032" t="n"/>
      <c r="O6" s="2032" t="n"/>
    </row>
    <row r="7">
      <c r="D7">
        <f>Test_Bible!A179</f>
        <v/>
      </c>
      <c r="E7">
        <f>Test_Bible!B179</f>
        <v/>
      </c>
      <c r="G7" s="1642">
        <f>Test_Bible!P179</f>
        <v/>
      </c>
      <c r="H7" s="1640" t="n"/>
      <c r="I7" s="1636">
        <f>MAX(G7,G8)</f>
        <v/>
      </c>
      <c r="J7" s="1665" t="inlineStr">
        <is>
          <t>MAX</t>
        </is>
      </c>
      <c r="K7" s="2032" t="inlineStr">
        <is>
          <t>0 à 3</t>
        </is>
      </c>
      <c r="L7" s="1603" t="inlineStr">
        <is>
          <t>4 à 6</t>
        </is>
      </c>
      <c r="M7" s="2032" t="inlineStr">
        <is>
          <t>7 à 10</t>
        </is>
      </c>
      <c r="N7" s="2032" t="n"/>
      <c r="O7" s="1570" t="n">
        <v>10</v>
      </c>
    </row>
    <row r="8">
      <c r="D8" s="60">
        <f>Test_Bible!A180</f>
        <v/>
      </c>
      <c r="E8" s="60">
        <f>Test_Bible!B180</f>
        <v/>
      </c>
      <c r="F8" s="60" t="n"/>
      <c r="G8" s="1642">
        <f>Test_Bible!P180</f>
        <v/>
      </c>
      <c r="H8" s="1641" t="n"/>
      <c r="I8" s="1636" t="n"/>
      <c r="J8" s="1664" t="n"/>
      <c r="K8" s="2032" t="n"/>
      <c r="L8" s="2032" t="n"/>
      <c r="M8" s="2032" t="n"/>
      <c r="N8" s="2032" t="n"/>
      <c r="O8" s="2032" t="n"/>
    </row>
    <row r="9">
      <c r="G9" s="1643" t="n"/>
      <c r="H9" s="1640" t="n"/>
      <c r="I9" s="1635" t="n"/>
      <c r="K9" s="2032" t="n"/>
      <c r="L9" s="2032" t="n"/>
      <c r="M9" s="2032" t="n"/>
      <c r="N9" s="2032" t="n"/>
      <c r="O9" s="2032" t="n"/>
    </row>
    <row r="10">
      <c r="D10">
        <f>Test_Bible!A187</f>
        <v/>
      </c>
      <c r="E10">
        <f>Test_Bible!B187</f>
        <v/>
      </c>
      <c r="G10" s="1642">
        <f>Test_Bible!P187</f>
        <v/>
      </c>
      <c r="H10" s="1640" t="n"/>
      <c r="I10" s="1636">
        <f>MAX(G10,G11)</f>
        <v/>
      </c>
      <c r="J10" s="1665" t="inlineStr">
        <is>
          <t>MAX</t>
        </is>
      </c>
      <c r="K10" s="2032" t="inlineStr">
        <is>
          <t>0 à 3</t>
        </is>
      </c>
      <c r="L10" s="1603" t="inlineStr">
        <is>
          <t>4 à 6</t>
        </is>
      </c>
      <c r="M10" s="2032" t="inlineStr">
        <is>
          <t>7 à 10</t>
        </is>
      </c>
      <c r="N10" s="2032" t="n"/>
      <c r="O10" s="1570" t="n">
        <v>10</v>
      </c>
    </row>
    <row r="11">
      <c r="D11" s="60">
        <f>Test_Bible!A188</f>
        <v/>
      </c>
      <c r="E11" s="60">
        <f>Test_Bible!B188</f>
        <v/>
      </c>
      <c r="F11" s="60" t="n"/>
      <c r="G11" s="1642">
        <f>Test_Bible!P188</f>
        <v/>
      </c>
      <c r="H11" s="1641" t="n"/>
      <c r="I11" s="1636" t="n"/>
      <c r="K11" s="2032" t="n"/>
      <c r="L11" s="2032" t="n"/>
      <c r="M11" s="2032" t="n"/>
      <c r="N11" s="2032" t="n"/>
      <c r="O11" s="2032" t="n"/>
    </row>
    <row r="12">
      <c r="G12" s="1643" t="n"/>
      <c r="H12" s="1640" t="n"/>
      <c r="I12" s="1635" t="n"/>
      <c r="K12" s="2032" t="n"/>
      <c r="L12" s="2032" t="n"/>
      <c r="M12" s="2032" t="n"/>
      <c r="N12" s="2032" t="n"/>
      <c r="O12" s="2032" t="n"/>
    </row>
    <row r="13">
      <c r="D13" s="60">
        <f>Test_Bible!A192</f>
        <v/>
      </c>
      <c r="E13" s="60">
        <f>Test_Bible!B192</f>
        <v/>
      </c>
      <c r="F13" s="60" t="n"/>
      <c r="G13" s="1642">
        <f>Test_Bible!P192</f>
        <v/>
      </c>
      <c r="H13" s="1640" t="n"/>
      <c r="I13" s="1636">
        <f>G13</f>
        <v/>
      </c>
      <c r="K13" s="2032" t="inlineStr">
        <is>
          <t>0 à 1</t>
        </is>
      </c>
      <c r="L13" s="1603" t="inlineStr">
        <is>
          <t>2 à 3</t>
        </is>
      </c>
      <c r="M13" s="1603" t="inlineStr">
        <is>
          <t>4 à 6</t>
        </is>
      </c>
      <c r="N13" s="2032" t="inlineStr">
        <is>
          <t>7 à 10</t>
        </is>
      </c>
      <c r="O13" s="1570" t="n">
        <v>10</v>
      </c>
      <c r="AI13" t="inlineStr">
        <is>
          <t>Min</t>
        </is>
      </c>
      <c r="AJ13" t="inlineStr">
        <is>
          <t>Max</t>
        </is>
      </c>
      <c r="AK13" t="inlineStr">
        <is>
          <t>Indice d'intention d'exclusion</t>
        </is>
      </c>
    </row>
    <row r="14">
      <c r="G14" s="1643" t="n"/>
      <c r="H14" s="1640" t="n"/>
      <c r="I14" s="1635" t="n"/>
      <c r="K14" s="2032" t="n"/>
      <c r="L14" s="2032" t="n"/>
      <c r="M14" s="2032" t="n"/>
      <c r="N14" s="2032" t="n"/>
      <c r="O14" s="2032" t="n"/>
      <c r="AI14" s="2089" t="n">
        <v>0</v>
      </c>
      <c r="AJ14" s="2089" t="n">
        <v>19</v>
      </c>
      <c r="AK14" t="inlineStr">
        <is>
          <t>Aucun signe</t>
        </is>
      </c>
    </row>
    <row r="15" ht="18" customHeight="1">
      <c r="D15">
        <f>Test_Bible!A195</f>
        <v/>
      </c>
      <c r="E15">
        <f>Test_Bible!B195</f>
        <v/>
      </c>
      <c r="G15" s="1642">
        <f>Test_Bible!P195</f>
        <v/>
      </c>
      <c r="H15" s="1640" t="n"/>
      <c r="I15" s="1636">
        <f>MAX(G15,G16,G17)</f>
        <v/>
      </c>
      <c r="J15" s="1665" t="inlineStr">
        <is>
          <t>MAX</t>
        </is>
      </c>
      <c r="K15" s="2032" t="inlineStr">
        <is>
          <t>0 à 3</t>
        </is>
      </c>
      <c r="L15" s="1603" t="inlineStr">
        <is>
          <t>4 à 6</t>
        </is>
      </c>
      <c r="M15" s="2032" t="inlineStr">
        <is>
          <t>7 à 10</t>
        </is>
      </c>
      <c r="N15" s="2032" t="n"/>
      <c r="O15" s="1570" t="n">
        <v>10</v>
      </c>
      <c r="AI15" s="2089" t="n">
        <v>20</v>
      </c>
      <c r="AJ15" s="2089" t="n">
        <v>39</v>
      </c>
      <c r="AK15" t="inlineStr">
        <is>
          <t>Intention faible</t>
        </is>
      </c>
    </row>
    <row r="16" ht="18" customHeight="1">
      <c r="D16" s="60">
        <f>Test_Bible!A196</f>
        <v/>
      </c>
      <c r="E16" s="60">
        <f>Test_Bible!B196</f>
        <v/>
      </c>
      <c r="F16" s="60" t="n"/>
      <c r="G16" s="1642">
        <f>Test_Bible!P196</f>
        <v/>
      </c>
      <c r="H16" s="1640" t="n"/>
      <c r="I16" s="1636" t="n"/>
      <c r="K16" s="2032" t="n"/>
      <c r="L16" s="2032" t="n"/>
      <c r="M16" s="2032" t="n"/>
      <c r="N16" s="2032" t="n"/>
      <c r="O16" s="2032" t="n"/>
      <c r="AI16" s="2089" t="n">
        <v>40</v>
      </c>
      <c r="AJ16" s="2089" t="n">
        <v>89</v>
      </c>
      <c r="AK16" t="inlineStr">
        <is>
          <t>Intention possible</t>
        </is>
      </c>
    </row>
    <row r="17" ht="18" customHeight="1">
      <c r="D17">
        <f>Test_Bible!A408</f>
        <v/>
      </c>
      <c r="E17">
        <f>Test_Bible!B408</f>
        <v/>
      </c>
      <c r="G17" s="1642">
        <f>Test_Bible!P408</f>
        <v/>
      </c>
      <c r="H17" s="1640" t="n"/>
      <c r="I17" s="1636" t="n"/>
      <c r="K17" s="2032" t="n"/>
      <c r="L17" s="2032" t="n"/>
      <c r="M17" s="2032" t="n"/>
      <c r="N17" s="2032" t="n"/>
      <c r="O17" s="2032" t="n"/>
      <c r="Q17" t="inlineStr">
        <is>
          <t>Le parent répondant a la même question. On devrait s'assurer que le PCR ne prend pas des décisions sans l'autre. On pourrait prendre l'écart.</t>
        </is>
      </c>
      <c r="AI17" s="2089" t="n">
        <v>90</v>
      </c>
      <c r="AJ17" s="2089" t="n">
        <v>200</v>
      </c>
      <c r="AK17" t="inlineStr">
        <is>
          <t>Intention probable</t>
        </is>
      </c>
    </row>
    <row r="18">
      <c r="G18" s="1639" t="n"/>
      <c r="H18" s="1640" t="n"/>
      <c r="I18" s="1635" t="n"/>
      <c r="K18" s="2032" t="n"/>
      <c r="L18" s="2032" t="n"/>
      <c r="M18" s="2032" t="n"/>
      <c r="N18" s="2032" t="n"/>
      <c r="O18" s="2032" t="n"/>
      <c r="Q18" s="1626" t="inlineStr">
        <is>
          <t>PCR</t>
        </is>
      </c>
      <c r="S18" t="inlineStr">
        <is>
          <t>Écart PFA vs PCR</t>
        </is>
      </c>
    </row>
    <row r="19">
      <c r="D19">
        <f>Test_Bible!A218</f>
        <v/>
      </c>
      <c r="E19">
        <f>Test_Bible!B218</f>
        <v/>
      </c>
      <c r="G19" s="1639" t="n"/>
      <c r="H19" s="1640" t="n"/>
      <c r="I19" s="1635">
        <f>Test_Bible!E218</f>
        <v/>
      </c>
      <c r="J19" s="1666" t="n"/>
      <c r="K19" s="2032" t="n">
        <v>0</v>
      </c>
      <c r="L19" s="2032" t="inlineStr">
        <is>
          <t>1 à 5</t>
        </is>
      </c>
      <c r="M19" s="2032" t="inlineStr">
        <is>
          <t>6 à 8</t>
        </is>
      </c>
      <c r="N19" s="2032" t="inlineStr">
        <is>
          <t>9+</t>
        </is>
      </c>
      <c r="O19" s="1570">
        <f>SUM(Test_Bible!D219:D224)</f>
        <v/>
      </c>
      <c r="Q19" s="112" t="n"/>
      <c r="S19" s="3">
        <f>SUM(S20:S26)</f>
        <v/>
      </c>
    </row>
    <row r="20">
      <c r="F20">
        <f>Test_Bible!B219</f>
        <v/>
      </c>
      <c r="G20" s="1639" t="n"/>
      <c r="H20" s="1640">
        <f>Test_Bible!D219</f>
        <v/>
      </c>
      <c r="I20" s="1635">
        <f>Test_Bible!E219*Test_Bible!D219</f>
        <v/>
      </c>
      <c r="K20" s="2032" t="n"/>
      <c r="L20" s="2032" t="n"/>
      <c r="M20" s="2032" t="n"/>
      <c r="N20" s="2032" t="n"/>
      <c r="O20" s="2032" t="n"/>
      <c r="Q20" s="1633">
        <f>Test_Bible!D138*Test_Bible!E138</f>
        <v/>
      </c>
      <c r="S20">
        <f>I20-Q20</f>
        <v/>
      </c>
    </row>
    <row r="21">
      <c r="F21">
        <f>Test_Bible!B220</f>
        <v/>
      </c>
      <c r="G21" s="1639" t="n"/>
      <c r="H21" s="1640">
        <f>Test_Bible!D220</f>
        <v/>
      </c>
      <c r="I21" s="1635">
        <f>Test_Bible!E220*Test_Bible!D220</f>
        <v/>
      </c>
      <c r="K21" s="2032" t="n"/>
      <c r="L21" s="2032" t="n"/>
      <c r="M21" s="2032" t="n"/>
      <c r="N21" s="2032" t="n"/>
      <c r="O21" s="2032" t="n"/>
      <c r="Q21" s="1633">
        <f>Test_Bible!D139*Test_Bible!E139</f>
        <v/>
      </c>
      <c r="S21">
        <f>I21-Q21</f>
        <v/>
      </c>
    </row>
    <row r="22">
      <c r="F22">
        <f>Test_Bible!B221</f>
        <v/>
      </c>
      <c r="G22" s="1639" t="n"/>
      <c r="H22" s="1640">
        <f>Test_Bible!D221</f>
        <v/>
      </c>
      <c r="I22" s="1635">
        <f>Test_Bible!E221*Test_Bible!D221</f>
        <v/>
      </c>
      <c r="K22" s="2032" t="n"/>
      <c r="L22" s="2032" t="n"/>
      <c r="M22" s="2032" t="n"/>
      <c r="N22" s="2032" t="n"/>
      <c r="O22" s="2032" t="n"/>
      <c r="Q22" s="1633">
        <f>Test_Bible!D140*Test_Bible!E140</f>
        <v/>
      </c>
      <c r="S22">
        <f>I22-Q22</f>
        <v/>
      </c>
    </row>
    <row r="23">
      <c r="F23">
        <f>Test_Bible!B222</f>
        <v/>
      </c>
      <c r="G23" s="1639" t="n"/>
      <c r="H23" s="1640">
        <f>Test_Bible!D222</f>
        <v/>
      </c>
      <c r="I23" s="1635">
        <f>Test_Bible!E222*Test_Bible!D222</f>
        <v/>
      </c>
      <c r="K23" s="2032" t="n"/>
      <c r="L23" s="2032" t="n"/>
      <c r="M23" s="2032" t="n"/>
      <c r="N23" s="2032" t="n"/>
      <c r="O23" s="2032" t="n"/>
      <c r="Q23" s="1633">
        <f>Test_Bible!D141*Test_Bible!E141</f>
        <v/>
      </c>
      <c r="S23">
        <f>I23-Q23</f>
        <v/>
      </c>
    </row>
    <row r="24">
      <c r="F24">
        <f>Test_Bible!B223</f>
        <v/>
      </c>
      <c r="G24" s="1639" t="n"/>
      <c r="H24" s="1640">
        <f>Test_Bible!D223</f>
        <v/>
      </c>
      <c r="I24" s="1635">
        <f>Test_Bible!E223*Test_Bible!D223</f>
        <v/>
      </c>
      <c r="K24" s="2032" t="n"/>
      <c r="L24" s="2032" t="n"/>
      <c r="M24" s="2032" t="n"/>
      <c r="N24" s="2032" t="n"/>
      <c r="O24" s="2032" t="n"/>
      <c r="Q24" s="1633">
        <f>Test_Bible!D142*Test_Bible!E142</f>
        <v/>
      </c>
      <c r="S24">
        <f>I24-Q24</f>
        <v/>
      </c>
    </row>
    <row r="25">
      <c r="F25">
        <f>Test_Bible!B224</f>
        <v/>
      </c>
      <c r="G25" s="1639" t="n"/>
      <c r="H25" s="1640">
        <f>Test_Bible!D224</f>
        <v/>
      </c>
      <c r="I25" s="1635">
        <f>Test_Bible!E224*Test_Bible!D224</f>
        <v/>
      </c>
      <c r="K25" s="2032" t="n"/>
      <c r="L25" s="2032" t="n"/>
      <c r="M25" s="2032" t="n"/>
      <c r="N25" s="2032" t="n"/>
      <c r="O25" s="2032" t="n"/>
      <c r="Q25" s="1633">
        <f>Test_Bible!D143*Test_Bible!E143</f>
        <v/>
      </c>
      <c r="S25">
        <f>I25-Q25</f>
        <v/>
      </c>
    </row>
    <row r="26">
      <c r="F26">
        <f>Test_Bible!B225</f>
        <v/>
      </c>
      <c r="G26" s="1639" t="n"/>
      <c r="H26" s="1640">
        <f>Test_Bible!D225</f>
        <v/>
      </c>
      <c r="I26" s="1635">
        <f>Test_Bible!E225*Test_Bible!D225</f>
        <v/>
      </c>
      <c r="K26" s="2032" t="n"/>
      <c r="L26" s="2032" t="n"/>
      <c r="M26" s="2032" t="n"/>
      <c r="N26" s="2032" t="n"/>
      <c r="O26" s="2032" t="n"/>
      <c r="Q26" s="1633">
        <f>Test_Bible!D144*Test_Bible!E144</f>
        <v/>
      </c>
      <c r="S26">
        <f>I26-Q26</f>
        <v/>
      </c>
    </row>
    <row r="27">
      <c r="G27" s="1639" t="n"/>
      <c r="H27" s="1640" t="n"/>
      <c r="I27" s="1635" t="n"/>
      <c r="K27" s="2032" t="n"/>
      <c r="L27" s="2032" t="n"/>
      <c r="M27" s="2032" t="n"/>
      <c r="N27" s="2032" t="n"/>
      <c r="O27" s="2032" t="n"/>
    </row>
    <row r="28">
      <c r="D28">
        <f>Test_Bible!A231</f>
        <v/>
      </c>
      <c r="E28">
        <f>Test_Bible!B231</f>
        <v/>
      </c>
      <c r="G28" s="1642">
        <f>Test_Bible!P231</f>
        <v/>
      </c>
      <c r="H28" s="1640" t="n"/>
      <c r="I28" s="1636">
        <f>G28</f>
        <v/>
      </c>
      <c r="J28" s="1664" t="n"/>
      <c r="K28" s="2032" t="n">
        <v>0</v>
      </c>
      <c r="L28" s="2032" t="inlineStr">
        <is>
          <t>1 à 2</t>
        </is>
      </c>
      <c r="M28" s="2032" t="inlineStr">
        <is>
          <t>3 à 6</t>
        </is>
      </c>
      <c r="N28" s="2032" t="inlineStr">
        <is>
          <t>7+</t>
        </is>
      </c>
      <c r="O28" s="1570" t="n">
        <v>10</v>
      </c>
    </row>
    <row r="29">
      <c r="G29" s="1639" t="n"/>
      <c r="H29" s="1640" t="n"/>
      <c r="I29" s="1636" t="n"/>
      <c r="J29" s="1664" t="n"/>
      <c r="K29" s="2032" t="n"/>
      <c r="L29" s="2032" t="n"/>
      <c r="M29" s="2032" t="n"/>
      <c r="N29" s="2032" t="n"/>
      <c r="O29" s="2032" t="n"/>
    </row>
    <row r="30">
      <c r="D30">
        <f>Test_Bible!A233</f>
        <v/>
      </c>
      <c r="E30">
        <f>Test_Bible!B233</f>
        <v/>
      </c>
      <c r="G30" s="1639" t="n"/>
      <c r="H30" s="1640" t="n"/>
      <c r="I30" s="1636">
        <f>Test_Bible!E233</f>
        <v/>
      </c>
      <c r="J30" s="1664" t="n"/>
      <c r="K30" s="2032" t="n">
        <v>0</v>
      </c>
      <c r="L30" s="2032" t="n">
        <v>0</v>
      </c>
      <c r="M30" s="2032" t="inlineStr">
        <is>
          <t>1 à 9</t>
        </is>
      </c>
      <c r="N30" s="2032" t="inlineStr">
        <is>
          <t>10+</t>
        </is>
      </c>
      <c r="O30" s="1570">
        <f>SUM(Test_Bible!D234:D237)</f>
        <v/>
      </c>
    </row>
    <row r="31">
      <c r="F31">
        <f>Test_Bible!B234</f>
        <v/>
      </c>
      <c r="G31" s="1639" t="n"/>
      <c r="H31" s="1640">
        <f>Test_Bible!D234</f>
        <v/>
      </c>
      <c r="I31" s="1635">
        <f>Test_Bible!E234*Test_Bible!D234</f>
        <v/>
      </c>
      <c r="K31" s="2032" t="n"/>
      <c r="L31" s="2032" t="n"/>
      <c r="M31" s="2032" t="n"/>
      <c r="N31" s="2032" t="n"/>
      <c r="O31" s="2032" t="n"/>
    </row>
    <row r="32">
      <c r="F32">
        <f>Test_Bible!B235</f>
        <v/>
      </c>
      <c r="G32" s="1639" t="n"/>
      <c r="H32" s="1640">
        <f>Test_Bible!D235</f>
        <v/>
      </c>
      <c r="I32" s="1635">
        <f>Test_Bible!E235*Test_Bible!D235</f>
        <v/>
      </c>
      <c r="K32" s="2032" t="n"/>
      <c r="L32" s="2032" t="n"/>
      <c r="M32" s="2032" t="n"/>
      <c r="N32" s="2032" t="n"/>
      <c r="O32" s="2032" t="n"/>
    </row>
    <row r="33">
      <c r="F33">
        <f>Test_Bible!B236</f>
        <v/>
      </c>
      <c r="G33" s="1639" t="n"/>
      <c r="H33" s="1640">
        <f>Test_Bible!D236</f>
        <v/>
      </c>
      <c r="I33" s="1635">
        <f>Test_Bible!E236*Test_Bible!D236</f>
        <v/>
      </c>
      <c r="K33" s="2032" t="n"/>
      <c r="L33" s="2032" t="n"/>
      <c r="M33" s="2032" t="n"/>
      <c r="N33" s="2032" t="n"/>
      <c r="O33" s="2032" t="n"/>
    </row>
    <row r="34">
      <c r="F34">
        <f>Test_Bible!B237</f>
        <v/>
      </c>
      <c r="G34" s="1639" t="n"/>
      <c r="H34" s="1640">
        <f>Test_Bible!D237</f>
        <v/>
      </c>
      <c r="I34" s="1635">
        <f>Test_Bible!E237*Test_Bible!D237</f>
        <v/>
      </c>
      <c r="K34" s="2032" t="n"/>
      <c r="L34" s="2032" t="n"/>
      <c r="M34" s="2032" t="n"/>
      <c r="N34" s="2032" t="n"/>
      <c r="O34" s="2032" t="n"/>
    </row>
    <row r="35">
      <c r="F35">
        <f>Test_Bible!B238</f>
        <v/>
      </c>
      <c r="G35" s="1639" t="n"/>
      <c r="H35" s="1640">
        <f>Test_Bible!D238</f>
        <v/>
      </c>
      <c r="I35" s="1635">
        <f>Test_Bible!E238*Test_Bible!D238</f>
        <v/>
      </c>
      <c r="K35" s="2032" t="n"/>
      <c r="L35" s="2032" t="n"/>
      <c r="M35" s="2032" t="n"/>
      <c r="N35" s="2032" t="n"/>
      <c r="O35" s="2032" t="n"/>
    </row>
    <row r="36">
      <c r="G36" s="1639" t="n"/>
      <c r="H36" s="1640" t="n"/>
      <c r="I36" s="1635" t="n"/>
      <c r="K36" s="2032" t="n"/>
      <c r="L36" s="2032" t="n"/>
      <c r="M36" s="2032" t="n"/>
      <c r="N36" s="2032" t="n"/>
      <c r="O36" s="2032" t="n"/>
    </row>
    <row r="37">
      <c r="D37">
        <f>Test_Bible!A246</f>
        <v/>
      </c>
      <c r="E37">
        <f>Test_Bible!B246</f>
        <v/>
      </c>
      <c r="G37" s="1642">
        <f>Test_Bible!P246</f>
        <v/>
      </c>
      <c r="H37" s="1640" t="n"/>
      <c r="I37" s="1636">
        <f>Test_Bible!P246</f>
        <v/>
      </c>
      <c r="K37" s="2032" t="inlineStr">
        <is>
          <t>0 à 1</t>
        </is>
      </c>
      <c r="L37" s="1603" t="inlineStr">
        <is>
          <t>2 à 3</t>
        </is>
      </c>
      <c r="M37" s="1603" t="inlineStr">
        <is>
          <t>4 à 6</t>
        </is>
      </c>
      <c r="N37" s="2032" t="inlineStr">
        <is>
          <t>7 à 10</t>
        </is>
      </c>
      <c r="O37" s="1570" t="n">
        <v>10</v>
      </c>
    </row>
    <row r="38">
      <c r="G38" s="1639" t="n"/>
      <c r="H38" s="1640" t="n"/>
      <c r="I38" s="1635" t="n"/>
      <c r="K38" s="2032" t="n"/>
      <c r="L38" s="2032" t="n"/>
      <c r="M38" s="2032" t="n"/>
      <c r="N38" s="2032" t="n"/>
      <c r="O38" s="2032" t="n"/>
    </row>
    <row r="39">
      <c r="D39">
        <f>Test_Bible!A247</f>
        <v/>
      </c>
      <c r="E39">
        <f>Test_Bible!B247</f>
        <v/>
      </c>
      <c r="G39" s="1639" t="n"/>
      <c r="H39" s="1640" t="n"/>
      <c r="I39" s="1636">
        <f>Test_Bible!E247</f>
        <v/>
      </c>
      <c r="J39" s="1664" t="n"/>
      <c r="K39" s="2032" t="n">
        <v>0</v>
      </c>
      <c r="L39" s="2032" t="n">
        <v>0</v>
      </c>
      <c r="M39" s="2032" t="inlineStr">
        <is>
          <t>1 à 9</t>
        </is>
      </c>
      <c r="N39" s="2032" t="inlineStr">
        <is>
          <t>10+</t>
        </is>
      </c>
      <c r="O39" s="1570">
        <f>SUM(Test_Bible!D248:D252)</f>
        <v/>
      </c>
    </row>
    <row r="40">
      <c r="F40">
        <f>Test_Bible!B248</f>
        <v/>
      </c>
      <c r="G40" s="1639" t="n"/>
      <c r="H40" s="1640">
        <f>Test_Bible!D248</f>
        <v/>
      </c>
      <c r="I40" s="1635">
        <f>Test_Bible!E248*Test_Bible!D248</f>
        <v/>
      </c>
      <c r="K40" s="2032" t="n"/>
      <c r="L40" s="2032" t="n"/>
      <c r="M40" s="2032" t="n"/>
      <c r="N40" s="2032" t="n"/>
      <c r="O40" s="2032" t="n"/>
    </row>
    <row r="41">
      <c r="F41">
        <f>Test_Bible!B249</f>
        <v/>
      </c>
      <c r="G41" s="1639" t="n"/>
      <c r="H41" s="1640">
        <f>Test_Bible!D249</f>
        <v/>
      </c>
      <c r="I41" s="1635">
        <f>Test_Bible!E249*Test_Bible!D249</f>
        <v/>
      </c>
      <c r="K41" s="2032" t="n"/>
      <c r="L41" s="2032" t="n"/>
      <c r="M41" s="2032" t="n"/>
      <c r="N41" s="2032" t="n"/>
      <c r="O41" s="2032" t="n"/>
    </row>
    <row r="42">
      <c r="F42">
        <f>Test_Bible!B250</f>
        <v/>
      </c>
      <c r="G42" s="1639" t="n"/>
      <c r="H42" s="1640">
        <f>Test_Bible!D250</f>
        <v/>
      </c>
      <c r="I42" s="1635">
        <f>Test_Bible!E250*Test_Bible!D250</f>
        <v/>
      </c>
      <c r="K42" s="2032" t="n"/>
      <c r="L42" s="2032" t="n"/>
      <c r="M42" s="2032" t="n"/>
      <c r="N42" s="2032" t="n"/>
      <c r="O42" s="2032" t="n"/>
    </row>
    <row r="43">
      <c r="F43">
        <f>Test_Bible!B251</f>
        <v/>
      </c>
      <c r="G43" s="1639" t="n"/>
      <c r="H43" s="1640">
        <f>Test_Bible!D251</f>
        <v/>
      </c>
      <c r="I43" s="1635">
        <f>Test_Bible!E251*Test_Bible!D251</f>
        <v/>
      </c>
      <c r="K43" s="2032" t="n"/>
      <c r="L43" s="2032" t="n"/>
      <c r="M43" s="2032" t="n"/>
      <c r="N43" s="2032" t="n"/>
      <c r="O43" s="2032" t="n"/>
    </row>
    <row r="44">
      <c r="F44">
        <f>Test_Bible!B252</f>
        <v/>
      </c>
      <c r="G44" s="1639" t="n"/>
      <c r="H44" s="1640">
        <f>Test_Bible!D252</f>
        <v/>
      </c>
      <c r="I44" s="1635">
        <f>Test_Bible!E252*Test_Bible!D252</f>
        <v/>
      </c>
      <c r="K44" s="2032" t="n"/>
      <c r="L44" s="2032" t="n"/>
      <c r="M44" s="2032" t="n"/>
      <c r="N44" s="2032" t="n"/>
      <c r="O44" s="2032" t="n"/>
    </row>
    <row r="45">
      <c r="F45">
        <f>Test_Bible!B253</f>
        <v/>
      </c>
      <c r="G45" s="1639" t="n"/>
      <c r="H45" s="1640">
        <f>Test_Bible!D253</f>
        <v/>
      </c>
      <c r="I45" s="1635">
        <f>Test_Bible!E253*Test_Bible!D253</f>
        <v/>
      </c>
      <c r="K45" s="2032" t="n"/>
      <c r="L45" s="2032" t="n"/>
      <c r="M45" s="2032" t="n"/>
      <c r="N45" s="2032" t="n"/>
      <c r="O45" s="2032" t="n"/>
    </row>
    <row r="46">
      <c r="G46" s="1639" t="n"/>
      <c r="H46" s="1640" t="n"/>
      <c r="I46" s="1635" t="n"/>
      <c r="K46" s="2032" t="n"/>
      <c r="L46" s="2032" t="n"/>
      <c r="M46" s="2032" t="n"/>
      <c r="N46" s="2032" t="n"/>
      <c r="O46" s="2032" t="n"/>
    </row>
    <row r="47" ht="17" customHeight="1" thickBot="1">
      <c r="D47">
        <f>Test_Bible!A324</f>
        <v/>
      </c>
      <c r="E47">
        <f>Test_Bible!B324</f>
        <v/>
      </c>
      <c r="G47" s="1642">
        <f>Test_Bible!P324</f>
        <v/>
      </c>
      <c r="H47" s="1640" t="n"/>
      <c r="I47" s="1636">
        <f>Test_Bible!P324</f>
        <v/>
      </c>
      <c r="K47" s="2032" t="inlineStr">
        <is>
          <t>0 à 1</t>
        </is>
      </c>
      <c r="L47" s="1603" t="inlineStr">
        <is>
          <t>2 à 3</t>
        </is>
      </c>
      <c r="M47" s="1603" t="inlineStr">
        <is>
          <t>4 à 6</t>
        </is>
      </c>
      <c r="N47" s="2032" t="inlineStr">
        <is>
          <t>7 à 10</t>
        </is>
      </c>
      <c r="O47" s="1570" t="n">
        <v>10</v>
      </c>
    </row>
    <row r="48">
      <c r="G48" s="76" t="n"/>
      <c r="H48" s="76" t="n"/>
      <c r="I48" s="1577" t="n"/>
      <c r="K48" s="1940" t="inlineStr">
        <is>
          <t>Score</t>
        </is>
      </c>
      <c r="L48" s="2117" t="n"/>
      <c r="M48" s="2117" t="n"/>
      <c r="N48" s="2117" t="n"/>
      <c r="O48" s="2118" t="n"/>
      <c r="Q48" s="1984" t="n"/>
    </row>
    <row r="49">
      <c r="G49" s="76" t="n"/>
      <c r="H49" s="76" t="n"/>
      <c r="I49" s="1579" t="inlineStr">
        <is>
          <t>Score</t>
        </is>
      </c>
      <c r="K49" s="1645" t="inlineStr">
        <is>
          <t>0 -19</t>
        </is>
      </c>
      <c r="L49" s="2089" t="inlineStr">
        <is>
          <t>20 à 39</t>
        </is>
      </c>
      <c r="M49" s="2089" t="inlineStr">
        <is>
          <t>40 à 89</t>
        </is>
      </c>
      <c r="N49" s="2089" t="inlineStr">
        <is>
          <t>90 à 200</t>
        </is>
      </c>
      <c r="O49" s="1646" t="inlineStr">
        <is>
          <t>Score Max</t>
        </is>
      </c>
    </row>
    <row r="50" ht="17" customHeight="1" thickBot="1">
      <c r="G50" s="76" t="n"/>
      <c r="H50" s="76" t="n"/>
      <c r="I50" s="1644">
        <f>I5++I7+I10+I13+I15+I19+I28+I30+I37+I39+I47</f>
        <v/>
      </c>
      <c r="J50" s="1665" t="n"/>
      <c r="K50" s="1647" t="n"/>
      <c r="L50" s="82" t="n"/>
      <c r="M50" s="82" t="n"/>
      <c r="N50" s="82" t="n"/>
      <c r="O50" s="1648">
        <f>O5+O19+O28+O30+O39+O37+O7+O10+O13+O15+O47</f>
        <v/>
      </c>
    </row>
    <row r="51">
      <c r="G51" s="76" t="n"/>
      <c r="H51" s="76" t="n"/>
      <c r="I51" s="2077">
        <f>VLOOKUP(I50,AI14:AK17,3)</f>
        <v/>
      </c>
    </row>
    <row r="52">
      <c r="G52" s="76" t="n"/>
      <c r="H52" s="76" t="n"/>
    </row>
    <row r="53" ht="16" customHeight="1">
      <c r="D53">
        <f>Test_Bible!A100</f>
        <v/>
      </c>
      <c r="E53">
        <f>Test_Bible!B100</f>
        <v/>
      </c>
      <c r="G53" s="1639" t="n"/>
      <c r="H53" s="1640" t="n"/>
      <c r="I53" s="1578">
        <f>Test_Bible!P100</f>
        <v/>
      </c>
      <c r="J53" s="1662" t="n"/>
      <c r="K53" s="1569" t="n"/>
      <c r="L53" s="1569" t="n"/>
      <c r="M53" s="1569" t="n"/>
      <c r="N53" s="1569" t="n"/>
      <c r="O53" s="1569" t="n"/>
      <c r="Q53" s="1371" t="n"/>
    </row>
    <row r="54">
      <c r="D54">
        <f>Test_Bible!A162</f>
        <v/>
      </c>
      <c r="E54">
        <f>Test_Bible!B162</f>
        <v/>
      </c>
      <c r="G54" s="1639" t="n"/>
      <c r="H54" s="1640" t="n"/>
      <c r="I54" s="1578">
        <f>Test_Bible!P162</f>
        <v/>
      </c>
      <c r="J54" s="1662" t="n"/>
      <c r="K54" s="1569" t="n"/>
      <c r="L54" s="1569" t="n"/>
      <c r="M54" s="1569" t="n"/>
      <c r="N54" s="1569" t="n"/>
      <c r="O54" s="1569" t="n"/>
      <c r="Q54" s="1371" t="n"/>
    </row>
    <row r="55" ht="20" customHeight="1" thickBot="1">
      <c r="D55" s="60">
        <f>Test_Bible!A163</f>
        <v/>
      </c>
      <c r="E55" s="60">
        <f>Test_Bible!B163</f>
        <v/>
      </c>
      <c r="F55" s="60" t="n"/>
      <c r="G55" s="1639" t="n"/>
      <c r="H55" s="1641" t="n"/>
      <c r="I55" s="1598">
        <f>IF(E55="","",IF(Test_Bible!E163=1,"intentionnelle","inconsciente"))</f>
        <v/>
      </c>
      <c r="J55" s="1663" t="n"/>
      <c r="K55" s="1597" t="n"/>
      <c r="L55" s="1597" t="n"/>
      <c r="M55" s="1597">
        <f>IF($I55="intentionnelle","V","F")</f>
        <v/>
      </c>
      <c r="N55" s="1597">
        <f>IF($I55="intentionnelle","V","F")</f>
        <v/>
      </c>
      <c r="O55" s="1597" t="n"/>
      <c r="P55" s="1371" t="n"/>
      <c r="Q55" s="1371" t="n"/>
    </row>
    <row r="56">
      <c r="I56" s="1577" t="n">
        <v>10</v>
      </c>
      <c r="M56" s="2089" t="n">
        <v>10</v>
      </c>
      <c r="N56" s="2089" t="n">
        <v>10</v>
      </c>
      <c r="O56" s="2089" t="n">
        <v>10</v>
      </c>
    </row>
    <row r="57">
      <c r="I57" s="1579" t="inlineStr">
        <is>
          <t>Score ajusté</t>
        </is>
      </c>
    </row>
    <row r="58" ht="17" customHeight="1" thickBot="1">
      <c r="I58" s="1677">
        <f>I50+I56</f>
        <v/>
      </c>
    </row>
    <row r="59">
      <c r="E59" s="1057" t="inlineStr">
        <is>
          <t>Ajouter la question sur l'univers social hijacker par le coparent</t>
        </is>
      </c>
      <c r="F59" s="1057" t="n"/>
      <c r="I59" s="2077">
        <f>VLOOKUP(I58,AI14:AK17,3)</f>
        <v/>
      </c>
    </row>
    <row r="66">
      <c r="I66" s="906" t="n"/>
    </row>
    <row r="68">
      <c r="K68" s="1697" t="inlineStr">
        <is>
          <t>Réflexion COMBOS</t>
        </is>
      </c>
    </row>
    <row r="69" ht="141" customHeight="1">
      <c r="F69" s="1692" t="inlineStr">
        <is>
          <t>Réflexion</t>
        </is>
      </c>
      <c r="K69" s="1691" t="inlineStr">
        <is>
          <t>Combo 1 Fusion</t>
        </is>
      </c>
      <c r="L69" s="1691" t="inlineStr">
        <is>
          <t>Accable de reproches</t>
        </is>
      </c>
      <c r="M69" s="1691" t="inlineStr">
        <is>
          <t>Mature pour choisir</t>
        </is>
      </c>
      <c r="N69" s="1691" t="inlineStr">
        <is>
          <t>Nouvelle famille meilleure</t>
        </is>
      </c>
      <c r="O69" s="1691" t="inlineStr">
        <is>
          <t>Activités amusantes sur votre temps</t>
        </is>
      </c>
      <c r="P69" s="1691" t="inlineStr">
        <is>
          <t>Cache l'info</t>
        </is>
      </c>
      <c r="Q69" s="1691" t="inlineStr">
        <is>
          <t>Décision sans consentement</t>
        </is>
      </c>
      <c r="R69" s="1691" t="inlineStr">
        <is>
          <t>Force l'enfant à choisir</t>
        </is>
      </c>
      <c r="S69" s="1691" t="inlineStr">
        <is>
          <t>Demande à l'enfant de choisir</t>
        </is>
      </c>
      <c r="T69" s="1691" t="inlineStr">
        <is>
          <t>Enjeux concernant la garde</t>
        </is>
      </c>
      <c r="Z69" s="1693" t="n"/>
      <c r="AA69" s="1984" t="n"/>
    </row>
    <row r="70">
      <c r="F70" s="2" t="inlineStr">
        <is>
          <t>PFA02</t>
        </is>
      </c>
      <c r="H70" s="2" t="n"/>
      <c r="I70" s="2" t="inlineStr">
        <is>
          <t>Fusion</t>
        </is>
      </c>
      <c r="K70" s="1893" t="n"/>
      <c r="L70" s="1893" t="n"/>
      <c r="M70" s="1893" t="n"/>
      <c r="N70" s="1893" t="n"/>
      <c r="O70" s="1893" t="n"/>
      <c r="P70" s="1893" t="n"/>
      <c r="Q70" s="1893" t="n"/>
      <c r="R70" s="1893" t="n"/>
      <c r="S70" s="1893" t="n"/>
      <c r="T70" s="1893" t="n"/>
    </row>
    <row r="71">
      <c r="F71" s="2" t="inlineStr">
        <is>
          <t>PFA09</t>
        </is>
      </c>
      <c r="H71" s="2" t="n"/>
      <c r="I71" s="2" t="inlineStr">
        <is>
          <t>Accable de reproches</t>
        </is>
      </c>
      <c r="K71" s="1893" t="n"/>
      <c r="L71" s="1893" t="n"/>
      <c r="M71" s="52" t="n"/>
      <c r="N71" s="52" t="n"/>
      <c r="O71" s="52" t="n"/>
      <c r="P71" s="52" t="n"/>
      <c r="Q71" s="52" t="n"/>
      <c r="R71" s="52" t="n"/>
      <c r="S71" s="52" t="n"/>
      <c r="T71" s="52" t="n"/>
    </row>
    <row r="72">
      <c r="F72" s="2" t="inlineStr">
        <is>
          <t>PFA11</t>
        </is>
      </c>
      <c r="I72" s="2" t="inlineStr">
        <is>
          <t>Mature pour choisir</t>
        </is>
      </c>
      <c r="K72" s="1893" t="n"/>
      <c r="L72" s="1893" t="n"/>
      <c r="M72" s="1893" t="n"/>
      <c r="N72" s="52" t="n"/>
      <c r="O72" s="52" t="n"/>
      <c r="P72" s="52" t="n"/>
      <c r="Q72" s="52" t="n"/>
      <c r="R72" s="52" t="n"/>
      <c r="S72" s="52" t="n"/>
      <c r="T72" s="52" t="n"/>
    </row>
    <row r="73">
      <c r="F73" s="2" t="inlineStr">
        <is>
          <t>PFA15</t>
        </is>
      </c>
      <c r="I73" s="2" t="inlineStr">
        <is>
          <t>Nouvelle famille meilleure</t>
        </is>
      </c>
      <c r="K73" s="1893" t="n"/>
      <c r="L73" s="1893" t="n"/>
      <c r="M73" s="1893" t="n"/>
      <c r="N73" s="1893" t="n"/>
      <c r="O73" s="52" t="n"/>
      <c r="P73" s="52" t="n"/>
      <c r="Q73" s="52" t="n"/>
      <c r="R73" s="52" t="n"/>
      <c r="S73" s="52" t="n"/>
      <c r="T73" s="52" t="n"/>
    </row>
    <row r="74">
      <c r="F74" s="2" t="inlineStr">
        <is>
          <t>PFA16b1</t>
        </is>
      </c>
      <c r="I74" s="2" t="inlineStr">
        <is>
          <t>Activités amusantes sur votre temps</t>
        </is>
      </c>
      <c r="K74" s="1893" t="n"/>
      <c r="L74" s="1893" t="n"/>
      <c r="M74" s="1893" t="n"/>
      <c r="N74" s="1893" t="n"/>
      <c r="O74" s="1893" t="n"/>
      <c r="P74" s="52" t="n"/>
      <c r="Q74" s="52" t="n"/>
      <c r="R74" s="52" t="n"/>
      <c r="S74" s="52" t="n"/>
      <c r="T74" s="52" t="n"/>
    </row>
    <row r="75">
      <c r="F75" s="2" t="inlineStr">
        <is>
          <t>PFA19</t>
        </is>
      </c>
      <c r="I75" s="2" t="inlineStr">
        <is>
          <t>Cache l'info</t>
        </is>
      </c>
      <c r="K75" s="1893" t="n"/>
      <c r="L75" s="1893" t="n"/>
      <c r="M75" s="1893" t="n"/>
      <c r="N75" s="1893" t="n"/>
      <c r="O75" s="1893" t="n"/>
      <c r="P75" s="1893" t="n"/>
      <c r="Q75" s="52" t="n"/>
      <c r="R75" s="52" t="n"/>
      <c r="S75" s="52" t="n"/>
      <c r="T75" s="52" t="n"/>
    </row>
    <row r="76">
      <c r="F76" s="2" t="inlineStr">
        <is>
          <t>PFA29</t>
        </is>
      </c>
      <c r="I76" s="2" t="inlineStr">
        <is>
          <t>Décision sans consentement</t>
        </is>
      </c>
      <c r="K76" s="1893" t="n"/>
      <c r="L76" s="1893" t="n"/>
      <c r="M76" s="1893" t="n"/>
      <c r="N76" s="1893" t="n"/>
      <c r="O76" s="1893" t="n"/>
      <c r="P76" s="1893" t="n"/>
      <c r="Q76" s="1893" t="n"/>
      <c r="R76" s="52" t="n"/>
      <c r="S76" s="52" t="n"/>
      <c r="T76" s="52" t="n"/>
    </row>
    <row r="77">
      <c r="F77" s="2" t="inlineStr">
        <is>
          <t>PFA30</t>
        </is>
      </c>
      <c r="I77" s="2" t="inlineStr">
        <is>
          <t>Force l'enfant à choisir</t>
        </is>
      </c>
      <c r="K77" s="1893" t="n"/>
      <c r="L77" s="1893" t="n"/>
      <c r="M77" s="1893" t="n"/>
      <c r="N77" s="1893" t="n"/>
      <c r="O77" s="1893" t="n"/>
      <c r="P77" s="1893" t="n"/>
      <c r="Q77" s="1893" t="n"/>
      <c r="R77" s="1893" t="n"/>
      <c r="S77" s="52" t="n"/>
      <c r="T77" s="52" t="n"/>
    </row>
    <row r="78">
      <c r="F78" s="2" t="inlineStr">
        <is>
          <t>PFA36</t>
        </is>
      </c>
      <c r="I78" s="2" t="inlineStr">
        <is>
          <t>Demande à l'enfant de choisir</t>
        </is>
      </c>
      <c r="K78" s="1893" t="n"/>
      <c r="L78" s="1893" t="n"/>
      <c r="M78" s="1893" t="n"/>
      <c r="N78" s="1893" t="n"/>
      <c r="O78" s="1893" t="n"/>
      <c r="P78" s="1893" t="n"/>
      <c r="Q78" s="1893" t="n"/>
      <c r="R78" s="1893" t="n"/>
      <c r="S78" s="1893" t="n"/>
      <c r="T78" s="52" t="n"/>
    </row>
    <row r="79">
      <c r="F79" s="2" t="inlineStr">
        <is>
          <t>PFA38</t>
        </is>
      </c>
      <c r="I79" s="2" t="inlineStr">
        <is>
          <t>Enjeux concernant la garde</t>
        </is>
      </c>
      <c r="K79" s="1893" t="n"/>
      <c r="L79" s="1893" t="n"/>
      <c r="M79" s="1893" t="n"/>
      <c r="N79" s="1893" t="n"/>
      <c r="O79" s="1893" t="n"/>
      <c r="P79" s="1893" t="n"/>
      <c r="Q79" s="1893" t="n"/>
      <c r="R79" s="1893" t="n"/>
      <c r="S79" s="1893" t="n"/>
      <c r="T79" s="1893" t="n"/>
    </row>
    <row r="80">
      <c r="P80" s="2089" t="n"/>
      <c r="Q80" s="2089" t="n"/>
      <c r="R80" s="2089" t="n"/>
      <c r="S80" s="2089" t="n"/>
      <c r="AF80" s="1694" t="n"/>
    </row>
    <row r="81">
      <c r="P81" s="2089" t="n"/>
      <c r="Q81" s="2089" t="n"/>
      <c r="R81" s="2089" t="n"/>
      <c r="S81" s="2089" t="n"/>
    </row>
    <row r="82">
      <c r="P82" s="2089" t="n"/>
    </row>
  </sheetData>
  <mergeCells count="2">
    <mergeCell ref="K48:O48"/>
    <mergeCell ref="K2:O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W44"/>
  <sheetViews>
    <sheetView showGridLines="0" zoomScale="86" zoomScaleNormal="86" workbookViewId="0">
      <selection activeCell="B27" sqref="B27"/>
    </sheetView>
  </sheetViews>
  <sheetFormatPr baseColWidth="10" defaultRowHeight="16"/>
  <cols>
    <col width="10.5" customWidth="1" min="1" max="1"/>
    <col width="97.5" customWidth="1" min="2" max="2"/>
    <col width="9.6640625" customWidth="1" min="3" max="3"/>
    <col width="12.83203125" customWidth="1" min="7" max="7"/>
    <col width="14.33203125" customWidth="1" min="8" max="8"/>
    <col width="11" customWidth="1" style="2089" min="9" max="9"/>
    <col width="15.1640625" customWidth="1" min="11" max="11"/>
  </cols>
  <sheetData>
    <row r="1" ht="21" customHeight="1">
      <c r="A1" s="49" t="inlineStr">
        <is>
          <t>Questions de contexte</t>
        </is>
      </c>
      <c r="U1" t="inlineStr">
        <is>
          <t>Min</t>
        </is>
      </c>
      <c r="V1" t="inlineStr">
        <is>
          <t>Max</t>
        </is>
      </c>
      <c r="W1" t="inlineStr">
        <is>
          <t>Indice d'intention d'exclusion</t>
        </is>
      </c>
    </row>
    <row r="2" ht="44" customHeight="1" thickBot="1">
      <c r="A2" t="inlineStr">
        <is>
          <t>Comportements à surveiller</t>
        </is>
      </c>
      <c r="E2" s="2073" t="inlineStr">
        <is>
          <t>MAX
(Q et SQ et|ou NC)</t>
        </is>
      </c>
      <c r="F2" s="2036" t="inlineStr">
        <is>
          <t>CONTEXTE À RISQUE de CONFLIT</t>
        </is>
      </c>
      <c r="U2" s="2089" t="n">
        <v>0</v>
      </c>
      <c r="V2" s="2089" t="n">
        <v>5</v>
      </c>
      <c r="W2" t="inlineStr">
        <is>
          <t>Risque absent</t>
        </is>
      </c>
    </row>
    <row r="3" ht="63" customHeight="1">
      <c r="D3" s="2016" t="inlineStr">
        <is>
          <t>Fréquence</t>
        </is>
      </c>
      <c r="E3" s="1634" t="inlineStr">
        <is>
          <t>Valeur d'analyse</t>
        </is>
      </c>
      <c r="F3" s="1568" t="inlineStr">
        <is>
          <t>Absent</t>
        </is>
      </c>
      <c r="G3" s="1670" t="inlineStr">
        <is>
          <t>Faible</t>
        </is>
      </c>
      <c r="H3" s="1670" t="inlineStr">
        <is>
          <t>Modéré</t>
        </is>
      </c>
      <c r="I3" s="1670" t="inlineStr">
        <is>
          <t>élevé</t>
        </is>
      </c>
      <c r="J3" s="1568" t="inlineStr">
        <is>
          <t>MAX</t>
        </is>
      </c>
      <c r="K3" s="1985" t="inlineStr">
        <is>
          <t>Condition à respecter pour soulever la situation contextuelle dans le rapport final</t>
        </is>
      </c>
      <c r="L3" s="1670" t="inlineStr">
        <is>
          <t>À soulever dans le rapport</t>
        </is>
      </c>
      <c r="U3" s="2089" t="n">
        <v>6</v>
      </c>
      <c r="V3" s="2089" t="n">
        <v>15</v>
      </c>
      <c r="W3" t="inlineStr">
        <is>
          <t>Risque faible</t>
        </is>
      </c>
    </row>
    <row r="4" ht="35" customHeight="1" thickBot="1">
      <c r="A4" s="1040">
        <f>Test_Bible!A109</f>
        <v/>
      </c>
      <c r="B4" s="1040">
        <f>Test_Bible!B109</f>
        <v/>
      </c>
      <c r="C4" s="13" t="n"/>
      <c r="D4" s="6">
        <f>Test_Bible!P109</f>
        <v/>
      </c>
      <c r="E4" s="1672">
        <f>MAX(D4,D5,D6)</f>
        <v/>
      </c>
      <c r="F4" s="6" t="n">
        <v>0</v>
      </c>
      <c r="G4" s="1673" t="inlineStr">
        <is>
          <t>1 à 3</t>
        </is>
      </c>
      <c r="H4" s="6" t="inlineStr">
        <is>
          <t>4 à 6</t>
        </is>
      </c>
      <c r="I4" s="2002" t="inlineStr">
        <is>
          <t>7 à 10</t>
        </is>
      </c>
      <c r="J4" s="1429" t="n">
        <v>10</v>
      </c>
      <c r="K4" s="1985" t="n">
        <v>7</v>
      </c>
      <c r="L4" s="1678">
        <f>IF(E4&gt;=K4,"mettre notion dans le rapport","")</f>
        <v/>
      </c>
      <c r="U4" s="2089" t="n">
        <v>16</v>
      </c>
      <c r="V4" s="2089" t="n">
        <v>30</v>
      </c>
      <c r="W4" t="inlineStr">
        <is>
          <t>Risque modéré</t>
        </is>
      </c>
    </row>
    <row r="5" ht="34" customHeight="1">
      <c r="A5" s="531">
        <f>Test_Bible!A110</f>
        <v/>
      </c>
      <c r="B5" s="531">
        <f>Test_Bible!B110</f>
        <v/>
      </c>
      <c r="C5" s="1649" t="n"/>
      <c r="D5" s="6">
        <f>Test_Bible!P110</f>
        <v/>
      </c>
      <c r="E5" s="1671" t="n"/>
      <c r="F5" s="6" t="n"/>
      <c r="G5" s="2002" t="n"/>
      <c r="H5" s="6" t="n"/>
      <c r="I5" s="2002" t="n"/>
      <c r="J5" s="2002" t="n"/>
      <c r="K5" s="1985" t="n">
        <v>7</v>
      </c>
      <c r="L5" s="1678" t="n"/>
      <c r="U5" s="2089" t="n">
        <v>31</v>
      </c>
      <c r="V5" s="2089" t="n">
        <v>60</v>
      </c>
      <c r="W5" t="inlineStr">
        <is>
          <t>Risque élevé</t>
        </is>
      </c>
    </row>
    <row r="6" ht="17" customHeight="1">
      <c r="A6" s="531">
        <f>Test_Bible!A111</f>
        <v/>
      </c>
      <c r="B6" s="531">
        <f>Test_Bible!B111</f>
        <v/>
      </c>
      <c r="C6" s="1649" t="n"/>
      <c r="D6" s="6">
        <f>Test_Bible!P111</f>
        <v/>
      </c>
      <c r="E6" s="1671" t="n"/>
      <c r="F6" s="6" t="n"/>
      <c r="G6" s="2002" t="n"/>
      <c r="H6" s="6" t="n"/>
      <c r="I6" s="2002" t="n"/>
      <c r="J6" s="2002" t="n"/>
      <c r="K6" s="2089" t="n">
        <v>4</v>
      </c>
      <c r="L6" s="1678" t="n"/>
    </row>
    <row r="7" ht="47" customHeight="1">
      <c r="A7" s="1040" t="n"/>
      <c r="B7" s="1040" t="n"/>
      <c r="C7" s="13" t="n"/>
      <c r="D7" s="2002" t="n"/>
      <c r="E7" s="1668" t="n"/>
      <c r="F7" s="2002" t="n"/>
      <c r="G7" s="2002" t="n"/>
      <c r="H7" s="2002" t="n"/>
      <c r="I7" s="2002" t="n"/>
      <c r="J7" s="2002" t="n"/>
      <c r="K7" s="2089" t="n"/>
      <c r="L7" s="1678" t="n"/>
    </row>
    <row r="8" ht="35" customHeight="1" thickBot="1">
      <c r="A8" s="1040">
        <f>Test_Bible!A193</f>
        <v/>
      </c>
      <c r="B8" s="1040">
        <f>Test_Bible!B193</f>
        <v/>
      </c>
      <c r="C8" s="1040" t="n"/>
      <c r="D8" s="2002">
        <f>Test_Bible!P193</f>
        <v/>
      </c>
      <c r="E8" s="1672">
        <f>MAX(D8,D9)</f>
        <v/>
      </c>
      <c r="F8" s="6" t="inlineStr">
        <is>
          <t>0 à 1</t>
        </is>
      </c>
      <c r="G8" s="1673" t="inlineStr">
        <is>
          <t>2 à 3</t>
        </is>
      </c>
      <c r="H8" s="6" t="inlineStr">
        <is>
          <t>4 à 6</t>
        </is>
      </c>
      <c r="I8" s="2002" t="inlineStr">
        <is>
          <t>7 à 10</t>
        </is>
      </c>
      <c r="J8" s="1429" t="n">
        <v>10</v>
      </c>
      <c r="K8" s="11" t="n">
        <v>7</v>
      </c>
      <c r="L8" s="1678">
        <f>IF(E8&gt;=K8,"mettre notion dans le rapport","")</f>
        <v/>
      </c>
    </row>
    <row r="9" ht="34" customHeight="1">
      <c r="A9" s="1040">
        <f>Test_Bible!A404</f>
        <v/>
      </c>
      <c r="B9" s="1040">
        <f>Test_Bible!B404</f>
        <v/>
      </c>
      <c r="C9" s="1040" t="n"/>
      <c r="D9" s="2002">
        <f>Test_Bible!P404</f>
        <v/>
      </c>
      <c r="E9" s="1668" t="n"/>
      <c r="F9" s="2002" t="n"/>
      <c r="G9" s="2002" t="n"/>
      <c r="H9" s="2002" t="n"/>
      <c r="I9" s="2002" t="n"/>
      <c r="J9" s="2002" t="n"/>
      <c r="K9" s="11" t="n">
        <v>7</v>
      </c>
      <c r="L9" s="1678" t="n"/>
    </row>
    <row r="10" ht="54" customHeight="1">
      <c r="A10" s="1040" t="n"/>
      <c r="B10" s="1040" t="n"/>
      <c r="C10" s="1040" t="n"/>
      <c r="D10" s="2002" t="n"/>
      <c r="E10" s="1668" t="n"/>
      <c r="F10" s="2002" t="n"/>
      <c r="G10" s="2002" t="n"/>
      <c r="H10" s="2002" t="n"/>
      <c r="I10" s="2002" t="n"/>
      <c r="J10" s="2002" t="n"/>
      <c r="K10" s="11" t="n"/>
      <c r="L10" s="1678" t="n"/>
    </row>
    <row r="11" ht="35" customHeight="1" thickBot="1">
      <c r="A11" s="1040">
        <f>Test_Bible!A206</f>
        <v/>
      </c>
      <c r="B11" s="1040">
        <f>Test_Bible!B206</f>
        <v/>
      </c>
      <c r="C11" s="1040" t="n"/>
      <c r="D11" s="6">
        <f>Test_Bible!P206</f>
        <v/>
      </c>
      <c r="E11" s="1672">
        <f>D11</f>
        <v/>
      </c>
      <c r="F11" s="6" t="n">
        <v>0</v>
      </c>
      <c r="G11" s="2002" t="n">
        <v>1</v>
      </c>
      <c r="H11" s="6" t="inlineStr">
        <is>
          <t>2 à 6</t>
        </is>
      </c>
      <c r="I11" s="2002" t="inlineStr">
        <is>
          <t>7 à 10</t>
        </is>
      </c>
      <c r="J11" s="1429" t="n">
        <v>10</v>
      </c>
      <c r="K11" s="11" t="n">
        <v>4</v>
      </c>
      <c r="L11" s="1678">
        <f>IF(E11&gt;=K11,"mettre notion dans le rapport","")</f>
        <v/>
      </c>
    </row>
    <row r="12" ht="36" customHeight="1">
      <c r="A12" s="1040" t="n"/>
      <c r="B12" s="1040" t="n"/>
      <c r="C12" s="1040" t="n"/>
      <c r="D12" s="2002" t="n"/>
      <c r="E12" s="1668" t="n"/>
      <c r="F12" s="2002" t="n"/>
      <c r="G12" s="2002" t="n"/>
      <c r="H12" s="2002" t="n"/>
      <c r="I12" s="2002" t="n"/>
      <c r="J12" s="2002" t="n"/>
      <c r="K12" s="11" t="n"/>
      <c r="L12" s="1678" t="n"/>
    </row>
    <row r="13" ht="35" customHeight="1" thickBot="1">
      <c r="A13" s="1040">
        <f>Test_Bible!A212</f>
        <v/>
      </c>
      <c r="B13" s="1040">
        <f>Test_Bible!B212</f>
        <v/>
      </c>
      <c r="C13" s="1040" t="n"/>
      <c r="D13" s="6">
        <f>Test_Bible!P212</f>
        <v/>
      </c>
      <c r="E13" s="1672">
        <f>MAX(D13,D14)</f>
        <v/>
      </c>
      <c r="F13" s="6" t="n">
        <v>0</v>
      </c>
      <c r="G13" s="2002" t="inlineStr">
        <is>
          <t>1 à 3</t>
        </is>
      </c>
      <c r="H13" s="6" t="inlineStr">
        <is>
          <t>4 à 6</t>
        </is>
      </c>
      <c r="I13" s="2002" t="inlineStr">
        <is>
          <t>7 à 10</t>
        </is>
      </c>
      <c r="J13" s="1429" t="n">
        <v>10</v>
      </c>
      <c r="K13" s="11" t="n">
        <v>7</v>
      </c>
      <c r="L13" s="1678">
        <f>IF(E13&gt;=K13,"mettre notion dans le rapport","")</f>
        <v/>
      </c>
    </row>
    <row r="14" ht="34" customHeight="1">
      <c r="A14" s="1040">
        <f>Test_Bible!A410</f>
        <v/>
      </c>
      <c r="B14" s="1040">
        <f>Test_Bible!B410</f>
        <v/>
      </c>
      <c r="C14" s="1040" t="n"/>
      <c r="D14" s="6">
        <f>Test_Bible!P410</f>
        <v/>
      </c>
      <c r="E14" s="1668" t="n"/>
      <c r="F14" s="6" t="n"/>
      <c r="G14" s="2002" t="n"/>
      <c r="H14" s="6" t="n"/>
      <c r="I14" s="2002" t="n"/>
      <c r="J14" s="2002" t="n"/>
      <c r="K14" s="11" t="n">
        <v>7</v>
      </c>
      <c r="L14" s="1678" t="n"/>
    </row>
    <row r="15" ht="34" customHeight="1">
      <c r="A15" s="1040" t="n"/>
      <c r="B15" s="1040" t="n"/>
      <c r="C15" s="1040" t="n"/>
      <c r="D15" s="2002" t="n"/>
      <c r="E15" s="1668" t="n"/>
      <c r="F15" s="2002" t="n"/>
      <c r="G15" s="2002" t="n"/>
      <c r="H15" s="2002" t="n"/>
      <c r="I15" s="2002" t="n"/>
      <c r="J15" s="2002" t="n"/>
      <c r="L15" s="1678" t="n"/>
    </row>
    <row r="16" ht="30" customHeight="1" thickBot="1">
      <c r="A16" s="1667">
        <f>Test_Bible!A390</f>
        <v/>
      </c>
      <c r="B16" s="1667">
        <f>Test_Bible!B390</f>
        <v/>
      </c>
      <c r="C16" s="1667" t="n"/>
      <c r="D16" s="6">
        <f>Test_Bible!P390</f>
        <v/>
      </c>
      <c r="E16" s="1672">
        <f>D16</f>
        <v/>
      </c>
      <c r="F16" s="6" t="inlineStr">
        <is>
          <t>0 à 1</t>
        </is>
      </c>
      <c r="G16" s="1673" t="inlineStr">
        <is>
          <t>2 à 3</t>
        </is>
      </c>
      <c r="H16" s="6" t="inlineStr">
        <is>
          <t>4 à 6</t>
        </is>
      </c>
      <c r="I16" s="2002" t="inlineStr">
        <is>
          <t>7 à 10</t>
        </is>
      </c>
      <c r="J16" s="1429" t="n">
        <v>10</v>
      </c>
      <c r="K16" s="11" t="n">
        <v>4</v>
      </c>
      <c r="L16" s="1678">
        <f>IF(E16&gt;=K16,"mettre notion dans le rapport","")</f>
        <v/>
      </c>
    </row>
    <row r="17">
      <c r="A17" s="106" t="n"/>
      <c r="B17" s="106" t="n"/>
      <c r="C17" s="106" t="n"/>
      <c r="D17" s="11" t="n"/>
      <c r="E17" s="1577" t="n"/>
      <c r="F17" s="1940" t="inlineStr">
        <is>
          <t>Score</t>
        </is>
      </c>
      <c r="G17" s="2117" t="n"/>
      <c r="H17" s="2117" t="n"/>
      <c r="I17" s="2117" t="n"/>
      <c r="J17" s="2118" t="n"/>
    </row>
    <row r="18">
      <c r="A18" s="106" t="n"/>
      <c r="B18" s="106" t="n"/>
      <c r="C18" s="106" t="n"/>
      <c r="D18" s="11" t="n"/>
      <c r="E18" s="1579" t="inlineStr">
        <is>
          <t>Score</t>
        </is>
      </c>
      <c r="F18" s="1645" t="inlineStr">
        <is>
          <t>0 à 5</t>
        </is>
      </c>
      <c r="G18" s="2089" t="inlineStr">
        <is>
          <t>6 à 15</t>
        </is>
      </c>
      <c r="H18" s="2089" t="inlineStr">
        <is>
          <t>16 à 30</t>
        </is>
      </c>
      <c r="I18" s="2089" t="inlineStr">
        <is>
          <t>31 à 55</t>
        </is>
      </c>
      <c r="J18" s="1646" t="inlineStr">
        <is>
          <t>Score Max</t>
        </is>
      </c>
    </row>
    <row r="19" ht="20" customHeight="1" thickBot="1">
      <c r="D19" s="2089" t="n"/>
      <c r="E19" s="1669">
        <f>SUM(E4:E16)</f>
        <v/>
      </c>
      <c r="F19" s="1647" t="n"/>
      <c r="G19" s="82" t="n"/>
      <c r="H19" s="82" t="n"/>
      <c r="I19" s="82" t="n"/>
      <c r="J19" s="1648" t="n">
        <v>55</v>
      </c>
    </row>
    <row r="20" ht="19" customHeight="1">
      <c r="D20" s="2089" t="n"/>
      <c r="E20" s="1676" t="n"/>
      <c r="F20" s="115" t="n"/>
      <c r="G20" s="2089" t="n"/>
      <c r="H20" s="2089" t="n"/>
      <c r="J20" s="115" t="n"/>
    </row>
    <row r="21">
      <c r="D21" s="2089" t="n"/>
      <c r="E21" s="2089" t="n"/>
      <c r="F21" s="2002" t="n"/>
      <c r="G21" s="2002" t="n"/>
      <c r="H21" s="2002" t="n"/>
      <c r="I21" s="2002" t="n"/>
      <c r="J21" s="7" t="n"/>
    </row>
    <row r="22" ht="34" customHeight="1">
      <c r="A22" s="531">
        <f>Test_Bible!A208</f>
        <v/>
      </c>
      <c r="B22" s="531">
        <f>Test_Bible!B208</f>
        <v/>
      </c>
      <c r="C22" s="531" t="n"/>
      <c r="D22" s="2002">
        <f>IF(Test_Bible!E210=1,"Nouveau",0)</f>
        <v/>
      </c>
      <c r="E22" s="1674">
        <f>IF(D22="nouveau",10,0)</f>
        <v/>
      </c>
      <c r="F22" s="286" t="n">
        <v>0</v>
      </c>
      <c r="G22" s="286" t="n">
        <v>0</v>
      </c>
      <c r="H22" s="286" t="n">
        <v>10</v>
      </c>
      <c r="I22" s="286" t="n">
        <v>10</v>
      </c>
      <c r="J22" s="1675" t="n">
        <v>10</v>
      </c>
      <c r="K22" s="11" t="n"/>
    </row>
    <row r="23">
      <c r="D23" s="2089" t="n"/>
      <c r="E23" s="1579" t="n"/>
      <c r="F23" s="2089" t="n"/>
      <c r="G23" s="2089" t="n"/>
      <c r="H23" s="2089" t="n"/>
    </row>
    <row r="24">
      <c r="D24" s="2089" t="n"/>
      <c r="E24" s="1579" t="inlineStr">
        <is>
          <t>Score</t>
        </is>
      </c>
      <c r="F24" s="2089" t="n"/>
      <c r="G24" s="2089" t="n"/>
      <c r="H24" s="2089" t="n"/>
    </row>
    <row r="25" ht="20" customHeight="1" thickBot="1">
      <c r="D25" s="2089" t="n"/>
      <c r="E25" s="1669">
        <f>E19+E22</f>
        <v/>
      </c>
      <c r="F25" s="2089" t="n"/>
      <c r="G25" s="2089" t="n"/>
      <c r="H25" s="2089" t="n"/>
      <c r="L25" s="1679">
        <f>IF(OR(E26="Risque élevé",E26="Risque modéré"),"mettre WARNING dans le rapport","")</f>
        <v/>
      </c>
    </row>
    <row r="26">
      <c r="D26" s="2089" t="n"/>
      <c r="E26" s="2077">
        <f>VLOOKUP(E25,U2:W5,3)</f>
        <v/>
      </c>
      <c r="F26" s="2089" t="n"/>
      <c r="G26" s="2089" t="n"/>
      <c r="H26" s="2089" t="n"/>
    </row>
    <row r="27">
      <c r="D27" s="2089" t="n"/>
      <c r="E27" s="2089" t="n"/>
      <c r="F27" s="2089" t="n"/>
      <c r="G27" s="2089" t="n"/>
      <c r="H27" s="2089" t="n"/>
    </row>
    <row r="28">
      <c r="D28" s="2089" t="n"/>
      <c r="E28" s="2089" t="n"/>
      <c r="F28" s="2089" t="n"/>
      <c r="G28" s="2089" t="n"/>
      <c r="H28" s="2089" t="n"/>
    </row>
    <row r="29">
      <c r="D29" s="2089" t="n"/>
      <c r="E29" s="2089" t="n"/>
      <c r="F29" s="2089" t="n"/>
      <c r="G29" s="2089" t="n"/>
      <c r="H29" s="2089" t="n"/>
    </row>
    <row r="30">
      <c r="D30" s="2089" t="n"/>
      <c r="E30" s="2089" t="n"/>
      <c r="F30" s="2089" t="n"/>
      <c r="G30" s="2089" t="n"/>
      <c r="H30" s="2089" t="n"/>
    </row>
    <row r="31">
      <c r="D31" s="2089" t="n"/>
      <c r="E31" s="2089" t="n"/>
      <c r="F31" s="2089" t="n"/>
      <c r="G31" s="2089" t="n"/>
      <c r="H31" s="2089" t="n"/>
    </row>
    <row r="32">
      <c r="D32" s="2089" t="n"/>
      <c r="E32" s="2089" t="n"/>
      <c r="F32" s="2089" t="n"/>
      <c r="G32" s="2089" t="n"/>
      <c r="H32" s="2089" t="n"/>
    </row>
    <row r="33">
      <c r="D33" s="2089" t="n"/>
      <c r="E33" s="2089" t="n"/>
      <c r="F33" s="2089" t="n"/>
      <c r="G33" s="2089" t="n"/>
      <c r="H33" s="2089" t="n"/>
    </row>
    <row r="34">
      <c r="D34" s="2089" t="n"/>
      <c r="E34" s="2089" t="n"/>
      <c r="F34" s="2089" t="n"/>
      <c r="G34" s="2089" t="n"/>
      <c r="H34" s="2089" t="n"/>
    </row>
    <row r="35">
      <c r="D35" s="2089" t="n"/>
      <c r="E35" s="2089" t="n"/>
      <c r="F35" s="2089" t="n"/>
      <c r="G35" s="2089" t="n"/>
      <c r="H35" s="2089" t="n"/>
    </row>
    <row r="36">
      <c r="D36" s="2089" t="n"/>
      <c r="E36" s="2089" t="n"/>
      <c r="F36" s="2089" t="n"/>
      <c r="G36" s="2089" t="n"/>
      <c r="H36" s="2089" t="n"/>
    </row>
    <row r="37">
      <c r="D37" s="2089" t="n"/>
      <c r="E37" s="2089" t="n"/>
      <c r="F37" s="2089" t="n"/>
      <c r="G37" s="2089" t="n"/>
      <c r="H37" s="2089" t="n"/>
    </row>
    <row r="38">
      <c r="D38" s="2089" t="n"/>
      <c r="E38" s="2089" t="n"/>
      <c r="F38" s="2089" t="n"/>
      <c r="G38" s="2089" t="n"/>
      <c r="H38" s="2089" t="n"/>
    </row>
    <row r="39">
      <c r="D39" s="2089" t="n"/>
      <c r="E39" s="2089" t="n"/>
      <c r="F39" s="2089" t="n"/>
      <c r="G39" s="2089" t="n"/>
      <c r="H39" s="2089" t="n"/>
    </row>
    <row r="40">
      <c r="D40" s="2089" t="n"/>
      <c r="E40" s="2089" t="n"/>
      <c r="F40" s="2089" t="n"/>
      <c r="G40" s="2089" t="n"/>
      <c r="H40" s="2089" t="n"/>
    </row>
    <row r="41">
      <c r="D41" s="2089" t="n"/>
      <c r="E41" s="2089" t="n"/>
      <c r="F41" s="2089" t="n"/>
      <c r="G41" s="2089" t="n"/>
      <c r="H41" s="2089" t="n"/>
    </row>
    <row r="42">
      <c r="D42" s="2089" t="n"/>
      <c r="E42" s="2089" t="n"/>
      <c r="F42" s="2089" t="n"/>
      <c r="G42" s="2089" t="n"/>
      <c r="H42" s="2089" t="n"/>
    </row>
    <row r="43">
      <c r="D43" s="2089" t="n"/>
      <c r="E43" s="2089" t="n"/>
      <c r="F43" s="2089" t="n"/>
      <c r="G43" s="2089" t="n"/>
      <c r="H43" s="2089" t="n"/>
    </row>
    <row r="44">
      <c r="J44" s="1984" t="n"/>
    </row>
  </sheetData>
  <mergeCells count="2">
    <mergeCell ref="F17:J17"/>
    <mergeCell ref="F2:J2"/>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2021-11-14T19:44:13Z</dcterms:created>
  <dcterms:modified xsi:type="dcterms:W3CDTF">2022-12-23T19:13:31Z</dcterms:modified>
  <cp:lastModifiedBy>Caroline Paradis</cp:lastModifiedBy>
  <cp:lastPrinted>2022-11-12T21:56:14Z</cp:lastPrinted>
</cp:coreProperties>
</file>