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C70C5735-B889-4970-86EA-3515E52CB806}" xr6:coauthVersionLast="47" xr6:coauthVersionMax="47" xr10:uidLastSave="{00000000-0000-0000-0000-000000000000}"/>
  <bookViews>
    <workbookView xWindow="9240" yWindow="4490" windowWidth="18400" windowHeight="15650" firstSheet="8" activeTab="9"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8" i="10" l="1"/>
  <c r="E69" i="10"/>
  <c r="E70" i="10"/>
  <c r="E71" i="10"/>
  <c r="E72" i="10"/>
  <c r="E73" i="10"/>
  <c r="E74" i="10"/>
  <c r="E75" i="10"/>
  <c r="E76" i="10"/>
  <c r="E77" i="10"/>
  <c r="E78" i="10"/>
  <c r="E79" i="10"/>
  <c r="E80" i="10"/>
  <c r="E81" i="10"/>
  <c r="E82" i="10"/>
  <c r="E83" i="10"/>
  <c r="E84" i="10"/>
  <c r="E67" i="10"/>
  <c r="E63" i="10"/>
  <c r="E64" i="10"/>
  <c r="E65" i="10"/>
  <c r="H37" i="14"/>
  <c r="H37" i="11"/>
  <c r="C108" i="10" l="1"/>
  <c r="C347" i="10"/>
  <c r="C348" i="10"/>
  <c r="C350" i="10"/>
  <c r="C351" i="10"/>
  <c r="C353" i="10"/>
  <c r="C354" i="10"/>
  <c r="C355" i="10"/>
  <c r="C356" i="10"/>
  <c r="C357" i="10"/>
  <c r="C358" i="10"/>
  <c r="C359" i="10"/>
  <c r="C360" i="10"/>
  <c r="C362" i="10"/>
  <c r="C363" i="10"/>
  <c r="C364" i="10"/>
  <c r="C365" i="10"/>
  <c r="C366" i="10"/>
  <c r="C367" i="10"/>
  <c r="C368" i="10"/>
  <c r="C369" i="10"/>
  <c r="C370" i="10"/>
  <c r="C371" i="10"/>
  <c r="C372" i="10"/>
  <c r="C373" i="10"/>
  <c r="C374" i="10"/>
  <c r="C375" i="10"/>
  <c r="C376" i="10"/>
  <c r="C377" i="10"/>
  <c r="C378" i="10"/>
  <c r="C379" i="10"/>
  <c r="C380" i="10"/>
  <c r="C381"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19" i="10"/>
  <c r="C107" i="10"/>
  <c r="C110" i="10"/>
  <c r="C115" i="10"/>
  <c r="C116" i="10"/>
  <c r="C117"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6" i="10"/>
  <c r="C87" i="10"/>
  <c r="C88" i="10"/>
  <c r="C89" i="10"/>
  <c r="C90" i="10"/>
  <c r="C91" i="10"/>
  <c r="C92" i="10"/>
  <c r="C93" i="10"/>
  <c r="C94" i="10"/>
  <c r="C95" i="10"/>
  <c r="C96" i="10"/>
  <c r="C97" i="10"/>
  <c r="C98" i="10"/>
  <c r="C99" i="10"/>
  <c r="C100" i="10"/>
  <c r="C101" i="10"/>
  <c r="C102" i="10"/>
  <c r="C103" i="10"/>
  <c r="C104" i="10"/>
  <c r="C86" i="10"/>
  <c r="C65" i="10"/>
  <c r="C66" i="10"/>
  <c r="C67" i="10"/>
  <c r="C68" i="10"/>
  <c r="C69" i="10"/>
  <c r="C70" i="10"/>
  <c r="C71" i="10"/>
  <c r="C72" i="10"/>
  <c r="C73" i="10"/>
  <c r="C74" i="10"/>
  <c r="C75" i="10"/>
  <c r="C76" i="10"/>
  <c r="C77" i="10"/>
  <c r="C78" i="10"/>
  <c r="C79" i="10"/>
  <c r="C80" i="10"/>
  <c r="C81" i="10"/>
  <c r="C82" i="10"/>
  <c r="C83" i="10"/>
  <c r="C84" i="10"/>
  <c r="C64" i="10"/>
  <c r="C4" i="10"/>
  <c r="C5" i="10"/>
  <c r="C8" i="10"/>
  <c r="C10" i="10"/>
  <c r="C13" i="10"/>
  <c r="C15" i="10"/>
  <c r="C16" i="10"/>
  <c r="C17" i="10"/>
  <c r="C19" i="10"/>
  <c r="C20" i="10"/>
  <c r="C22" i="10"/>
  <c r="C25" i="10"/>
  <c r="C27" i="10"/>
  <c r="C28" i="10"/>
  <c r="C29" i="10"/>
  <c r="C31" i="10"/>
  <c r="C32" i="10"/>
  <c r="C34" i="10"/>
  <c r="C37" i="10"/>
  <c r="C39" i="10"/>
  <c r="C40" i="10"/>
  <c r="C41" i="10"/>
  <c r="C43" i="10"/>
  <c r="C44" i="10"/>
  <c r="C46" i="10"/>
  <c r="C49" i="10"/>
  <c r="C51" i="10"/>
  <c r="C52" i="10"/>
  <c r="C53" i="10"/>
  <c r="C55" i="10"/>
  <c r="C56" i="10"/>
  <c r="C58" i="10"/>
  <c r="C61" i="10"/>
  <c r="C3" i="10"/>
  <c r="A408" i="10"/>
  <c r="A407" i="10"/>
  <c r="A406" i="10"/>
  <c r="A405" i="10"/>
  <c r="A404" i="10"/>
  <c r="A403" i="10"/>
  <c r="A402" i="10"/>
  <c r="C6" i="10"/>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N36" i="14"/>
  <c r="B36" i="14"/>
  <c r="N35" i="14"/>
  <c r="B33" i="14"/>
  <c r="B32" i="14"/>
  <c r="B31" i="14"/>
  <c r="B27" i="14"/>
  <c r="B25" i="14"/>
  <c r="B20" i="14"/>
  <c r="B19" i="14"/>
  <c r="B18" i="14"/>
  <c r="AH17" i="14"/>
  <c r="AG17" i="14"/>
  <c r="AH16" i="14"/>
  <c r="AG16" i="14"/>
  <c r="K38" i="14" s="1"/>
  <c r="B16" i="14"/>
  <c r="AH15" i="14"/>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B381" i="10"/>
  <c r="E381" i="10" s="1"/>
  <c r="B380" i="10"/>
  <c r="E380" i="10" s="1"/>
  <c r="E379" i="10"/>
  <c r="B378" i="10"/>
  <c r="E378" i="10" s="1"/>
  <c r="B377" i="10"/>
  <c r="E377" i="10" s="1"/>
  <c r="B376" i="10"/>
  <c r="E376" i="10" s="1"/>
  <c r="B375" i="10"/>
  <c r="E375" i="10" s="1"/>
  <c r="B374" i="10"/>
  <c r="E374" i="10" s="1"/>
  <c r="B373" i="10"/>
  <c r="E373" i="10" s="1"/>
  <c r="B372" i="10"/>
  <c r="E372" i="10" s="1"/>
  <c r="E371" i="10"/>
  <c r="E370" i="10"/>
  <c r="E369" i="10"/>
  <c r="B368" i="10"/>
  <c r="E368" i="10" s="1"/>
  <c r="B367" i="10"/>
  <c r="E367" i="10" s="1"/>
  <c r="B366" i="10"/>
  <c r="E366" i="10" s="1"/>
  <c r="B365" i="10"/>
  <c r="E365" i="10" s="1"/>
  <c r="B364" i="10"/>
  <c r="E364" i="10" s="1"/>
  <c r="B363" i="10"/>
  <c r="E363" i="10" s="1"/>
  <c r="B362" i="10"/>
  <c r="E362" i="10" s="1"/>
  <c r="E361" i="10"/>
  <c r="E360" i="10"/>
  <c r="E359" i="10"/>
  <c r="E358" i="10"/>
  <c r="B357" i="10"/>
  <c r="E357" i="10" s="1"/>
  <c r="E356" i="10"/>
  <c r="B356" i="10"/>
  <c r="E355" i="10"/>
  <c r="B355" i="10"/>
  <c r="E354" i="10"/>
  <c r="B354" i="10"/>
  <c r="B353" i="10"/>
  <c r="E353" i="10" s="1"/>
  <c r="B352" i="10"/>
  <c r="E352" i="10" s="1"/>
  <c r="B351" i="10"/>
  <c r="E351" i="10" s="1"/>
  <c r="E350" i="10"/>
  <c r="B350" i="10"/>
  <c r="B349" i="10"/>
  <c r="E349" i="10" s="1"/>
  <c r="E347" i="10"/>
  <c r="B347" i="10"/>
  <c r="B346" i="10"/>
  <c r="E346" i="10" s="1"/>
  <c r="B344" i="10"/>
  <c r="E344" i="10" s="1"/>
  <c r="B343" i="10"/>
  <c r="E343" i="10" s="1"/>
  <c r="B318" i="10"/>
  <c r="E318" i="10" s="1"/>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B170" i="10"/>
  <c r="E170" i="10" s="1"/>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B78" i="10"/>
  <c r="B65" i="10"/>
  <c r="B64" i="10"/>
  <c r="E40" i="10"/>
  <c r="E39" i="10"/>
  <c r="E16" i="10"/>
  <c r="B15" i="10"/>
  <c r="E15" i="10" s="1"/>
  <c r="B6" i="10"/>
  <c r="E6" i="10" s="1"/>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D531" i="9"/>
  <c r="C531" i="9"/>
  <c r="C530" i="9"/>
  <c r="D529" i="9"/>
  <c r="C529" i="9"/>
  <c r="H528" i="9"/>
  <c r="G528" i="9"/>
  <c r="F528" i="9"/>
  <c r="H527" i="9"/>
  <c r="G527" i="9"/>
  <c r="F527" i="9"/>
  <c r="H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C352" i="10" l="1"/>
  <c r="C62" i="10"/>
  <c r="C50" i="10"/>
  <c r="C38" i="10"/>
  <c r="C26" i="10"/>
  <c r="C14" i="10"/>
  <c r="C60" i="10"/>
  <c r="C48" i="10"/>
  <c r="C36" i="10"/>
  <c r="C24" i="10"/>
  <c r="C12" i="10"/>
  <c r="C361" i="10"/>
  <c r="C349" i="10"/>
  <c r="C59" i="10"/>
  <c r="C47" i="10"/>
  <c r="C35" i="10"/>
  <c r="C23" i="10"/>
  <c r="C11" i="10"/>
  <c r="C57" i="10"/>
  <c r="C45" i="10"/>
  <c r="C33" i="10"/>
  <c r="C21" i="10"/>
  <c r="C9" i="10"/>
  <c r="C7" i="10"/>
  <c r="C54" i="10"/>
  <c r="C42" i="10"/>
  <c r="C30" i="10"/>
  <c r="C18" i="10"/>
  <c r="C118" i="10"/>
  <c r="C114" i="10"/>
  <c r="C113" i="10"/>
  <c r="C112" i="10"/>
  <c r="C111" i="10"/>
  <c r="C109" i="10"/>
  <c r="E446" i="8"/>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D20" i="13"/>
  <c r="G20" i="13" s="1"/>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D31" i="13"/>
  <c r="G31" i="13" s="1"/>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51" i="13"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D38" i="13"/>
  <c r="G38" i="13" s="1"/>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D47" i="13"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D45" i="13"/>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D23" i="13"/>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D13" i="13"/>
  <c r="G13" i="13" s="1"/>
  <c r="B156" i="9"/>
  <c r="Q177" i="8"/>
  <c r="D18" i="13" s="1"/>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D34" i="13"/>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9" i="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D52" i="13"/>
  <c r="G52" i="13" s="1"/>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D25" i="13"/>
  <c r="G25" i="13" s="1"/>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D24" i="13"/>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D21" i="13"/>
  <c r="G21" i="13" s="1"/>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D30" i="13"/>
  <c r="G30" i="13" s="1"/>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A22" i="12"/>
  <c r="R593" i="16"/>
  <c r="H593" i="16"/>
  <c r="U593" i="16"/>
  <c r="K593" i="16"/>
  <c r="AO51" i="16"/>
  <c r="AO53" i="16" s="1"/>
  <c r="AN51" i="16"/>
  <c r="AN53" i="16" s="1"/>
  <c r="AM51" i="16"/>
  <c r="AM53" i="16" s="1"/>
  <c r="AL51" i="16"/>
  <c r="AL53" i="16" s="1"/>
  <c r="AK51" i="16"/>
  <c r="AK53" i="16" s="1"/>
  <c r="AJ51" i="16"/>
  <c r="AJ53" i="16" s="1"/>
  <c r="AL191" i="8"/>
  <c r="A339" i="16"/>
  <c r="D36" i="13"/>
  <c r="B183" i="9"/>
  <c r="J31" i="17"/>
  <c r="T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D33" i="13"/>
  <c r="G33" i="13" s="1"/>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A24" i="12"/>
  <c r="L81" i="21"/>
  <c r="G533" i="16" s="1"/>
  <c r="D15" i="15"/>
  <c r="AN531" i="16"/>
  <c r="AL531" i="16"/>
  <c r="AJ531" i="16"/>
  <c r="D35" i="13"/>
  <c r="C23" i="14"/>
  <c r="B181" i="9"/>
  <c r="E155" i="9"/>
  <c r="Q88" i="7"/>
  <c r="K668" i="16"/>
  <c r="W668" i="16" s="1"/>
  <c r="H668" i="16"/>
  <c r="AG666" i="16"/>
  <c r="AG668" i="16" s="1"/>
  <c r="AK542" i="16"/>
  <c r="AJ542" i="16"/>
  <c r="A225" i="16"/>
  <c r="D50" i="13"/>
  <c r="G50" i="13" s="1"/>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D41" i="13"/>
  <c r="G41" i="13" s="1"/>
  <c r="B207" i="9"/>
  <c r="AL530" i="16"/>
  <c r="AJ530" i="16"/>
  <c r="AN530" i="16"/>
  <c r="AO530" i="16"/>
  <c r="AM530" i="16"/>
  <c r="AK530" i="16"/>
  <c r="A376" i="16"/>
  <c r="D46" i="13"/>
  <c r="G46" i="13" s="1"/>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D32" i="13"/>
  <c r="G32" i="13" s="1"/>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D19" i="13"/>
  <c r="G19" i="13" s="1"/>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D11" i="13"/>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D16" i="13"/>
  <c r="AA288" i="8"/>
  <c r="E258" i="9"/>
  <c r="Z281" i="8"/>
  <c r="Y281" i="8"/>
  <c r="X281" i="8"/>
  <c r="V281" i="8"/>
  <c r="AC281" i="8"/>
  <c r="AB281" i="8"/>
  <c r="AA281" i="8"/>
  <c r="Q164" i="7"/>
  <c r="E105" i="9"/>
  <c r="Q63" i="7"/>
  <c r="E215" i="9"/>
  <c r="AY244" i="8"/>
  <c r="AX244" i="8"/>
  <c r="AW244" i="8"/>
  <c r="AV244" i="8"/>
  <c r="AU244" i="8"/>
  <c r="AS244" i="8"/>
  <c r="AZ244" i="8"/>
  <c r="Q140" i="7"/>
  <c r="BB201" i="8"/>
  <c r="A129" i="16"/>
  <c r="D14" i="13"/>
  <c r="G14" i="13" s="1"/>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D12" i="13"/>
  <c r="G12" i="13" s="1"/>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D40" i="13"/>
  <c r="G40" i="13" s="1"/>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D10" i="13"/>
  <c r="G10" i="13" s="1"/>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D39" i="13"/>
  <c r="G39" i="13" s="1"/>
  <c r="B195" i="9"/>
  <c r="H205" i="16"/>
  <c r="R205" i="16"/>
  <c r="U205" i="16"/>
  <c r="K205" i="16"/>
  <c r="Q154" i="8"/>
  <c r="U565" i="16"/>
  <c r="R565" i="16"/>
  <c r="K565" i="16"/>
  <c r="H565" i="16"/>
  <c r="A262" i="16"/>
  <c r="C20" i="14"/>
  <c r="D26" i="13"/>
  <c r="G26" i="13" s="1"/>
  <c r="B173" i="9"/>
  <c r="E170" i="9"/>
  <c r="AZ189" i="8"/>
  <c r="AY189" i="8"/>
  <c r="AB186" i="8" s="1"/>
  <c r="AX189" i="8"/>
  <c r="AA186" i="8" s="1"/>
  <c r="AV189" i="8"/>
  <c r="Y186" i="8" s="1"/>
  <c r="Q103" i="7"/>
  <c r="AW189" i="8"/>
  <c r="Z186" i="8" s="1"/>
  <c r="AU189" i="8"/>
  <c r="AS189" i="8"/>
  <c r="AE189" i="8"/>
  <c r="D9" i="13"/>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T10" i="11"/>
  <c r="U10" i="11"/>
  <c r="V10" i="11"/>
  <c r="W10" i="11"/>
  <c r="H38" i="11"/>
  <c r="C439" i="9" s="1"/>
  <c r="A499" i="16"/>
  <c r="AL499" i="16" s="1"/>
  <c r="A537" i="16"/>
  <c r="AJ537" i="16" s="1"/>
  <c r="AJ540" i="16" s="1"/>
  <c r="B247" i="9"/>
  <c r="A322" i="16"/>
  <c r="AJ322" i="16" s="1"/>
  <c r="AJ324" i="16" s="1"/>
  <c r="B375" i="9"/>
  <c r="G11" i="13"/>
  <c r="AL472" i="9" s="1"/>
  <c r="G16" i="13"/>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290" i="16"/>
  <c r="D290" i="16"/>
  <c r="E321" i="16"/>
  <c r="D321" i="16"/>
  <c r="E461" i="9"/>
  <c r="D461" i="9"/>
  <c r="E214" i="16"/>
  <c r="D214" i="16"/>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G512" i="16"/>
  <c r="AB278" i="8"/>
  <c r="W520" i="16"/>
  <c r="R305" i="16"/>
  <c r="AH305" i="16" s="1"/>
  <c r="AH303" i="16"/>
  <c r="E99" i="16"/>
  <c r="D99"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E54" i="13"/>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D49" i="13"/>
  <c r="G49" i="13" s="1"/>
  <c r="AN513" i="16"/>
  <c r="AI530" i="16"/>
  <c r="U532" i="16"/>
  <c r="AH763" i="16"/>
  <c r="R763" i="16"/>
  <c r="Y763" i="16" s="1"/>
  <c r="AM764" i="16" s="1"/>
  <c r="AM769" i="16" s="1"/>
  <c r="AH761" i="16"/>
  <c r="AM763" i="16"/>
  <c r="AL763" i="16"/>
  <c r="AL501" i="9"/>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36" i="12"/>
  <c r="AP417" i="8"/>
  <c r="G36" i="13"/>
  <c r="R595" i="16"/>
  <c r="AH593" i="16"/>
  <c r="U264" i="16"/>
  <c r="AI262" i="16"/>
  <c r="AQ218" i="8"/>
  <c r="E340" i="16"/>
  <c r="D340" i="16"/>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D271" i="16"/>
  <c r="E271" i="16"/>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N340" i="16" s="1"/>
  <c r="AM339" i="16"/>
  <c r="AM340" i="16" s="1"/>
  <c r="AM344" i="16" s="1"/>
  <c r="AL339" i="16"/>
  <c r="AL340" i="16" s="1"/>
  <c r="AL344" i="16" s="1"/>
  <c r="AK339" i="16"/>
  <c r="AJ339" i="16"/>
  <c r="AJ340" i="16" s="1"/>
  <c r="BH112" i="8"/>
  <c r="AB112" i="8"/>
  <c r="AR218" i="8"/>
  <c r="A37" i="12"/>
  <c r="G37" i="12"/>
  <c r="AC37" i="12" s="1"/>
  <c r="C469" i="9" s="1"/>
  <c r="AA234" i="8"/>
  <c r="E385" i="16"/>
  <c r="D385" i="16"/>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AL477" i="9"/>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D17" i="13"/>
  <c r="G17" i="13" s="1"/>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E744" i="16"/>
  <c r="D744"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D252" i="16"/>
  <c r="E252" i="16"/>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D28" i="13"/>
  <c r="G28" i="13" s="1"/>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B62" i="10"/>
  <c r="E62" i="10" s="1"/>
  <c r="AJ201" i="8"/>
  <c r="AO201" i="8"/>
  <c r="AM201" i="8"/>
  <c r="AR201" i="8"/>
  <c r="AL201" i="8"/>
  <c r="B8" i="10"/>
  <c r="E8" i="10" s="1"/>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P40" i="11"/>
  <c r="B14" i="10" s="1"/>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E421" i="16"/>
  <c r="AM77" i="16"/>
  <c r="H38" i="14"/>
  <c r="C525" i="9" s="1"/>
  <c r="T11" i="14"/>
  <c r="S11" i="14"/>
  <c r="P30" i="14" s="1"/>
  <c r="Q27" i="14" s="1"/>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J112" i="8"/>
  <c r="AM112" i="8"/>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D226" i="16"/>
  <c r="E226" i="16"/>
  <c r="AL405" i="16"/>
  <c r="AL17" i="16" s="1"/>
  <c r="L16" i="22" s="1"/>
  <c r="E111" i="16"/>
  <c r="D111" i="16"/>
  <c r="E425" i="16"/>
  <c r="D425" i="16"/>
  <c r="AI264" i="16"/>
  <c r="AN268" i="16"/>
  <c r="U268" i="16"/>
  <c r="AA268" i="16" s="1"/>
  <c r="AO268" i="16"/>
  <c r="AI268" i="16"/>
  <c r="W77" i="16"/>
  <c r="O81" i="16"/>
  <c r="N81" i="16"/>
  <c r="BF11" i="16" s="1"/>
  <c r="H81" i="16"/>
  <c r="AZ11" i="16" s="1"/>
  <c r="E417" i="16"/>
  <c r="D417" i="16"/>
  <c r="R325" i="16"/>
  <c r="Y325" i="16" s="1"/>
  <c r="E324" i="16"/>
  <c r="E325"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R311" i="8"/>
  <c r="AP311" i="8"/>
  <c r="AO311" i="8"/>
  <c r="AN311" i="8"/>
  <c r="AQ311" i="8"/>
  <c r="E169" i="16"/>
  <c r="D169" i="16"/>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E478" i="16"/>
  <c r="D478" i="16"/>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W347" i="16"/>
  <c r="AO401" i="16"/>
  <c r="AN401" i="16"/>
  <c r="U401" i="16"/>
  <c r="AA401" i="16" s="1"/>
  <c r="AI397" i="16"/>
  <c r="AI401" i="16"/>
  <c r="E397" i="16"/>
  <c r="D397" i="16"/>
  <c r="AL478" i="9"/>
  <c r="AN477" i="9" s="1" a="1"/>
  <c r="U422" i="16"/>
  <c r="AA422" i="16" s="1"/>
  <c r="AI422" i="16"/>
  <c r="AI417" i="16"/>
  <c r="R19" i="12"/>
  <c r="Q27" i="12" s="1"/>
  <c r="S22" i="12" s="1"/>
  <c r="B72" i="10" s="1"/>
  <c r="AO382" i="16"/>
  <c r="AN382" i="16"/>
  <c r="U382" i="16"/>
  <c r="AA382" i="16" s="1"/>
  <c r="AI382" i="16"/>
  <c r="AI378" i="16"/>
  <c r="AG478" i="16"/>
  <c r="AI111" i="16"/>
  <c r="AO115" i="16"/>
  <c r="AN115" i="16"/>
  <c r="U115" i="16"/>
  <c r="AA115" i="16" s="1"/>
  <c r="AI115" i="16"/>
  <c r="E378" i="16"/>
  <c r="D378" i="16"/>
  <c r="AQ183" i="8"/>
  <c r="AL154" i="8"/>
  <c r="AK421" i="16"/>
  <c r="F166" i="9"/>
  <c r="AR185" i="8"/>
  <c r="AQ185" i="8"/>
  <c r="AP185" i="8"/>
  <c r="AO185" i="8"/>
  <c r="AM185" i="8"/>
  <c r="AI185" i="8"/>
  <c r="AH185" i="8"/>
  <c r="AL185" i="8"/>
  <c r="AK185" i="8"/>
  <c r="AJ185" i="8"/>
  <c r="AN185" i="8"/>
  <c r="D264" i="16"/>
  <c r="E264" i="16"/>
  <c r="O32" i="11"/>
  <c r="O39" i="11" s="1"/>
  <c r="P26"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F54" i="13"/>
  <c r="D54" i="13"/>
  <c r="AJ134" i="16"/>
  <c r="AG130" i="16"/>
  <c r="AG134" i="16" s="1"/>
  <c r="AK134" i="16"/>
  <c r="K134" i="16"/>
  <c r="H134" i="16"/>
  <c r="E134" i="16" s="1"/>
  <c r="E462" i="9"/>
  <c r="D462" i="9"/>
  <c r="AL494" i="16"/>
  <c r="AL498" i="16" s="1"/>
  <c r="AN460" i="16"/>
  <c r="U460" i="16"/>
  <c r="AA460" i="16" s="1"/>
  <c r="AI456" i="16"/>
  <c r="AI460" i="16"/>
  <c r="AO460" i="16"/>
  <c r="W176" i="16"/>
  <c r="AK19" i="16"/>
  <c r="O19" i="22" s="1"/>
  <c r="D305" i="16"/>
  <c r="E305" i="16"/>
  <c r="AL496" i="9"/>
  <c r="AG405" i="16"/>
  <c r="AG17" i="16" s="1"/>
  <c r="W405" i="16"/>
  <c r="S21" i="13"/>
  <c r="O487" i="9" s="1"/>
  <c r="AL488" i="9"/>
  <c r="E188" i="16"/>
  <c r="D188" i="16"/>
  <c r="E359" i="16"/>
  <c r="D359" i="16"/>
  <c r="K401" i="16"/>
  <c r="L406" i="16" s="1"/>
  <c r="BC28" i="16" s="1"/>
  <c r="AK401" i="16"/>
  <c r="H401" i="16"/>
  <c r="AJ401" i="16"/>
  <c r="AG401" i="16"/>
  <c r="AG397" i="16"/>
  <c r="F261" i="9"/>
  <c r="AM284" i="8"/>
  <c r="AL284" i="8"/>
  <c r="AK284" i="8"/>
  <c r="AJ284" i="8"/>
  <c r="AI284" i="8"/>
  <c r="AH284" i="8"/>
  <c r="AR284" i="8"/>
  <c r="AP284" i="8"/>
  <c r="AO284" i="8"/>
  <c r="AN284" i="8"/>
  <c r="AQ284" i="8"/>
  <c r="E463" i="16"/>
  <c r="D463" i="16"/>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67" i="10"/>
  <c r="S27" i="12"/>
  <c r="B77" i="10" s="1"/>
  <c r="B84" i="10"/>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BE39" i="16"/>
  <c r="AA290" i="8"/>
  <c r="AA380" i="8" s="1"/>
  <c r="E118" i="16"/>
  <c r="D118" i="16"/>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E210" i="16"/>
  <c r="D210"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P21" i="14"/>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E60" i="16"/>
  <c r="D60" i="16"/>
  <c r="AB17" i="16"/>
  <c r="AM401" i="16"/>
  <c r="R401" i="16"/>
  <c r="Y401" i="16" s="1"/>
  <c r="AL401" i="16"/>
  <c r="AH397" i="16"/>
  <c r="AH401" i="16"/>
  <c r="AN484" i="9" a="1"/>
  <c r="AM170" i="8"/>
  <c r="AL170" i="8"/>
  <c r="F151" i="9"/>
  <c r="AK170" i="8"/>
  <c r="AI170" i="8"/>
  <c r="AP170" i="8"/>
  <c r="AN170" i="8"/>
  <c r="AJ170" i="8"/>
  <c r="AH170" i="8"/>
  <c r="AR170" i="8"/>
  <c r="AQ170" i="8"/>
  <c r="AO170" i="8"/>
  <c r="V259" i="8"/>
  <c r="S38" i="12"/>
  <c r="B97" i="10" s="1"/>
  <c r="E97" i="10" s="1"/>
  <c r="B104" i="10"/>
  <c r="E104" i="10" s="1"/>
  <c r="B89" i="10"/>
  <c r="E89" i="10" s="1"/>
  <c r="AB19" i="16"/>
  <c r="E150" i="16"/>
  <c r="D150" i="16"/>
  <c r="D456" i="16"/>
  <c r="E456"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Q408" i="8"/>
  <c r="AP408" i="8"/>
  <c r="AP427" i="8" s="1"/>
  <c r="AO408" i="8"/>
  <c r="AN408" i="8"/>
  <c r="AN427" i="8" s="1"/>
  <c r="AM408" i="8"/>
  <c r="AL408" i="8"/>
  <c r="AK408" i="8"/>
  <c r="AK427" i="8" s="1"/>
  <c r="AJ408" i="8"/>
  <c r="AI408" i="8"/>
  <c r="AH408" i="8"/>
  <c r="AH427" i="8" s="1"/>
  <c r="E267" i="16"/>
  <c r="D267" i="16"/>
  <c r="AJ302" i="16"/>
  <c r="AJ27" i="16" s="1"/>
  <c r="E347" i="16"/>
  <c r="D347" i="16"/>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G39" i="15"/>
  <c r="H17" i="15"/>
  <c r="AN183" i="8"/>
  <c r="AN154" i="8"/>
  <c r="AO421" i="16"/>
  <c r="AO28" i="16" s="1"/>
  <c r="AM517" i="16"/>
  <c r="R517" i="16"/>
  <c r="Y517" i="16" s="1"/>
  <c r="AL517" i="16"/>
  <c r="AH513" i="16"/>
  <c r="AH517" i="16"/>
  <c r="AM382" i="16"/>
  <c r="R382" i="16"/>
  <c r="Y382" i="16" s="1"/>
  <c r="AL382" i="16"/>
  <c r="AH378" i="16"/>
  <c r="AH382" i="16"/>
  <c r="E405" i="16"/>
  <c r="D405"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AO427" i="8" l="1"/>
  <c r="AD427" i="8"/>
  <c r="G380" i="9"/>
  <c r="B11" i="22"/>
  <c r="AM427" i="8"/>
  <c r="AR427" i="8"/>
  <c r="I15" i="5"/>
  <c r="I16" i="5"/>
  <c r="AL427" i="8"/>
  <c r="AI334" i="16"/>
  <c r="AN334" i="16"/>
  <c r="AO334" i="16"/>
  <c r="M329" i="16"/>
  <c r="BI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N506" i="9"/>
  <c r="AO506" i="9"/>
  <c r="AN507" i="9"/>
  <c r="E382" i="16"/>
  <c r="AO507" i="9"/>
  <c r="AP507" i="9" s="1"/>
  <c r="D508" i="9" s="1"/>
  <c r="E517" i="16"/>
  <c r="Q29" i="14"/>
  <c r="R27" i="14"/>
  <c r="B269" i="10" s="1"/>
  <c r="E269" i="10" s="1"/>
  <c r="B227" i="10"/>
  <c r="E227" i="10" s="1"/>
  <c r="R29" i="14"/>
  <c r="B271" i="10" s="1"/>
  <c r="E271" i="10" s="1"/>
  <c r="Q30" i="14"/>
  <c r="R28" i="14"/>
  <c r="B270" i="10" s="1"/>
  <c r="E270" i="10" s="1"/>
  <c r="R30" i="14"/>
  <c r="B268" i="10" s="1"/>
  <c r="E268" i="10" s="1"/>
  <c r="Q28" i="14"/>
  <c r="AN27" i="16"/>
  <c r="AR259" i="8"/>
  <c r="AR451" i="8" s="1"/>
  <c r="AP259" i="8"/>
  <c r="AP451" i="8" s="1"/>
  <c r="P34" i="14"/>
  <c r="R33" i="14" s="1"/>
  <c r="E173" i="16"/>
  <c r="I51" i="13"/>
  <c r="B167" i="10" s="1"/>
  <c r="E167" i="10" s="1"/>
  <c r="J51" i="13"/>
  <c r="B214" i="10" s="1"/>
  <c r="E214" i="10" s="1"/>
  <c r="P17" i="14"/>
  <c r="R14" i="14" s="1"/>
  <c r="B256" i="10" s="1"/>
  <c r="E256" i="10" s="1"/>
  <c r="G19" i="22"/>
  <c r="S19" i="12"/>
  <c r="B69" i="10" s="1"/>
  <c r="S21" i="12"/>
  <c r="B71" i="10" s="1"/>
  <c r="P26" i="14"/>
  <c r="R25" i="14" s="1"/>
  <c r="B267" i="10" s="1"/>
  <c r="E267"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P20" i="11"/>
  <c r="Q14" i="11" s="1"/>
  <c r="B20" i="10" s="1"/>
  <c r="E20" i="10" s="1"/>
  <c r="M16" i="22"/>
  <c r="N16" i="22" s="1"/>
  <c r="BB10" i="16"/>
  <c r="AJ570" i="9"/>
  <c r="G54" i="5"/>
  <c r="R81" i="5"/>
  <c r="L11" i="22"/>
  <c r="AI40" i="16"/>
  <c r="AJ589" i="9"/>
  <c r="G73" i="5"/>
  <c r="R92" i="5"/>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BH24" i="16"/>
  <c r="S68" i="5"/>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AJ584" i="9"/>
  <c r="G68" i="5"/>
  <c r="R90" i="5"/>
  <c r="E154" i="16"/>
  <c r="M158" i="16" s="1"/>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U35" i="12" s="1"/>
  <c r="P32" i="11"/>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21" i="14"/>
  <c r="B259" i="10" s="1"/>
  <c r="E259" i="10" s="1"/>
  <c r="Q21" i="14"/>
  <c r="B237" i="10" s="1"/>
  <c r="E237" i="10" s="1"/>
  <c r="B225" i="10"/>
  <c r="E225" i="10" s="1"/>
  <c r="R19" i="14"/>
  <c r="B261" i="10" s="1"/>
  <c r="E261" i="10" s="1"/>
  <c r="R18" i="14"/>
  <c r="B260" i="10" s="1"/>
  <c r="E260" i="10" s="1"/>
  <c r="Q19" i="14"/>
  <c r="B239" i="10" s="1"/>
  <c r="E239" i="10" s="1"/>
  <c r="Q18" i="14"/>
  <c r="B238" i="10" s="1"/>
  <c r="E238" i="10" s="1"/>
  <c r="R20" i="14"/>
  <c r="B262" i="10" s="1"/>
  <c r="E262" i="10" s="1"/>
  <c r="Q20" i="14"/>
  <c r="B240" i="10" s="1"/>
  <c r="E24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P41" i="14"/>
  <c r="B229" i="10" s="1"/>
  <c r="E229" i="10" s="1"/>
  <c r="B222" i="10"/>
  <c r="E222" i="10" s="1"/>
  <c r="B275" i="10"/>
  <c r="E275" i="10"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AP505" i="9"/>
  <c r="D506" i="9" s="1"/>
  <c r="C15" i="22"/>
  <c r="D560" i="9"/>
  <c r="H321" i="9"/>
  <c r="B35" i="5"/>
  <c r="AO372" i="16"/>
  <c r="AB372" i="16"/>
  <c r="AF372" i="16" s="1"/>
  <c r="AV26" i="16" s="1"/>
  <c r="AN372" i="16"/>
  <c r="AI372" i="16"/>
  <c r="AI105" i="16"/>
  <c r="AO105" i="16"/>
  <c r="AB105" i="16"/>
  <c r="AF105" i="16" s="1"/>
  <c r="AV12" i="16" s="1"/>
  <c r="AN105" i="16"/>
  <c r="S36" i="12"/>
  <c r="B95" i="10" s="1"/>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AP506" i="9"/>
  <c r="R17" i="14"/>
  <c r="B254" i="10" s="1"/>
  <c r="E254" i="10" s="1"/>
  <c r="Q17" i="14"/>
  <c r="B232" i="10" s="1"/>
  <c r="E232" i="10" s="1"/>
  <c r="B224" i="10"/>
  <c r="E22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S26" i="12"/>
  <c r="B76" i="10" s="1"/>
  <c r="S24" i="12"/>
  <c r="B74" i="10" s="1"/>
  <c r="S23" i="12"/>
  <c r="B73" i="10" s="1"/>
  <c r="S25" i="12"/>
  <c r="B75" i="10" s="1"/>
  <c r="S20" i="12"/>
  <c r="B70"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AQ451" i="8" l="1"/>
  <c r="AO428" i="8"/>
  <c r="AN428" i="8"/>
  <c r="AK428" i="8"/>
  <c r="AM428" i="8"/>
  <c r="AL428" i="8"/>
  <c r="AJ428" i="8"/>
  <c r="AQ428" i="8"/>
  <c r="AP428" i="8"/>
  <c r="AI428" i="8"/>
  <c r="D495" i="9"/>
  <c r="AH428" i="8"/>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S33" i="12"/>
  <c r="B92" i="10" s="1"/>
  <c r="E92" i="10" s="1"/>
  <c r="S35" i="12"/>
  <c r="B94" i="10" s="1"/>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S37" i="12"/>
  <c r="B96" i="10" s="1"/>
  <c r="E96" i="10"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AN585" i="9"/>
  <c r="AM585" i="9"/>
  <c r="AL585" i="9"/>
  <c r="AK585"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AJ586" i="9"/>
  <c r="G70" i="5"/>
  <c r="AN591" i="9"/>
  <c r="AM591" i="9"/>
  <c r="AL591" i="9"/>
  <c r="AK591" i="9"/>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S34" i="12"/>
  <c r="B93" i="10" s="1"/>
  <c r="E93" i="10" s="1"/>
  <c r="T33" i="12"/>
  <c r="T37" i="12"/>
  <c r="U34" i="12"/>
  <c r="T34" i="12"/>
  <c r="S32" i="12"/>
  <c r="B91" i="10" s="1"/>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80" i="9"/>
  <c r="E73" i="5"/>
  <c r="V92" i="5"/>
  <c r="E54" i="5"/>
  <c r="V81" i="5"/>
  <c r="AJ40" i="16" l="1"/>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K572" i="9"/>
  <c r="AN572" i="9"/>
  <c r="AM572" i="9"/>
  <c r="AL572" i="9"/>
  <c r="AJ18" i="16"/>
  <c r="AJ66" i="16"/>
  <c r="AJ20" i="16" s="1"/>
  <c r="F429" i="9" s="1"/>
  <c r="AA429" i="9" s="1"/>
  <c r="C545" i="9"/>
  <c r="AN590" i="9"/>
  <c r="AM590" i="9"/>
  <c r="AL590" i="9"/>
  <c r="AK590" i="9"/>
  <c r="AL433" i="8"/>
  <c r="V8" i="5" s="1"/>
  <c r="AK433" i="8"/>
  <c r="V7" i="5"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AN579" i="9"/>
  <c r="AM579" i="9"/>
  <c r="AL579" i="9"/>
  <c r="AK579" i="9"/>
  <c r="AJ452" i="8"/>
  <c r="AM433" i="8"/>
  <c r="V9" i="5" s="1"/>
  <c r="AH433" i="8"/>
  <c r="AK582" i="9"/>
  <c r="AN582" i="9"/>
  <c r="AM582" i="9"/>
  <c r="AL582" i="9"/>
  <c r="AN595" i="9"/>
  <c r="AM595" i="9"/>
  <c r="AL595" i="9"/>
  <c r="AK595" i="9"/>
  <c r="AB428" i="9"/>
  <c r="AP458" i="8"/>
  <c r="V43" i="5" s="1"/>
  <c r="AL452" i="8"/>
  <c r="AN594" i="9"/>
  <c r="AM594" i="9"/>
  <c r="AL594" i="9"/>
  <c r="AK594" i="9"/>
  <c r="AJ583" i="9"/>
  <c r="V89" i="5"/>
  <c r="E64" i="5"/>
  <c r="AK574" i="9"/>
  <c r="AN574" i="9"/>
  <c r="AM574" i="9"/>
  <c r="AL574" i="9"/>
  <c r="E58" i="5"/>
  <c r="V85" i="5"/>
  <c r="AN577" i="9"/>
  <c r="AM577" i="9"/>
  <c r="AL577" i="9"/>
  <c r="AK577" i="9"/>
  <c r="AI452" i="8"/>
  <c r="C12" i="20"/>
  <c r="D676" i="9" s="1"/>
  <c r="W26" i="5"/>
  <c r="AB427" i="9"/>
  <c r="AK576" i="9"/>
  <c r="AN576" i="9"/>
  <c r="AM576" i="9"/>
  <c r="AL576" i="9"/>
  <c r="V88" i="5"/>
  <c r="E61" i="5"/>
  <c r="AQ452" i="8"/>
  <c r="AR433" i="8"/>
  <c r="V14" i="5" s="1"/>
  <c r="E60" i="5"/>
  <c r="V87" i="5"/>
  <c r="AO433" i="8"/>
  <c r="V11" i="5" s="1"/>
  <c r="AG18" i="16"/>
  <c r="AG66" i="16"/>
  <c r="AG20" i="16" s="1"/>
  <c r="D429" i="9" s="1"/>
  <c r="AJ433" i="8"/>
  <c r="AN433" i="8"/>
  <c r="V10" i="5" s="1"/>
  <c r="F545" i="9" l="1"/>
  <c r="AK40" i="16"/>
  <c r="W21" i="5"/>
  <c r="AB429" i="9"/>
  <c r="AC429" i="9" s="1"/>
  <c r="H429" i="9" s="1"/>
  <c r="AC428" i="9"/>
  <c r="H428" i="9" s="1"/>
  <c r="G428" i="9"/>
  <c r="B11" i="20"/>
  <c r="D668" i="9" s="1"/>
  <c r="V21" i="5"/>
  <c r="AC427" i="9"/>
  <c r="H427" i="9" s="1"/>
  <c r="G427" i="9"/>
  <c r="G8" i="15"/>
  <c r="I8" i="15" s="1"/>
  <c r="G545" i="9"/>
  <c r="AN583" i="9"/>
  <c r="AM583" i="9"/>
  <c r="AL583" i="9"/>
  <c r="AK583" i="9"/>
  <c r="B13" i="20"/>
  <c r="D670" i="9" s="1"/>
  <c r="X21" i="5"/>
  <c r="I25" i="15" l="1"/>
  <c r="J22" i="15" s="1"/>
  <c r="I17" i="15"/>
  <c r="I33" i="15"/>
  <c r="I21" i="15"/>
  <c r="G429" i="9"/>
  <c r="I41" i="15"/>
  <c r="B289" i="10" s="1"/>
  <c r="E289" i="10" s="1"/>
  <c r="I14" i="15"/>
  <c r="B280" i="10" s="1"/>
  <c r="E280" i="10" s="1"/>
  <c r="C9" i="15"/>
  <c r="I38" i="15"/>
  <c r="I36" i="15"/>
  <c r="I19" i="15"/>
  <c r="J24" i="15" l="1"/>
  <c r="B303" i="10" s="1"/>
  <c r="E303" i="10" s="1"/>
  <c r="B285" i="10"/>
  <c r="E285" i="10" s="1"/>
  <c r="J25" i="15"/>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00" i="10"/>
  <c r="E300" i="10" s="1"/>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<sst xmlns="http://schemas.openxmlformats.org/spreadsheetml/2006/main" count="7898" uniqueCount="2598">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</sst>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1">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27" fillId="0" borderId="16" xfId="0" applyFont="1" applyBorder="1" applyAlignment="1">
      <alignment horizontal="left" vertical="top" wrapText="1"/>
    </xf>
    <xf numFmtId="0" fontId="0" fillId="0" borderId="16" xfId="0" applyBorder="1"/>
    <xf numFmtId="0" fontId="27" fillId="0" borderId="16" xfId="0" applyFont="1" applyBorder="1" applyAlignment="1">
      <alignment horizontal="left" vertical="center" wrapText="1"/>
    </xf>
    <xf numFmtId="0" fontId="27" fillId="0" borderId="16" xfId="0" applyFont="1" applyBorder="1" applyAlignment="1">
      <alignment horizontal="left" wrapText="1"/>
    </xf>
    <xf numFmtId="0" fontId="8" fillId="0" borderId="0" xfId="0" applyFont="1" applyAlignment="1">
      <alignment horizontal="left" wrapText="1"/>
    </xf>
    <xf numFmtId="0" fontId="27" fillId="0" borderId="15" xfId="0" applyFont="1" applyBorder="1" applyAlignment="1">
      <alignment horizontal="left" vertical="center" wrapText="1"/>
    </xf>
    <xf numFmtId="0" fontId="0" fillId="0" borderId="15" xfId="0" applyBorder="1"/>
    <xf numFmtId="0" fontId="0" fillId="0" borderId="0" xfId="0" applyAlignment="1">
      <alignment horizontal="center" vertical="center" wrapText="1"/>
    </xf>
    <xf numFmtId="0" fontId="0" fillId="0" borderId="0" xfId="0" applyAlignment="1">
      <alignment vertical="center"/>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14" fillId="0" borderId="10" xfId="0" applyFont="1" applyBorder="1" applyAlignment="1">
      <alignment horizontal="center" vertical="center"/>
    </xf>
    <xf numFmtId="0" fontId="26" fillId="36" borderId="91" xfId="0" applyFont="1" applyFill="1" applyBorder="1" applyAlignment="1">
      <alignment horizontal="center" vertical="center" wrapText="1"/>
    </xf>
    <xf numFmtId="0" fontId="0" fillId="0" borderId="91" xfId="0" applyBorder="1"/>
    <xf numFmtId="0" fontId="0" fillId="0" borderId="10" xfId="0" applyBorder="1" applyAlignment="1">
      <alignment horizontal="center" textRotation="90" wrapText="1"/>
    </xf>
    <xf numFmtId="0" fontId="0" fillId="0" borderId="11" xfId="0" applyBorder="1" applyAlignment="1">
      <alignment horizontal="center" vertical="center"/>
    </xf>
    <xf numFmtId="0" fontId="0" fillId="0" borderId="1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3" xfId="0" applyBorder="1"/>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27" borderId="0" xfId="0" applyFill="1" applyAlignment="1">
      <alignment horizontal="center" vertical="center"/>
    </xf>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18" borderId="7" xfId="0" applyFont="1" applyFill="1" applyBorder="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6" fillId="0" borderId="0" xfId="0" applyFont="1" applyAlignment="1">
      <alignment horizontal="center"/>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0" fillId="0" borderId="0" xfId="0" applyAlignment="1">
      <alignment horizontal="left" wrapText="1"/>
    </xf>
    <xf numFmtId="0" fontId="7" fillId="0" borderId="0" xfId="0" applyFont="1" applyAlignment="1">
      <alignment horizontal="center"/>
    </xf>
    <xf numFmtId="0" fontId="13" fillId="0" borderId="0" xfId="0" applyFont="1" applyAlignment="1">
      <alignment horizontal="left" wrapText="1"/>
    </xf>
    <xf numFmtId="0" fontId="2" fillId="0" borderId="0" xfId="0" applyFont="1" applyAlignment="1">
      <alignment horizontal="center"/>
    </xf>
    <xf numFmtId="0" fontId="7" fillId="0" borderId="0" xfId="0" applyFont="1" applyAlignment="1">
      <alignment horizontal="center" wrapText="1"/>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54" xfId="0" applyBorder="1"/>
    <xf numFmtId="0" fontId="0" fillId="0" borderId="19" xfId="0" applyBorder="1" applyAlignment="1">
      <alignment horizontal="center" vertic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7" fillId="55" borderId="0" xfId="0" applyFont="1" applyFill="1" applyAlignment="1">
      <alignment horizontal="center"/>
    </xf>
    <xf numFmtId="0" fontId="17" fillId="16" borderId="54" xfId="0" applyFont="1" applyFill="1" applyBorder="1" applyAlignment="1">
      <alignment horizontal="center" vertical="center" wrapText="1"/>
    </xf>
    <xf numFmtId="0" fontId="86" fillId="69" borderId="36" xfId="0" applyFont="1" applyFill="1" applyBorder="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86" fillId="69" borderId="56" xfId="0" applyFont="1" applyFill="1" applyBorder="1" applyAlignment="1">
      <alignment horizontal="center" vertical="center"/>
    </xf>
    <xf numFmtId="0" fontId="0" fillId="16" borderId="84" xfId="0" applyFill="1" applyBorder="1" applyAlignment="1">
      <alignment horizontal="left" vertical="center" wrapText="1"/>
    </xf>
    <xf numFmtId="0" fontId="109" fillId="60" borderId="85" xfId="0" applyFont="1" applyFill="1" applyBorder="1" applyAlignment="1">
      <alignment horizontal="center" vertical="center" wrapText="1"/>
    </xf>
    <xf numFmtId="0" fontId="17" fillId="16" borderId="0" xfId="0" applyFont="1" applyFill="1" applyAlignment="1">
      <alignment horizontal="center" vertical="center" wrapText="1"/>
    </xf>
    <xf numFmtId="0" fontId="0" fillId="16" borderId="84" xfId="0" applyFill="1" applyBorder="1" applyAlignment="1">
      <alignment horizontal="left" vertical="top" wrapText="1"/>
    </xf>
    <xf numFmtId="0" fontId="27" fillId="0" borderId="0" xfId="0" applyFont="1" applyAlignment="1">
      <alignment horizontal="center" wrapText="1"/>
    </xf>
    <xf numFmtId="0" fontId="17" fillId="16" borderId="0" xfId="0" applyFont="1" applyFill="1" applyAlignment="1">
      <alignment horizontal="center" vertical="center"/>
    </xf>
    <xf numFmtId="0" fontId="84" fillId="71" borderId="0" xfId="0" applyFont="1" applyFill="1" applyAlignment="1">
      <alignment horizontal="center" vertical="center" wrapText="1"/>
    </xf>
    <xf numFmtId="0" fontId="0" fillId="0" borderId="0" xfId="0" applyAlignment="1">
      <alignment vertical="center" wrapText="1"/>
    </xf>
    <xf numFmtId="0" fontId="147" fillId="14" borderId="0" xfId="0" applyFont="1" applyFill="1" applyAlignment="1">
      <alignment horizont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left" vertic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10" fillId="0" borderId="0" xfId="0" applyFont="1" applyAlignment="1">
      <alignment horizontal="left" wrapText="1"/>
    </xf>
    <xf numFmtId="0" fontId="2" fillId="0" borderId="0" xfId="0" applyFont="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center" wrapText="1"/>
    </xf>
    <xf numFmtId="0" fontId="0" fillId="6" borderId="0" xfId="0" applyFill="1" applyAlignment="1">
      <alignment horizontal="center"/>
    </xf>
    <xf numFmtId="0" fontId="10" fillId="71" borderId="0" xfId="0" applyFont="1" applyFill="1" applyAlignment="1">
      <alignment horizontal="center" vertical="center"/>
    </xf>
    <xf numFmtId="0" fontId="0" fillId="27" borderId="2" xfId="0" applyFill="1" applyBorder="1" applyAlignment="1">
      <alignment horizontal="center" vertical="center"/>
    </xf>
    <xf numFmtId="0" fontId="38" fillId="3" borderId="56" xfId="0" applyFont="1" applyFill="1" applyBorder="1" applyAlignment="1">
      <alignment horizontal="left"/>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148" fillId="76" borderId="0" xfId="0" applyFont="1" applyFill="1" applyAlignment="1">
      <alignment horizontal="center"/>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8"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4"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4"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5" t="s">
        <v>27</v>
      </c>
      <c r="G20" s="1806"/>
      <c r="H20" s="88"/>
      <c r="I20" s="88"/>
      <c r="J20" s="88"/>
      <c r="K20" s="88"/>
      <c r="N20" s="88"/>
    </row>
    <row r="21" spans="5:14">
      <c r="F21" s="57"/>
    </row>
    <row r="22" spans="5:14">
      <c r="F22" s="57"/>
    </row>
    <row r="23" spans="5:14">
      <c r="N23" s="1" t="s">
        <v>10</v>
      </c>
    </row>
    <row r="24" spans="5:14">
      <c r="E24" t="s">
        <v>28</v>
      </c>
      <c r="F24" s="1805" t="s">
        <v>29</v>
      </c>
      <c r="G24" s="1806"/>
      <c r="H24" s="1806"/>
      <c r="I24" s="1806"/>
      <c r="J24" s="1806"/>
      <c r="K24" s="1806"/>
      <c r="N24" s="88"/>
    </row>
    <row r="25" spans="5:14">
      <c r="F25" t="s">
        <v>30</v>
      </c>
    </row>
    <row r="26" spans="5:14">
      <c r="F26" t="s">
        <v>31</v>
      </c>
    </row>
    <row r="27" spans="5:14">
      <c r="F27" t="s">
        <v>32</v>
      </c>
    </row>
    <row r="30" spans="5:14">
      <c r="F30" s="2449"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5" t="s">
        <v>45</v>
      </c>
      <c r="B48" s="2465" t="s">
        <v>46</v>
      </c>
      <c r="E48" t="str">
        <f>'BD baromètres'!A91</f>
        <v>PFA11</v>
      </c>
      <c r="F48" t="str">
        <f>'BD baromètres'!B91</f>
        <v xml:space="preserve">L'autre parent est d'avis que votre enfant est assez mature pour choisir où il doit vivre et avec quel parent.  </v>
      </c>
    </row>
    <row r="49" spans="1:6" ht="16" customHeight="1">
      <c r="A49" s="2458"/>
      <c r="B49" s="2458"/>
      <c r="E49" t="str">
        <f>'BD baromètres'!A92</f>
        <v>PFA11a</v>
      </c>
      <c r="F49" t="str">
        <f>'BD baromètres'!B92</f>
        <v>Est-ce que l'autre parent vous demande de respecter les désirs et les choix de votre enfant ?</v>
      </c>
    </row>
    <row r="50" spans="1:6" ht="16" customHeight="1">
      <c r="A50" s="2458"/>
      <c r="B50" s="2458"/>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61" t="s">
        <v>48</v>
      </c>
      <c r="E57" t="str">
        <f>'BD baromètres'!A103</f>
        <v>PFA16b</v>
      </c>
      <c r="F57" t="str">
        <f>'BD baromètres'!B103</f>
        <v>Arrive-t-il que l’autre parent organise et propose des activités à votre enfant sur votre temps de garde ?</v>
      </c>
    </row>
    <row r="58" spans="1:6" ht="16" customHeight="1">
      <c r="B58" s="2458"/>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6"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7" t="s">
        <v>52</v>
      </c>
      <c r="C69" s="2457" t="s">
        <v>53</v>
      </c>
      <c r="D69" s="10" t="s">
        <v>54</v>
      </c>
      <c r="E69" t="str">
        <f>'BD baromètres'!A152</f>
        <v>E04</v>
      </c>
      <c r="F69" t="str">
        <f>'BD baromètres'!B152</f>
        <v>Votre enfant défend l'autre parent, quoi que vous fassiez, quoi que vous disiez.</v>
      </c>
    </row>
    <row r="70" spans="2:6" ht="16" customHeight="1">
      <c r="B70" s="2458"/>
      <c r="C70" s="2458"/>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8"/>
      <c r="C71" s="2458"/>
      <c r="D71" s="10" t="s">
        <v>55</v>
      </c>
      <c r="E71" t="str">
        <f>'BD baromètres'!A154</f>
        <v>E04a1</v>
      </c>
      <c r="F71" t="str">
        <f>'BD baromètres'!B154</f>
        <v>Votre enfant calque les désirs et les paroles de l’autre parent.</v>
      </c>
    </row>
    <row r="72" spans="2:6" ht="16" customHeight="1">
      <c r="B72" s="2458"/>
      <c r="C72" s="2458"/>
      <c r="D72" s="10" t="s">
        <v>54</v>
      </c>
      <c r="E72" t="str">
        <f>'BD baromètres'!A155</f>
        <v>E05</v>
      </c>
      <c r="F72" t="str">
        <f>'BD baromètres'!B155</f>
        <v>Votre enfant s’exprime avec des expressions ou des paroles empruntées à l’autre parent.</v>
      </c>
    </row>
    <row r="73" spans="2:6" ht="16" customHeight="1">
      <c r="B73" s="2459" t="s">
        <v>56</v>
      </c>
      <c r="C73" s="809"/>
      <c r="D73" s="809" t="s">
        <v>55</v>
      </c>
      <c r="E73" t="str">
        <f>'BD baromètres'!A191</f>
        <v>E29</v>
      </c>
      <c r="F73" t="str">
        <f>'BD baromètres'!B191</f>
        <v>Dans quelle mesure diriez-vous que votre enfant adapte ses champs d’intérêts pour partager les intérêts de l’autre parent ?</v>
      </c>
    </row>
    <row r="74" spans="2:6" ht="16" customHeight="1">
      <c r="B74" s="2460"/>
      <c r="C74" s="809"/>
      <c r="D74" s="809" t="s">
        <v>55</v>
      </c>
      <c r="E74" t="str">
        <f>'BD baromètres'!A192</f>
        <v>E29a</v>
      </c>
      <c r="F74" t="str">
        <f>'BD baromètres'!B192</f>
        <v>Dans quelle mesure diriez-vous que votre enfant rejette vos valeurs et vos champs d’intérêts.</v>
      </c>
    </row>
    <row r="75" spans="2:6" ht="16" customHeight="1">
      <c r="B75" s="2462" t="s">
        <v>56</v>
      </c>
      <c r="C75" s="2127"/>
      <c r="D75" s="2127" t="s">
        <v>55</v>
      </c>
      <c r="E75" t="str">
        <f>'BD baromètres'!A195</f>
        <v>E33</v>
      </c>
      <c r="F75" t="str">
        <f>'BD baromètres'!B195</f>
        <v>Votre enfant vous reproche de lui manquer de respect en ne respectant pas ses choix, besoins, désirs, rythme, etc.</v>
      </c>
    </row>
    <row r="76" spans="2:6" ht="16" customHeight="1">
      <c r="B76" s="2463"/>
      <c r="C76" s="2127"/>
      <c r="D76" s="2127" t="s">
        <v>55</v>
      </c>
      <c r="E76" t="str">
        <f>'BD baromètres'!A196</f>
        <v>E33a</v>
      </c>
      <c r="F76" t="str">
        <f>'BD baromètres'!B196</f>
        <v>Votre enfant demande à changer les termes de la garde afin de passer plus de temps chez l’autre parent.</v>
      </c>
    </row>
    <row r="77" spans="2:6" ht="16" customHeight="1">
      <c r="B77" s="2464"/>
      <c r="C77" s="2127"/>
      <c r="D77" s="2127"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7"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59</v>
      </c>
      <c r="D1" s="1051"/>
      <c r="E1" s="1052" t="s">
        <v>60</v>
      </c>
      <c r="F1" s="1053" t="s">
        <v>61</v>
      </c>
      <c r="G1" s="462" t="s">
        <v>62</v>
      </c>
      <c r="H1" s="1054" t="s">
        <v>63</v>
      </c>
      <c r="I1" s="1055" t="s">
        <v>64</v>
      </c>
      <c r="J1" s="1055" t="s">
        <v>65</v>
      </c>
      <c r="K1" s="2466" t="s">
        <v>66</v>
      </c>
      <c r="L1" s="2458"/>
      <c r="M1" s="2458"/>
      <c r="N1" s="2458"/>
      <c r="O1" s="2458"/>
    </row>
    <row r="2" spans="1:15" ht="78" customHeight="1">
      <c r="A2" s="1049"/>
      <c r="B2" s="1050"/>
      <c r="C2" s="1051"/>
      <c r="D2" s="1051"/>
      <c r="E2" s="1052"/>
      <c r="F2" s="1053"/>
      <c r="G2" s="462"/>
      <c r="H2" s="1054"/>
      <c r="I2" s="462"/>
      <c r="J2" s="462"/>
      <c r="K2" s="1094" t="s">
        <v>67</v>
      </c>
      <c r="L2" s="1094" t="s">
        <v>68</v>
      </c>
      <c r="M2" s="1094" t="s">
        <v>69</v>
      </c>
      <c r="N2" s="1094" t="s">
        <v>70</v>
      </c>
      <c r="O2" s="1094" t="s">
        <v>71</v>
      </c>
    </row>
    <row r="3" spans="1:15" ht="50" customHeight="1">
      <c r="A3" s="61" t="s">
        <v>72</v>
      </c>
      <c r="B3" s="1047"/>
      <c r="C3" s="272"/>
      <c r="D3" s="272"/>
      <c r="E3" s="462"/>
      <c r="F3" s="462"/>
      <c r="G3" s="462"/>
      <c r="I3" s="462"/>
      <c r="J3" s="462"/>
    </row>
    <row r="4" spans="1:15" ht="93" customHeight="1">
      <c r="A4" s="501"/>
      <c r="B4" s="1195" t="str">
        <f>BIBLE!E20</f>
        <v>B00</v>
      </c>
      <c r="C4" s="1195" t="str">
        <f>BIBLE!F20</f>
        <v xml:space="preserve">Identification: Qui êtes-vous ? </v>
      </c>
      <c r="D4" s="1095" t="s">
        <v>73</v>
      </c>
      <c r="E4" s="462">
        <v>0</v>
      </c>
      <c r="F4" s="462"/>
      <c r="G4" s="462"/>
      <c r="I4" s="462"/>
      <c r="J4" s="462"/>
      <c r="K4" s="1088"/>
      <c r="L4" s="1088" t="s">
        <v>74</v>
      </c>
      <c r="M4" s="1089"/>
      <c r="N4" s="1089"/>
      <c r="O4" s="1089"/>
    </row>
    <row r="5" spans="1:15" ht="46.5" customHeight="1">
      <c r="A5" s="501"/>
      <c r="B5" s="1195" t="str">
        <f>BIBLE!E21</f>
        <v>B01</v>
      </c>
      <c r="C5" s="1195" t="str">
        <f>BIBLE!F21</f>
        <v>Vous répondez à ce questionnaire au nom de ?</v>
      </c>
      <c r="D5" s="1096" t="s">
        <v>75</v>
      </c>
      <c r="E5" s="576">
        <v>0</v>
      </c>
      <c r="F5" s="576"/>
      <c r="G5" s="462" t="s">
        <v>76</v>
      </c>
      <c r="I5" s="462"/>
      <c r="J5" s="462"/>
      <c r="K5" s="1088"/>
      <c r="L5" s="1088" t="s">
        <v>74</v>
      </c>
      <c r="M5" s="1089"/>
      <c r="N5" s="1089"/>
      <c r="O5" s="1088" t="s">
        <v>74</v>
      </c>
    </row>
    <row r="6" spans="1:15" ht="44" customHeight="1">
      <c r="A6" s="501"/>
      <c r="B6" s="1195" t="str">
        <f>BIBLE!E22</f>
        <v>B02</v>
      </c>
      <c r="C6" s="1195" t="str">
        <f>BIBLE!F22</f>
        <v>Souhaitez-vous faire une analyse au présent ou de manière rétrospective ?</v>
      </c>
      <c r="D6" s="1096" t="s">
        <v>77</v>
      </c>
      <c r="E6" s="576"/>
      <c r="F6" s="576"/>
      <c r="G6" s="462"/>
      <c r="I6" s="462"/>
      <c r="J6" s="462"/>
      <c r="K6" s="1088" t="s">
        <v>74</v>
      </c>
      <c r="L6" s="1088"/>
      <c r="M6" s="1089"/>
      <c r="N6" s="1089"/>
      <c r="O6" s="1088"/>
    </row>
    <row r="7" spans="1:15" ht="77.5" customHeight="1">
      <c r="A7" s="501"/>
      <c r="B7" s="1195" t="str">
        <f>BIBLE!E23</f>
        <v>B03</v>
      </c>
      <c r="C7" s="1195" t="str">
        <f>BIBLE!F23</f>
        <v xml:space="preserve">Quelle a été la durée de vie commune avec l'autre parent (coparent) ?
</v>
      </c>
      <c r="D7" s="1096" t="s">
        <v>78</v>
      </c>
      <c r="E7" s="576">
        <v>0</v>
      </c>
      <c r="F7" s="576"/>
      <c r="G7" s="462" t="s">
        <v>76</v>
      </c>
      <c r="I7" s="462"/>
      <c r="J7" s="462"/>
      <c r="K7" s="1089"/>
      <c r="L7" s="1088" t="s">
        <v>74</v>
      </c>
      <c r="M7" s="1089"/>
      <c r="N7" s="1089"/>
      <c r="O7" s="1088" t="s">
        <v>74</v>
      </c>
    </row>
    <row r="8" spans="1:15" ht="77.5" customHeight="1">
      <c r="A8" s="501"/>
      <c r="B8" s="1195" t="str">
        <f>BIBLE!E24</f>
        <v>B04</v>
      </c>
      <c r="C8" s="1195" t="str">
        <f>BIBLE!F24</f>
        <v xml:space="preserve">Depuis combien de temps êtes vous séparé·e de l'autre parent (coparent) ? </v>
      </c>
      <c r="D8" s="1096" t="s">
        <v>79</v>
      </c>
      <c r="E8" s="576">
        <v>0</v>
      </c>
      <c r="F8" s="576"/>
      <c r="G8" s="462" t="s">
        <v>76</v>
      </c>
      <c r="I8" s="462"/>
      <c r="J8" s="462"/>
      <c r="K8" s="1088" t="s">
        <v>74</v>
      </c>
      <c r="L8" s="1088" t="s">
        <v>74</v>
      </c>
      <c r="M8" s="1089"/>
      <c r="N8" s="1088" t="s">
        <v>74</v>
      </c>
      <c r="O8" s="1088" t="s">
        <v>74</v>
      </c>
    </row>
    <row r="9" spans="1:15" ht="62" customHeight="1">
      <c r="A9" s="501"/>
      <c r="B9" s="1195" t="str">
        <f>BIBLE!E25</f>
        <v>B05</v>
      </c>
      <c r="C9" s="1195" t="str">
        <f>BIBLE!F25</f>
        <v>Combien d'enfants compte la fratrie ?</v>
      </c>
      <c r="D9" s="1096" t="s">
        <v>80</v>
      </c>
      <c r="E9" s="576"/>
      <c r="F9" s="576"/>
      <c r="G9" s="462"/>
      <c r="I9" s="462"/>
      <c r="J9" s="462"/>
      <c r="K9" s="1088"/>
      <c r="L9" s="1088" t="s">
        <v>74</v>
      </c>
      <c r="M9" s="1089"/>
      <c r="N9" s="1088"/>
      <c r="O9" s="1088"/>
    </row>
    <row r="10" spans="1:15" ht="40" customHeight="1">
      <c r="A10" s="501"/>
      <c r="B10" s="1195" t="str">
        <f>BIBLE!E26</f>
        <v>B06</v>
      </c>
      <c r="C10" s="1195" t="str">
        <f>BIBLE!F26</f>
        <v>Quel âge a l'enfant qui fait l'objet de l'analyse ?</v>
      </c>
      <c r="D10" s="1095" t="s">
        <v>81</v>
      </c>
      <c r="E10" s="576">
        <v>0</v>
      </c>
      <c r="F10" s="576"/>
      <c r="G10" s="462" t="s">
        <v>76</v>
      </c>
      <c r="I10" s="462"/>
      <c r="J10" s="462"/>
      <c r="K10" s="1088" t="s">
        <v>74</v>
      </c>
      <c r="L10" s="1088" t="s">
        <v>74</v>
      </c>
      <c r="M10" s="1089"/>
      <c r="N10" s="1088" t="s">
        <v>74</v>
      </c>
      <c r="O10" s="1088" t="s">
        <v>74</v>
      </c>
    </row>
    <row r="11" spans="1:15" ht="77.5" customHeight="1">
      <c r="A11" s="501"/>
      <c r="B11" s="1195" t="str">
        <f>BIBLE!E27</f>
        <v>B07</v>
      </c>
      <c r="C11" s="1195" t="str">
        <f>BIBLE!F27</f>
        <v xml:space="preserve">Quelle est votre situation familiale actuelle ? </v>
      </c>
      <c r="D11" s="1096" t="s">
        <v>82</v>
      </c>
      <c r="E11" s="576">
        <v>0</v>
      </c>
      <c r="F11" s="576"/>
      <c r="G11" s="462" t="s">
        <v>76</v>
      </c>
      <c r="I11" s="462"/>
      <c r="J11" s="462"/>
      <c r="K11" s="1088" t="s">
        <v>74</v>
      </c>
      <c r="L11" s="1088" t="s">
        <v>74</v>
      </c>
      <c r="M11" s="1089"/>
      <c r="N11" s="1089"/>
      <c r="O11" s="1089"/>
    </row>
    <row r="12" spans="1:15" ht="46.5" customHeight="1">
      <c r="A12" s="501"/>
      <c r="B12" s="1195" t="str">
        <f>BIBLE!E28</f>
        <v>B08</v>
      </c>
      <c r="C12" s="1195" t="str">
        <f>BIBLE!F28</f>
        <v xml:space="preserve">Quelle est la situation familiale actuelle de l'autre parent (coparent) ?
</v>
      </c>
      <c r="D12" s="1096" t="s">
        <v>83</v>
      </c>
      <c r="E12" s="576">
        <v>0</v>
      </c>
      <c r="F12" s="576"/>
      <c r="G12" s="462" t="s">
        <v>76</v>
      </c>
      <c r="I12" s="462"/>
      <c r="J12" s="462"/>
      <c r="K12" s="1088" t="s">
        <v>74</v>
      </c>
      <c r="L12" s="1088" t="s">
        <v>74</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84</v>
      </c>
      <c r="H13" s="541" t="s">
        <v>85</v>
      </c>
      <c r="I13" s="1057">
        <f>Test_Bible!P53</f>
        <v>0</v>
      </c>
      <c r="J13" s="1057">
        <f>Test_Bible!Q53</f>
        <v>0</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86</v>
      </c>
      <c r="E14" s="1058">
        <v>0</v>
      </c>
      <c r="F14" s="1058"/>
      <c r="G14" s="462" t="s">
        <v>87</v>
      </c>
      <c r="I14" s="462"/>
      <c r="J14" s="462"/>
      <c r="K14" s="1088" t="s">
        <v>74</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84</v>
      </c>
      <c r="H15" s="541" t="s">
        <v>85</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84</v>
      </c>
      <c r="H16" s="541" t="s">
        <v>85</v>
      </c>
      <c r="I16" s="1057">
        <f>Test_Bible!P57</f>
        <v>0</v>
      </c>
      <c r="J16" s="1057">
        <f>Test_Bible!Q57</f>
        <v>0</v>
      </c>
      <c r="K16" s="1090"/>
      <c r="L16" s="1090"/>
      <c r="M16" s="1090"/>
      <c r="N16" s="1090"/>
      <c r="O16" s="1090"/>
    </row>
    <row r="17" spans="1:15" ht="105"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76</v>
      </c>
      <c r="I17" s="462"/>
      <c r="J17" s="462"/>
      <c r="K17" s="1088" t="s">
        <v>74</v>
      </c>
      <c r="L17" s="1088" t="s">
        <v>74</v>
      </c>
      <c r="M17" s="1089"/>
      <c r="N17" s="1088" t="s">
        <v>74</v>
      </c>
      <c r="O17" s="1088" t="s">
        <v>74</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88</v>
      </c>
      <c r="I18" s="462"/>
      <c r="J18" s="462"/>
      <c r="K18" s="1089"/>
      <c r="L18" s="1089"/>
      <c r="M18" s="1088" t="s">
        <v>74</v>
      </c>
      <c r="N18" s="1089"/>
      <c r="O18" s="1088"/>
    </row>
    <row r="19" spans="1:15" ht="87" customHeight="1">
      <c r="A19" s="501"/>
      <c r="B19" s="1196" t="str">
        <f>BIBLE!E35</f>
        <v>B12b</v>
      </c>
      <c r="C19" s="1196" t="str">
        <f>BIBLE!F35</f>
        <v xml:space="preserve">Ces difficultés relationnelles sont-elles récentes ? </v>
      </c>
      <c r="D19" s="1099" t="s">
        <v>89</v>
      </c>
      <c r="E19" s="1058">
        <v>0</v>
      </c>
      <c r="F19" s="1058"/>
      <c r="G19" s="462" t="s">
        <v>88</v>
      </c>
      <c r="I19" s="462"/>
      <c r="J19" s="462"/>
      <c r="K19" s="1089"/>
      <c r="L19" s="1089"/>
      <c r="M19" s="1088" t="s">
        <v>74</v>
      </c>
      <c r="N19" s="1089"/>
      <c r="O19" s="1088"/>
    </row>
    <row r="20" spans="1:15" ht="48" customHeight="1">
      <c r="A20" s="501"/>
      <c r="B20" s="1196" t="str">
        <f>BIBLE!E36</f>
        <v>B12c</v>
      </c>
      <c r="C20" s="1196" t="str">
        <f>BIBLE!F36</f>
        <v>Est-ce qu'il y a d'autres enfants en rupture de lien ou de contact?</v>
      </c>
      <c r="D20" s="1098" t="s">
        <v>86</v>
      </c>
      <c r="E20" s="1058">
        <v>0</v>
      </c>
      <c r="F20" s="1058"/>
      <c r="G20" s="462" t="s">
        <v>87</v>
      </c>
      <c r="I20" s="462"/>
      <c r="J20" s="462"/>
      <c r="K20" s="1089"/>
      <c r="L20" s="1088" t="s">
        <v>74</v>
      </c>
      <c r="M20" s="1088" t="s">
        <v>74</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90</v>
      </c>
      <c r="E21" s="1058">
        <v>0</v>
      </c>
      <c r="F21" s="1058"/>
      <c r="G21" s="462" t="s">
        <v>88</v>
      </c>
      <c r="I21" s="462"/>
      <c r="J21" s="462"/>
      <c r="K21" s="1089"/>
      <c r="L21" s="1088" t="s">
        <v>74</v>
      </c>
      <c r="M21" s="1088" t="s">
        <v>74</v>
      </c>
      <c r="N21" s="1089"/>
      <c r="O21" s="1088"/>
    </row>
    <row r="22" spans="1:15" ht="40" customHeight="1">
      <c r="A22" s="16"/>
      <c r="B22" s="1047"/>
      <c r="C22" s="272"/>
      <c r="D22" s="272"/>
      <c r="E22" s="16"/>
      <c r="F22" s="16"/>
      <c r="G22" s="462"/>
      <c r="I22" s="462"/>
      <c r="J22" s="462"/>
    </row>
    <row r="23" spans="1:15" s="82" customFormat="1" ht="30" customHeight="1">
      <c r="A23" s="1093" t="s">
        <v>91</v>
      </c>
      <c r="B23" s="330"/>
      <c r="C23" s="331"/>
      <c r="D23" s="331"/>
      <c r="E23" s="330"/>
      <c r="F23" s="330"/>
      <c r="G23" s="829"/>
      <c r="H23" s="542"/>
      <c r="I23" s="829"/>
      <c r="J23" s="829"/>
      <c r="K23" s="1059"/>
      <c r="L23" s="1059"/>
      <c r="M23" s="1059"/>
      <c r="N23" s="1059"/>
      <c r="O23" s="1059"/>
    </row>
    <row r="24" spans="1:15" ht="46.5"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92</v>
      </c>
      <c r="H24" s="541" t="s">
        <v>93</v>
      </c>
      <c r="I24" s="1061">
        <f>Test_Bible!P126</f>
        <v>0</v>
      </c>
      <c r="J24" s="1061">
        <f>Test_Bible!Q126</f>
        <v>0</v>
      </c>
      <c r="K24" s="1090"/>
      <c r="L24" s="1090"/>
      <c r="M24" s="1090"/>
      <c r="N24" s="1090"/>
      <c r="O24" s="1090"/>
    </row>
    <row r="25" spans="1:15" ht="98" customHeight="1">
      <c r="A25" s="1060"/>
      <c r="B25" s="1196" t="str">
        <f>BIBLE!E54</f>
        <v>PCR01b</v>
      </c>
      <c r="C25" s="1196" t="str">
        <f>BIBLE!F54</f>
        <v>Quels sont les sujets délicats entre vous et l'autre parent ?</v>
      </c>
      <c r="D25" s="1103" t="s">
        <v>94</v>
      </c>
      <c r="E25" s="537">
        <v>1</v>
      </c>
      <c r="F25" s="537"/>
      <c r="G25" s="462" t="s">
        <v>95</v>
      </c>
      <c r="H25" s="543" t="s">
        <v>96</v>
      </c>
      <c r="I25" s="1062"/>
      <c r="J25" s="1062"/>
      <c r="K25" s="1089"/>
      <c r="L25" s="1088" t="s">
        <v>74</v>
      </c>
      <c r="M25" s="1088" t="s">
        <v>74</v>
      </c>
      <c r="N25" s="1089"/>
      <c r="O25" s="1088"/>
    </row>
    <row r="26" spans="1:15" s="7" customFormat="1" ht="15.5" customHeight="1">
      <c r="A26" s="1060"/>
      <c r="B26" s="1194" t="str">
        <f>BIBLE!E66</f>
        <v>PCR12</v>
      </c>
      <c r="C26" s="1194" t="str">
        <f>BIBLE!F66</f>
        <v>Il vous arrive de prendre des décisions sans consulter l'autre parent.</v>
      </c>
      <c r="D26" s="1104"/>
      <c r="E26" s="545">
        <v>2</v>
      </c>
      <c r="F26" s="545"/>
      <c r="G26" s="462" t="s">
        <v>92</v>
      </c>
      <c r="H26" s="541" t="s">
        <v>93</v>
      </c>
      <c r="I26" s="1061">
        <f>Test_Bible!P140</f>
        <v>0</v>
      </c>
      <c r="J26" s="1061">
        <f>Test_Bible!Q140</f>
        <v>0</v>
      </c>
      <c r="K26" s="1092"/>
      <c r="L26" s="1092"/>
      <c r="M26" s="1092"/>
      <c r="N26" s="1092"/>
      <c r="O26" s="1092"/>
    </row>
    <row r="27" spans="1:15" s="7" customFormat="1" ht="124" customHeight="1">
      <c r="A27" s="1060"/>
      <c r="B27" s="1196" t="str">
        <f>BIBLE!E67</f>
        <v>PCR12a</v>
      </c>
      <c r="C27" s="1196" t="str">
        <f>BIBLE!F67</f>
        <v>Quel type de décisions avez-vous pris sans consulter l'autre parent ou sans attendre son approbation ?</v>
      </c>
      <c r="D27" s="1105" t="s">
        <v>97</v>
      </c>
      <c r="E27" s="545">
        <v>2</v>
      </c>
      <c r="F27" s="545"/>
      <c r="G27" s="462" t="s">
        <v>95</v>
      </c>
      <c r="H27" s="541"/>
      <c r="I27" s="1063"/>
      <c r="J27" s="1063"/>
      <c r="K27" s="1091"/>
      <c r="L27" s="1091"/>
      <c r="M27" s="1088" t="s">
        <v>74</v>
      </c>
      <c r="N27" s="1252" t="s">
        <v>98</v>
      </c>
      <c r="O27" s="1088" t="s">
        <v>74</v>
      </c>
    </row>
    <row r="28" spans="1:15" ht="31"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99</v>
      </c>
      <c r="H28" s="541" t="s">
        <v>100</v>
      </c>
      <c r="I28" s="1061">
        <f>Test_Bible!P151</f>
        <v>0</v>
      </c>
      <c r="J28" s="1061">
        <f>Test_Bible!Q151</f>
        <v>0</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86</v>
      </c>
      <c r="E29" s="593">
        <v>0</v>
      </c>
      <c r="F29" s="593"/>
      <c r="G29" s="462" t="s">
        <v>87</v>
      </c>
      <c r="I29" s="1061"/>
      <c r="J29" s="1061"/>
      <c r="K29" s="1089"/>
      <c r="L29" s="1089"/>
      <c r="M29" s="1088" t="s">
        <v>74</v>
      </c>
      <c r="N29" s="1089"/>
      <c r="O29" s="1088" t="s">
        <v>74</v>
      </c>
    </row>
    <row r="30" spans="1:15" ht="31" customHeight="1">
      <c r="A30" s="1064"/>
      <c r="B30" s="16"/>
      <c r="C30" s="272"/>
      <c r="D30" s="1065"/>
      <c r="E30" s="462"/>
      <c r="F30" s="462"/>
      <c r="G30" s="462"/>
      <c r="I30" s="1061"/>
      <c r="J30" s="1061"/>
      <c r="M30" s="1056"/>
      <c r="O30" s="1056"/>
    </row>
    <row r="31" spans="1:15" ht="36" customHeight="1">
      <c r="A31" s="1066" t="s">
        <v>101</v>
      </c>
      <c r="B31" s="532"/>
      <c r="C31" s="914"/>
      <c r="D31" s="914"/>
      <c r="E31" s="914"/>
      <c r="F31" s="914"/>
      <c r="G31" s="914"/>
      <c r="H31" s="914"/>
      <c r="I31" s="914"/>
      <c r="J31" s="914"/>
    </row>
    <row r="32" spans="1:15" ht="31" customHeight="1">
      <c r="A32" s="1067"/>
      <c r="B32" s="1107" t="str">
        <f>BIBLE!E82</f>
        <v>PFA02</v>
      </c>
      <c r="C32" s="1108" t="s">
        <v>102</v>
      </c>
      <c r="D32" s="1109"/>
      <c r="E32" s="1068">
        <v>1</v>
      </c>
      <c r="F32" s="1068"/>
      <c r="G32" s="1069" t="s">
        <v>103</v>
      </c>
      <c r="H32" s="1070" t="s">
        <v>104</v>
      </c>
      <c r="I32" s="1071">
        <f>Test_Bible!P166</f>
        <v>0</v>
      </c>
      <c r="J32" s="1071">
        <f>Test_Bible!Q166</f>
        <v>0</v>
      </c>
      <c r="K32" s="1090"/>
      <c r="L32" s="1090"/>
      <c r="M32" s="1090"/>
      <c r="N32" s="1090"/>
      <c r="O32" s="1090"/>
    </row>
    <row r="33" spans="1:15" ht="90" customHeight="1">
      <c r="A33" s="383"/>
      <c r="B33" s="1107" t="str">
        <f>BIBLE!E83</f>
        <v>PFA02a</v>
      </c>
      <c r="C33" s="884" t="s">
        <v>105</v>
      </c>
      <c r="D33" s="1103" t="s">
        <v>106</v>
      </c>
      <c r="E33" s="1068">
        <v>1</v>
      </c>
      <c r="F33" s="1068"/>
      <c r="G33" s="462" t="s">
        <v>107</v>
      </c>
      <c r="I33" s="462"/>
      <c r="J33" s="462"/>
      <c r="K33" s="1089"/>
      <c r="L33" s="1089"/>
      <c r="M33" s="1088"/>
      <c r="N33" s="1088" t="s">
        <v>108</v>
      </c>
      <c r="O33" s="1088" t="s">
        <v>74</v>
      </c>
    </row>
    <row r="34" spans="1:15" s="7" customFormat="1" ht="31" customHeight="1">
      <c r="A34" s="383"/>
      <c r="B34" s="1107" t="str">
        <f>BIBLE!E125</f>
        <v>PFA25</v>
      </c>
      <c r="C34" s="1108" t="s">
        <v>109</v>
      </c>
      <c r="D34" s="1109"/>
      <c r="E34" s="537">
        <v>1</v>
      </c>
      <c r="F34" s="537"/>
      <c r="G34" s="462" t="s">
        <v>92</v>
      </c>
      <c r="H34" s="541" t="s">
        <v>93</v>
      </c>
      <c r="I34" s="1057">
        <f>Test_Bible!P211</f>
        <v>0</v>
      </c>
      <c r="J34" s="1057">
        <f>Test_Bible!Q211</f>
        <v>0</v>
      </c>
      <c r="K34" s="1092"/>
      <c r="L34" s="1092"/>
      <c r="M34" s="1092"/>
      <c r="N34" s="1092"/>
      <c r="O34" s="1092"/>
    </row>
    <row r="35" spans="1:15" s="7" customFormat="1" ht="45" customHeight="1">
      <c r="A35" s="383"/>
      <c r="B35" s="1107" t="str">
        <f>BIBLE!E126</f>
        <v>PFA25a</v>
      </c>
      <c r="C35" s="884" t="s">
        <v>110</v>
      </c>
      <c r="D35" s="1110" t="s">
        <v>111</v>
      </c>
      <c r="E35" s="545">
        <v>2</v>
      </c>
      <c r="F35" s="545"/>
      <c r="G35" s="462" t="s">
        <v>112</v>
      </c>
      <c r="H35" s="543" t="s">
        <v>113</v>
      </c>
      <c r="I35" s="109"/>
      <c r="J35" s="109"/>
      <c r="K35" s="1091"/>
      <c r="L35" s="1091"/>
      <c r="M35" s="1091"/>
      <c r="N35" s="1088" t="s">
        <v>74</v>
      </c>
      <c r="O35" s="1091"/>
    </row>
    <row r="36" spans="1:15" s="7" customFormat="1" ht="46.5"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99</v>
      </c>
      <c r="H36" s="541" t="s">
        <v>100</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114</v>
      </c>
      <c r="E37" s="562">
        <v>0</v>
      </c>
      <c r="F37" s="562"/>
      <c r="G37" s="462" t="s">
        <v>88</v>
      </c>
      <c r="H37" s="541"/>
      <c r="I37" s="1072"/>
      <c r="J37" s="1072"/>
      <c r="K37" s="1091"/>
      <c r="L37" s="1091"/>
      <c r="M37" s="1088" t="s">
        <v>74</v>
      </c>
      <c r="N37" s="1252" t="s">
        <v>115</v>
      </c>
      <c r="O37" s="1088" t="s">
        <v>74</v>
      </c>
    </row>
    <row r="38" spans="1:15" s="7" customFormat="1" ht="41" customHeight="1">
      <c r="A38" s="383"/>
      <c r="B38" s="1196" t="str">
        <f>BIBLE!E134</f>
        <v>PFA29b</v>
      </c>
      <c r="C38" s="1196" t="str">
        <f>BIBLE!F134</f>
        <v>Avez-vous été déchu·e (totalement ou en partie) de votre autorité parentale ?</v>
      </c>
      <c r="D38" s="1112" t="s">
        <v>116</v>
      </c>
      <c r="E38" s="537">
        <v>1</v>
      </c>
      <c r="F38" s="537"/>
      <c r="G38" s="462" t="s">
        <v>87</v>
      </c>
      <c r="H38" s="541"/>
      <c r="I38" s="1063"/>
      <c r="J38" s="1063"/>
      <c r="K38" s="1091"/>
      <c r="L38" s="1091"/>
      <c r="M38" s="1091"/>
      <c r="N38" s="1091"/>
      <c r="O38" s="1088" t="s">
        <v>74</v>
      </c>
    </row>
    <row r="39" spans="1:15" ht="46" customHeight="1">
      <c r="A39" s="383"/>
      <c r="B39" s="1196" t="str">
        <f>BIBLE!E136</f>
        <v>PFA30a</v>
      </c>
      <c r="C39" s="1196" t="str">
        <f>BIBLE!F136</f>
        <v>L’autre parent cherche à vous exclure de la vie de votre enfant.</v>
      </c>
      <c r="D39" s="1113"/>
      <c r="E39" s="544">
        <v>3</v>
      </c>
      <c r="F39" s="544"/>
      <c r="G39" s="462" t="s">
        <v>117</v>
      </c>
      <c r="H39" s="541" t="s">
        <v>118</v>
      </c>
      <c r="I39" s="1057">
        <f>Test_Bible!P235</f>
        <v>0</v>
      </c>
      <c r="J39" s="1057">
        <f>Test_Bible!Q235</f>
        <v>0</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92</v>
      </c>
      <c r="H40" s="541" t="s">
        <v>93</v>
      </c>
      <c r="I40" s="1057">
        <f>Test_Bible!P236</f>
        <v>0</v>
      </c>
      <c r="J40" s="1057">
        <f>Test_Bible!Q236</f>
        <v>0</v>
      </c>
      <c r="K40" s="1089"/>
      <c r="L40" s="1089"/>
      <c r="M40" s="1089"/>
      <c r="N40" s="1089"/>
      <c r="O40" s="1089"/>
    </row>
    <row r="41" spans="1:15" ht="155" customHeight="1">
      <c r="A41" s="383"/>
      <c r="B41" s="1196" t="str">
        <f>BIBLE!E138</f>
        <v>PFA30a2</v>
      </c>
      <c r="C41" s="1196" t="str">
        <f>BIBLE!F138</f>
        <v>Quels sont les comportements ou attitudes qui vous laissent croire que l'autre parent cherche à vous exclure de la vie de votre enfant ?</v>
      </c>
      <c r="D41" s="1103" t="s">
        <v>119</v>
      </c>
      <c r="E41" s="562">
        <v>0</v>
      </c>
      <c r="F41" s="562"/>
      <c r="G41" s="462" t="s">
        <v>88</v>
      </c>
      <c r="I41" s="462"/>
      <c r="J41" s="462"/>
      <c r="K41" s="1089"/>
      <c r="L41" s="1089"/>
      <c r="M41" s="1088" t="s">
        <v>74</v>
      </c>
      <c r="N41" s="1088" t="s">
        <v>108</v>
      </c>
      <c r="O41" s="1088" t="s">
        <v>74</v>
      </c>
    </row>
    <row r="42" spans="1:15" s="7" customFormat="1" ht="31" customHeight="1">
      <c r="A42" s="383"/>
      <c r="B42" s="1197" t="str">
        <f>BIBLE!E146</f>
        <v>PFA36</v>
      </c>
      <c r="C42" s="1197" t="str">
        <f>BIBLE!F146</f>
        <v>L’autre parent demande à votre enfant de choisir avec quel parent il veut vivre.</v>
      </c>
      <c r="D42" s="1115"/>
      <c r="E42" s="561">
        <v>3</v>
      </c>
      <c r="F42" s="561"/>
      <c r="G42" s="462" t="s">
        <v>99</v>
      </c>
      <c r="H42" s="541" t="s">
        <v>100</v>
      </c>
      <c r="I42" s="1073">
        <f>Test_Bible!P234</f>
        <v>0</v>
      </c>
      <c r="J42" s="1073">
        <f>Test_Bible!Q234</f>
        <v>0</v>
      </c>
      <c r="K42" s="1092"/>
      <c r="L42" s="1092"/>
      <c r="M42" s="1092"/>
      <c r="N42" s="1092"/>
      <c r="O42" s="1092"/>
    </row>
    <row r="43" spans="1:15" ht="155" customHeight="1">
      <c r="A43" s="383"/>
      <c r="B43" s="1197" t="str">
        <f>BIBLE!E147</f>
        <v>PFA38</v>
      </c>
      <c r="C43" s="1197" t="str">
        <f>BIBLE!F147</f>
        <v>Selon vous, quels sont les enjeux les plus importants pour l'autre parent au niveau de la garde des enfants ?</v>
      </c>
      <c r="D43" s="1116" t="s">
        <v>120</v>
      </c>
      <c r="E43" s="1074" t="s">
        <v>121</v>
      </c>
      <c r="F43" s="1074"/>
      <c r="G43" s="462" t="s">
        <v>88</v>
      </c>
      <c r="H43" s="543" t="s">
        <v>122</v>
      </c>
      <c r="I43" s="462"/>
      <c r="J43" s="462"/>
      <c r="K43" s="1089"/>
      <c r="L43" s="1089"/>
      <c r="M43" s="1088" t="s">
        <v>74</v>
      </c>
      <c r="N43" s="1088" t="s">
        <v>108</v>
      </c>
      <c r="O43" s="1088" t="s">
        <v>74</v>
      </c>
    </row>
    <row r="44" spans="1:15" ht="55" customHeight="1">
      <c r="A44" s="16"/>
      <c r="B44" s="1047"/>
      <c r="C44" s="272"/>
      <c r="D44" s="1048"/>
      <c r="E44" s="462"/>
      <c r="F44" s="462"/>
      <c r="G44" s="462"/>
      <c r="I44" s="462"/>
      <c r="J44" s="462"/>
    </row>
    <row r="45" spans="1:15" ht="42" customHeight="1">
      <c r="A45" s="1075" t="s">
        <v>123</v>
      </c>
      <c r="B45" s="510"/>
      <c r="C45" s="1076"/>
      <c r="D45" s="917"/>
      <c r="E45" s="563"/>
      <c r="F45" s="563"/>
      <c r="G45" s="1077"/>
      <c r="H45" s="1078"/>
      <c r="I45" s="1077"/>
      <c r="J45" s="1077"/>
    </row>
    <row r="46" spans="1:15" s="138" customFormat="1" ht="42" customHeight="1">
      <c r="A46" s="1079" t="s">
        <v>124</v>
      </c>
      <c r="B46" s="1117" t="str">
        <f>BIBLE!E159</f>
        <v>E05</v>
      </c>
      <c r="C46" s="1199" t="str">
        <f>BIBLE!F159</f>
        <v>Votre enfant s’exprime avec des expressions ou des paroles empruntées à l’autre parent.</v>
      </c>
      <c r="D46" s="1118"/>
      <c r="E46" s="545">
        <v>2</v>
      </c>
      <c r="F46" s="545"/>
      <c r="G46" s="462" t="s">
        <v>92</v>
      </c>
      <c r="H46" s="541" t="s">
        <v>93</v>
      </c>
      <c r="I46" s="1061">
        <f>Test_Bible!P272</f>
        <v>0</v>
      </c>
      <c r="J46" s="1061">
        <f>Test_Bible!Q272</f>
        <v>0</v>
      </c>
      <c r="K46" s="1090"/>
      <c r="L46" s="1090"/>
      <c r="M46" s="1090"/>
      <c r="N46" s="1090"/>
      <c r="O46" s="1090"/>
    </row>
    <row r="47" spans="1:15" s="138" customFormat="1" ht="86" customHeight="1">
      <c r="A47" s="1079" t="s">
        <v>124</v>
      </c>
      <c r="B47" s="1117" t="str">
        <f>BIBLE!E160</f>
        <v>E05a</v>
      </c>
      <c r="C47" s="1196" t="str">
        <f>BIBLE!F160</f>
        <v>Dans quels contextes ou à quelles occasions cela se produit-il ?</v>
      </c>
      <c r="D47" s="1110" t="s">
        <v>125</v>
      </c>
      <c r="E47" s="545">
        <v>2</v>
      </c>
      <c r="F47" s="545"/>
      <c r="G47" s="462" t="s">
        <v>126</v>
      </c>
      <c r="H47" s="543" t="s">
        <v>127</v>
      </c>
      <c r="I47" s="395"/>
      <c r="J47" s="395"/>
      <c r="K47" s="1089"/>
      <c r="L47" s="1089"/>
      <c r="M47" s="1088" t="s">
        <v>74</v>
      </c>
      <c r="N47" s="1089"/>
      <c r="O47" s="1088" t="s">
        <v>74</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74</v>
      </c>
      <c r="L49" s="1403"/>
      <c r="M49" s="1404"/>
      <c r="N49" s="1403"/>
      <c r="O49" s="1404"/>
    </row>
    <row r="50" spans="1:15" s="138" customFormat="1" ht="42" customHeight="1">
      <c r="A50" s="1079" t="s">
        <v>124</v>
      </c>
      <c r="B50" s="1117" t="str">
        <f>BIBLE!E191</f>
        <v>E27</v>
      </c>
      <c r="C50" s="1199" t="str">
        <f>BIBLE!F191</f>
        <v>Dans quelle mesure notez-vous un changement au niveau du comportement de votre enfant à son retour de garde ?</v>
      </c>
      <c r="D50" s="1118"/>
      <c r="E50" s="545">
        <v>2</v>
      </c>
      <c r="F50" s="545"/>
      <c r="G50" s="462" t="s">
        <v>92</v>
      </c>
      <c r="H50" s="541" t="s">
        <v>93</v>
      </c>
      <c r="I50" s="1061">
        <f>Test_Bible!P312</f>
        <v>0</v>
      </c>
      <c r="J50" s="1061">
        <f>Test_Bible!Q312</f>
        <v>0</v>
      </c>
      <c r="K50" s="1090"/>
      <c r="L50" s="1090"/>
      <c r="M50" s="1090"/>
      <c r="N50" s="1090"/>
      <c r="O50" s="1090"/>
    </row>
    <row r="51" spans="1:15" s="138" customFormat="1" ht="31" customHeight="1">
      <c r="A51" s="1079" t="s">
        <v>124</v>
      </c>
      <c r="B51" s="1117" t="str">
        <f>BIBLE!E192</f>
        <v>E27a</v>
      </c>
      <c r="C51" s="1196" t="str">
        <f>BIBLE!F192</f>
        <v>De manière générale, au retour d'un séjour chez l'autre parent, votre enfant vous paraît :</v>
      </c>
      <c r="D51" s="1105" t="s">
        <v>128</v>
      </c>
      <c r="E51" s="506">
        <v>0</v>
      </c>
      <c r="F51" s="506"/>
      <c r="G51" s="462" t="s">
        <v>129</v>
      </c>
      <c r="H51" s="541"/>
      <c r="I51" s="1080"/>
      <c r="J51" s="1080"/>
      <c r="K51" s="1089"/>
      <c r="L51" s="1089"/>
      <c r="M51" s="1088" t="s">
        <v>74</v>
      </c>
      <c r="N51" s="1089"/>
      <c r="O51" s="1088" t="s">
        <v>74</v>
      </c>
    </row>
    <row r="52" spans="1:15" ht="42" customHeight="1">
      <c r="A52" s="1081"/>
      <c r="B52" s="1117" t="str">
        <f>BIBLE!E206</f>
        <v>E36</v>
      </c>
      <c r="C52" s="1117" t="str">
        <f>BIBLE!F206</f>
        <v>Est-ce que votre enfant présente des troubles psychosomatiques en ce moment?</v>
      </c>
      <c r="D52" s="1119" t="s">
        <v>86</v>
      </c>
      <c r="E52" s="551">
        <v>0</v>
      </c>
      <c r="F52" s="551"/>
      <c r="G52" s="462" t="s">
        <v>87</v>
      </c>
      <c r="H52" s="541"/>
      <c r="I52" s="1062"/>
      <c r="J52" s="1062"/>
      <c r="K52" s="1090"/>
      <c r="L52" s="1090"/>
      <c r="M52" s="1090"/>
      <c r="N52" s="1090"/>
      <c r="O52" s="1090"/>
    </row>
    <row r="53" spans="1:15" ht="155" customHeight="1">
      <c r="A53" s="1081"/>
      <c r="B53" s="1117" t="str">
        <f>BIBLE!E207</f>
        <v>E36a</v>
      </c>
      <c r="C53" s="1196" t="str">
        <f>BIBLE!F207</f>
        <v>Quelles sont les manifestations ou troubles psychosomatiques présents chez votre enfant et à quelle fréquence?</v>
      </c>
      <c r="D53" s="1120" t="s">
        <v>130</v>
      </c>
      <c r="E53" s="551">
        <v>0</v>
      </c>
      <c r="F53" s="551"/>
      <c r="G53" s="462" t="s">
        <v>131</v>
      </c>
      <c r="H53" s="541" t="s">
        <v>93</v>
      </c>
      <c r="I53" s="1062"/>
      <c r="J53" s="1062"/>
      <c r="K53" s="1089"/>
      <c r="L53" s="1088" t="s">
        <v>74</v>
      </c>
      <c r="M53" s="1088" t="s">
        <v>74</v>
      </c>
      <c r="N53" s="1089"/>
      <c r="O53" s="1088" t="s">
        <v>74</v>
      </c>
    </row>
    <row r="54" spans="1:15" ht="155" customHeight="1">
      <c r="A54" s="1081"/>
      <c r="B54" s="1117" t="str">
        <f>BIBLE!E207</f>
        <v>E36a</v>
      </c>
      <c r="C54" s="1196" t="str">
        <f>BIBLE!F207</f>
        <v>Quelles sont les manifestations ou troubles psychosomatiques présents chez votre enfant et à quelle fréquence?</v>
      </c>
      <c r="D54" s="1120" t="s">
        <v>130</v>
      </c>
      <c r="E54" s="551">
        <v>0</v>
      </c>
      <c r="F54" s="551"/>
      <c r="G54" s="462" t="s">
        <v>131</v>
      </c>
      <c r="H54" s="541" t="s">
        <v>93</v>
      </c>
      <c r="I54" s="462"/>
      <c r="J54" s="462"/>
      <c r="K54" s="1091"/>
      <c r="L54" s="1091"/>
      <c r="M54" s="1088" t="s">
        <v>74</v>
      </c>
      <c r="N54" s="1091"/>
      <c r="O54" s="1088" t="s">
        <v>74</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128</v>
      </c>
      <c r="E56" s="551"/>
      <c r="F56" s="551"/>
      <c r="G56" s="462"/>
      <c r="H56" s="541"/>
      <c r="I56" s="462"/>
      <c r="J56" s="462"/>
      <c r="K56" s="1091"/>
      <c r="L56" s="1091"/>
      <c r="M56" s="1088" t="s">
        <v>74</v>
      </c>
      <c r="N56" s="1089"/>
      <c r="O56" s="1088" t="s">
        <v>74</v>
      </c>
    </row>
    <row r="57" spans="1:15" s="7" customFormat="1" ht="39" customHeight="1">
      <c r="A57" s="1064"/>
      <c r="B57" s="16"/>
      <c r="C57" s="272"/>
      <c r="D57" s="1214"/>
      <c r="E57" s="462"/>
      <c r="F57" s="462"/>
      <c r="G57" s="462"/>
      <c r="H57" s="541"/>
      <c r="I57" s="462"/>
      <c r="J57" s="462"/>
      <c r="M57" s="1056"/>
      <c r="O57" s="1056"/>
    </row>
    <row r="58" spans="1:15" s="7" customFormat="1" ht="31" customHeight="1">
      <c r="A58" s="1394" t="s">
        <v>132</v>
      </c>
      <c r="B58" s="1395"/>
      <c r="C58" s="1396"/>
      <c r="D58" s="1397"/>
      <c r="E58" s="563"/>
      <c r="F58" s="563"/>
      <c r="G58" s="1077"/>
      <c r="H58" s="1078"/>
      <c r="I58" s="1077"/>
      <c r="J58" s="1077"/>
    </row>
    <row r="59" spans="1:15" ht="95" customHeight="1">
      <c r="A59" s="1398" t="s">
        <v>124</v>
      </c>
      <c r="B59" s="1399" t="str">
        <f>BIBLE!E221</f>
        <v>NC04</v>
      </c>
      <c r="C59" s="1399" t="str">
        <f>BIBLE!F221</f>
        <v>Comment qualifieriez-vous votre relation avec le nouveau ou nouvelle conjoint·e de l'autre parent ?</v>
      </c>
      <c r="D59" s="1400">
        <f>BIBLE!L221</f>
        <v>0</v>
      </c>
      <c r="E59" s="544">
        <v>2</v>
      </c>
      <c r="F59" s="544"/>
      <c r="G59" s="544" t="s">
        <v>92</v>
      </c>
      <c r="H59" s="1401" t="s">
        <v>93</v>
      </c>
      <c r="I59" s="1402">
        <f>Test_Bible!P284</f>
        <v>0</v>
      </c>
      <c r="J59" s="1402">
        <f>Test_Bible!Q284</f>
        <v>0</v>
      </c>
      <c r="K59" s="1403"/>
      <c r="L59" s="1403"/>
      <c r="M59" s="1404" t="s">
        <v>74</v>
      </c>
      <c r="N59" s="1403"/>
      <c r="O59" s="1404"/>
    </row>
    <row r="60" spans="1:15" ht="55" customHeight="1">
      <c r="A60" s="1064"/>
      <c r="B60" s="1047"/>
      <c r="C60" s="272"/>
      <c r="D60" s="1082"/>
      <c r="E60" s="462"/>
      <c r="F60" s="462"/>
      <c r="G60" s="462"/>
      <c r="H60" s="541"/>
      <c r="I60" s="462"/>
      <c r="J60" s="462"/>
      <c r="K60" s="7"/>
      <c r="L60" s="7"/>
      <c r="M60" s="7"/>
      <c r="N60" s="7"/>
      <c r="O60" s="7"/>
    </row>
    <row r="61" spans="1:15" ht="155" customHeight="1">
      <c r="A61" s="2469"/>
      <c r="B61" s="1101" t="str">
        <f>BIBLE!E213</f>
        <v>PCR20</v>
      </c>
      <c r="C61" s="1194" t="str">
        <f>BIBLE!F213</f>
        <v xml:space="preserve">Au retour d’un séjour chez l’autre parent : 
Votre enfant est agressif envers vous et vous accable de reproches. Comment réagissez-vous ?
</v>
      </c>
      <c r="D61" s="1121" t="s">
        <v>133</v>
      </c>
      <c r="E61" s="564">
        <v>0</v>
      </c>
      <c r="F61" s="564"/>
      <c r="G61" s="1062" t="s">
        <v>95</v>
      </c>
      <c r="H61" s="543" t="s">
        <v>134</v>
      </c>
      <c r="I61" s="395"/>
      <c r="J61" s="395"/>
      <c r="K61" s="1089"/>
      <c r="L61" s="1089"/>
      <c r="M61" s="1088"/>
      <c r="N61" s="1320" t="s">
        <v>135</v>
      </c>
      <c r="O61" s="1088" t="s">
        <v>74</v>
      </c>
    </row>
    <row r="62" spans="1:15" ht="85" customHeight="1">
      <c r="A62" s="2468"/>
      <c r="B62" s="1101" t="str">
        <f>BIBLE!E214</f>
        <v>PCR21</v>
      </c>
      <c r="C62" s="1194" t="str">
        <f>BIBLE!F214</f>
        <v>Au retour d’un séjour chez l’autre parent :
Votre enfant vous accuse de mentir ou de voler l'argent de l'autre parent. Comment réagissez-vous ?</v>
      </c>
      <c r="D62" s="1122" t="s">
        <v>136</v>
      </c>
      <c r="E62" s="564">
        <v>0</v>
      </c>
      <c r="F62" s="564"/>
      <c r="G62" s="1062" t="s">
        <v>95</v>
      </c>
      <c r="H62" s="543" t="s">
        <v>137</v>
      </c>
      <c r="I62" s="395"/>
      <c r="J62" s="395"/>
      <c r="K62" s="1089"/>
      <c r="L62" s="1089"/>
      <c r="M62" s="1089"/>
      <c r="N62" s="1321"/>
      <c r="O62" s="1088" t="s">
        <v>74</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5.5" customHeight="1">
      <c r="A67" s="494"/>
      <c r="B67" s="1047"/>
      <c r="C67" s="272"/>
      <c r="D67" s="1083"/>
      <c r="E67" s="604"/>
      <c r="F67" s="604"/>
      <c r="G67" s="1062"/>
      <c r="I67" s="1062"/>
      <c r="J67" s="1062"/>
    </row>
    <row r="68" spans="1:15" ht="93" customHeight="1">
      <c r="A68" s="2467" t="s">
        <v>138</v>
      </c>
      <c r="B68" s="1123" t="s">
        <v>139</v>
      </c>
      <c r="C68" s="183" t="s">
        <v>140</v>
      </c>
      <c r="D68" s="1096" t="s">
        <v>141</v>
      </c>
      <c r="E68" s="576">
        <v>0</v>
      </c>
      <c r="F68" s="576"/>
      <c r="G68" s="462" t="s">
        <v>76</v>
      </c>
      <c r="I68" s="462"/>
      <c r="J68" s="462"/>
      <c r="K68" s="1088"/>
      <c r="L68" s="1088" t="s">
        <v>74</v>
      </c>
      <c r="M68" s="1089"/>
      <c r="N68" s="1089"/>
      <c r="O68" s="1089"/>
    </row>
    <row r="69" spans="1:15" ht="189" customHeight="1">
      <c r="A69" s="2468"/>
      <c r="B69" s="1123" t="s">
        <v>142</v>
      </c>
      <c r="C69" s="183" t="s">
        <v>143</v>
      </c>
      <c r="D69" s="1096" t="s">
        <v>144</v>
      </c>
      <c r="E69" s="576">
        <v>0</v>
      </c>
      <c r="F69" s="576"/>
      <c r="G69" s="462" t="s">
        <v>76</v>
      </c>
      <c r="I69" s="462"/>
      <c r="J69" s="462"/>
      <c r="K69" s="1089"/>
      <c r="L69" s="1088" t="s">
        <v>74</v>
      </c>
      <c r="M69" s="1089"/>
      <c r="N69" s="1089"/>
      <c r="O69" s="1089"/>
    </row>
    <row r="70" spans="1:15" ht="54" customHeight="1">
      <c r="A70" s="2468"/>
      <c r="B70" s="1123" t="s">
        <v>145</v>
      </c>
      <c r="C70" s="183" t="s">
        <v>146</v>
      </c>
      <c r="D70" s="1096" t="s">
        <v>147</v>
      </c>
      <c r="E70" s="576">
        <v>0</v>
      </c>
      <c r="F70" s="576"/>
      <c r="G70" s="462" t="s">
        <v>76</v>
      </c>
      <c r="I70" s="462"/>
      <c r="J70" s="462"/>
      <c r="K70" s="1089"/>
      <c r="L70" s="1088" t="s">
        <v>74</v>
      </c>
      <c r="M70" s="1089"/>
      <c r="N70" s="1089"/>
      <c r="O70" s="1089"/>
    </row>
    <row r="71" spans="1:15" ht="40" customHeight="1">
      <c r="A71" s="2468"/>
      <c r="B71" s="1123" t="s">
        <v>148</v>
      </c>
      <c r="C71" s="884" t="s">
        <v>149</v>
      </c>
      <c r="D71" s="1100" t="s">
        <v>150</v>
      </c>
      <c r="E71" s="1058">
        <v>0</v>
      </c>
      <c r="F71" s="1058"/>
      <c r="G71" s="462" t="s">
        <v>76</v>
      </c>
      <c r="I71" s="462"/>
      <c r="J71" s="462"/>
      <c r="K71" s="1089"/>
      <c r="L71" s="1088" t="s">
        <v>74</v>
      </c>
      <c r="M71" s="1089"/>
      <c r="N71" s="1089"/>
      <c r="O71" s="1089"/>
    </row>
    <row r="72" spans="1:15" ht="69" customHeight="1">
      <c r="A72" s="2468"/>
      <c r="B72" s="1123" t="s">
        <v>151</v>
      </c>
      <c r="C72" s="183" t="s">
        <v>152</v>
      </c>
      <c r="D72" s="1096" t="s">
        <v>153</v>
      </c>
      <c r="E72" s="576"/>
      <c r="F72" s="576"/>
      <c r="G72" s="576" t="s">
        <v>154</v>
      </c>
      <c r="H72" s="1084"/>
      <c r="I72" s="462"/>
      <c r="J72" s="462"/>
      <c r="K72" s="1089"/>
      <c r="L72" s="1088" t="s">
        <v>74</v>
      </c>
      <c r="M72" s="1089"/>
      <c r="N72" s="1089"/>
      <c r="O72" s="1089"/>
    </row>
    <row r="73" spans="1:15" ht="40" customHeight="1">
      <c r="A73" s="16" t="s">
        <v>155</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3" t="s">
        <v>156</v>
      </c>
      <c r="C1" s="2091"/>
      <c r="D1" s="2091"/>
      <c r="M1" s="2091" t="s">
        <v>157</v>
      </c>
    </row>
    <row r="3" spans="1:13">
      <c r="B3" t="s">
        <v>158</v>
      </c>
    </row>
    <row r="4" spans="1:13">
      <c r="A4" t="s">
        <v>159</v>
      </c>
      <c r="B4" s="3" t="s">
        <v>160</v>
      </c>
      <c r="C4" s="3"/>
      <c r="D4" s="3" t="s">
        <v>161</v>
      </c>
      <c r="H4" s="3"/>
    </row>
    <row r="5" spans="1:13">
      <c r="A5" t="s">
        <v>162</v>
      </c>
      <c r="B5" s="2094" t="s">
        <v>163</v>
      </c>
      <c r="C5" s="2094"/>
    </row>
    <row r="6" spans="1:13">
      <c r="A6" t="s">
        <v>164</v>
      </c>
      <c r="B6" s="2094" t="s">
        <v>165</v>
      </c>
      <c r="C6" s="2094"/>
    </row>
    <row r="7" spans="1:13">
      <c r="A7" t="s">
        <v>166</v>
      </c>
      <c r="B7" s="2094" t="s">
        <v>167</v>
      </c>
      <c r="C7" s="2094"/>
    </row>
    <row r="8" spans="1:13">
      <c r="A8" t="s">
        <v>168</v>
      </c>
      <c r="B8" s="2094" t="s">
        <v>169</v>
      </c>
      <c r="C8" s="2094"/>
      <c r="D8" t="s">
        <v>170</v>
      </c>
    </row>
    <row r="9" spans="1:13">
      <c r="A9" t="s">
        <v>171</v>
      </c>
      <c r="B9" s="2094" t="s">
        <v>172</v>
      </c>
      <c r="C9" s="2094"/>
      <c r="D9" s="2094"/>
    </row>
    <row r="10" spans="1:13">
      <c r="A10" t="s">
        <v>173</v>
      </c>
      <c r="B10" s="2094" t="s">
        <v>174</v>
      </c>
      <c r="C10" s="2094"/>
      <c r="D10" s="2094"/>
    </row>
    <row r="11" spans="1:13">
      <c r="A11" t="s">
        <v>175</v>
      </c>
      <c r="B11" s="2094" t="s">
        <v>176</v>
      </c>
      <c r="C11" s="2094"/>
      <c r="D11" s="2094"/>
    </row>
    <row r="12" spans="1:13">
      <c r="A12" t="s">
        <v>177</v>
      </c>
      <c r="B12" s="2094" t="s">
        <v>178</v>
      </c>
      <c r="C12" s="2094"/>
      <c r="D12" s="2094" t="s">
        <v>179</v>
      </c>
    </row>
    <row r="13" spans="1:13">
      <c r="B13" s="2094"/>
      <c r="C13" s="2094"/>
      <c r="D13" s="2094"/>
    </row>
    <row r="14" spans="1:13">
      <c r="B14" s="2094" t="s">
        <v>180</v>
      </c>
    </row>
    <row r="17" spans="1:11">
      <c r="A17" s="1588"/>
      <c r="D17" s="1588" t="s">
        <v>181</v>
      </c>
    </row>
    <row r="18" spans="1:11">
      <c r="B18" s="1588" t="s">
        <v>182</v>
      </c>
      <c r="C18" s="1588" t="s">
        <v>183</v>
      </c>
      <c r="D18" s="1588"/>
    </row>
    <row r="19" spans="1:11" ht="75" customHeight="1">
      <c r="C19" s="2094"/>
      <c r="D19" s="2098" t="s">
        <v>184</v>
      </c>
      <c r="E19" s="2099" t="s">
        <v>185</v>
      </c>
      <c r="F19" s="2099" t="s">
        <v>186</v>
      </c>
      <c r="G19" s="2099" t="s">
        <v>187</v>
      </c>
      <c r="H19" s="2099" t="s">
        <v>188</v>
      </c>
      <c r="I19" s="2099" t="s">
        <v>189</v>
      </c>
      <c r="J19" s="2099" t="s">
        <v>190</v>
      </c>
      <c r="K19" s="2099" t="s">
        <v>191</v>
      </c>
    </row>
    <row r="20" spans="1:11">
      <c r="B20" s="1806" t="s">
        <v>192</v>
      </c>
      <c r="C20" s="2108"/>
      <c r="D20" s="2109"/>
      <c r="E20" s="2109"/>
      <c r="F20" s="2109"/>
      <c r="G20" s="2109"/>
      <c r="H20" s="2109"/>
      <c r="I20" s="2109"/>
      <c r="J20" s="2109"/>
      <c r="K20" s="2109" t="s">
        <v>193</v>
      </c>
    </row>
    <row r="21" spans="1:11">
      <c r="C21" s="2094" t="s">
        <v>194</v>
      </c>
      <c r="D21" s="1452"/>
      <c r="E21" s="1452"/>
      <c r="F21" s="1452"/>
      <c r="G21" s="1452" t="s">
        <v>193</v>
      </c>
      <c r="H21" s="1452"/>
      <c r="I21" s="1452"/>
      <c r="J21" s="1452"/>
      <c r="K21" s="1452"/>
    </row>
    <row r="22" spans="1:11">
      <c r="C22" s="2094" t="s">
        <v>195</v>
      </c>
      <c r="D22" s="2100"/>
      <c r="E22" s="1452"/>
      <c r="F22" s="1452"/>
      <c r="G22" s="1452" t="s">
        <v>193</v>
      </c>
      <c r="H22" s="1452"/>
      <c r="I22" s="1452"/>
      <c r="J22" s="1452"/>
      <c r="K22" s="1452"/>
    </row>
    <row r="23" spans="1:11">
      <c r="C23" s="2094" t="s">
        <v>196</v>
      </c>
      <c r="D23" s="2100"/>
      <c r="E23" s="1452"/>
      <c r="F23" s="1452"/>
      <c r="G23" s="1452" t="s">
        <v>193</v>
      </c>
      <c r="H23" s="1452"/>
      <c r="I23" s="1452"/>
      <c r="J23" s="1452"/>
      <c r="K23" s="1452"/>
    </row>
    <row r="24" spans="1:11">
      <c r="C24" s="2094" t="s">
        <v>197</v>
      </c>
      <c r="D24" s="2100"/>
      <c r="E24" s="1452"/>
      <c r="F24" s="1452"/>
      <c r="G24" s="1452" t="s">
        <v>193</v>
      </c>
      <c r="H24" s="1452"/>
      <c r="I24" s="1452"/>
      <c r="J24" s="1452"/>
      <c r="K24" s="1452"/>
    </row>
    <row r="25" spans="1:11">
      <c r="B25" s="1806" t="s">
        <v>198</v>
      </c>
      <c r="C25" s="1806"/>
      <c r="D25" s="2110"/>
      <c r="E25" s="2109"/>
      <c r="F25" s="2109"/>
      <c r="G25" s="2109"/>
      <c r="H25" s="2109"/>
      <c r="I25" s="2109"/>
      <c r="J25" s="2109"/>
      <c r="K25" s="2109" t="s">
        <v>193</v>
      </c>
    </row>
    <row r="26" spans="1:11">
      <c r="C26" t="s">
        <v>199</v>
      </c>
      <c r="D26" s="2100"/>
      <c r="E26" s="1452" t="s">
        <v>193</v>
      </c>
      <c r="F26" s="1452" t="s">
        <v>193</v>
      </c>
      <c r="G26" s="1452" t="s">
        <v>193</v>
      </c>
      <c r="H26" s="1452"/>
      <c r="I26" s="1452"/>
      <c r="J26" s="1452"/>
      <c r="K26" s="1452"/>
    </row>
    <row r="27" spans="1:11">
      <c r="C27" t="s">
        <v>200</v>
      </c>
      <c r="D27" s="2100"/>
      <c r="E27" s="1452" t="s">
        <v>193</v>
      </c>
      <c r="F27" s="1452"/>
      <c r="G27" s="1452" t="s">
        <v>193</v>
      </c>
      <c r="H27" s="1452"/>
      <c r="I27" s="1452"/>
      <c r="J27" s="1452"/>
      <c r="K27" s="1452"/>
    </row>
    <row r="28" spans="1:11">
      <c r="C28" t="s">
        <v>201</v>
      </c>
      <c r="D28" s="2100"/>
      <c r="E28" s="1452" t="s">
        <v>193</v>
      </c>
      <c r="F28" s="1452"/>
      <c r="G28" s="1452" t="s">
        <v>193</v>
      </c>
      <c r="H28" s="1452"/>
      <c r="I28" s="1452"/>
      <c r="J28" s="1452"/>
      <c r="K28" s="1452"/>
    </row>
    <row r="29" spans="1:11">
      <c r="B29" s="1806" t="s">
        <v>202</v>
      </c>
      <c r="C29" s="1806"/>
      <c r="D29" s="2110"/>
      <c r="E29" s="2109"/>
      <c r="F29" s="2109"/>
      <c r="G29" s="2109"/>
      <c r="H29" s="2109"/>
      <c r="I29" s="2109"/>
      <c r="J29" s="2109"/>
      <c r="K29" s="2109" t="s">
        <v>193</v>
      </c>
    </row>
    <row r="30" spans="1:11">
      <c r="C30" t="s">
        <v>203</v>
      </c>
      <c r="D30" s="1452" t="s">
        <v>193</v>
      </c>
      <c r="E30" s="1452"/>
      <c r="F30" s="1452"/>
      <c r="G30" s="1452"/>
      <c r="H30" s="1452"/>
      <c r="I30" s="1452"/>
      <c r="J30" s="1452"/>
      <c r="K30" s="1452"/>
    </row>
    <row r="31" spans="1:11">
      <c r="C31" t="s">
        <v>204</v>
      </c>
      <c r="D31" s="1452" t="s">
        <v>193</v>
      </c>
      <c r="E31" s="1452"/>
      <c r="F31" s="1452"/>
      <c r="G31" s="1452"/>
      <c r="H31" s="1452"/>
      <c r="I31" s="1452"/>
      <c r="J31" s="1452"/>
      <c r="K31" s="1452"/>
    </row>
    <row r="32" spans="1:11">
      <c r="B32" s="2094"/>
      <c r="C32" s="2094" t="s">
        <v>205</v>
      </c>
      <c r="D32" s="1452" t="s">
        <v>193</v>
      </c>
      <c r="E32" s="1452"/>
      <c r="F32" s="1452"/>
      <c r="G32" s="1452"/>
      <c r="H32" s="1452"/>
      <c r="I32" s="1452"/>
      <c r="J32" s="1452"/>
      <c r="K32" s="1452"/>
    </row>
    <row r="33" spans="2:11">
      <c r="B33" s="2108" t="s">
        <v>206</v>
      </c>
      <c r="C33" s="2108"/>
      <c r="D33" s="2110"/>
      <c r="E33" s="2109"/>
      <c r="F33" s="2109"/>
      <c r="G33" s="2109"/>
      <c r="H33" s="2109"/>
      <c r="I33" s="2109"/>
      <c r="J33" s="2109"/>
      <c r="K33" s="2109" t="s">
        <v>193</v>
      </c>
    </row>
    <row r="34" spans="2:11">
      <c r="C34" s="2094" t="s">
        <v>207</v>
      </c>
      <c r="D34" s="1452"/>
      <c r="E34" s="1452"/>
      <c r="F34" s="1452"/>
      <c r="G34" s="1452"/>
      <c r="H34" s="1452"/>
      <c r="I34" s="1452"/>
      <c r="J34" s="1452" t="s">
        <v>193</v>
      </c>
      <c r="K34" s="1452"/>
    </row>
    <row r="35" spans="2:11">
      <c r="C35" s="2094" t="s">
        <v>208</v>
      </c>
      <c r="D35" s="1452"/>
      <c r="E35" s="1452"/>
      <c r="F35" s="1452"/>
      <c r="G35" s="1452"/>
      <c r="H35" s="1452"/>
      <c r="I35" s="1452"/>
      <c r="J35" s="1452" t="s">
        <v>193</v>
      </c>
      <c r="K35" s="1452"/>
    </row>
    <row r="36" spans="2:11">
      <c r="C36" s="2094" t="s">
        <v>209</v>
      </c>
      <c r="D36" s="1452" t="s">
        <v>193</v>
      </c>
      <c r="E36" s="1452"/>
      <c r="F36" s="1452"/>
      <c r="G36" s="1452"/>
      <c r="H36" s="1452"/>
      <c r="I36" s="1452"/>
      <c r="J36" s="1452"/>
      <c r="K36" s="1452"/>
    </row>
    <row r="37" spans="2:11">
      <c r="C37" s="2094" t="s">
        <v>210</v>
      </c>
      <c r="D37" s="1452"/>
      <c r="E37" s="1452"/>
      <c r="F37" s="1452" t="s">
        <v>193</v>
      </c>
      <c r="G37" s="1452"/>
      <c r="H37" s="1452"/>
      <c r="I37" s="1452"/>
      <c r="J37" s="1452"/>
      <c r="K37" s="1452"/>
    </row>
    <row r="38" spans="2:11">
      <c r="C38" s="2094" t="s">
        <v>211</v>
      </c>
      <c r="D38" s="1452"/>
      <c r="E38" s="1452"/>
      <c r="F38" s="1452"/>
      <c r="G38" s="1452"/>
      <c r="H38" s="1452"/>
      <c r="I38" s="1452"/>
      <c r="J38" s="1452" t="s">
        <v>193</v>
      </c>
      <c r="K38" s="1452"/>
    </row>
    <row r="39" spans="2:11">
      <c r="B39" s="1806" t="s">
        <v>212</v>
      </c>
      <c r="C39" s="1806"/>
      <c r="D39" s="2109"/>
      <c r="E39" s="2109"/>
      <c r="F39" s="2109"/>
      <c r="G39" s="2109"/>
      <c r="H39" s="2109"/>
      <c r="I39" s="2109"/>
      <c r="J39" s="2109"/>
      <c r="K39" s="2109"/>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22"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70" t="s">
        <v>271</v>
      </c>
    </row>
    <row r="121" spans="1:3">
      <c r="A121" s="2458"/>
    </row>
    <row r="122" spans="1:3">
      <c r="B122" t="s">
        <v>272</v>
      </c>
      <c r="C122" t="s">
        <v>273</v>
      </c>
    </row>
    <row r="123" spans="1:3" ht="20" customHeight="1"/>
    <row r="132" spans="1:2">
      <c r="A132" s="2470" t="s">
        <v>274</v>
      </c>
      <c r="B132" t="s">
        <v>275</v>
      </c>
    </row>
    <row r="133" spans="1:2">
      <c r="A133" s="2458"/>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8" t="s">
        <v>283</v>
      </c>
      <c r="B3" s="429"/>
      <c r="C3" s="429"/>
      <c r="D3" s="429"/>
      <c r="O3" s="759" t="s">
        <v>284</v>
      </c>
      <c r="AA3" s="2474" t="s">
        <v>285</v>
      </c>
      <c r="AB3" s="2458"/>
      <c r="AC3" s="2458"/>
      <c r="AD3" s="2458"/>
      <c r="AE3" s="2458"/>
      <c r="AF3" s="2458"/>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7" t="e">
        <f>Test_Bible!AK433</f>
        <v>#DIV/0!</v>
      </c>
    </row>
    <row r="8" spans="1:32" ht="30" customHeight="1">
      <c r="E8" s="746" t="s">
        <v>291</v>
      </c>
      <c r="F8" s="745"/>
      <c r="G8" s="57"/>
      <c r="H8" s="57"/>
      <c r="I8" s="2479" t="s">
        <v>292</v>
      </c>
      <c r="J8" s="2458"/>
      <c r="K8" s="57"/>
      <c r="L8" s="747"/>
      <c r="M8" s="407"/>
      <c r="N8" s="80"/>
      <c r="U8" s="427" t="s">
        <v>293</v>
      </c>
      <c r="V8" s="1257" t="e">
        <f>Test_Bible!AL433</f>
        <v>#DIV/0!</v>
      </c>
    </row>
    <row r="9" spans="1:32">
      <c r="A9" t="s">
        <v>294</v>
      </c>
      <c r="E9" s="90">
        <f>Test_Bible!V259</f>
        <v>0</v>
      </c>
      <c r="F9" s="469"/>
      <c r="G9" s="1314" t="s">
        <v>295</v>
      </c>
      <c r="J9" s="1314" t="s">
        <v>295</v>
      </c>
      <c r="U9" s="427" t="s">
        <v>296</v>
      </c>
      <c r="V9" s="1257" t="e">
        <f>Test_Bible!AM433</f>
        <v>#DIV/0!</v>
      </c>
    </row>
    <row r="10" spans="1:32">
      <c r="A10" s="458" t="s">
        <v>297</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47</v>
      </c>
      <c r="V10" s="1257" t="e">
        <f>Test_Bible!AN433</f>
        <v>#DIV/0!</v>
      </c>
    </row>
    <row r="11" spans="1:32">
      <c r="A11" s="458"/>
      <c r="B11" s="55"/>
      <c r="C11" s="1316"/>
      <c r="D11" s="1316">
        <f>C10+(D10-C10)/2</f>
        <v>24</v>
      </c>
      <c r="E11" s="1316">
        <f>D10+(E10-D10)/2</f>
        <v>48</v>
      </c>
      <c r="F11" s="1316">
        <f>E10+(F10-E10)/2</f>
        <v>88</v>
      </c>
      <c r="G11" s="1316">
        <f>F10+(G10-F10)/2</f>
        <v>136</v>
      </c>
      <c r="I11" s="90"/>
      <c r="J11" s="1315"/>
      <c r="U11" s="415" t="s">
        <v>232</v>
      </c>
      <c r="V11" s="1257" t="e">
        <f>Test_Bible!AO433</f>
        <v>#DIV/0!</v>
      </c>
    </row>
    <row r="12" spans="1:32">
      <c r="A12" s="458"/>
      <c r="B12" s="55"/>
      <c r="C12" s="58"/>
      <c r="D12" s="1317" t="s">
        <v>18</v>
      </c>
      <c r="E12" s="1317" t="s">
        <v>19</v>
      </c>
      <c r="F12" s="1317" t="s">
        <v>20</v>
      </c>
      <c r="G12" s="1317" t="s">
        <v>298</v>
      </c>
      <c r="I12" s="90"/>
      <c r="U12" s="415" t="s">
        <v>233</v>
      </c>
      <c r="V12" s="1257" t="e">
        <f>Test_Bible!AP433</f>
        <v>#DIV/0!</v>
      </c>
    </row>
    <row r="13" spans="1:32">
      <c r="U13" s="415" t="s">
        <v>43</v>
      </c>
      <c r="V13" s="1257" t="e">
        <f>Test_Bible!AQ433</f>
        <v>#DIV/0!</v>
      </c>
    </row>
    <row r="14" spans="1:32" ht="27" customHeight="1">
      <c r="L14" s="964"/>
      <c r="U14" s="415" t="s">
        <v>299</v>
      </c>
      <c r="V14" s="1257"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4"/>
      <c r="AN20" s="1684"/>
      <c r="AO20" s="1684"/>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12" t="s">
        <v>304</v>
      </c>
      <c r="B23" s="45"/>
      <c r="C23" s="45"/>
      <c r="D23" s="36" t="e">
        <f>'Indice D''exclusion'!#REF!</f>
        <v>#REF!</v>
      </c>
    </row>
    <row r="24" spans="1:41" ht="18.5" customHeight="1">
      <c r="U24" s="407"/>
      <c r="V24" s="93"/>
      <c r="W24" s="93" t="s">
        <v>305</v>
      </c>
      <c r="X24" s="406"/>
    </row>
    <row r="25" spans="1:41" ht="23.5" customHeight="1">
      <c r="A25" s="1312" t="s">
        <v>306</v>
      </c>
      <c r="B25" s="1312"/>
      <c r="C25" s="1312"/>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7" t="e">
        <f>Test_Bible!AK458</f>
        <v>#DIV/0!</v>
      </c>
    </row>
    <row r="39" spans="1:22">
      <c r="U39" s="427" t="s">
        <v>293</v>
      </c>
      <c r="V39" s="1257" t="e">
        <f>Test_Bible!AL458</f>
        <v>#DIV/0!</v>
      </c>
    </row>
    <row r="40" spans="1:22">
      <c r="U40" s="427" t="s">
        <v>296</v>
      </c>
      <c r="V40" s="1257" t="e">
        <f>Test_Bible!AM458</f>
        <v>#DIV/0!</v>
      </c>
    </row>
    <row r="41" spans="1:22">
      <c r="U41" s="415" t="s">
        <v>47</v>
      </c>
      <c r="V41" s="1257" t="e">
        <f>Test_Bible!AN458</f>
        <v>#DIV/0!</v>
      </c>
    </row>
    <row r="42" spans="1:22">
      <c r="U42" s="415" t="s">
        <v>232</v>
      </c>
      <c r="V42" s="1257" t="e">
        <f>Test_Bible!AO458</f>
        <v>#DIV/0!</v>
      </c>
    </row>
    <row r="43" spans="1:22">
      <c r="U43" s="415" t="s">
        <v>233</v>
      </c>
      <c r="V43" s="1257" t="e">
        <f>Test_Bible!AP458</f>
        <v>#DIV/0!</v>
      </c>
    </row>
    <row r="44" spans="1:22">
      <c r="U44" s="415" t="s">
        <v>43</v>
      </c>
      <c r="V44" s="1257" t="e">
        <f>Test_Bible!AQ458</f>
        <v>#DIV/0!</v>
      </c>
    </row>
    <row r="45" spans="1:22">
      <c r="U45" s="415" t="s">
        <v>299</v>
      </c>
      <c r="V45" s="1257" t="e">
        <f>Test_Bible!AR458</f>
        <v>#DIV/0!</v>
      </c>
    </row>
    <row r="50" spans="1:24" ht="28.5" customHeight="1">
      <c r="A50" s="429"/>
      <c r="B50" s="429"/>
      <c r="C50" s="429"/>
      <c r="D50" s="429"/>
    </row>
    <row r="51" spans="1:24" ht="28.5" customHeight="1">
      <c r="A51" s="748"/>
      <c r="B51" s="429"/>
      <c r="C51" s="429"/>
      <c r="D51" s="429"/>
    </row>
    <row r="52" spans="1:24" ht="40" customHeight="1">
      <c r="A52" s="760" t="s">
        <v>313</v>
      </c>
      <c r="B52" s="429"/>
      <c r="C52" s="429"/>
      <c r="D52" s="429"/>
    </row>
    <row r="53" spans="1:24" ht="18.5" customHeight="1">
      <c r="A53" t="s">
        <v>314</v>
      </c>
      <c r="E53" s="730" t="s">
        <v>315</v>
      </c>
      <c r="G53" s="2473" t="s">
        <v>316</v>
      </c>
      <c r="H53" s="2458"/>
      <c r="I53" s="2458"/>
      <c r="J53" s="2458"/>
      <c r="K53" s="2458"/>
      <c r="M53" s="2472" t="s">
        <v>317</v>
      </c>
      <c r="N53" s="2458"/>
      <c r="O53" s="2458"/>
      <c r="P53" s="2458"/>
      <c r="Q53" s="2458"/>
      <c r="S53" s="2471" t="s">
        <v>318</v>
      </c>
      <c r="T53" s="2458"/>
      <c r="U53" s="2458"/>
      <c r="V53" s="2458"/>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80" t="str">
        <f>'Modèle Calcul A-R + Sommaire'!BF10</f>
        <v/>
      </c>
      <c r="N54" s="2481"/>
      <c r="O54" s="2481"/>
      <c r="P54" s="2481"/>
      <c r="Q54" s="2481"/>
      <c r="R54" s="1433" t="str">
        <f>'Modèle Calcul A-R + Sommaire'!BG10</f>
        <v>🟢</v>
      </c>
      <c r="S54" s="2480" t="str">
        <f>'Modèle Calcul A-R + Sommaire'!BI10</f>
        <v/>
      </c>
      <c r="T54" s="2481"/>
      <c r="U54" s="2481"/>
      <c r="V54" s="2481"/>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77" t="str">
        <f>'Modèle Calcul A-R + Sommaire'!BF11</f>
        <v/>
      </c>
      <c r="N55" s="2476"/>
      <c r="O55" s="2476"/>
      <c r="P55" s="2476"/>
      <c r="Q55" s="2476"/>
      <c r="R55" s="1440" t="str">
        <f>'Modèle Calcul A-R + Sommaire'!BG11</f>
        <v>🟢</v>
      </c>
      <c r="S55" s="2477" t="str">
        <f>'Modèle Calcul A-R + Sommaire'!BI11</f>
        <v/>
      </c>
      <c r="T55" s="2476"/>
      <c r="U55" s="2476"/>
      <c r="V55" s="2476"/>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77" t="str">
        <f>'Modèle Calcul A-R + Sommaire'!BF12</f>
        <v/>
      </c>
      <c r="N56" s="2476"/>
      <c r="O56" s="2476"/>
      <c r="P56" s="2476"/>
      <c r="Q56" s="2476"/>
      <c r="R56" s="1440" t="str">
        <f>'Modèle Calcul A-R + Sommaire'!BG12</f>
        <v>🟢</v>
      </c>
      <c r="S56" s="2477" t="str">
        <f>'Modèle Calcul A-R + Sommaire'!BI12</f>
        <v/>
      </c>
      <c r="T56" s="2476"/>
      <c r="U56" s="2476"/>
      <c r="V56" s="2476"/>
      <c r="W56" s="751"/>
      <c r="X56" s="751"/>
    </row>
    <row r="57" spans="1:24" ht="28.5"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77" t="str">
        <f>'Modèle Calcul A-R + Sommaire'!BF13</f>
        <v/>
      </c>
      <c r="N57" s="2476"/>
      <c r="O57" s="2476"/>
      <c r="P57" s="2476"/>
      <c r="Q57" s="2476"/>
      <c r="R57" s="1440" t="str">
        <f>'Modèle Calcul A-R + Sommaire'!BG13</f>
        <v>🟢</v>
      </c>
      <c r="S57" s="2477" t="str">
        <f>'Modèle Calcul A-R + Sommaire'!BI13</f>
        <v/>
      </c>
      <c r="T57" s="2476"/>
      <c r="U57" s="2476"/>
      <c r="V57" s="2476"/>
      <c r="W57" s="751"/>
      <c r="X57" s="751"/>
    </row>
    <row r="58" spans="1:24" ht="28.5" customHeight="1">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77" t="str">
        <f>'Modèle Calcul A-R + Sommaire'!BF14</f>
        <v/>
      </c>
      <c r="N58" s="2476"/>
      <c r="O58" s="2476"/>
      <c r="P58" s="2476"/>
      <c r="Q58" s="2476"/>
      <c r="R58" s="1440" t="str">
        <f>'Modèle Calcul A-R + Sommaire'!BG14</f>
        <v>🟢</v>
      </c>
      <c r="S58" s="2477" t="str">
        <f>'Modèle Calcul A-R + Sommaire'!BI14</f>
        <v/>
      </c>
      <c r="T58" s="2476"/>
      <c r="U58" s="2476"/>
      <c r="V58" s="2476"/>
      <c r="W58" s="751"/>
      <c r="X58" s="751"/>
    </row>
    <row r="59" spans="1:24" ht="28.5" customHeight="1">
      <c r="A59" s="1437" t="str">
        <f>'Modèle Calcul A-R + Sommaire'!AY15</f>
        <v>Culpabilise l'enfant de son amour envers vous</v>
      </c>
      <c r="B59" s="1438"/>
      <c r="C59" s="1438"/>
      <c r="D59" s="1438"/>
      <c r="E59" s="1439" t="str">
        <f>'Modèle Calcul A-R + Sommaire'!BB15</f>
        <v/>
      </c>
      <c r="F59" s="1440" t="str">
        <f>'Modèle Calcul A-R + Sommaire'!BA15</f>
        <v>🟥</v>
      </c>
      <c r="G59" s="2477" t="str">
        <f>'Modèle Calcul A-R + Sommaire'!BC15</f>
        <v/>
      </c>
      <c r="H59" s="2476"/>
      <c r="I59" s="2476"/>
      <c r="J59" s="2476"/>
      <c r="K59" s="2476"/>
      <c r="L59" s="1443" t="str">
        <f>'Modèle Calcul A-R + Sommaire'!BD15</f>
        <v>🔸</v>
      </c>
      <c r="M59" s="2477" t="str">
        <f>'Modèle Calcul A-R + Sommaire'!BF15</f>
        <v/>
      </c>
      <c r="N59" s="2476"/>
      <c r="O59" s="2476"/>
      <c r="P59" s="2476"/>
      <c r="Q59" s="2476"/>
      <c r="R59" s="1440" t="str">
        <f>'Modèle Calcul A-R + Sommaire'!BG15</f>
        <v>🟢</v>
      </c>
      <c r="S59" s="2477" t="str">
        <f>'Modèle Calcul A-R + Sommaire'!BI15</f>
        <v/>
      </c>
      <c r="T59" s="2476"/>
      <c r="U59" s="2476"/>
      <c r="V59" s="2476"/>
      <c r="W59" s="751"/>
      <c r="X59" s="751"/>
    </row>
    <row r="60" spans="1:24" ht="28.5"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77" t="str">
        <f>'Modèle Calcul A-R + Sommaire'!BF16</f>
        <v/>
      </c>
      <c r="N60" s="2476"/>
      <c r="O60" s="2476"/>
      <c r="P60" s="2476"/>
      <c r="Q60" s="2476"/>
      <c r="R60" s="1440" t="str">
        <f>'Modèle Calcul A-R + Sommaire'!BG16</f>
        <v>🟢</v>
      </c>
      <c r="S60" s="2477" t="str">
        <f>'Modèle Calcul A-R + Sommaire'!BI16</f>
        <v/>
      </c>
      <c r="T60" s="2476"/>
      <c r="U60" s="2476"/>
      <c r="V60" s="2476"/>
      <c r="W60" s="751"/>
      <c r="X60" s="751"/>
    </row>
    <row r="61" spans="1:24" ht="28.5"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77" t="str">
        <f>'Modèle Calcul A-R + Sommaire'!BF17</f>
        <v/>
      </c>
      <c r="N61" s="2476"/>
      <c r="O61" s="2476"/>
      <c r="P61" s="2476"/>
      <c r="Q61" s="2476"/>
      <c r="R61" s="1440" t="str">
        <f>'Modèle Calcul A-R + Sommaire'!BG17</f>
        <v>🟢</v>
      </c>
      <c r="S61" s="2477" t="str">
        <f>'Modèle Calcul A-R + Sommaire'!BI17</f>
        <v/>
      </c>
      <c r="T61" s="2476"/>
      <c r="U61" s="2476"/>
      <c r="V61" s="2476"/>
      <c r="W61" s="751"/>
      <c r="X61" s="751"/>
    </row>
    <row r="62" spans="1:24" ht="28.5"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77" t="str">
        <f>'Modèle Calcul A-R + Sommaire'!BF18</f>
        <v/>
      </c>
      <c r="N62" s="2476"/>
      <c r="O62" s="2476"/>
      <c r="P62" s="2476"/>
      <c r="Q62" s="2476"/>
      <c r="R62" s="1440" t="str">
        <f>'Modèle Calcul A-R + Sommaire'!BG18</f>
        <v>🟢</v>
      </c>
      <c r="S62" s="2477" t="str">
        <f>'Modèle Calcul A-R + Sommaire'!BI18</f>
        <v/>
      </c>
      <c r="T62" s="2476"/>
      <c r="U62" s="2476"/>
      <c r="V62" s="2476"/>
      <c r="W62" s="751"/>
      <c r="X62" s="751"/>
    </row>
    <row r="63" spans="1:24" ht="28.5"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77" t="str">
        <f>'Modèle Calcul A-R + Sommaire'!BF19</f>
        <v/>
      </c>
      <c r="N63" s="2476"/>
      <c r="O63" s="2476"/>
      <c r="P63" s="2476"/>
      <c r="Q63" s="2476"/>
      <c r="R63" s="1440" t="str">
        <f>'Modèle Calcul A-R + Sommaire'!BG19</f>
        <v>🟢</v>
      </c>
      <c r="S63" s="2477" t="str">
        <f>'Modèle Calcul A-R + Sommaire'!BI19</f>
        <v/>
      </c>
      <c r="T63" s="2476"/>
      <c r="U63" s="2476"/>
      <c r="V63" s="2476"/>
      <c r="W63" s="751"/>
      <c r="X63" s="751"/>
    </row>
    <row r="64" spans="1:24" ht="28.5"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77" t="str">
        <f>'Modèle Calcul A-R + Sommaire'!BF20</f>
        <v/>
      </c>
      <c r="N64" s="2476"/>
      <c r="O64" s="2476"/>
      <c r="P64" s="2476"/>
      <c r="Q64" s="2476"/>
      <c r="R64" s="1440" t="str">
        <f>'Modèle Calcul A-R + Sommaire'!BG20</f>
        <v>🟢</v>
      </c>
      <c r="S64" s="2477" t="str">
        <f>'Modèle Calcul A-R + Sommaire'!BI20</f>
        <v/>
      </c>
      <c r="T64" s="2476"/>
      <c r="U64" s="2476"/>
      <c r="V64" s="2476"/>
      <c r="W64" s="751"/>
      <c r="X64" s="751"/>
    </row>
    <row r="65" spans="1:24" ht="28.5"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77" t="str">
        <f>'Modèle Calcul A-R + Sommaire'!BF21</f>
        <v/>
      </c>
      <c r="N65" s="2476"/>
      <c r="O65" s="2476"/>
      <c r="P65" s="2476"/>
      <c r="Q65" s="2476"/>
      <c r="R65" s="1440" t="str">
        <f>'Modèle Calcul A-R + Sommaire'!BG21</f>
        <v>🟢</v>
      </c>
      <c r="S65" s="2477" t="str">
        <f>'Modèle Calcul A-R + Sommaire'!BI21</f>
        <v/>
      </c>
      <c r="T65" s="2476"/>
      <c r="U65" s="2476"/>
      <c r="V65" s="2476"/>
      <c r="W65" s="751"/>
      <c r="X65" s="751"/>
    </row>
    <row r="66" spans="1:24" ht="28.5"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77" t="str">
        <f>'Modèle Calcul A-R + Sommaire'!BF22</f>
        <v/>
      </c>
      <c r="N66" s="2476"/>
      <c r="O66" s="2476"/>
      <c r="P66" s="2476"/>
      <c r="Q66" s="2476"/>
      <c r="R66" s="1440" t="str">
        <f>'Modèle Calcul A-R + Sommaire'!BG22</f>
        <v>🟢</v>
      </c>
      <c r="S66" s="2477" t="str">
        <f>'Modèle Calcul A-R + Sommaire'!BI22</f>
        <v/>
      </c>
      <c r="T66" s="2476"/>
      <c r="U66" s="2476"/>
      <c r="V66" s="2476"/>
      <c r="W66" s="751"/>
      <c r="X66" s="751"/>
    </row>
    <row r="67" spans="1:24" ht="28.5" customHeight="1">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77" t="str">
        <f>'Modèle Calcul A-R + Sommaire'!BF23</f>
        <v/>
      </c>
      <c r="N67" s="2476"/>
      <c r="O67" s="2476"/>
      <c r="P67" s="2476"/>
      <c r="Q67" s="2476"/>
      <c r="R67" s="1440" t="str">
        <f>'Modèle Calcul A-R + Sommaire'!BG23</f>
        <v>🟢</v>
      </c>
      <c r="S67" s="2477" t="str">
        <f>'Modèle Calcul A-R + Sommaire'!BI23</f>
        <v/>
      </c>
      <c r="T67" s="2476"/>
      <c r="U67" s="2476"/>
      <c r="V67" s="2476"/>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77" t="str">
        <f>'Modèle Calcul A-R + Sommaire'!BF24</f>
        <v/>
      </c>
      <c r="N68" s="2476"/>
      <c r="O68" s="2476"/>
      <c r="P68" s="2476"/>
      <c r="Q68" s="2476"/>
      <c r="R68" s="1440" t="str">
        <f>'Modèle Calcul A-R + Sommaire'!BG24</f>
        <v>🟢</v>
      </c>
      <c r="S68" s="2477" t="str">
        <f>'Modèle Calcul A-R + Sommaire'!BI24</f>
        <v/>
      </c>
      <c r="T68" s="2476"/>
      <c r="U68" s="2476"/>
      <c r="V68" s="2476"/>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77" t="str">
        <f>'Modèle Calcul A-R + Sommaire'!BF25</f>
        <v/>
      </c>
      <c r="N69" s="2476"/>
      <c r="O69" s="2476"/>
      <c r="P69" s="2476"/>
      <c r="Q69" s="2476"/>
      <c r="R69" s="1440" t="str">
        <f>'Modèle Calcul A-R + Sommaire'!BG25</f>
        <v>🟢</v>
      </c>
      <c r="S69" s="2477" t="str">
        <f>'Modèle Calcul A-R + Sommaire'!BI25</f>
        <v/>
      </c>
      <c r="T69" s="2476"/>
      <c r="U69" s="2476"/>
      <c r="V69" s="2476"/>
      <c r="W69" s="751"/>
      <c r="X69" s="751"/>
    </row>
    <row r="70" spans="1:24" ht="28.5"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78" t="str">
        <f>'Modèle Calcul A-R + Sommaire'!BF26</f>
        <v/>
      </c>
      <c r="N70" s="2476"/>
      <c r="O70" s="2476"/>
      <c r="P70" s="2476"/>
      <c r="Q70" s="2476"/>
      <c r="R70" s="755" t="str">
        <f>'Modèle Calcul A-R + Sommaire'!BG26</f>
        <v>🟢</v>
      </c>
      <c r="S70" s="2478" t="str">
        <f>'Modèle Calcul A-R + Sommaire'!BI26</f>
        <v/>
      </c>
      <c r="T70" s="2476"/>
      <c r="U70" s="2476"/>
      <c r="V70" s="2476"/>
      <c r="W70" s="751"/>
      <c r="X70" s="751"/>
    </row>
    <row r="71" spans="1:24" ht="28.5"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78" t="str">
        <f>'Modèle Calcul A-R + Sommaire'!BF27</f>
        <v/>
      </c>
      <c r="N71" s="2476"/>
      <c r="O71" s="2476"/>
      <c r="P71" s="2476"/>
      <c r="Q71" s="2476"/>
      <c r="R71" s="755" t="str">
        <f>'Modèle Calcul A-R + Sommaire'!BG27</f>
        <v>🟢</v>
      </c>
      <c r="S71" s="2478" t="str">
        <f>'Modèle Calcul A-R + Sommaire'!BI27</f>
        <v/>
      </c>
      <c r="T71" s="2476"/>
      <c r="U71" s="2476"/>
      <c r="V71" s="2476"/>
      <c r="W71" s="751"/>
      <c r="X71" s="751"/>
    </row>
    <row r="72" spans="1:24" ht="28.5"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78" t="str">
        <f>'Modèle Calcul A-R + Sommaire'!BF28</f>
        <v/>
      </c>
      <c r="N72" s="2476"/>
      <c r="O72" s="2476"/>
      <c r="P72" s="2476"/>
      <c r="Q72" s="2476"/>
      <c r="R72" s="755" t="str">
        <f>'Modèle Calcul A-R + Sommaire'!BG28</f>
        <v>🟢</v>
      </c>
      <c r="S72" s="2478" t="str">
        <f>'Modèle Calcul A-R + Sommaire'!BI28</f>
        <v/>
      </c>
      <c r="T72" s="2476"/>
      <c r="U72" s="2476"/>
      <c r="V72" s="2476"/>
      <c r="W72" s="751"/>
      <c r="X72" s="751"/>
    </row>
    <row r="73" spans="1:24" ht="28.5" customHeight="1">
      <c r="A73" s="752" t="str">
        <f>'Modèle Calcul A-R + Sommaire'!AY29</f>
        <v>L'enfant est messager de la logistique</v>
      </c>
      <c r="B73" s="753"/>
      <c r="C73" s="753"/>
      <c r="D73" s="753"/>
      <c r="E73" s="754" t="str">
        <f>'Modèle Calcul A-R + Sommaire'!BB29</f>
        <v/>
      </c>
      <c r="F73" s="755" t="str">
        <f>'Modèle Calcul A-R + Sommaire'!BA29</f>
        <v>🟥</v>
      </c>
      <c r="G73" s="2478" t="str">
        <f>'Modèle Calcul A-R + Sommaire'!BC29</f>
        <v/>
      </c>
      <c r="H73" s="2476"/>
      <c r="I73" s="2476"/>
      <c r="J73" s="2476"/>
      <c r="K73" s="2476"/>
      <c r="L73" s="758" t="str">
        <f>'Modèle Calcul A-R + Sommaire'!BD29</f>
        <v>🔸</v>
      </c>
      <c r="M73" s="2475" t="str">
        <f>'Modèle Calcul A-R + Sommaire'!BF29</f>
        <v/>
      </c>
      <c r="N73" s="2476"/>
      <c r="O73" s="2476"/>
      <c r="P73" s="2476"/>
      <c r="Q73" s="2476"/>
      <c r="R73" s="755" t="str">
        <f>'Modèle Calcul A-R + Sommaire'!BG29</f>
        <v>🟢</v>
      </c>
      <c r="S73" s="2478" t="str">
        <f>'Modèle Calcul A-R + Sommaire'!BI29</f>
        <v/>
      </c>
      <c r="T73" s="2476"/>
      <c r="U73" s="2476"/>
      <c r="V73" s="2476"/>
      <c r="W73" s="751"/>
      <c r="X73" s="751"/>
    </row>
    <row r="74" spans="1:24" ht="28.5"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78" t="str">
        <f>'Modèle Calcul A-R + Sommaire'!BF30</f>
        <v/>
      </c>
      <c r="N74" s="2476"/>
      <c r="O74" s="2476"/>
      <c r="P74" s="2476"/>
      <c r="Q74" s="2476"/>
      <c r="R74" s="755" t="str">
        <f>'Modèle Calcul A-R + Sommaire'!BG30</f>
        <v>🟢</v>
      </c>
      <c r="S74" s="2478" t="str">
        <f>'Modèle Calcul A-R + Sommaire'!BI30</f>
        <v/>
      </c>
      <c r="T74" s="2476"/>
      <c r="U74" s="2476"/>
      <c r="V74" s="2476"/>
      <c r="W74" s="751"/>
      <c r="X74" s="751"/>
    </row>
    <row r="75" spans="1:24" ht="28.5"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75" t="str">
        <f>'Modèle Calcul A-R + Sommaire'!BF31</f>
        <v/>
      </c>
      <c r="N75" s="2476"/>
      <c r="O75" s="2476"/>
      <c r="P75" s="2476"/>
      <c r="Q75" s="2476"/>
      <c r="R75" s="755" t="str">
        <f>'Modèle Calcul A-R + Sommaire'!BG31</f>
        <v>🟢</v>
      </c>
      <c r="S75" s="2478" t="str">
        <f>'Modèle Calcul A-R + Sommaire'!BI31</f>
        <v/>
      </c>
      <c r="T75" s="2476"/>
      <c r="U75" s="2476"/>
      <c r="V75" s="2476"/>
      <c r="W75" s="751"/>
      <c r="X75" s="751"/>
    </row>
    <row r="76" spans="1:24" ht="28.5"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78" t="str">
        <f>'Modèle Calcul A-R + Sommaire'!BF32</f>
        <v/>
      </c>
      <c r="N76" s="2476"/>
      <c r="O76" s="2476"/>
      <c r="P76" s="2476"/>
      <c r="Q76" s="2476"/>
      <c r="R76" s="755" t="str">
        <f>'Modèle Calcul A-R + Sommaire'!BG32</f>
        <v>🟢</v>
      </c>
      <c r="S76" s="2478" t="str">
        <f>'Modèle Calcul A-R + Sommaire'!BI32</f>
        <v/>
      </c>
      <c r="T76" s="2476"/>
      <c r="U76" s="2476"/>
      <c r="V76" s="2476"/>
      <c r="W76" s="751"/>
      <c r="X76" s="751"/>
    </row>
    <row r="77" spans="1:24" ht="28.5"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78" t="str">
        <f>'Modèle Calcul A-R + Sommaire'!BF33</f>
        <v/>
      </c>
      <c r="N77" s="2476"/>
      <c r="O77" s="2476"/>
      <c r="P77" s="2476"/>
      <c r="Q77" s="2476"/>
      <c r="R77" s="755" t="str">
        <f>'Modèle Calcul A-R + Sommaire'!BG33</f>
        <v>🟢</v>
      </c>
      <c r="S77" s="2478" t="str">
        <f>'Modèle Calcul A-R + Sommaire'!BI33</f>
        <v/>
      </c>
      <c r="T77" s="2476"/>
      <c r="U77" s="2476"/>
      <c r="V77" s="2476"/>
      <c r="W77" s="751"/>
      <c r="X77" s="751"/>
    </row>
    <row r="78" spans="1:24" ht="28.5"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78" t="str">
        <f>'Modèle Calcul A-R + Sommaire'!BF34</f>
        <v/>
      </c>
      <c r="N78" s="2476"/>
      <c r="O78" s="2476"/>
      <c r="P78" s="2476"/>
      <c r="Q78" s="2476"/>
      <c r="R78" s="755" t="str">
        <f>'Modèle Calcul A-R + Sommaire'!BG34</f>
        <v>🟢</v>
      </c>
      <c r="S78" s="2478" t="str">
        <f>'Modèle Calcul A-R + Sommaire'!BI34</f>
        <v/>
      </c>
      <c r="T78" s="2476"/>
      <c r="U78" s="2476"/>
      <c r="V78" s="2476"/>
      <c r="W78" s="751"/>
      <c r="X78" s="751"/>
    </row>
    <row r="79" spans="1:24" ht="28.5"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8" t="str">
        <f>'Modèle Calcul A-R + Sommaire'!BC11</f>
        <v/>
      </c>
      <c r="V82" s="55" t="str">
        <f>'Modèle Calcul A-R + Sommaire'!BB11</f>
        <v/>
      </c>
    </row>
    <row r="83" spans="1:22" ht="28.5" customHeight="1">
      <c r="A83" s="429"/>
      <c r="B83" s="429"/>
      <c r="C83" s="429"/>
      <c r="D83" s="429"/>
      <c r="R83" s="1258" t="str">
        <f>'Modèle Calcul A-R + Sommaire'!BC12</f>
        <v/>
      </c>
      <c r="V83" s="55" t="str">
        <f>'Modèle Calcul A-R + Sommaire'!BB12</f>
        <v/>
      </c>
    </row>
    <row r="84" spans="1:22" ht="28.5" customHeight="1">
      <c r="A84" s="429"/>
      <c r="B84" s="429"/>
      <c r="C84" s="429"/>
      <c r="D84" s="429"/>
      <c r="R84" s="1258" t="str">
        <f>'Modèle Calcul A-R + Sommaire'!BC13</f>
        <v/>
      </c>
      <c r="V84" s="55" t="str">
        <f>'Modèle Calcul A-R + Sommaire'!BB13</f>
        <v/>
      </c>
    </row>
    <row r="85" spans="1:22" ht="28.5" customHeight="1">
      <c r="A85" s="429"/>
      <c r="B85" s="429"/>
      <c r="C85" s="429"/>
      <c r="D85" s="429"/>
      <c r="R85" s="1258" t="str">
        <f>'Modèle Calcul A-R + Sommaire'!BC14</f>
        <v/>
      </c>
      <c r="V85" s="55" t="str">
        <f>'Modèle Calcul A-R + Sommaire'!BB14</f>
        <v/>
      </c>
    </row>
    <row r="86" spans="1:22" ht="28.5" customHeight="1">
      <c r="A86" s="429"/>
      <c r="B86" s="429"/>
      <c r="C86" s="429"/>
      <c r="D86" s="429"/>
      <c r="R86" s="1258" t="str">
        <f>'Modèle Calcul A-R + Sommaire'!BC15</f>
        <v/>
      </c>
      <c r="V86" s="55" t="str">
        <f>'Modèle Calcul A-R + Sommaire'!BB15</f>
        <v/>
      </c>
    </row>
    <row r="87" spans="1:22" ht="28.5" customHeight="1">
      <c r="A87" s="429"/>
      <c r="B87" s="429"/>
      <c r="C87" s="429"/>
      <c r="D87" s="429"/>
      <c r="R87" s="1258" t="str">
        <f>'Modèle Calcul A-R + Sommaire'!BC16</f>
        <v/>
      </c>
      <c r="V87" s="55" t="str">
        <f>'Modèle Calcul A-R + Sommaire'!BB16</f>
        <v/>
      </c>
    </row>
    <row r="88" spans="1:22" ht="28.5" customHeight="1">
      <c r="A88" s="429"/>
      <c r="B88" s="429"/>
      <c r="C88" s="429"/>
      <c r="D88" s="429"/>
      <c r="R88" s="1258" t="str">
        <f>'Modèle Calcul A-R + Sommaire'!BC17</f>
        <v/>
      </c>
      <c r="V88" s="55" t="str">
        <f>'Modèle Calcul A-R + Sommaire'!BB17</f>
        <v/>
      </c>
    </row>
    <row r="89" spans="1:22" ht="28.5" customHeight="1">
      <c r="A89" s="429"/>
      <c r="B89" s="429"/>
      <c r="C89" s="429"/>
      <c r="D89" s="429"/>
      <c r="R89" s="1258" t="str">
        <f>'Modèle Calcul A-R + Sommaire'!BC20</f>
        <v/>
      </c>
      <c r="V89" s="55" t="str">
        <f>'Modèle Calcul A-R + Sommaire'!BB20</f>
        <v/>
      </c>
    </row>
    <row r="90" spans="1:22" ht="28.5" customHeight="1">
      <c r="A90" s="429"/>
      <c r="B90" s="429"/>
      <c r="C90" s="429"/>
      <c r="D90" s="429"/>
      <c r="R90" s="1258" t="str">
        <f>'Modèle Calcul A-R + Sommaire'!BC24</f>
        <v/>
      </c>
      <c r="V90" s="55" t="str">
        <f>'Modèle Calcul A-R + Sommaire'!BB24</f>
        <v/>
      </c>
    </row>
    <row r="91" spans="1:22" ht="28.5" customHeight="1">
      <c r="A91" s="429"/>
      <c r="B91" s="429"/>
      <c r="C91" s="429"/>
      <c r="D91" s="429"/>
      <c r="R91" s="1258" t="str">
        <f>'Modèle Calcul A-R + Sommaire'!BC28</f>
        <v/>
      </c>
      <c r="V91" s="55" t="str">
        <f>'Modèle Calcul A-R + Sommaire'!BB28</f>
        <v/>
      </c>
    </row>
    <row r="92" spans="1:22" ht="28.5" customHeight="1">
      <c r="A92" s="429"/>
      <c r="B92" s="429"/>
      <c r="C92" s="429"/>
      <c r="D92" s="429"/>
      <c r="R92" s="1258" t="str">
        <f>'Modèle Calcul A-R + Sommaire'!BC29</f>
        <v/>
      </c>
      <c r="V92" s="55" t="str">
        <f>'Modèle Calcul A-R + Sommaire'!BB29</f>
        <v/>
      </c>
    </row>
    <row r="93" spans="1:22" ht="28.5" customHeight="1">
      <c r="A93" s="429"/>
      <c r="B93" s="429"/>
      <c r="C93" s="429"/>
      <c r="D93" s="429"/>
      <c r="R93" s="1258" t="str">
        <f>'Modèle Calcul A-R + Sommaire'!BC31</f>
        <v/>
      </c>
      <c r="V93" s="55" t="str">
        <f>'Modèle Calcul A-R + Sommaire'!BB31</f>
        <v/>
      </c>
    </row>
    <row r="94" spans="1:22" ht="28.5" customHeight="1">
      <c r="A94" s="429"/>
      <c r="B94" s="429"/>
      <c r="C94" s="429"/>
      <c r="D94" s="429"/>
      <c r="R94" s="1258" t="str">
        <f>'Modèle Calcul A-R + Sommaire'!BC32</f>
        <v/>
      </c>
      <c r="V94" s="55" t="str">
        <f>'Modèle Calcul A-R + Sommaire'!BB32</f>
        <v/>
      </c>
    </row>
    <row r="95" spans="1:22" ht="28.5" customHeight="1">
      <c r="A95" s="429"/>
      <c r="B95" s="429"/>
      <c r="C95" s="429"/>
      <c r="D95" s="429"/>
      <c r="R95" s="1258"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61" t="s">
        <v>322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G59:K59"/>
    <mergeCell ref="S65:V65"/>
    <mergeCell ref="M68:Q68"/>
    <mergeCell ref="S64:V64"/>
    <mergeCell ref="M56:Q56"/>
    <mergeCell ref="M58:Q58"/>
    <mergeCell ref="S68:V68"/>
    <mergeCell ref="M66:Q66"/>
    <mergeCell ref="M67:Q67"/>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12" customWidth="1"/>
    <col min="8" max="9" width="13.33203125" style="587" customWidth="1"/>
    <col min="10" max="10" width="13.33203125" style="1809" customWidth="1"/>
    <col min="11" max="11" width="13.33203125" style="824" customWidth="1"/>
    <col min="12" max="12" width="13.33203125" style="1274" customWidth="1"/>
    <col min="13" max="13" width="11.1640625" style="1817" hidden="1" customWidth="1"/>
    <col min="14" max="14" width="5.83203125" style="1825" bestFit="1" customWidth="1"/>
    <col min="15" max="15" width="15.33203125" style="1820" bestFit="1" customWidth="1"/>
    <col min="16" max="16" width="18.6640625" style="1446"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802" t="s">
        <v>323</v>
      </c>
      <c r="C1" s="1802"/>
      <c r="E1" s="1802"/>
      <c r="F1" s="1802"/>
    </row>
    <row r="2" spans="1:26">
      <c r="H2" s="1254"/>
      <c r="I2" s="1254"/>
      <c r="J2" s="1810"/>
      <c r="K2" s="1800"/>
      <c r="L2" s="1807"/>
      <c r="M2" s="1818"/>
    </row>
    <row r="3" spans="1:26">
      <c r="G3" s="1812" t="s">
        <v>324</v>
      </c>
      <c r="H3" s="1254"/>
      <c r="I3" s="1254"/>
      <c r="J3" s="1810"/>
      <c r="K3" s="1800"/>
      <c r="L3" s="1807"/>
      <c r="M3" s="1818"/>
    </row>
    <row r="4" spans="1:26">
      <c r="E4" s="13" t="s">
        <v>325</v>
      </c>
    </row>
    <row r="5" spans="1:26">
      <c r="A5" t="s">
        <v>326</v>
      </c>
      <c r="G5" s="1812">
        <f t="shared" ref="G5:P5" si="0">SUM(G8:G244)</f>
        <v>16</v>
      </c>
      <c r="H5" s="587">
        <f t="shared" si="0"/>
        <v>13</v>
      </c>
      <c r="I5" s="587">
        <f t="shared" si="0"/>
        <v>18</v>
      </c>
      <c r="J5" s="1809">
        <f t="shared" si="0"/>
        <v>17</v>
      </c>
      <c r="K5" s="824">
        <f t="shared" si="0"/>
        <v>19</v>
      </c>
      <c r="L5" s="1274">
        <f t="shared" si="0"/>
        <v>104</v>
      </c>
      <c r="M5" s="1817">
        <f t="shared" si="0"/>
        <v>7</v>
      </c>
      <c r="N5" s="1825">
        <f t="shared" si="0"/>
        <v>12</v>
      </c>
      <c r="O5" s="1727">
        <f t="shared" si="0"/>
        <v>2</v>
      </c>
      <c r="P5" s="1447">
        <f t="shared" si="0"/>
        <v>2</v>
      </c>
    </row>
    <row r="6" spans="1:26" ht="16" customHeight="1" thickBot="1">
      <c r="H6" s="587" t="s">
        <v>327</v>
      </c>
      <c r="U6" t="s">
        <v>328</v>
      </c>
    </row>
    <row r="7" spans="1:26" ht="77.5" customHeight="1">
      <c r="B7" s="1803" t="s">
        <v>59</v>
      </c>
      <c r="C7" s="1053" t="s">
        <v>329</v>
      </c>
      <c r="D7" s="16" t="s">
        <v>330</v>
      </c>
      <c r="E7" s="1053" t="s">
        <v>331</v>
      </c>
      <c r="F7" s="1053" t="s">
        <v>332</v>
      </c>
      <c r="G7" s="1813" t="s">
        <v>333</v>
      </c>
      <c r="H7" s="1309" t="s">
        <v>198</v>
      </c>
      <c r="I7" s="1309" t="s">
        <v>334</v>
      </c>
      <c r="J7" s="1811" t="s">
        <v>335</v>
      </c>
      <c r="K7" s="72" t="s">
        <v>34</v>
      </c>
      <c r="L7" s="1808" t="s">
        <v>336</v>
      </c>
      <c r="M7" s="29" t="s">
        <v>337</v>
      </c>
      <c r="N7" s="1826" t="s">
        <v>338</v>
      </c>
      <c r="O7" s="1821" t="s">
        <v>339</v>
      </c>
      <c r="P7" s="1823" t="s">
        <v>340</v>
      </c>
      <c r="Q7" s="13" t="s">
        <v>341</v>
      </c>
      <c r="R7" s="1819" t="s">
        <v>342</v>
      </c>
      <c r="U7" t="s">
        <v>343</v>
      </c>
      <c r="V7" t="s">
        <v>344</v>
      </c>
      <c r="W7" t="s">
        <v>345</v>
      </c>
      <c r="X7" t="s">
        <v>346</v>
      </c>
      <c r="Y7" t="s">
        <v>347</v>
      </c>
      <c r="Z7" s="13" t="s">
        <v>348</v>
      </c>
    </row>
    <row r="8" spans="1:26">
      <c r="B8" s="1803"/>
      <c r="C8" s="1803"/>
      <c r="D8" s="1587"/>
      <c r="E8" s="1803"/>
      <c r="F8" s="1803"/>
      <c r="G8" s="1587"/>
      <c r="H8" s="90"/>
      <c r="I8" s="1587"/>
      <c r="J8" s="1587"/>
      <c r="K8" s="1587"/>
      <c r="L8" s="1587"/>
      <c r="M8" s="1587"/>
      <c r="N8" s="90"/>
      <c r="O8" s="55"/>
      <c r="P8" s="55"/>
      <c r="Q8" s="1850"/>
      <c r="R8" s="1851"/>
      <c r="U8" t="s">
        <v>349</v>
      </c>
    </row>
    <row r="9" spans="1:26" s="7" customFormat="1" ht="34" customHeight="1">
      <c r="A9" s="25" t="str">
        <f>BIBLE!E20</f>
        <v>B00</v>
      </c>
      <c r="B9" s="25" t="str">
        <f>BIBLE!F20</f>
        <v xml:space="preserve">Identification: Qui êtes-vous ? </v>
      </c>
      <c r="C9" s="2482" t="s">
        <v>350</v>
      </c>
      <c r="D9" s="67"/>
      <c r="E9" s="25"/>
      <c r="F9" s="25"/>
      <c r="G9" s="1831"/>
      <c r="H9" s="1832"/>
      <c r="I9" s="1832"/>
      <c r="J9" s="1833"/>
      <c r="K9" s="762"/>
      <c r="L9" s="763"/>
      <c r="M9" s="703"/>
      <c r="N9" s="1827"/>
      <c r="O9" s="1822"/>
      <c r="P9" s="1824"/>
      <c r="Q9" s="586"/>
      <c r="R9" s="1829">
        <f t="shared" ref="R9:R26" si="1">G9+H9+I9+J9+K9+L9+M9+N9+O9+P9</f>
        <v>0</v>
      </c>
      <c r="Z9" s="25"/>
    </row>
    <row r="10" spans="1:26" s="7" customFormat="1" ht="46.5" customHeight="1">
      <c r="A10" s="25" t="str">
        <f>BIBLE!E21</f>
        <v>B01</v>
      </c>
      <c r="B10" s="25" t="str">
        <f>BIBLE!F21</f>
        <v>Vous répondez à ce questionnaire au nom de ?</v>
      </c>
      <c r="C10" s="2483"/>
      <c r="D10" s="67"/>
      <c r="E10" s="25"/>
      <c r="F10" s="25"/>
      <c r="G10" s="1699"/>
      <c r="H10" s="1814"/>
      <c r="I10" s="1814"/>
      <c r="J10" s="1815"/>
      <c r="K10" s="1816"/>
      <c r="L10" s="1378"/>
      <c r="M10" s="27"/>
      <c r="N10" s="1827"/>
      <c r="O10" s="1822"/>
      <c r="P10" s="1824"/>
      <c r="Q10" s="586"/>
      <c r="R10" s="1829">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9"/>
      <c r="H11" s="1814"/>
      <c r="I11" s="1814"/>
      <c r="J11" s="1815"/>
      <c r="K11" s="1816"/>
      <c r="L11" s="1378"/>
      <c r="M11" s="27"/>
      <c r="N11" s="1827"/>
      <c r="O11" s="1822"/>
      <c r="P11" s="1824"/>
      <c r="Q11" s="586"/>
      <c r="R11" s="1829">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9"/>
      <c r="H12" s="1832"/>
      <c r="I12" s="1832"/>
      <c r="J12" s="1833"/>
      <c r="K12" s="1816"/>
      <c r="L12" s="1378"/>
      <c r="M12" s="27"/>
      <c r="N12" s="1827"/>
      <c r="O12" s="1822"/>
      <c r="P12" s="1824"/>
      <c r="Q12" s="586"/>
      <c r="R12" s="1829">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9"/>
      <c r="H13" s="1814"/>
      <c r="I13" s="1814"/>
      <c r="J13" s="1815"/>
      <c r="K13" s="1816"/>
      <c r="L13" s="1378"/>
      <c r="M13" s="27"/>
      <c r="N13" s="1827"/>
      <c r="O13" s="1822"/>
      <c r="P13" s="1824"/>
      <c r="Q13" s="586"/>
      <c r="R13" s="1829">
        <f t="shared" si="1"/>
        <v>0</v>
      </c>
      <c r="Z13" s="25"/>
    </row>
    <row r="14" spans="1:26" s="7" customFormat="1" ht="77.5" customHeight="1">
      <c r="A14" s="25" t="str">
        <f>BIBLE!E25</f>
        <v>B05</v>
      </c>
      <c r="B14" s="25" t="str">
        <f>BIBLE!F25</f>
        <v>Combien d'enfants compte la fratrie ?</v>
      </c>
      <c r="C14" s="25" t="s">
        <v>356</v>
      </c>
      <c r="D14" s="67"/>
      <c r="E14" s="25"/>
      <c r="F14" s="25"/>
      <c r="G14" s="1699"/>
      <c r="H14" s="1814"/>
      <c r="I14" s="1814"/>
      <c r="J14" s="1815"/>
      <c r="K14" s="1816"/>
      <c r="L14" s="1378"/>
      <c r="M14" s="27"/>
      <c r="N14" s="1827"/>
      <c r="O14" s="1822"/>
      <c r="P14" s="1824"/>
      <c r="Q14" s="586"/>
      <c r="R14" s="1829">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9"/>
      <c r="H15" s="1814"/>
      <c r="I15" s="1814"/>
      <c r="J15" s="1815"/>
      <c r="K15" s="1816"/>
      <c r="L15" s="1378"/>
      <c r="M15" s="27"/>
      <c r="N15" s="1827"/>
      <c r="O15" s="1822"/>
      <c r="P15" s="1824"/>
      <c r="Q15" s="1837" t="s">
        <v>359</v>
      </c>
      <c r="R15" s="1829">
        <f t="shared" si="1"/>
        <v>0</v>
      </c>
      <c r="Z15" s="25"/>
    </row>
    <row r="16" spans="1:26" s="7" customFormat="1" ht="31" customHeight="1">
      <c r="A16" s="25" t="str">
        <f>BIBLE!E27</f>
        <v>B07</v>
      </c>
      <c r="B16" s="25" t="str">
        <f>BIBLE!F27</f>
        <v xml:space="preserve">Quelle est votre situation familiale actuelle ? </v>
      </c>
      <c r="C16" s="25"/>
      <c r="D16" s="67"/>
      <c r="E16" s="25"/>
      <c r="F16" s="25"/>
      <c r="G16" s="1699"/>
      <c r="H16" s="1814"/>
      <c r="I16" s="1814"/>
      <c r="J16" s="1815"/>
      <c r="K16" s="1816"/>
      <c r="L16" s="1378"/>
      <c r="M16" s="27"/>
      <c r="N16" s="1827"/>
      <c r="O16" s="1822"/>
      <c r="P16" s="1824"/>
      <c r="Q16" s="586"/>
      <c r="R16" s="1829">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9"/>
      <c r="H17" s="1814"/>
      <c r="I17" s="1814"/>
      <c r="J17" s="1815"/>
      <c r="K17" s="1816"/>
      <c r="L17" s="1378"/>
      <c r="M17" s="27"/>
      <c r="N17" s="1827"/>
      <c r="O17" s="1822"/>
      <c r="P17" s="1824"/>
      <c r="Q17" s="586"/>
      <c r="R17" s="1829">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4">
        <v>1</v>
      </c>
      <c r="H18" s="1814"/>
      <c r="I18" s="1814"/>
      <c r="J18" s="1815"/>
      <c r="K18" s="1816"/>
      <c r="L18" s="1378"/>
      <c r="M18" s="27"/>
      <c r="N18" s="1827"/>
      <c r="O18" s="1822"/>
      <c r="P18" s="1824"/>
      <c r="Q18" s="586"/>
      <c r="R18" s="1829">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9"/>
      <c r="H19" s="1814"/>
      <c r="I19" s="1814"/>
      <c r="J19" s="1815"/>
      <c r="K19" s="1816"/>
      <c r="L19" s="1378"/>
      <c r="M19" s="27"/>
      <c r="N19" s="1827"/>
      <c r="O19" s="1822"/>
      <c r="P19" s="1824"/>
      <c r="Q19" s="586"/>
      <c r="R19" s="1829">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9"/>
      <c r="H20" s="1814"/>
      <c r="I20" s="1814">
        <v>1</v>
      </c>
      <c r="J20" s="1815"/>
      <c r="K20" s="1816"/>
      <c r="L20" s="1378"/>
      <c r="M20" s="27"/>
      <c r="N20" s="1827"/>
      <c r="O20" s="1822"/>
      <c r="P20" s="1824"/>
      <c r="Q20" s="586"/>
      <c r="R20" s="1829">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9"/>
      <c r="H21" s="1814"/>
      <c r="I21" s="1814">
        <v>1</v>
      </c>
      <c r="J21" s="1815"/>
      <c r="K21" s="1816"/>
      <c r="L21" s="1378"/>
      <c r="M21" s="27"/>
      <c r="N21" s="1827"/>
      <c r="O21" s="1822"/>
      <c r="P21" s="1824"/>
      <c r="Q21" s="586"/>
      <c r="R21" s="1829">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9"/>
      <c r="H22" s="1814"/>
      <c r="I22" s="1814"/>
      <c r="J22" s="1815"/>
      <c r="K22" s="1816"/>
      <c r="L22" s="1378"/>
      <c r="M22" s="27"/>
      <c r="N22" s="1827"/>
      <c r="O22" s="1822"/>
      <c r="P22" s="1824"/>
      <c r="Q22" s="586"/>
      <c r="R22" s="1829">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9"/>
      <c r="H23" s="1814"/>
      <c r="I23" s="1814"/>
      <c r="J23" s="1815"/>
      <c r="K23" s="1816"/>
      <c r="L23" s="1378"/>
      <c r="M23" s="27"/>
      <c r="N23" s="1827"/>
      <c r="O23" s="1822"/>
      <c r="P23" s="1824"/>
      <c r="Q23" s="586"/>
      <c r="R23" s="1829">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9"/>
      <c r="H24" s="1814"/>
      <c r="I24" s="1814"/>
      <c r="J24" s="1815"/>
      <c r="K24" s="1816"/>
      <c r="L24" s="1378"/>
      <c r="M24" s="27"/>
      <c r="N24" s="1827"/>
      <c r="O24" s="1822"/>
      <c r="P24" s="1824"/>
      <c r="Q24" s="586"/>
      <c r="R24" s="1829">
        <f t="shared" si="1"/>
        <v>0</v>
      </c>
      <c r="Z24" s="25"/>
    </row>
    <row r="25" spans="1:26" s="7" customFormat="1" ht="46.5" customHeight="1">
      <c r="A25" s="25" t="str">
        <f>BIBLE!E36</f>
        <v>B12c</v>
      </c>
      <c r="B25" s="25" t="str">
        <f>BIBLE!F36</f>
        <v>Est-ce qu'il y a d'autres enfants en rupture de lien ou de contact?</v>
      </c>
      <c r="C25" s="25"/>
      <c r="D25" s="67"/>
      <c r="E25" s="25"/>
      <c r="F25" s="25"/>
      <c r="G25" s="1699"/>
      <c r="H25" s="1814"/>
      <c r="I25" s="1814"/>
      <c r="J25" s="1815"/>
      <c r="K25" s="1816"/>
      <c r="L25" s="1378"/>
      <c r="M25" s="27"/>
      <c r="N25" s="1827"/>
      <c r="O25" s="1822"/>
      <c r="P25" s="1824"/>
      <c r="Q25" s="586"/>
      <c r="R25" s="1829">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9"/>
      <c r="H26" s="1814"/>
      <c r="I26" s="1814"/>
      <c r="J26" s="1815"/>
      <c r="K26" s="1816"/>
      <c r="L26" s="1378"/>
      <c r="M26" s="27"/>
      <c r="N26" s="1827"/>
      <c r="O26" s="1822"/>
      <c r="P26" s="1824"/>
      <c r="Q26" s="586" t="s">
        <v>371</v>
      </c>
      <c r="R26" s="1829">
        <f t="shared" si="1"/>
        <v>0</v>
      </c>
      <c r="Z26" s="25" t="s">
        <v>372</v>
      </c>
    </row>
    <row r="27" spans="1:26" s="7" customFormat="1">
      <c r="A27" s="25"/>
      <c r="B27" s="25"/>
      <c r="C27" s="25"/>
      <c r="D27" s="67"/>
      <c r="E27" s="25"/>
      <c r="F27" s="25"/>
      <c r="G27" s="6"/>
      <c r="H27" s="6"/>
      <c r="I27" s="6"/>
      <c r="J27" s="6"/>
      <c r="K27" s="6"/>
      <c r="L27" s="6"/>
      <c r="M27" s="6"/>
      <c r="N27" s="6"/>
      <c r="O27" s="521"/>
      <c r="P27" s="521"/>
      <c r="Q27" s="586"/>
      <c r="R27" s="1829"/>
      <c r="Z27" s="25"/>
    </row>
    <row r="28" spans="1:26" s="7" customFormat="1">
      <c r="A28" s="25"/>
      <c r="B28" s="25"/>
      <c r="C28" s="25"/>
      <c r="D28" s="67"/>
      <c r="E28" s="25"/>
      <c r="F28" s="25"/>
      <c r="G28" s="6"/>
      <c r="H28" s="6"/>
      <c r="I28" s="6"/>
      <c r="J28" s="6"/>
      <c r="K28" s="6"/>
      <c r="L28" s="6"/>
      <c r="M28" s="6"/>
      <c r="N28" s="6"/>
      <c r="O28" s="521"/>
      <c r="P28" s="521"/>
      <c r="Q28" s="586"/>
      <c r="R28" s="1829"/>
      <c r="Z28" s="25"/>
    </row>
    <row r="29" spans="1:26" s="7" customFormat="1">
      <c r="A29" s="25"/>
      <c r="B29" s="25"/>
      <c r="C29" s="25"/>
      <c r="D29" s="67"/>
      <c r="E29" s="25"/>
      <c r="F29" s="25"/>
      <c r="G29" s="6"/>
      <c r="H29" s="6"/>
      <c r="I29" s="6"/>
      <c r="J29" s="6"/>
      <c r="K29" s="6"/>
      <c r="L29" s="6"/>
      <c r="M29" s="6"/>
      <c r="N29" s="6"/>
      <c r="O29" s="521"/>
      <c r="P29" s="521"/>
      <c r="Q29" s="586"/>
      <c r="R29" s="1829"/>
      <c r="Z29" s="25"/>
    </row>
    <row r="30" spans="1:26" s="7" customFormat="1">
      <c r="A30" s="25"/>
      <c r="B30" s="25"/>
      <c r="C30" s="25"/>
      <c r="D30" s="67"/>
      <c r="E30" s="25"/>
      <c r="F30" s="25"/>
      <c r="G30" s="6"/>
      <c r="H30" s="6"/>
      <c r="I30" s="6"/>
      <c r="J30" s="6"/>
      <c r="K30" s="6"/>
      <c r="L30" s="6"/>
      <c r="M30" s="6"/>
      <c r="N30" s="6"/>
      <c r="O30" s="521"/>
      <c r="P30" s="521"/>
      <c r="Q30" s="586"/>
      <c r="R30" s="1829">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9">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9"/>
      <c r="H32" s="1814"/>
      <c r="I32" s="1814"/>
      <c r="J32" s="1815">
        <v>1</v>
      </c>
      <c r="K32" s="1816"/>
      <c r="L32" s="1378"/>
      <c r="M32" s="27"/>
      <c r="N32" s="1827"/>
      <c r="O32" s="1822"/>
      <c r="P32" s="1824"/>
      <c r="Q32" s="586"/>
      <c r="R32" s="1829">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9"/>
      <c r="H33" s="1814"/>
      <c r="I33" s="1814"/>
      <c r="J33" s="1815">
        <v>1</v>
      </c>
      <c r="K33" s="1816"/>
      <c r="L33" s="1378"/>
      <c r="M33" s="27"/>
      <c r="N33" s="1827"/>
      <c r="O33" s="1822"/>
      <c r="P33" s="1824"/>
      <c r="Q33" s="586"/>
      <c r="R33" s="1829">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9"/>
      <c r="H34" s="1814"/>
      <c r="I34" s="1814"/>
      <c r="J34" s="1815">
        <v>1</v>
      </c>
      <c r="K34" s="1816"/>
      <c r="L34" s="1378"/>
      <c r="M34" s="27"/>
      <c r="N34" s="1827"/>
      <c r="O34" s="1822"/>
      <c r="P34" s="1824"/>
      <c r="Q34" s="586"/>
      <c r="R34" s="1829">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9"/>
      <c r="H35" s="1814"/>
      <c r="I35" s="1814"/>
      <c r="J35" s="1815">
        <v>1</v>
      </c>
      <c r="K35" s="1816">
        <v>1</v>
      </c>
      <c r="L35" s="1378"/>
      <c r="M35" s="27"/>
      <c r="N35" s="1827"/>
      <c r="O35" s="1822"/>
      <c r="P35" s="1824"/>
      <c r="Q35" s="586"/>
      <c r="R35" s="1829">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9"/>
      <c r="H36" s="1814"/>
      <c r="I36" s="1814"/>
      <c r="J36" s="1815">
        <v>1</v>
      </c>
      <c r="K36" s="1816"/>
      <c r="L36" s="1378"/>
      <c r="M36" s="27"/>
      <c r="N36" s="1827"/>
      <c r="O36" s="1822"/>
      <c r="P36" s="1824"/>
      <c r="Q36" s="586"/>
      <c r="R36" s="1829">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9"/>
      <c r="H37" s="1814"/>
      <c r="I37" s="1814"/>
      <c r="J37" s="1815">
        <v>1</v>
      </c>
      <c r="K37" s="1816"/>
      <c r="L37" s="1378"/>
      <c r="M37" s="27"/>
      <c r="N37" s="1827"/>
      <c r="O37" s="1822"/>
      <c r="P37" s="1824"/>
      <c r="Q37" s="586"/>
      <c r="R37" s="1829">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9"/>
      <c r="H38" s="1814"/>
      <c r="I38" s="1814"/>
      <c r="J38" s="1815"/>
      <c r="K38" s="1816"/>
      <c r="L38" s="1378"/>
      <c r="M38" s="27"/>
      <c r="N38" s="1827">
        <v>1</v>
      </c>
      <c r="O38" s="1822"/>
      <c r="P38" s="1824"/>
      <c r="Q38" s="586"/>
      <c r="R38" s="1829">
        <f t="shared" si="2"/>
        <v>1</v>
      </c>
      <c r="Z38" s="25"/>
    </row>
    <row r="39" spans="1:26" s="7" customFormat="1" ht="31" customHeight="1">
      <c r="A39" s="25" t="str">
        <f>BIBLE!E47</f>
        <v>H06</v>
      </c>
      <c r="B39" s="826" t="str">
        <f>BIBLE!F47</f>
        <v xml:space="preserve">Dans quelle mesure diriez-vous que l'autre parent percevait votre rôle parental aussi important que le sien ? </v>
      </c>
      <c r="C39" s="25" t="s">
        <v>373</v>
      </c>
      <c r="D39" s="67"/>
      <c r="E39" s="826"/>
      <c r="F39" s="826"/>
      <c r="G39" s="1699"/>
      <c r="H39" s="1814"/>
      <c r="I39" s="1814"/>
      <c r="J39" s="1815">
        <v>1</v>
      </c>
      <c r="K39" s="1816"/>
      <c r="L39" s="1378"/>
      <c r="M39" s="27"/>
      <c r="N39" s="1827"/>
      <c r="O39" s="1822"/>
      <c r="P39" s="1824"/>
      <c r="Q39" s="586"/>
      <c r="R39" s="1829">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9"/>
      <c r="H40" s="1814"/>
      <c r="I40" s="1814"/>
      <c r="J40" s="1815">
        <v>1</v>
      </c>
      <c r="K40" s="1816"/>
      <c r="L40" s="1378"/>
      <c r="M40" s="27"/>
      <c r="N40" s="1827">
        <v>1</v>
      </c>
      <c r="O40" s="1822"/>
      <c r="P40" s="1824"/>
      <c r="Q40" s="586"/>
      <c r="R40" s="1829">
        <f t="shared" si="2"/>
        <v>2</v>
      </c>
      <c r="Z40" s="25"/>
    </row>
    <row r="41" spans="1:26" s="7" customFormat="1">
      <c r="A41" s="25"/>
      <c r="B41" s="25"/>
      <c r="C41" s="25"/>
      <c r="D41" s="67"/>
      <c r="E41" s="25"/>
      <c r="F41" s="25"/>
      <c r="G41" s="6"/>
      <c r="H41" s="6"/>
      <c r="I41" s="6"/>
      <c r="J41" s="6"/>
      <c r="K41" s="6"/>
      <c r="L41" s="6"/>
      <c r="M41" s="6"/>
      <c r="N41" s="6"/>
      <c r="O41" s="521"/>
      <c r="P41" s="521"/>
      <c r="Q41" s="586"/>
      <c r="R41" s="1829"/>
      <c r="Z41" s="25"/>
    </row>
    <row r="42" spans="1:26" s="7" customFormat="1">
      <c r="A42" s="25"/>
      <c r="B42" s="25"/>
      <c r="C42" s="25"/>
      <c r="D42" s="67"/>
      <c r="E42" s="25"/>
      <c r="F42" s="25"/>
      <c r="G42" s="6"/>
      <c r="H42" s="6"/>
      <c r="I42" s="6"/>
      <c r="J42" s="6"/>
      <c r="K42" s="6"/>
      <c r="L42" s="6"/>
      <c r="M42" s="6"/>
      <c r="N42" s="6"/>
      <c r="O42" s="521"/>
      <c r="P42" s="521"/>
      <c r="Q42" s="586"/>
      <c r="R42" s="1829"/>
      <c r="Z42" s="25"/>
    </row>
    <row r="43" spans="1:26" s="7" customFormat="1">
      <c r="A43" s="25"/>
      <c r="B43" s="25"/>
      <c r="C43" s="25"/>
      <c r="D43" s="67"/>
      <c r="E43" s="25"/>
      <c r="F43" s="25"/>
      <c r="G43" s="6"/>
      <c r="H43" s="6"/>
      <c r="I43" s="6"/>
      <c r="J43" s="6"/>
      <c r="K43" s="6"/>
      <c r="L43" s="6"/>
      <c r="M43" s="6"/>
      <c r="N43" s="6"/>
      <c r="O43" s="521"/>
      <c r="P43" s="521"/>
      <c r="Q43" s="586"/>
      <c r="R43" s="1829"/>
      <c r="Z43" s="25"/>
    </row>
    <row r="44" spans="1:26" s="7" customFormat="1" ht="31" customHeight="1">
      <c r="A44" s="25" t="str">
        <f>BIBLE!E50</f>
        <v>PCR00</v>
      </c>
      <c r="B44" s="25" t="str">
        <f>BIBLE!F50</f>
        <v>Quelle est le degré de complicité entre vous et l'autre parent (coparent), aujourd'hui ?</v>
      </c>
      <c r="C44" s="25"/>
      <c r="D44" s="67"/>
      <c r="E44" s="25"/>
      <c r="F44" s="25"/>
      <c r="G44" s="1814"/>
      <c r="H44" s="1814"/>
      <c r="I44" s="1814"/>
      <c r="J44" s="1814"/>
      <c r="K44" s="1814"/>
      <c r="L44" s="1814"/>
      <c r="M44" s="1814"/>
      <c r="N44" s="1814"/>
      <c r="O44" s="1828"/>
      <c r="P44" s="1828"/>
      <c r="Q44" s="586"/>
      <c r="R44" s="1829" t="s">
        <v>375</v>
      </c>
      <c r="Z44" s="25"/>
    </row>
    <row r="45" spans="1:26" s="7" customFormat="1" ht="31" customHeight="1">
      <c r="A45" s="25" t="str">
        <f>BIBLE!E51</f>
        <v>PCR01</v>
      </c>
      <c r="B45" s="25" t="str">
        <f>BIBLE!F51</f>
        <v>Vous êtes à l'aise en présence de l'autre parent (coparent).</v>
      </c>
      <c r="C45" s="25" t="s">
        <v>373</v>
      </c>
      <c r="D45" s="67"/>
      <c r="E45" s="25"/>
      <c r="F45" s="25"/>
      <c r="G45" s="1699">
        <v>1</v>
      </c>
      <c r="H45" s="1814"/>
      <c r="I45" s="1814"/>
      <c r="J45" s="1815"/>
      <c r="K45" s="1816"/>
      <c r="L45" s="1378"/>
      <c r="M45" s="27"/>
      <c r="N45" s="1827"/>
      <c r="O45" s="1822"/>
      <c r="P45" s="1824"/>
      <c r="Q45" s="586"/>
      <c r="R45" s="1829">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9">
        <v>1</v>
      </c>
      <c r="H46" s="1814"/>
      <c r="I46" s="1814"/>
      <c r="J46" s="1815"/>
      <c r="K46" s="1816"/>
      <c r="L46" s="1378"/>
      <c r="M46" s="27"/>
      <c r="N46" s="1827" t="s">
        <v>377</v>
      </c>
      <c r="O46" s="1822"/>
      <c r="P46" s="1824"/>
      <c r="Q46" s="586"/>
      <c r="R46" s="1829">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9">
        <v>1</v>
      </c>
      <c r="H47" s="1814"/>
      <c r="I47" s="1814"/>
      <c r="J47" s="1815"/>
      <c r="K47" s="1816"/>
      <c r="L47" s="1378"/>
      <c r="M47" s="27"/>
      <c r="N47" s="1827">
        <v>1</v>
      </c>
      <c r="O47" s="1822"/>
      <c r="P47" s="1824"/>
      <c r="Q47" s="586"/>
      <c r="R47" s="1829">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9" t="s">
        <v>379</v>
      </c>
      <c r="H48" s="1699" t="s">
        <v>193</v>
      </c>
      <c r="I48" s="1699" t="s">
        <v>193</v>
      </c>
      <c r="J48" s="1699" t="s">
        <v>193</v>
      </c>
      <c r="K48" s="1699" t="s">
        <v>193</v>
      </c>
      <c r="L48" s="1699" t="s">
        <v>193</v>
      </c>
      <c r="M48" s="1699" t="s">
        <v>193</v>
      </c>
      <c r="N48" s="1699" t="s">
        <v>193</v>
      </c>
      <c r="O48" s="1699" t="s">
        <v>193</v>
      </c>
      <c r="P48" s="1699" t="s">
        <v>193</v>
      </c>
      <c r="Q48" s="586"/>
      <c r="R48" s="1829"/>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50">
        <v>1</v>
      </c>
      <c r="H49" s="1814"/>
      <c r="I49" s="1814">
        <v>1</v>
      </c>
      <c r="J49" s="1815"/>
      <c r="K49" s="1816"/>
      <c r="L49" s="1378"/>
      <c r="M49" s="27"/>
      <c r="N49" s="1827"/>
      <c r="O49" s="1822"/>
      <c r="P49" s="1824"/>
      <c r="Q49" s="586"/>
      <c r="R49" s="1829">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9"/>
      <c r="H50" s="1814"/>
      <c r="I50" s="1814">
        <v>1</v>
      </c>
      <c r="J50" s="1815"/>
      <c r="K50" s="1816"/>
      <c r="L50" s="1378">
        <v>1</v>
      </c>
      <c r="M50" s="27"/>
      <c r="N50" s="1827"/>
      <c r="O50" s="1822"/>
      <c r="P50" s="1824"/>
      <c r="Q50" s="586"/>
      <c r="R50" s="1829">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9"/>
      <c r="H51" s="1814"/>
      <c r="I51" s="1814">
        <v>1</v>
      </c>
      <c r="J51" s="1815"/>
      <c r="K51" s="1816"/>
      <c r="L51" s="1378"/>
      <c r="M51" s="27"/>
      <c r="N51" s="1827"/>
      <c r="O51" s="1822"/>
      <c r="P51" s="1824"/>
      <c r="Q51" s="586"/>
      <c r="R51" s="1829">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9"/>
      <c r="H52" s="1814"/>
      <c r="I52" s="1814">
        <v>1</v>
      </c>
      <c r="J52" s="1815"/>
      <c r="K52" s="1816"/>
      <c r="L52" s="1378">
        <v>1</v>
      </c>
      <c r="M52" s="27"/>
      <c r="N52" s="1827"/>
      <c r="O52" s="1822"/>
      <c r="P52" s="1824"/>
      <c r="Q52" s="586"/>
      <c r="R52" s="1829">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9" t="s">
        <v>379</v>
      </c>
      <c r="H53" s="1699" t="s">
        <v>193</v>
      </c>
      <c r="I53" s="1699" t="s">
        <v>193</v>
      </c>
      <c r="J53" s="1699" t="s">
        <v>193</v>
      </c>
      <c r="K53" s="1699" t="s">
        <v>193</v>
      </c>
      <c r="L53" s="1699" t="s">
        <v>193</v>
      </c>
      <c r="M53" s="1699" t="s">
        <v>193</v>
      </c>
      <c r="N53" s="1699" t="s">
        <v>193</v>
      </c>
      <c r="O53" s="1699" t="s">
        <v>193</v>
      </c>
      <c r="P53" s="1699" t="s">
        <v>193</v>
      </c>
      <c r="Q53" s="586"/>
      <c r="R53" s="1829"/>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50">
        <v>1</v>
      </c>
      <c r="H54" s="1814"/>
      <c r="I54" s="1814">
        <v>1</v>
      </c>
      <c r="J54" s="1815"/>
      <c r="K54" s="1816"/>
      <c r="L54" s="1378">
        <v>1</v>
      </c>
      <c r="M54" s="27"/>
      <c r="N54" s="1827"/>
      <c r="O54" s="1822"/>
      <c r="P54" s="1824"/>
      <c r="Q54" s="586"/>
      <c r="R54" s="1829">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9"/>
      <c r="H55" s="1814"/>
      <c r="I55" s="1814"/>
      <c r="J55" s="1815"/>
      <c r="K55" s="1816"/>
      <c r="L55" s="1378">
        <v>1</v>
      </c>
      <c r="M55" s="27"/>
      <c r="N55" s="1827"/>
      <c r="O55" s="1822"/>
      <c r="P55" s="1824"/>
      <c r="Q55" s="586"/>
      <c r="R55" s="1829">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9" t="s">
        <v>383</v>
      </c>
      <c r="H56" s="1814">
        <v>1</v>
      </c>
      <c r="I56" s="1814"/>
      <c r="J56" s="1815"/>
      <c r="K56" s="1816"/>
      <c r="L56" s="1378">
        <v>1</v>
      </c>
      <c r="M56" s="27"/>
      <c r="N56" s="1827"/>
      <c r="O56" s="1822"/>
      <c r="P56" s="1824"/>
      <c r="Q56" s="586"/>
      <c r="R56" s="1829">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9"/>
      <c r="H57" s="1814">
        <v>1</v>
      </c>
      <c r="I57" s="1814"/>
      <c r="J57" s="1815"/>
      <c r="K57" s="1816"/>
      <c r="L57" s="1378"/>
      <c r="M57" s="27"/>
      <c r="N57" s="1827"/>
      <c r="O57" s="1822"/>
      <c r="P57" s="1824"/>
      <c r="Q57" s="586"/>
      <c r="R57" s="1829">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9"/>
      <c r="H58" s="1814">
        <v>1</v>
      </c>
      <c r="I58" s="1814"/>
      <c r="J58" s="1815"/>
      <c r="K58" s="1816"/>
      <c r="L58" s="1378"/>
      <c r="M58" s="27"/>
      <c r="N58" s="1827"/>
      <c r="O58" s="1822"/>
      <c r="P58" s="1824"/>
      <c r="Q58" s="586"/>
      <c r="R58" s="1829">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9"/>
      <c r="H59" s="1814"/>
      <c r="I59" s="1814">
        <v>1</v>
      </c>
      <c r="J59" s="1815"/>
      <c r="K59" s="1816"/>
      <c r="L59" s="1378">
        <v>1</v>
      </c>
      <c r="M59" s="27"/>
      <c r="N59" s="1827"/>
      <c r="O59" s="1822"/>
      <c r="P59" s="1824"/>
      <c r="Q59" s="586"/>
      <c r="R59" s="1829">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9">
        <v>1</v>
      </c>
      <c r="H60" s="1814">
        <v>1</v>
      </c>
      <c r="I60" s="1814"/>
      <c r="J60" s="1815"/>
      <c r="K60" s="1816"/>
      <c r="L60" s="1378">
        <v>1</v>
      </c>
      <c r="M60" s="27"/>
      <c r="N60" s="1827"/>
      <c r="O60" s="1822"/>
      <c r="P60" s="1824"/>
      <c r="Q60" s="586"/>
      <c r="R60" s="1829">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9" t="s">
        <v>379</v>
      </c>
      <c r="H61" s="1699" t="s">
        <v>193</v>
      </c>
      <c r="I61" s="1699" t="s">
        <v>193</v>
      </c>
      <c r="J61" s="1699" t="s">
        <v>193</v>
      </c>
      <c r="K61" s="1699" t="s">
        <v>193</v>
      </c>
      <c r="L61" s="1699" t="s">
        <v>193</v>
      </c>
      <c r="M61" s="1699" t="s">
        <v>193</v>
      </c>
      <c r="N61" s="1699" t="s">
        <v>193</v>
      </c>
      <c r="O61" s="1699" t="s">
        <v>193</v>
      </c>
      <c r="P61" s="1699" t="s">
        <v>193</v>
      </c>
      <c r="Q61" s="586"/>
      <c r="R61" s="1829"/>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9"/>
      <c r="H62" s="1814"/>
      <c r="I62" s="1814">
        <v>1</v>
      </c>
      <c r="J62" s="1815"/>
      <c r="K62" s="1816"/>
      <c r="L62" s="1378">
        <v>1</v>
      </c>
      <c r="M62" s="27"/>
      <c r="N62" s="1827"/>
      <c r="O62" s="1822"/>
      <c r="P62" s="1824"/>
      <c r="Q62" s="586"/>
      <c r="R62" s="1829">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9"/>
      <c r="H63" s="1814">
        <v>1</v>
      </c>
      <c r="I63" s="1814"/>
      <c r="J63" s="1815"/>
      <c r="K63" s="1816"/>
      <c r="L63" s="1378">
        <v>1</v>
      </c>
      <c r="M63" s="27"/>
      <c r="N63" s="1827"/>
      <c r="O63" s="1822"/>
      <c r="P63" s="1824"/>
      <c r="Q63" s="586"/>
      <c r="R63" s="1829">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9"/>
      <c r="H64" s="1814"/>
      <c r="I64" s="1814">
        <v>1</v>
      </c>
      <c r="J64" s="1815"/>
      <c r="K64" s="1816"/>
      <c r="L64" s="1378">
        <v>1</v>
      </c>
      <c r="M64" s="27"/>
      <c r="N64" s="1827"/>
      <c r="O64" s="1822"/>
      <c r="P64" s="1824"/>
      <c r="Q64" s="586"/>
      <c r="R64" s="1829">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4" t="s">
        <v>389</v>
      </c>
      <c r="H65" s="1814"/>
      <c r="I65" s="1814"/>
      <c r="J65" s="1814"/>
      <c r="K65" s="1814"/>
      <c r="L65" s="1814"/>
      <c r="M65" s="1814"/>
      <c r="N65" s="1814"/>
      <c r="O65" s="1828"/>
      <c r="P65" s="1828"/>
      <c r="Q65" s="586"/>
      <c r="R65" s="1829"/>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9"/>
      <c r="H66" s="1814">
        <v>1</v>
      </c>
      <c r="I66" s="1814"/>
      <c r="J66" s="1815"/>
      <c r="K66" s="1816"/>
      <c r="L66" s="1378">
        <v>1</v>
      </c>
      <c r="M66" s="27"/>
      <c r="N66" s="1827"/>
      <c r="O66" s="1822"/>
      <c r="P66" s="1824"/>
      <c r="Q66" s="586"/>
      <c r="R66" s="1829">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9"/>
      <c r="H67" s="1814"/>
      <c r="I67" s="1814"/>
      <c r="J67" s="1815"/>
      <c r="K67" s="1816"/>
      <c r="L67" s="1378">
        <v>1</v>
      </c>
      <c r="M67" s="27"/>
      <c r="N67" s="1827"/>
      <c r="O67" s="1822"/>
      <c r="P67" s="1824"/>
      <c r="Q67" s="586"/>
      <c r="R67" s="1829">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9" t="s">
        <v>379</v>
      </c>
      <c r="H68" s="1699" t="s">
        <v>193</v>
      </c>
      <c r="I68" s="1699" t="s">
        <v>193</v>
      </c>
      <c r="J68" s="1699" t="s">
        <v>193</v>
      </c>
      <c r="K68" s="1699" t="s">
        <v>193</v>
      </c>
      <c r="L68" s="1699" t="s">
        <v>193</v>
      </c>
      <c r="M68" s="1699" t="s">
        <v>193</v>
      </c>
      <c r="N68" s="1699" t="s">
        <v>193</v>
      </c>
      <c r="O68" s="1699" t="s">
        <v>193</v>
      </c>
      <c r="P68" s="1699" t="s">
        <v>193</v>
      </c>
      <c r="Q68" s="586" t="s">
        <v>391</v>
      </c>
      <c r="R68" s="1829"/>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9" t="s">
        <v>379</v>
      </c>
      <c r="H69" s="1699" t="s">
        <v>193</v>
      </c>
      <c r="I69" s="1699" t="s">
        <v>193</v>
      </c>
      <c r="J69" s="1699" t="s">
        <v>193</v>
      </c>
      <c r="K69" s="1699" t="s">
        <v>193</v>
      </c>
      <c r="L69" s="1699" t="s">
        <v>193</v>
      </c>
      <c r="M69" s="1699" t="s">
        <v>193</v>
      </c>
      <c r="N69" s="1699" t="s">
        <v>193</v>
      </c>
      <c r="O69" s="1699" t="s">
        <v>193</v>
      </c>
      <c r="P69" s="1699" t="s">
        <v>193</v>
      </c>
      <c r="Q69" s="586" t="s">
        <v>391</v>
      </c>
      <c r="R69" s="1829"/>
      <c r="Z69" s="25"/>
    </row>
    <row r="70" spans="1:26" s="7" customFormat="1">
      <c r="A70" s="25"/>
      <c r="B70" s="25"/>
      <c r="C70" s="25"/>
      <c r="D70" s="67"/>
      <c r="E70" s="25"/>
      <c r="F70" s="25"/>
      <c r="G70" s="6"/>
      <c r="H70" s="6"/>
      <c r="I70" s="6"/>
      <c r="J70" s="6"/>
      <c r="K70" s="6"/>
      <c r="L70" s="6"/>
      <c r="M70" s="6"/>
      <c r="N70" s="6"/>
      <c r="O70" s="521"/>
      <c r="P70" s="521"/>
      <c r="Q70" s="586"/>
      <c r="R70" s="1829"/>
      <c r="Z70" s="25"/>
    </row>
    <row r="71" spans="1:26" s="7" customFormat="1">
      <c r="A71" s="25"/>
      <c r="B71" s="25"/>
      <c r="C71" s="25"/>
      <c r="D71" s="67"/>
      <c r="E71" s="25"/>
      <c r="F71" s="25"/>
      <c r="G71" s="6"/>
      <c r="H71" s="6"/>
      <c r="I71" s="6"/>
      <c r="J71" s="6"/>
      <c r="K71" s="6"/>
      <c r="L71" s="6"/>
      <c r="M71" s="6"/>
      <c r="N71" s="6"/>
      <c r="O71" s="521"/>
      <c r="P71" s="521"/>
      <c r="Q71" s="586"/>
      <c r="R71" s="1829"/>
      <c r="Z71" s="25"/>
    </row>
    <row r="72" spans="1:26" s="7" customFormat="1">
      <c r="A72" s="25"/>
      <c r="B72" s="25"/>
      <c r="C72" s="25"/>
      <c r="D72" s="67"/>
      <c r="E72" s="25"/>
      <c r="F72" s="25"/>
      <c r="G72" s="6"/>
      <c r="H72" s="6"/>
      <c r="I72" s="6"/>
      <c r="J72" s="6"/>
      <c r="K72" s="6"/>
      <c r="L72" s="6"/>
      <c r="M72" s="6"/>
      <c r="N72" s="6"/>
      <c r="O72" s="521"/>
      <c r="P72" s="521"/>
      <c r="Q72" s="586"/>
      <c r="R72" s="1829"/>
      <c r="Z72" s="25"/>
    </row>
    <row r="73" spans="1:26" s="7" customFormat="1">
      <c r="A73" s="25"/>
      <c r="B73" s="25"/>
      <c r="C73" s="25"/>
      <c r="D73" s="67"/>
      <c r="E73" s="25"/>
      <c r="F73" s="25"/>
      <c r="G73" s="6"/>
      <c r="H73" s="6"/>
      <c r="I73" s="6"/>
      <c r="J73" s="6"/>
      <c r="K73" s="6"/>
      <c r="L73" s="6"/>
      <c r="M73" s="6"/>
      <c r="N73" s="6"/>
      <c r="O73" s="521"/>
      <c r="P73" s="521"/>
      <c r="Q73" s="586"/>
      <c r="R73" s="1829"/>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9"/>
      <c r="H74" s="1814"/>
      <c r="I74" s="1814">
        <v>1</v>
      </c>
      <c r="J74" s="1815"/>
      <c r="K74" s="1816"/>
      <c r="L74" s="1840">
        <v>1</v>
      </c>
      <c r="M74" s="27"/>
      <c r="N74" s="1827"/>
      <c r="O74" s="1822"/>
      <c r="P74" s="1824"/>
      <c r="Q74" s="586"/>
      <c r="R74" s="1829">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9"/>
      <c r="H75" s="1814"/>
      <c r="I75" s="1814"/>
      <c r="J75" s="1815">
        <v>1</v>
      </c>
      <c r="K75" s="1816"/>
      <c r="L75" s="1378"/>
      <c r="M75" s="27"/>
      <c r="N75" s="1827"/>
      <c r="O75" s="1822"/>
      <c r="P75" s="1824"/>
      <c r="Q75" s="586"/>
      <c r="R75" s="1829">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9"/>
      <c r="H76" s="1814"/>
      <c r="I76" s="1814"/>
      <c r="J76" s="1815">
        <v>1</v>
      </c>
      <c r="K76" s="1816">
        <v>1</v>
      </c>
      <c r="L76" s="1378"/>
      <c r="M76" s="27"/>
      <c r="N76" s="1827"/>
      <c r="O76" s="1822"/>
      <c r="P76" s="1824"/>
      <c r="Q76" s="586"/>
      <c r="R76" s="1829">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9"/>
      <c r="H77" s="1814"/>
      <c r="I77" s="1814"/>
      <c r="J77" s="1815"/>
      <c r="K77" s="1816">
        <v>1</v>
      </c>
      <c r="L77" s="1378"/>
      <c r="M77" s="27"/>
      <c r="N77" s="1827"/>
      <c r="O77" s="1822"/>
      <c r="P77" s="1824"/>
      <c r="Q77" s="586"/>
      <c r="R77" s="1829">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9"/>
      <c r="H78" s="1814"/>
      <c r="I78" s="1814"/>
      <c r="J78" s="1815"/>
      <c r="K78" s="1816"/>
      <c r="L78" s="1378">
        <v>1</v>
      </c>
      <c r="M78" s="27"/>
      <c r="N78" s="1827"/>
      <c r="O78" s="1822"/>
      <c r="P78" s="1824"/>
      <c r="Q78" s="586"/>
      <c r="R78" s="1829">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9"/>
      <c r="H79" s="1814"/>
      <c r="I79" s="1814"/>
      <c r="J79" s="1815"/>
      <c r="K79" s="1816"/>
      <c r="L79" s="1378">
        <v>1</v>
      </c>
      <c r="M79" s="27"/>
      <c r="N79" s="1827"/>
      <c r="O79" s="1822"/>
      <c r="P79" s="1824"/>
      <c r="Q79" s="586"/>
      <c r="R79" s="1829">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9"/>
      <c r="H80" s="1814"/>
      <c r="I80" s="1814"/>
      <c r="J80" s="1815"/>
      <c r="K80" s="1816"/>
      <c r="L80" s="1378">
        <v>1</v>
      </c>
      <c r="M80" s="27"/>
      <c r="N80" s="1827"/>
      <c r="O80" s="1822"/>
      <c r="P80" s="1824"/>
      <c r="Q80" s="586"/>
      <c r="R80" s="1829">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9"/>
      <c r="H81" s="1814"/>
      <c r="I81" s="1814"/>
      <c r="J81" s="1815"/>
      <c r="K81" s="1816"/>
      <c r="L81" s="1378">
        <v>1</v>
      </c>
      <c r="M81" s="27"/>
      <c r="N81" s="1827"/>
      <c r="O81" s="1822"/>
      <c r="P81" s="1824"/>
      <c r="Q81" s="586"/>
      <c r="R81" s="1829">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9"/>
      <c r="H82" s="1814"/>
      <c r="I82" s="1814"/>
      <c r="J82" s="1815"/>
      <c r="K82" s="1816"/>
      <c r="L82" s="1378">
        <v>1</v>
      </c>
      <c r="M82" s="27"/>
      <c r="N82" s="1827"/>
      <c r="O82" s="1822"/>
      <c r="P82" s="1824"/>
      <c r="Q82" s="586"/>
      <c r="R82" s="1829">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9"/>
      <c r="H83" s="1814"/>
      <c r="I83" s="1814"/>
      <c r="J83" s="1815"/>
      <c r="K83" s="1816"/>
      <c r="L83" s="1378">
        <v>1</v>
      </c>
      <c r="M83" s="27"/>
      <c r="N83" s="1827"/>
      <c r="O83" s="1822"/>
      <c r="P83" s="1824"/>
      <c r="Q83" s="586"/>
      <c r="R83" s="1829">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9"/>
      <c r="H84" s="1814"/>
      <c r="I84" s="1814"/>
      <c r="J84" s="1815"/>
      <c r="K84" s="1816"/>
      <c r="L84" s="1378">
        <v>1</v>
      </c>
      <c r="M84" s="27"/>
      <c r="N84" s="1827"/>
      <c r="O84" s="1822"/>
      <c r="P84" s="1824"/>
      <c r="Q84" s="586"/>
      <c r="R84" s="1829">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9"/>
      <c r="H85" s="1814"/>
      <c r="I85" s="1814"/>
      <c r="J85" s="1815"/>
      <c r="K85" s="1816"/>
      <c r="L85" s="1378">
        <v>1</v>
      </c>
      <c r="M85" s="27"/>
      <c r="N85" s="1827"/>
      <c r="O85" s="1822"/>
      <c r="P85" s="1824"/>
      <c r="Q85" s="586"/>
      <c r="R85" s="1829">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9"/>
      <c r="H86" s="1814"/>
      <c r="I86" s="1814"/>
      <c r="J86" s="1815"/>
      <c r="K86" s="1816"/>
      <c r="L86" s="1378">
        <v>1</v>
      </c>
      <c r="M86" s="27"/>
      <c r="N86" s="1827">
        <v>1</v>
      </c>
      <c r="O86" s="1822"/>
      <c r="P86" s="1824"/>
      <c r="Q86" s="586"/>
      <c r="R86" s="1829">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9"/>
      <c r="H87" s="1814"/>
      <c r="I87" s="1814"/>
      <c r="J87" s="1815"/>
      <c r="K87" s="1816"/>
      <c r="L87" s="1378">
        <v>1</v>
      </c>
      <c r="M87" s="27"/>
      <c r="N87" s="1827">
        <v>1</v>
      </c>
      <c r="O87" s="1822"/>
      <c r="P87" s="1824"/>
      <c r="Q87" s="586"/>
      <c r="R87" s="1829">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9"/>
      <c r="H88" s="1814"/>
      <c r="I88" s="1814">
        <v>1</v>
      </c>
      <c r="J88" s="1815"/>
      <c r="K88" s="1816"/>
      <c r="L88" s="1378">
        <v>1</v>
      </c>
      <c r="M88" s="27"/>
      <c r="N88" s="1827"/>
      <c r="O88" s="1822"/>
      <c r="P88" s="1824"/>
      <c r="Q88" s="586"/>
      <c r="R88" s="1829">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9"/>
      <c r="H89" s="1814"/>
      <c r="I89" s="1814"/>
      <c r="J89" s="1815"/>
      <c r="K89" s="1816">
        <v>1</v>
      </c>
      <c r="L89" s="1378"/>
      <c r="M89" s="27"/>
      <c r="N89" s="1827">
        <v>1</v>
      </c>
      <c r="O89" s="1822"/>
      <c r="P89" s="1824"/>
      <c r="Q89" s="586"/>
      <c r="R89" s="1829">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9"/>
      <c r="H90" s="1814"/>
      <c r="I90" s="1814">
        <v>1</v>
      </c>
      <c r="J90" s="1815"/>
      <c r="K90" s="1816"/>
      <c r="L90" s="1378">
        <v>1</v>
      </c>
      <c r="M90" s="27"/>
      <c r="N90" s="1827"/>
      <c r="O90" s="1822"/>
      <c r="P90" s="1824"/>
      <c r="Q90" s="586"/>
      <c r="R90" s="1829">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9"/>
      <c r="H91" s="1814">
        <v>1</v>
      </c>
      <c r="I91" s="1814"/>
      <c r="J91" s="1815"/>
      <c r="K91" s="1816">
        <v>1</v>
      </c>
      <c r="L91" s="1378">
        <v>1</v>
      </c>
      <c r="M91" s="27"/>
      <c r="N91" s="1827"/>
      <c r="O91" s="1822"/>
      <c r="P91" s="1824"/>
      <c r="Q91" s="586"/>
      <c r="R91" s="1829">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9"/>
      <c r="H92" s="1814"/>
      <c r="I92" s="1814"/>
      <c r="J92" s="1815"/>
      <c r="K92" s="1816">
        <v>1</v>
      </c>
      <c r="L92" s="1378">
        <v>1</v>
      </c>
      <c r="M92" s="27"/>
      <c r="N92" s="1827"/>
      <c r="O92" s="1822"/>
      <c r="P92" s="1824"/>
      <c r="Q92" s="586"/>
      <c r="R92" s="1829">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9"/>
      <c r="H93" s="1814"/>
      <c r="I93" s="1814">
        <v>1</v>
      </c>
      <c r="J93" s="1815"/>
      <c r="K93" s="1816"/>
      <c r="L93" s="1378"/>
      <c r="M93" s="27"/>
      <c r="N93" s="1827"/>
      <c r="O93" s="1822"/>
      <c r="P93" s="1824"/>
      <c r="Q93" s="586"/>
      <c r="R93" s="1829">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9"/>
      <c r="H94" s="1814"/>
      <c r="I94" s="1814">
        <v>1</v>
      </c>
      <c r="J94" s="1815">
        <v>1</v>
      </c>
      <c r="K94" s="1816"/>
      <c r="L94" s="1378">
        <v>1</v>
      </c>
      <c r="M94" s="27"/>
      <c r="N94" s="1827"/>
      <c r="O94" s="1822"/>
      <c r="P94" s="1824"/>
      <c r="Q94" s="586"/>
      <c r="R94" s="1829">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9"/>
      <c r="H95" s="1814"/>
      <c r="I95" s="1814"/>
      <c r="J95" s="1815"/>
      <c r="K95" s="1816"/>
      <c r="L95" s="1378"/>
      <c r="M95" s="27"/>
      <c r="N95" s="1827">
        <v>1</v>
      </c>
      <c r="O95" s="1822"/>
      <c r="P95" s="1824"/>
      <c r="Q95" s="586"/>
      <c r="R95" s="1829">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9"/>
      <c r="H96" s="1814"/>
      <c r="I96" s="1814"/>
      <c r="J96" s="1815"/>
      <c r="K96" s="1816"/>
      <c r="L96" s="1378"/>
      <c r="M96" s="27"/>
      <c r="N96" s="1827">
        <v>1</v>
      </c>
      <c r="O96" s="1822"/>
      <c r="P96" s="1824"/>
      <c r="Q96" s="586"/>
      <c r="R96" s="1829">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9"/>
      <c r="H97" s="1814"/>
      <c r="I97" s="1814"/>
      <c r="J97" s="1815"/>
      <c r="K97" s="1816"/>
      <c r="L97" s="1378"/>
      <c r="M97" s="27"/>
      <c r="N97" s="1827">
        <v>1</v>
      </c>
      <c r="O97" s="1822"/>
      <c r="P97" s="1824"/>
      <c r="Q97" s="586"/>
      <c r="R97" s="1829">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9"/>
      <c r="H98" s="1814"/>
      <c r="I98" s="1814"/>
      <c r="J98" s="1815"/>
      <c r="K98" s="1816">
        <v>1</v>
      </c>
      <c r="L98" s="1378">
        <v>1</v>
      </c>
      <c r="M98" s="27"/>
      <c r="N98" s="1827"/>
      <c r="O98" s="1822"/>
      <c r="P98" s="1824"/>
      <c r="Q98" s="586"/>
      <c r="R98" s="1829">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9"/>
      <c r="H99" s="1814"/>
      <c r="I99" s="1814"/>
      <c r="J99" s="1815"/>
      <c r="K99" s="1816">
        <v>1</v>
      </c>
      <c r="L99" s="1378">
        <v>1</v>
      </c>
      <c r="M99" s="27"/>
      <c r="N99" s="1827"/>
      <c r="O99" s="1822"/>
      <c r="P99" s="1824"/>
      <c r="Q99" s="586"/>
      <c r="R99" s="1829">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9"/>
      <c r="H100" s="1814"/>
      <c r="I100" s="1814"/>
      <c r="J100" s="1815"/>
      <c r="K100" s="1816">
        <v>1</v>
      </c>
      <c r="L100" s="1378">
        <v>1</v>
      </c>
      <c r="M100" s="27"/>
      <c r="N100" s="1827"/>
      <c r="O100" s="1822"/>
      <c r="P100" s="1824"/>
      <c r="Q100" s="586"/>
      <c r="R100" s="1829">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9"/>
      <c r="H101" s="1814">
        <v>1</v>
      </c>
      <c r="I101" s="1814"/>
      <c r="J101" s="1815"/>
      <c r="K101" s="1816"/>
      <c r="L101" s="1378">
        <v>1</v>
      </c>
      <c r="M101" s="27"/>
      <c r="N101" s="1827"/>
      <c r="O101" s="1822"/>
      <c r="P101" s="1824"/>
      <c r="Q101" s="586"/>
      <c r="R101" s="1829">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9"/>
      <c r="H102" s="1814"/>
      <c r="I102" s="1814"/>
      <c r="J102" s="1815"/>
      <c r="K102" s="1816"/>
      <c r="L102" s="1378">
        <v>1</v>
      </c>
      <c r="M102" s="27"/>
      <c r="N102" s="1827"/>
      <c r="O102" s="1822"/>
      <c r="P102" s="1824"/>
      <c r="Q102" s="586"/>
      <c r="R102" s="1829">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9"/>
      <c r="H103" s="1814"/>
      <c r="I103" s="1814"/>
      <c r="J103" s="1815"/>
      <c r="K103" s="1816"/>
      <c r="L103" s="1378">
        <v>1</v>
      </c>
      <c r="M103" s="27"/>
      <c r="N103" s="1827"/>
      <c r="O103" s="1822"/>
      <c r="P103" s="1824"/>
      <c r="Q103" s="586"/>
      <c r="R103" s="1829">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9"/>
      <c r="H104" s="1814"/>
      <c r="I104" s="1814"/>
      <c r="J104" s="1815"/>
      <c r="K104" s="1816">
        <v>1</v>
      </c>
      <c r="L104" s="1378">
        <v>1</v>
      </c>
      <c r="M104" s="27"/>
      <c r="N104" s="1827"/>
      <c r="O104" s="1822"/>
      <c r="P104" s="1824"/>
      <c r="Q104" s="586"/>
      <c r="R104" s="1829">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9">
        <v>1</v>
      </c>
      <c r="H105" s="1814"/>
      <c r="I105" s="1814"/>
      <c r="J105" s="1815"/>
      <c r="K105" s="1816"/>
      <c r="L105" s="1378"/>
      <c r="M105" s="27"/>
      <c r="N105" s="1827"/>
      <c r="O105" s="1822"/>
      <c r="P105" s="1824"/>
      <c r="Q105" s="586"/>
      <c r="R105" s="1829">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9"/>
      <c r="H106" s="1814"/>
      <c r="I106" s="1814"/>
      <c r="J106" s="1815"/>
      <c r="K106" s="1816"/>
      <c r="L106" s="1378">
        <v>1</v>
      </c>
      <c r="M106" s="27"/>
      <c r="N106" s="1827"/>
      <c r="O106" s="1822"/>
      <c r="P106" s="1824"/>
      <c r="Q106" s="586"/>
      <c r="R106" s="1829">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9"/>
      <c r="H107" s="1814"/>
      <c r="I107" s="1814"/>
      <c r="J107" s="1815"/>
      <c r="K107" s="1816">
        <v>1</v>
      </c>
      <c r="L107" s="1378"/>
      <c r="M107" s="27"/>
      <c r="N107" s="1827"/>
      <c r="O107" s="1822"/>
      <c r="P107" s="1824"/>
      <c r="Q107" s="586"/>
      <c r="R107" s="1829">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9"/>
      <c r="H108" s="1814"/>
      <c r="I108" s="1814"/>
      <c r="J108" s="1815"/>
      <c r="K108" s="1816">
        <v>1</v>
      </c>
      <c r="L108" s="1378"/>
      <c r="M108" s="27"/>
      <c r="N108" s="1827"/>
      <c r="O108" s="1822"/>
      <c r="P108" s="1824"/>
      <c r="Q108" s="586"/>
      <c r="R108" s="1829">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9"/>
      <c r="H109" s="1814"/>
      <c r="I109" s="1814"/>
      <c r="J109" s="1815"/>
      <c r="K109" s="1816"/>
      <c r="L109" s="1378">
        <v>1</v>
      </c>
      <c r="M109" s="27"/>
      <c r="N109" s="1827"/>
      <c r="O109" s="1822"/>
      <c r="P109" s="1824"/>
      <c r="Q109" s="586"/>
      <c r="R109" s="1829">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9"/>
      <c r="H110" s="1814"/>
      <c r="I110" s="1814"/>
      <c r="J110" s="1815"/>
      <c r="K110" s="1816"/>
      <c r="L110" s="1378">
        <v>1</v>
      </c>
      <c r="M110" s="27"/>
      <c r="N110" s="1827"/>
      <c r="O110" s="1822"/>
      <c r="P110" s="1824"/>
      <c r="Q110" s="586"/>
      <c r="R110" s="1829">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42"/>
      <c r="H111" s="1814"/>
      <c r="I111" s="1814"/>
      <c r="J111" s="1815"/>
      <c r="K111" s="1816"/>
      <c r="L111" s="1378"/>
      <c r="M111" s="27"/>
      <c r="N111" s="1827">
        <v>1</v>
      </c>
      <c r="O111" s="1822"/>
      <c r="P111" s="1824"/>
      <c r="Q111" s="586"/>
      <c r="R111" s="1829">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9"/>
      <c r="H112" s="1814"/>
      <c r="I112" s="1814"/>
      <c r="J112" s="1815"/>
      <c r="K112" s="1816"/>
      <c r="L112" s="1378"/>
      <c r="M112" s="27"/>
      <c r="N112" s="1827">
        <v>1</v>
      </c>
      <c r="O112" s="1822"/>
      <c r="P112" s="1824"/>
      <c r="Q112" s="586"/>
      <c r="R112" s="1829">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9"/>
      <c r="H113" s="1814">
        <v>1</v>
      </c>
      <c r="I113" s="1814"/>
      <c r="J113" s="1815">
        <v>1</v>
      </c>
      <c r="K113" s="1816"/>
      <c r="L113" s="1378"/>
      <c r="M113" s="27"/>
      <c r="N113" s="1827"/>
      <c r="O113" s="1822"/>
      <c r="P113" s="1824"/>
      <c r="Q113" s="586"/>
      <c r="R113" s="1829">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9"/>
      <c r="H114" s="1843"/>
      <c r="I114" s="1814"/>
      <c r="J114" s="1815"/>
      <c r="K114" s="1816"/>
      <c r="L114" s="1839"/>
      <c r="M114" s="1844"/>
      <c r="N114" s="1827"/>
      <c r="O114" s="1822"/>
      <c r="P114" s="1824"/>
      <c r="Q114" s="586"/>
      <c r="R114" s="1829">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9"/>
      <c r="H115" s="1814">
        <v>1</v>
      </c>
      <c r="I115" s="1814"/>
      <c r="J115" s="1815"/>
      <c r="K115" s="1816"/>
      <c r="L115" s="1378"/>
      <c r="M115" s="27"/>
      <c r="N115" s="1827"/>
      <c r="O115" s="1822"/>
      <c r="P115" s="1824"/>
      <c r="Q115" s="586"/>
      <c r="R115" s="1829">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9"/>
      <c r="H116" s="1814"/>
      <c r="I116" s="1814"/>
      <c r="J116" s="1845"/>
      <c r="K116" s="1816">
        <v>1</v>
      </c>
      <c r="L116" s="1378"/>
      <c r="M116" s="27"/>
      <c r="N116" s="1827"/>
      <c r="O116" s="1822"/>
      <c r="P116" s="1824"/>
      <c r="Q116" s="586"/>
      <c r="R116" s="1829">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5"/>
      <c r="P117" s="1835"/>
      <c r="Q117" s="586"/>
      <c r="R117" s="1829"/>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9">
        <v>1</v>
      </c>
      <c r="H118" s="1814"/>
      <c r="I118" s="1814"/>
      <c r="J118" s="1815"/>
      <c r="K118" s="1816"/>
      <c r="L118" s="1378"/>
      <c r="M118" s="27"/>
      <c r="N118" s="1827"/>
      <c r="O118" s="1822"/>
      <c r="P118" s="1824"/>
      <c r="Q118" s="586"/>
      <c r="R118" s="1829">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4"/>
      <c r="H119" s="1814"/>
      <c r="I119" s="1814"/>
      <c r="J119" s="1814"/>
      <c r="K119" s="1814"/>
      <c r="L119" s="1814"/>
      <c r="M119" s="1814"/>
      <c r="N119" s="1814"/>
      <c r="O119" s="1828"/>
      <c r="P119" s="1828"/>
      <c r="Q119" s="586"/>
      <c r="R119" s="1829"/>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9">
        <v>1</v>
      </c>
      <c r="H120" s="1814"/>
      <c r="I120" s="1814"/>
      <c r="J120" s="1815"/>
      <c r="K120" s="1816">
        <v>1</v>
      </c>
      <c r="L120" s="1378"/>
      <c r="M120" s="27"/>
      <c r="N120" s="1827"/>
      <c r="O120" s="1822"/>
      <c r="P120" s="1824"/>
      <c r="Q120" s="586"/>
      <c r="R120" s="1829">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9">
        <v>1</v>
      </c>
      <c r="H121" s="1814"/>
      <c r="I121" s="1814"/>
      <c r="J121" s="1815"/>
      <c r="K121" s="1816"/>
      <c r="L121" s="1378"/>
      <c r="M121" s="27"/>
      <c r="N121" s="1827"/>
      <c r="O121" s="1822"/>
      <c r="P121" s="1824"/>
      <c r="Q121" s="586"/>
      <c r="R121" s="1829">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9"/>
      <c r="H122" s="1814"/>
      <c r="I122" s="1814"/>
      <c r="J122" s="1815"/>
      <c r="K122" s="1816"/>
      <c r="L122" s="1378">
        <v>1</v>
      </c>
      <c r="M122" s="27"/>
      <c r="N122" s="1827"/>
      <c r="O122" s="1822"/>
      <c r="P122" s="1824"/>
      <c r="Q122" s="586"/>
      <c r="R122" s="1829">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9"/>
      <c r="H123" s="1814"/>
      <c r="I123" s="1814">
        <v>1</v>
      </c>
      <c r="J123" s="1815"/>
      <c r="K123" s="1816"/>
      <c r="L123" s="1378">
        <v>1</v>
      </c>
      <c r="M123" s="27"/>
      <c r="N123" s="1827"/>
      <c r="O123" s="1822"/>
      <c r="P123" s="1824"/>
      <c r="Q123" s="586"/>
      <c r="R123" s="1829">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9"/>
      <c r="H124" s="1814"/>
      <c r="I124" s="1814"/>
      <c r="J124" s="1815"/>
      <c r="K124" s="1816">
        <v>1</v>
      </c>
      <c r="L124" s="1378">
        <v>1</v>
      </c>
      <c r="M124" s="27"/>
      <c r="N124" s="1827"/>
      <c r="O124" s="1822"/>
      <c r="P124" s="1824"/>
      <c r="Q124" s="586"/>
      <c r="R124" s="1829">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9"/>
      <c r="H125" s="1814"/>
      <c r="I125" s="1814"/>
      <c r="J125" s="1815"/>
      <c r="K125" s="1816"/>
      <c r="L125" s="1378">
        <v>1</v>
      </c>
      <c r="M125" s="27"/>
      <c r="N125" s="1827"/>
      <c r="O125" s="1822"/>
      <c r="P125" s="1824"/>
      <c r="Q125" s="586"/>
      <c r="R125" s="1829">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9"/>
      <c r="H126" s="1814">
        <v>1</v>
      </c>
      <c r="I126" s="1814"/>
      <c r="J126" s="1815"/>
      <c r="K126" s="1816">
        <v>1</v>
      </c>
      <c r="L126" s="1378"/>
      <c r="M126" s="27"/>
      <c r="N126" s="1827"/>
      <c r="O126" s="1822"/>
      <c r="P126" s="1824"/>
      <c r="Q126" s="586"/>
      <c r="R126" s="1829"/>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9"/>
      <c r="H127" s="1814"/>
      <c r="I127" s="1814"/>
      <c r="J127" s="1815"/>
      <c r="K127" s="1841"/>
      <c r="L127" s="1378"/>
      <c r="M127" s="27"/>
      <c r="N127" s="1827"/>
      <c r="O127" s="1822"/>
      <c r="P127" s="1824"/>
      <c r="Q127" s="586"/>
      <c r="R127" s="1829">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4"/>
      <c r="H128" s="1814"/>
      <c r="I128" s="1814"/>
      <c r="J128" s="1814"/>
      <c r="K128" s="1814"/>
      <c r="L128" s="1814"/>
      <c r="M128" s="1814"/>
      <c r="N128" s="1814"/>
      <c r="O128" s="1828"/>
      <c r="P128" s="1828"/>
      <c r="Q128" s="586"/>
      <c r="R128" s="1829">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9"/>
      <c r="H129" s="1814"/>
      <c r="I129" s="1814"/>
      <c r="J129" s="1815"/>
      <c r="K129" s="1816"/>
      <c r="L129" s="1378">
        <v>1</v>
      </c>
      <c r="M129" s="27"/>
      <c r="N129" s="1827"/>
      <c r="O129" s="1822"/>
      <c r="P129" s="1824"/>
      <c r="Q129" s="586"/>
      <c r="R129" s="1829">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9"/>
      <c r="H130" s="1814"/>
      <c r="I130" s="1814"/>
      <c r="J130" s="1815"/>
      <c r="K130" s="1816">
        <v>1</v>
      </c>
      <c r="L130" s="1378"/>
      <c r="M130" s="27"/>
      <c r="N130" s="1827"/>
      <c r="O130" s="1822"/>
      <c r="P130" s="1824"/>
      <c r="Q130" s="586"/>
      <c r="R130" s="1829">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9"/>
      <c r="H131" s="1814"/>
      <c r="I131" s="1814"/>
      <c r="J131" s="1815"/>
      <c r="K131" s="1816"/>
      <c r="L131" s="1378"/>
      <c r="M131" s="27"/>
      <c r="N131" s="1827">
        <v>1</v>
      </c>
      <c r="O131" s="1822"/>
      <c r="P131" s="1824"/>
      <c r="Q131" s="586"/>
      <c r="R131" s="1829">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9"/>
      <c r="H132" s="1814"/>
      <c r="I132" s="1814"/>
      <c r="J132" s="1815"/>
      <c r="K132" s="1841">
        <v>0</v>
      </c>
      <c r="L132" s="1378"/>
      <c r="M132" s="27"/>
      <c r="N132" s="1827"/>
      <c r="O132" s="1822"/>
      <c r="P132" s="1824"/>
      <c r="Q132" s="586"/>
      <c r="R132" s="1829">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9"/>
      <c r="H133" s="1814">
        <v>1</v>
      </c>
      <c r="I133" s="1814"/>
      <c r="J133" s="1815"/>
      <c r="K133" s="1816"/>
      <c r="L133" s="1378">
        <v>1</v>
      </c>
      <c r="M133" s="27"/>
      <c r="N133" s="1827"/>
      <c r="O133" s="1822"/>
      <c r="P133" s="1824"/>
      <c r="Q133" s="586"/>
      <c r="R133" s="1829">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9"/>
      <c r="H134" s="1814"/>
      <c r="I134" s="1814"/>
      <c r="J134" s="1815"/>
      <c r="K134" s="1816"/>
      <c r="L134" s="1378">
        <v>1</v>
      </c>
      <c r="M134" s="27"/>
      <c r="N134" s="1827"/>
      <c r="O134" s="1822"/>
      <c r="P134" s="1824"/>
      <c r="Q134" s="586"/>
      <c r="R134" s="1829">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9"/>
      <c r="H135" s="1814"/>
      <c r="I135" s="1814"/>
      <c r="J135" s="1815"/>
      <c r="K135" s="1816"/>
      <c r="L135" s="1378">
        <v>1</v>
      </c>
      <c r="M135" s="27"/>
      <c r="N135" s="1827"/>
      <c r="O135" s="1822"/>
      <c r="P135" s="1824"/>
      <c r="Q135" s="586"/>
      <c r="R135" s="1829">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9"/>
      <c r="H136" s="1814"/>
      <c r="I136" s="1814">
        <v>1</v>
      </c>
      <c r="J136" s="1815"/>
      <c r="K136" s="1816"/>
      <c r="L136" s="1378">
        <v>1</v>
      </c>
      <c r="M136" s="27"/>
      <c r="N136" s="1827"/>
      <c r="O136" s="1822"/>
      <c r="P136" s="1824"/>
      <c r="Q136" s="586"/>
      <c r="R136" s="1829">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9"/>
      <c r="H137" s="1814"/>
      <c r="I137" s="1814"/>
      <c r="J137" s="1815"/>
      <c r="K137" s="1816"/>
      <c r="L137" s="1378">
        <v>1</v>
      </c>
      <c r="M137" s="27"/>
      <c r="N137" s="1827"/>
      <c r="O137" s="1822"/>
      <c r="P137" s="1824"/>
      <c r="Q137" s="586"/>
      <c r="R137" s="1829">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9"/>
      <c r="H138" s="1814"/>
      <c r="I138" s="1814">
        <v>1</v>
      </c>
      <c r="J138" s="1815"/>
      <c r="K138" s="1816"/>
      <c r="L138" s="1378">
        <v>1</v>
      </c>
      <c r="M138" s="27"/>
      <c r="N138" s="1827"/>
      <c r="O138" s="1822"/>
      <c r="P138" s="1824"/>
      <c r="Q138" s="586"/>
      <c r="R138" s="1829">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9"/>
      <c r="H139" s="1814">
        <v>1</v>
      </c>
      <c r="I139" s="1814"/>
      <c r="J139" s="1815"/>
      <c r="K139" s="1816"/>
      <c r="L139" s="1378">
        <v>1</v>
      </c>
      <c r="M139" s="27"/>
      <c r="N139" s="1827"/>
      <c r="O139" s="1822"/>
      <c r="P139" s="1824"/>
      <c r="Q139" s="586"/>
      <c r="R139" s="1829">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9"/>
      <c r="H140" s="1814"/>
      <c r="I140" s="1814"/>
      <c r="J140" s="1815"/>
      <c r="K140" s="1816">
        <v>1</v>
      </c>
      <c r="L140" s="1378">
        <v>1</v>
      </c>
      <c r="M140" s="27"/>
      <c r="N140" s="1827"/>
      <c r="O140" s="1822"/>
      <c r="P140" s="1824"/>
      <c r="Q140" s="586"/>
      <c r="R140" s="1829">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9"/>
      <c r="H141" s="1814"/>
      <c r="I141" s="1814"/>
      <c r="J141" s="1815"/>
      <c r="K141" s="1841"/>
      <c r="L141" s="1378"/>
      <c r="M141" s="27"/>
      <c r="N141" s="1827"/>
      <c r="O141" s="1822"/>
      <c r="P141" s="1824"/>
      <c r="Q141" s="586"/>
      <c r="R141" s="1829">
        <f t="shared" si="5"/>
        <v>0</v>
      </c>
      <c r="X141" s="25" t="s">
        <v>412</v>
      </c>
      <c r="Z141" s="25" t="s">
        <v>409</v>
      </c>
    </row>
    <row r="142" spans="1:26" s="7" customFormat="1">
      <c r="A142" s="25"/>
      <c r="B142" s="25"/>
      <c r="C142" s="25"/>
      <c r="D142" s="67"/>
      <c r="E142" s="25"/>
      <c r="F142" s="25"/>
      <c r="G142" s="6"/>
      <c r="H142" s="6"/>
      <c r="I142" s="6"/>
      <c r="J142" s="6"/>
      <c r="K142" s="1849"/>
      <c r="L142" s="6"/>
      <c r="M142" s="6"/>
      <c r="N142" s="6"/>
      <c r="O142" s="521"/>
      <c r="P142" s="521"/>
      <c r="Q142" s="586"/>
      <c r="R142" s="1829"/>
      <c r="X142" s="25"/>
      <c r="Z142" s="25"/>
    </row>
    <row r="143" spans="1:26" s="7" customFormat="1">
      <c r="A143" s="25"/>
      <c r="B143" s="25"/>
      <c r="C143" s="25"/>
      <c r="D143" s="67"/>
      <c r="E143" s="25"/>
      <c r="F143" s="25"/>
      <c r="G143" s="6"/>
      <c r="H143" s="6"/>
      <c r="I143" s="6"/>
      <c r="J143" s="6"/>
      <c r="K143" s="1849"/>
      <c r="L143" s="6"/>
      <c r="M143" s="6"/>
      <c r="N143" s="6"/>
      <c r="O143" s="521"/>
      <c r="P143" s="521"/>
      <c r="Q143" s="586"/>
      <c r="R143" s="1829"/>
      <c r="X143" s="25"/>
      <c r="Z143" s="25"/>
    </row>
    <row r="144" spans="1:26" s="7" customFormat="1">
      <c r="A144" s="25"/>
      <c r="B144" s="25"/>
      <c r="C144" s="25"/>
      <c r="D144" s="67"/>
      <c r="E144" s="25"/>
      <c r="F144" s="25"/>
      <c r="G144" s="6"/>
      <c r="H144" s="6"/>
      <c r="I144" s="6"/>
      <c r="J144" s="6"/>
      <c r="K144" s="6"/>
      <c r="L144" s="6"/>
      <c r="M144" s="6"/>
      <c r="N144" s="6"/>
      <c r="O144" s="521"/>
      <c r="P144" s="521"/>
      <c r="Q144" s="586"/>
      <c r="R144" s="1829"/>
      <c r="Z144" s="25"/>
    </row>
    <row r="145" spans="1:26" s="7" customFormat="1">
      <c r="A145" s="25"/>
      <c r="B145" s="25"/>
      <c r="C145" s="25"/>
      <c r="D145" s="67"/>
      <c r="E145" s="25"/>
      <c r="F145" s="25"/>
      <c r="G145" s="6"/>
      <c r="H145" s="6"/>
      <c r="I145" s="6"/>
      <c r="J145" s="6"/>
      <c r="K145" s="6"/>
      <c r="L145" s="6"/>
      <c r="M145" s="6"/>
      <c r="N145" s="6"/>
      <c r="O145" s="521"/>
      <c r="P145" s="521"/>
      <c r="Q145" s="586"/>
      <c r="R145" s="1829"/>
      <c r="Z145" s="25"/>
    </row>
    <row r="146" spans="1:26" s="7" customFormat="1">
      <c r="A146" s="25"/>
      <c r="B146" s="25"/>
      <c r="C146" s="25"/>
      <c r="D146" s="67"/>
      <c r="E146" s="25"/>
      <c r="F146" s="25"/>
      <c r="G146" s="6"/>
      <c r="H146" s="6"/>
      <c r="I146" s="6"/>
      <c r="J146" s="6"/>
      <c r="K146" s="6"/>
      <c r="L146" s="6"/>
      <c r="M146" s="6"/>
      <c r="N146" s="6"/>
      <c r="O146" s="521"/>
      <c r="P146" s="521"/>
      <c r="Q146" s="586"/>
      <c r="R146" s="1829"/>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9"/>
      <c r="H147" s="1814"/>
      <c r="I147" s="1814"/>
      <c r="J147" s="1815">
        <v>1</v>
      </c>
      <c r="K147" s="1816"/>
      <c r="L147" s="1378"/>
      <c r="M147" s="27"/>
      <c r="N147" s="1827"/>
      <c r="O147" s="1822"/>
      <c r="P147" s="1824"/>
      <c r="Q147" s="586"/>
      <c r="R147" s="1829">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9"/>
      <c r="H148" s="1814"/>
      <c r="I148" s="1814"/>
      <c r="J148" s="1815">
        <v>1</v>
      </c>
      <c r="K148" s="1816"/>
      <c r="L148" s="1378"/>
      <c r="M148" s="27"/>
      <c r="N148" s="1827"/>
      <c r="O148" s="1822"/>
      <c r="P148" s="1824"/>
      <c r="Q148" s="586"/>
      <c r="R148" s="1829">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9"/>
      <c r="H149" s="1814"/>
      <c r="I149" s="1814"/>
      <c r="J149" s="1815">
        <v>1</v>
      </c>
      <c r="K149" s="1816"/>
      <c r="L149" s="1378"/>
      <c r="M149" s="27"/>
      <c r="N149" s="1827"/>
      <c r="O149" s="1822"/>
      <c r="P149" s="1824"/>
      <c r="Q149" s="586"/>
      <c r="R149" s="1829">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9"/>
      <c r="H150" s="1814"/>
      <c r="I150" s="1814"/>
      <c r="J150" s="1815"/>
      <c r="K150" s="1816"/>
      <c r="L150" s="1378">
        <v>1</v>
      </c>
      <c r="M150" s="27"/>
      <c r="N150" s="1827"/>
      <c r="O150" s="1822"/>
      <c r="P150" s="1824"/>
      <c r="Q150" s="586"/>
      <c r="R150" s="1829">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9"/>
      <c r="H151" s="1814"/>
      <c r="I151" s="1814"/>
      <c r="J151" s="1815"/>
      <c r="K151" s="1816"/>
      <c r="L151" s="1378">
        <v>1</v>
      </c>
      <c r="M151" s="27"/>
      <c r="N151" s="1827"/>
      <c r="O151" s="1822"/>
      <c r="P151" s="1824"/>
      <c r="Q151" s="586"/>
      <c r="R151" s="1829">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9"/>
      <c r="H152" s="1814"/>
      <c r="I152" s="1814"/>
      <c r="J152" s="1815"/>
      <c r="K152" s="1816"/>
      <c r="L152" s="1378"/>
      <c r="M152" s="27">
        <v>1</v>
      </c>
      <c r="N152" s="1827"/>
      <c r="O152" s="1822"/>
      <c r="P152" s="1824"/>
      <c r="Q152" s="586"/>
      <c r="R152" s="1829">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9"/>
      <c r="H153" s="1814"/>
      <c r="I153" s="1814"/>
      <c r="J153" s="1815"/>
      <c r="K153" s="1816"/>
      <c r="L153" s="1378"/>
      <c r="M153" s="27">
        <v>1</v>
      </c>
      <c r="N153" s="1827"/>
      <c r="O153" s="1822"/>
      <c r="P153" s="1824"/>
      <c r="Q153" s="586"/>
      <c r="R153" s="1829">
        <f t="shared" si="6"/>
        <v>1</v>
      </c>
      <c r="Z153" s="25"/>
    </row>
    <row r="154" spans="1:26" s="7" customFormat="1">
      <c r="A154" s="25" t="str">
        <f>BIBLE!E158</f>
        <v>E04a1</v>
      </c>
      <c r="B154" s="25" t="str">
        <f>BIBLE!F158</f>
        <v>Votre enfant calque les désirs et les paroles de l’autre parent.</v>
      </c>
      <c r="C154" s="25"/>
      <c r="D154" s="67">
        <v>1</v>
      </c>
      <c r="E154" s="25"/>
      <c r="F154" s="25"/>
      <c r="G154" s="1699"/>
      <c r="H154" s="1814"/>
      <c r="I154" s="1814"/>
      <c r="J154" s="1815"/>
      <c r="K154" s="1816"/>
      <c r="L154" s="1378"/>
      <c r="M154" s="27">
        <v>1</v>
      </c>
      <c r="N154" s="1827"/>
      <c r="O154" s="1822"/>
      <c r="P154" s="1824"/>
      <c r="Q154" s="586"/>
      <c r="R154" s="1829">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9"/>
      <c r="H155" s="1814"/>
      <c r="I155" s="1814"/>
      <c r="J155" s="1815"/>
      <c r="K155" s="1816"/>
      <c r="L155" s="1378"/>
      <c r="M155" s="27">
        <v>1</v>
      </c>
      <c r="N155" s="1827"/>
      <c r="O155" s="1822"/>
      <c r="P155" s="1824"/>
      <c r="Q155" s="586"/>
      <c r="R155" s="1829">
        <f t="shared" si="6"/>
        <v>1</v>
      </c>
      <c r="Z155" s="25"/>
    </row>
    <row r="156" spans="1:26" s="7" customFormat="1">
      <c r="A156" s="25" t="str">
        <f>BIBLE!E160</f>
        <v>E05a</v>
      </c>
      <c r="B156" s="25" t="str">
        <f>BIBLE!F160</f>
        <v>Dans quels contextes ou à quelles occasions cela se produit-il ?</v>
      </c>
      <c r="C156" s="25"/>
      <c r="D156" s="67" t="s">
        <v>345</v>
      </c>
      <c r="E156" s="25"/>
      <c r="F156" s="25"/>
      <c r="G156" s="1699"/>
      <c r="H156" s="1699"/>
      <c r="I156" s="1699"/>
      <c r="J156" s="1699"/>
      <c r="K156" s="1699"/>
      <c r="L156" s="1699"/>
      <c r="M156" s="1699"/>
      <c r="N156" s="1699"/>
      <c r="O156" s="1699"/>
      <c r="P156" s="1699"/>
      <c r="Q156" s="586"/>
      <c r="R156" s="1829"/>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9"/>
      <c r="H157" s="1814"/>
      <c r="I157" s="1814"/>
      <c r="J157" s="1815"/>
      <c r="K157" s="1816"/>
      <c r="L157" s="1378">
        <v>1</v>
      </c>
      <c r="M157" s="27"/>
      <c r="N157" s="1827"/>
      <c r="O157" s="1822"/>
      <c r="P157" s="1824"/>
      <c r="Q157" s="586"/>
      <c r="R157" s="1829">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9"/>
      <c r="H158" s="1814"/>
      <c r="I158" s="1814"/>
      <c r="J158" s="1815"/>
      <c r="K158" s="1816"/>
      <c r="L158" s="1378">
        <v>1</v>
      </c>
      <c r="M158" s="27"/>
      <c r="N158" s="1827"/>
      <c r="O158" s="1822"/>
      <c r="P158" s="1824"/>
      <c r="Q158" s="586"/>
      <c r="R158" s="1829">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9"/>
      <c r="H159" s="1814"/>
      <c r="I159" s="1814"/>
      <c r="J159" s="1815"/>
      <c r="K159" s="1816"/>
      <c r="L159" s="1378">
        <v>1</v>
      </c>
      <c r="M159" s="27"/>
      <c r="N159" s="1827"/>
      <c r="O159" s="1822"/>
      <c r="P159" s="1824"/>
      <c r="Q159" s="586"/>
      <c r="R159" s="1829">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9"/>
      <c r="H160" s="1814"/>
      <c r="I160" s="1814"/>
      <c r="J160" s="1815"/>
      <c r="K160" s="1816"/>
      <c r="L160" s="1378">
        <v>1</v>
      </c>
      <c r="M160" s="27"/>
      <c r="N160" s="1827"/>
      <c r="O160" s="1822"/>
      <c r="P160" s="1824"/>
      <c r="Q160" s="586"/>
      <c r="R160" s="1829">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9"/>
      <c r="H161" s="1814"/>
      <c r="I161" s="1814"/>
      <c r="J161" s="1815"/>
      <c r="K161" s="1816"/>
      <c r="L161" s="1378">
        <v>1</v>
      </c>
      <c r="M161" s="27"/>
      <c r="N161" s="1827"/>
      <c r="O161" s="1822"/>
      <c r="P161" s="1824"/>
      <c r="Q161" s="586"/>
      <c r="R161" s="1829">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9"/>
      <c r="H162" s="1814"/>
      <c r="I162" s="1814"/>
      <c r="J162" s="1815"/>
      <c r="K162" s="1816"/>
      <c r="L162" s="1378"/>
      <c r="M162" s="27">
        <v>1</v>
      </c>
      <c r="N162" s="1827"/>
      <c r="O162" s="1822"/>
      <c r="P162" s="1824"/>
      <c r="Q162" s="586"/>
      <c r="R162" s="1829">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9"/>
      <c r="H163" s="1814"/>
      <c r="I163" s="1814"/>
      <c r="J163" s="1815"/>
      <c r="K163" s="1816"/>
      <c r="L163" s="1378">
        <v>1</v>
      </c>
      <c r="M163" s="27"/>
      <c r="N163" s="1827"/>
      <c r="O163" s="1822"/>
      <c r="P163" s="1824"/>
      <c r="Q163" s="586"/>
      <c r="R163" s="1829">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9"/>
      <c r="H164" s="1814"/>
      <c r="I164" s="1814"/>
      <c r="J164" s="1815"/>
      <c r="K164" s="1816"/>
      <c r="L164" s="1378">
        <v>1</v>
      </c>
      <c r="M164" s="27"/>
      <c r="N164" s="1827"/>
      <c r="O164" s="1822"/>
      <c r="P164" s="1824"/>
      <c r="Q164" s="586"/>
      <c r="R164" s="1829">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9"/>
      <c r="H165" s="1814"/>
      <c r="I165" s="1814"/>
      <c r="J165" s="1815"/>
      <c r="K165" s="1816"/>
      <c r="L165" s="1378">
        <v>1</v>
      </c>
      <c r="M165" s="27"/>
      <c r="N165" s="1827"/>
      <c r="O165" s="1822"/>
      <c r="P165" s="1824"/>
      <c r="Q165" s="586"/>
      <c r="R165" s="1829">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9"/>
      <c r="H166" s="1814"/>
      <c r="I166" s="1814"/>
      <c r="J166" s="1815"/>
      <c r="K166" s="1816"/>
      <c r="L166" s="1378">
        <v>1</v>
      </c>
      <c r="M166" s="27"/>
      <c r="N166" s="1827"/>
      <c r="O166" s="1822"/>
      <c r="P166" s="1824"/>
      <c r="Q166" s="586"/>
      <c r="R166" s="1829">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4"/>
      <c r="H167" s="1814"/>
      <c r="I167" s="1814"/>
      <c r="J167" s="1814"/>
      <c r="K167" s="1814"/>
      <c r="L167" s="1814"/>
      <c r="M167" s="1843">
        <v>0</v>
      </c>
      <c r="N167" s="1814"/>
      <c r="O167" s="1828"/>
      <c r="P167" s="1828"/>
      <c r="Q167" s="586"/>
      <c r="R167" s="1829">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9"/>
      <c r="H168" s="1814"/>
      <c r="I168" s="1814"/>
      <c r="J168" s="1815"/>
      <c r="K168" s="1816"/>
      <c r="L168" s="1378">
        <v>1</v>
      </c>
      <c r="M168" s="27"/>
      <c r="N168" s="1827"/>
      <c r="O168" s="1822"/>
      <c r="P168" s="1824"/>
      <c r="Q168" s="586"/>
      <c r="R168" s="1829">
        <f t="shared" si="7"/>
        <v>1</v>
      </c>
      <c r="Z168" s="25"/>
    </row>
    <row r="169" spans="1:26" s="7" customFormat="1">
      <c r="A169" s="25" t="str">
        <f>BIBLE!E173</f>
        <v>E16</v>
      </c>
      <c r="B169" s="25" t="str">
        <f>BIBLE!F173</f>
        <v>Votre enfant demande à modifier les horaires de garde et de visite.</v>
      </c>
      <c r="C169" s="25"/>
      <c r="D169" s="67"/>
      <c r="E169" s="25"/>
      <c r="F169" s="25"/>
      <c r="G169" s="1699"/>
      <c r="H169" s="1814"/>
      <c r="I169" s="1814"/>
      <c r="J169" s="1815"/>
      <c r="K169" s="1816"/>
      <c r="L169" s="1378">
        <v>1</v>
      </c>
      <c r="M169" s="27"/>
      <c r="N169" s="1827"/>
      <c r="O169" s="1822"/>
      <c r="P169" s="1824"/>
      <c r="Q169" s="586"/>
      <c r="R169" s="1829">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4"/>
      <c r="H170" s="1814"/>
      <c r="I170" s="1814"/>
      <c r="J170" s="1814"/>
      <c r="K170" s="1814"/>
      <c r="L170" s="1814"/>
      <c r="M170" s="1814"/>
      <c r="N170" s="1814"/>
      <c r="O170" s="1814"/>
      <c r="P170" s="1814"/>
      <c r="Q170" s="586"/>
      <c r="R170" s="1829"/>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9"/>
      <c r="H171" s="1814"/>
      <c r="I171" s="1814"/>
      <c r="J171" s="1815"/>
      <c r="K171" s="1816"/>
      <c r="L171" s="1378">
        <v>1</v>
      </c>
      <c r="M171" s="27"/>
      <c r="N171" s="1827"/>
      <c r="O171" s="1822"/>
      <c r="P171" s="1824"/>
      <c r="Q171" s="586"/>
      <c r="R171" s="1829">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9"/>
      <c r="H172" s="1814"/>
      <c r="I172" s="1814"/>
      <c r="J172" s="1815"/>
      <c r="K172" s="1816"/>
      <c r="L172" s="1378">
        <v>1</v>
      </c>
      <c r="M172" s="27"/>
      <c r="N172" s="1827"/>
      <c r="O172" s="1822"/>
      <c r="P172" s="1824"/>
      <c r="Q172" s="586"/>
      <c r="R172" s="1829">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9"/>
      <c r="H173" s="1814"/>
      <c r="I173" s="1814"/>
      <c r="J173" s="1815"/>
      <c r="K173" s="1816"/>
      <c r="L173" s="1378">
        <v>1</v>
      </c>
      <c r="M173" s="27"/>
      <c r="N173" s="1827"/>
      <c r="O173" s="1822"/>
      <c r="P173" s="1824"/>
      <c r="Q173" s="586"/>
      <c r="R173" s="1829">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9"/>
      <c r="H174" s="1814"/>
      <c r="I174" s="1814"/>
      <c r="J174" s="1815"/>
      <c r="K174" s="1816"/>
      <c r="L174" s="1378">
        <v>1</v>
      </c>
      <c r="M174" s="27"/>
      <c r="N174" s="1827"/>
      <c r="O174" s="1822"/>
      <c r="P174" s="1824"/>
      <c r="Q174" s="586"/>
      <c r="R174" s="1829">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9"/>
      <c r="H175" s="1814"/>
      <c r="I175" s="1814"/>
      <c r="J175" s="1815"/>
      <c r="K175" s="1816"/>
      <c r="L175" s="1378">
        <v>1</v>
      </c>
      <c r="M175" s="27"/>
      <c r="N175" s="1827"/>
      <c r="O175" s="1822"/>
      <c r="P175" s="1824"/>
      <c r="Q175" s="586"/>
      <c r="R175" s="1829">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9"/>
      <c r="H176" s="1814"/>
      <c r="I176" s="1814"/>
      <c r="J176" s="1815"/>
      <c r="K176" s="1816"/>
      <c r="L176" s="1378">
        <v>1</v>
      </c>
      <c r="M176" s="27"/>
      <c r="N176" s="1827"/>
      <c r="O176" s="1822"/>
      <c r="P176" s="1824"/>
      <c r="Q176" s="586" t="s">
        <v>413</v>
      </c>
      <c r="R176" s="1829">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8">
        <v>1</v>
      </c>
      <c r="H177" s="1814"/>
      <c r="I177" s="1814"/>
      <c r="J177" s="1815"/>
      <c r="K177" s="1816"/>
      <c r="L177" s="1839">
        <v>0</v>
      </c>
      <c r="M177" s="27"/>
      <c r="N177" s="1827"/>
      <c r="O177" s="1822"/>
      <c r="P177" s="1824"/>
      <c r="Q177" s="586"/>
      <c r="R177" s="1829">
        <f t="shared" si="8"/>
        <v>1</v>
      </c>
      <c r="Z177" s="25"/>
    </row>
    <row r="178" spans="1:26" s="1801"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4"/>
      <c r="E178" s="289"/>
      <c r="F178" s="289"/>
      <c r="G178" s="1555"/>
      <c r="H178" s="1555"/>
      <c r="I178" s="1555"/>
      <c r="J178" s="1555"/>
      <c r="K178" s="1555"/>
      <c r="L178" s="1555">
        <v>1</v>
      </c>
      <c r="M178" s="1555"/>
      <c r="N178" s="1555"/>
      <c r="O178" s="1846"/>
      <c r="P178" s="1846"/>
      <c r="Q178" s="1847"/>
      <c r="R178" s="1848">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9"/>
      <c r="H179" s="1814"/>
      <c r="I179" s="1814"/>
      <c r="J179" s="1815"/>
      <c r="K179" s="1816"/>
      <c r="L179" s="1378">
        <v>1</v>
      </c>
      <c r="M179" s="27"/>
      <c r="N179" s="1827"/>
      <c r="O179" s="1822"/>
      <c r="P179" s="1824"/>
      <c r="Q179" s="586"/>
      <c r="R179" s="1829">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9"/>
      <c r="H180" s="1814"/>
      <c r="I180" s="1814"/>
      <c r="J180" s="1815"/>
      <c r="K180" s="1816"/>
      <c r="L180" s="1378">
        <v>1</v>
      </c>
      <c r="M180" s="27"/>
      <c r="N180" s="1827"/>
      <c r="O180" s="1822"/>
      <c r="P180" s="1824"/>
      <c r="Q180" s="586"/>
      <c r="R180" s="1829">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8">
        <v>1</v>
      </c>
      <c r="H181" s="1814"/>
      <c r="I181" s="1814"/>
      <c r="J181" s="1815"/>
      <c r="K181" s="1816"/>
      <c r="L181" s="1378">
        <v>1</v>
      </c>
      <c r="M181" s="27"/>
      <c r="N181" s="1827"/>
      <c r="O181" s="1822"/>
      <c r="P181" s="1824"/>
      <c r="Q181" s="586"/>
      <c r="R181" s="1829">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9"/>
      <c r="H182" s="1814"/>
      <c r="I182" s="1814"/>
      <c r="J182" s="1815"/>
      <c r="K182" s="1816"/>
      <c r="L182" s="1378">
        <v>1</v>
      </c>
      <c r="M182" s="27"/>
      <c r="N182" s="1827"/>
      <c r="O182" s="1822"/>
      <c r="P182" s="1824"/>
      <c r="Q182" s="586"/>
      <c r="R182" s="1829">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9"/>
      <c r="H183" s="1814"/>
      <c r="I183" s="1814"/>
      <c r="J183" s="1815"/>
      <c r="K183" s="1816"/>
      <c r="L183" s="1378">
        <v>1</v>
      </c>
      <c r="M183" s="27"/>
      <c r="N183" s="1827"/>
      <c r="O183" s="1822"/>
      <c r="P183" s="1824"/>
      <c r="Q183" s="586"/>
      <c r="R183" s="1829">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9"/>
      <c r="H184" s="1814"/>
      <c r="I184" s="1814"/>
      <c r="J184" s="1815"/>
      <c r="K184" s="1816"/>
      <c r="L184" s="1378">
        <v>1</v>
      </c>
      <c r="M184" s="27"/>
      <c r="N184" s="1827"/>
      <c r="O184" s="1822"/>
      <c r="P184" s="1824"/>
      <c r="Q184" s="586"/>
      <c r="R184" s="1829">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9"/>
      <c r="H185" s="1814"/>
      <c r="I185" s="1814"/>
      <c r="J185" s="1815"/>
      <c r="K185" s="1816"/>
      <c r="L185" s="1378">
        <v>1</v>
      </c>
      <c r="M185" s="27"/>
      <c r="N185" s="1827"/>
      <c r="O185" s="1822"/>
      <c r="P185" s="1824"/>
      <c r="Q185" s="586"/>
      <c r="R185" s="1829">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9"/>
      <c r="H186" s="1814"/>
      <c r="I186" s="1814"/>
      <c r="J186" s="1815"/>
      <c r="K186" s="1816"/>
      <c r="L186" s="1378">
        <v>1</v>
      </c>
      <c r="M186" s="27"/>
      <c r="N186" s="1827"/>
      <c r="O186" s="1822"/>
      <c r="P186" s="1824"/>
      <c r="Q186" s="586"/>
      <c r="R186" s="1829">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9"/>
      <c r="H187" s="1814"/>
      <c r="I187" s="1814"/>
      <c r="J187" s="1815"/>
      <c r="K187" s="1816"/>
      <c r="L187" s="1378">
        <v>1</v>
      </c>
      <c r="M187" s="27"/>
      <c r="N187" s="1827"/>
      <c r="O187" s="1822"/>
      <c r="P187" s="1824"/>
      <c r="Q187" s="586"/>
      <c r="R187" s="1829">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9"/>
      <c r="H188" s="1814"/>
      <c r="I188" s="1814"/>
      <c r="J188" s="1815"/>
      <c r="K188" s="1816"/>
      <c r="L188" s="1378"/>
      <c r="M188" s="27"/>
      <c r="N188" s="1827"/>
      <c r="O188" s="1822"/>
      <c r="P188" s="1485">
        <v>1</v>
      </c>
      <c r="Q188" s="586"/>
      <c r="R188" s="1829">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9"/>
      <c r="H189" s="1814"/>
      <c r="I189" s="1814"/>
      <c r="J189" s="1815"/>
      <c r="K189" s="1816"/>
      <c r="L189" s="1378">
        <v>1</v>
      </c>
      <c r="M189" s="27"/>
      <c r="N189" s="1827"/>
      <c r="O189" s="1822"/>
      <c r="P189" s="1824"/>
      <c r="Q189" s="586"/>
      <c r="R189" s="1829">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9"/>
      <c r="H190" s="1814"/>
      <c r="I190" s="1814"/>
      <c r="J190" s="1815"/>
      <c r="K190" s="1816"/>
      <c r="L190" s="1378">
        <v>1</v>
      </c>
      <c r="M190" s="27"/>
      <c r="N190" s="1827"/>
      <c r="O190" s="1822"/>
      <c r="P190" s="1824"/>
      <c r="Q190" s="586"/>
      <c r="R190" s="1829">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9"/>
      <c r="H191" s="1814"/>
      <c r="I191" s="1814"/>
      <c r="J191" s="1815"/>
      <c r="K191" s="1816"/>
      <c r="L191" s="1378"/>
      <c r="M191" s="27">
        <v>1</v>
      </c>
      <c r="N191" s="1827"/>
      <c r="O191" s="1822"/>
      <c r="P191" s="1824"/>
      <c r="Q191" s="586"/>
      <c r="R191" s="1829">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9"/>
      <c r="H192" s="1814"/>
      <c r="I192" s="1814"/>
      <c r="J192" s="1815"/>
      <c r="K192" s="1816"/>
      <c r="L192" s="1378"/>
      <c r="M192" s="27">
        <v>1</v>
      </c>
      <c r="N192" s="1827"/>
      <c r="O192" s="1822"/>
      <c r="P192" s="1824"/>
      <c r="Q192" s="586"/>
      <c r="R192" s="1829">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9"/>
      <c r="H193" s="1814"/>
      <c r="I193" s="1814"/>
      <c r="J193" s="1815"/>
      <c r="K193" s="1816"/>
      <c r="L193" s="1378">
        <v>1</v>
      </c>
      <c r="M193" s="27"/>
      <c r="N193" s="1827"/>
      <c r="O193" s="1822"/>
      <c r="P193" s="1824"/>
      <c r="Q193" s="586"/>
      <c r="R193" s="1829">
        <f t="shared" si="8"/>
        <v>1</v>
      </c>
      <c r="Z193" s="25"/>
    </row>
    <row r="194" spans="1:26" s="7" customFormat="1">
      <c r="A194" s="25" t="str">
        <f>BIBLE!E198</f>
        <v>E32</v>
      </c>
      <c r="B194" s="285" t="str">
        <f>BIBLE!F198</f>
        <v>Votre enfant vous accuse de mentir, de voler, etc.</v>
      </c>
      <c r="C194" s="285"/>
      <c r="D194" s="67"/>
      <c r="E194" s="285"/>
      <c r="F194" s="285"/>
      <c r="G194" s="1699"/>
      <c r="H194" s="1814"/>
      <c r="I194" s="1814"/>
      <c r="J194" s="1815"/>
      <c r="K194" s="1816"/>
      <c r="L194" s="1378">
        <v>1</v>
      </c>
      <c r="M194" s="27"/>
      <c r="N194" s="1827"/>
      <c r="O194" s="1822"/>
      <c r="P194" s="1824"/>
      <c r="Q194" s="586"/>
      <c r="R194" s="1829">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9"/>
      <c r="H195" s="1814"/>
      <c r="I195" s="1814"/>
      <c r="J195" s="1815"/>
      <c r="K195" s="1816"/>
      <c r="L195" s="1378">
        <v>1</v>
      </c>
      <c r="M195" s="27"/>
      <c r="N195" s="1827"/>
      <c r="O195" s="1822"/>
      <c r="P195" s="1824"/>
      <c r="Q195" s="586"/>
      <c r="R195" s="1829">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9"/>
      <c r="H196" s="1814"/>
      <c r="I196" s="1814"/>
      <c r="J196" s="1815"/>
      <c r="K196" s="1816"/>
      <c r="L196" s="1378">
        <v>1</v>
      </c>
      <c r="M196" s="27"/>
      <c r="N196" s="1827"/>
      <c r="O196" s="1822"/>
      <c r="P196" s="1824"/>
      <c r="Q196" s="586"/>
      <c r="R196" s="1829">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9"/>
      <c r="H197" s="1814"/>
      <c r="I197" s="1814"/>
      <c r="J197" s="1815"/>
      <c r="K197" s="1816"/>
      <c r="L197" s="1378">
        <v>1</v>
      </c>
      <c r="M197" s="27"/>
      <c r="N197" s="1827"/>
      <c r="O197" s="1822"/>
      <c r="P197" s="1824"/>
      <c r="Q197" s="586"/>
      <c r="R197" s="1829">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9"/>
      <c r="H198" s="1814"/>
      <c r="I198" s="1814"/>
      <c r="J198" s="1815"/>
      <c r="K198" s="1816"/>
      <c r="L198" s="1378">
        <v>1</v>
      </c>
      <c r="M198" s="27"/>
      <c r="N198" s="1827"/>
      <c r="O198" s="1822"/>
      <c r="P198" s="1824"/>
      <c r="Q198" s="586"/>
      <c r="R198" s="1829">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4"/>
      <c r="H199" s="1814"/>
      <c r="I199" s="1814"/>
      <c r="J199" s="1814"/>
      <c r="K199" s="1814"/>
      <c r="L199" s="1814"/>
      <c r="M199" s="1814"/>
      <c r="N199" s="1814"/>
      <c r="O199" s="1814"/>
      <c r="P199" s="1814"/>
      <c r="Q199" s="586"/>
      <c r="R199" s="1829"/>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9"/>
      <c r="H200" s="1814"/>
      <c r="I200" s="1814"/>
      <c r="J200" s="1815">
        <v>1</v>
      </c>
      <c r="K200" s="1816"/>
      <c r="L200" s="1378"/>
      <c r="M200" s="27"/>
      <c r="N200" s="1827"/>
      <c r="O200" s="1822"/>
      <c r="P200" s="1824"/>
      <c r="Q200" s="586"/>
      <c r="R200" s="1829">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9"/>
      <c r="H201" s="1814"/>
      <c r="I201" s="1814"/>
      <c r="J201" s="1815">
        <v>1</v>
      </c>
      <c r="K201" s="1816"/>
      <c r="L201" s="1378"/>
      <c r="M201" s="27"/>
      <c r="N201" s="1827"/>
      <c r="O201" s="1822"/>
      <c r="P201" s="1824"/>
      <c r="Q201" s="586"/>
      <c r="R201" s="1829">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4"/>
      <c r="H202" s="1814"/>
      <c r="I202" s="1814"/>
      <c r="J202" s="1814"/>
      <c r="K202" s="1814"/>
      <c r="L202" s="1814"/>
      <c r="M202" s="1814"/>
      <c r="N202" s="1814"/>
      <c r="O202" s="1814"/>
      <c r="P202" s="1814"/>
      <c r="Q202" s="586"/>
      <c r="R202" s="1829"/>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9"/>
      <c r="H203" s="1814"/>
      <c r="I203" s="1814"/>
      <c r="J203" s="1815"/>
      <c r="K203" s="1816"/>
      <c r="L203" s="1378"/>
      <c r="M203" s="27"/>
      <c r="N203" s="1827"/>
      <c r="O203" s="1836">
        <v>1</v>
      </c>
      <c r="P203" s="1824"/>
      <c r="Q203" s="586"/>
      <c r="R203" s="1829">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9"/>
      <c r="H204" s="1814"/>
      <c r="I204" s="1814"/>
      <c r="J204" s="1815"/>
      <c r="K204" s="1816"/>
      <c r="L204" s="1378"/>
      <c r="M204" s="27"/>
      <c r="N204" s="1827"/>
      <c r="O204" s="1836">
        <v>1</v>
      </c>
      <c r="P204" s="1824"/>
      <c r="Q204" s="586"/>
      <c r="R204" s="1829">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4"/>
      <c r="H205" s="1814"/>
      <c r="I205" s="1814"/>
      <c r="J205" s="1814"/>
      <c r="K205" s="1814"/>
      <c r="L205" s="1814"/>
      <c r="M205" s="1814"/>
      <c r="N205" s="1814"/>
      <c r="O205" s="1814"/>
      <c r="P205" s="1814"/>
      <c r="Q205" s="586"/>
      <c r="R205" s="1829"/>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9"/>
      <c r="H206" s="1814"/>
      <c r="I206" s="1814"/>
      <c r="J206" s="1815"/>
      <c r="K206" s="1816"/>
      <c r="L206" s="1378"/>
      <c r="M206" s="27"/>
      <c r="N206" s="1827"/>
      <c r="O206" s="1822"/>
      <c r="P206" s="1485">
        <v>1</v>
      </c>
      <c r="Q206" s="586"/>
      <c r="R206" s="1829">
        <f>G206+H206+I206+J206+K206+L206+M206+N206+O206+P206</f>
        <v>1</v>
      </c>
      <c r="Z206" s="25" t="s">
        <v>414</v>
      </c>
    </row>
    <row r="207" spans="1:26" s="7" customFormat="1">
      <c r="A207" s="25"/>
      <c r="B207" s="25"/>
      <c r="C207" s="25"/>
      <c r="D207" s="67"/>
      <c r="E207" s="25"/>
      <c r="F207" s="25"/>
      <c r="G207" s="1699"/>
      <c r="H207" s="1814"/>
      <c r="I207" s="1814"/>
      <c r="J207" s="1815"/>
      <c r="K207" s="1816"/>
      <c r="L207" s="1378"/>
      <c r="M207" s="27"/>
      <c r="N207" s="1827"/>
      <c r="O207" s="1822"/>
      <c r="P207" s="1824"/>
      <c r="Q207" s="586"/>
      <c r="R207" s="1829">
        <f>G207+H207+I207+J207+K207+L207+M207+N207+O207+P207</f>
        <v>0</v>
      </c>
      <c r="Z207" s="25"/>
    </row>
    <row r="208" spans="1:26" s="7" customFormat="1">
      <c r="A208" s="25"/>
      <c r="B208" s="25"/>
      <c r="C208" s="25"/>
      <c r="D208" s="67"/>
      <c r="E208" s="25"/>
      <c r="F208" s="25"/>
      <c r="G208" s="1699"/>
      <c r="H208" s="1814"/>
      <c r="I208" s="1814"/>
      <c r="J208" s="1815"/>
      <c r="K208" s="1816"/>
      <c r="L208" s="1378"/>
      <c r="M208" s="27"/>
      <c r="N208" s="1827"/>
      <c r="O208" s="1822"/>
      <c r="P208" s="1824"/>
      <c r="Q208" s="586"/>
      <c r="R208" s="1829">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4"/>
      <c r="H209" s="1814"/>
      <c r="I209" s="1814"/>
      <c r="J209" s="1814"/>
      <c r="K209" s="1814"/>
      <c r="L209" s="1814"/>
      <c r="M209" s="1814"/>
      <c r="N209" s="1814"/>
      <c r="O209" s="1814"/>
      <c r="P209" s="1814"/>
      <c r="Q209" s="67" t="s">
        <v>415</v>
      </c>
      <c r="R209" s="1829">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4"/>
      <c r="H210" s="1814"/>
      <c r="I210" s="1814"/>
      <c r="J210" s="1814"/>
      <c r="K210" s="1814"/>
      <c r="L210" s="1814"/>
      <c r="M210" s="1814"/>
      <c r="N210" s="1814"/>
      <c r="O210" s="1814"/>
      <c r="P210" s="1814"/>
      <c r="Q210" s="67" t="s">
        <v>415</v>
      </c>
      <c r="R210" s="1829">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9"/>
      <c r="Z211" s="25"/>
    </row>
    <row r="212" spans="1:26" s="7" customFormat="1">
      <c r="A212" s="25"/>
      <c r="B212" s="25"/>
      <c r="C212" s="25"/>
      <c r="D212" s="67"/>
      <c r="E212" s="25"/>
      <c r="F212" s="25"/>
      <c r="G212" s="6"/>
      <c r="H212" s="6"/>
      <c r="I212" s="6"/>
      <c r="J212" s="6"/>
      <c r="K212" s="6"/>
      <c r="L212" s="6"/>
      <c r="M212" s="6"/>
      <c r="N212" s="6"/>
      <c r="O212" s="6"/>
      <c r="P212" s="6"/>
      <c r="Q212" s="67"/>
      <c r="R212" s="1829"/>
      <c r="Z212" s="25"/>
    </row>
    <row r="213" spans="1:26" s="7" customFormat="1">
      <c r="A213" s="25"/>
      <c r="B213" s="25"/>
      <c r="C213" s="25"/>
      <c r="D213" s="67"/>
      <c r="E213" s="25"/>
      <c r="F213" s="25"/>
      <c r="G213" s="6"/>
      <c r="H213" s="6"/>
      <c r="I213" s="6"/>
      <c r="J213" s="6"/>
      <c r="K213" s="6"/>
      <c r="L213" s="6"/>
      <c r="M213" s="6"/>
      <c r="N213" s="6"/>
      <c r="O213" s="6"/>
      <c r="P213" s="6"/>
      <c r="Q213" s="67"/>
      <c r="R213" s="1829"/>
      <c r="Z213" s="25"/>
    </row>
    <row r="214" spans="1:26" s="7" customFormat="1">
      <c r="A214" s="25"/>
      <c r="B214" s="25"/>
      <c r="C214" s="25"/>
      <c r="D214" s="67"/>
      <c r="E214" s="25"/>
      <c r="F214" s="25"/>
      <c r="G214" s="6"/>
      <c r="H214" s="6"/>
      <c r="I214" s="6"/>
      <c r="J214" s="6"/>
      <c r="K214" s="6"/>
      <c r="L214" s="6"/>
      <c r="M214" s="6"/>
      <c r="N214" s="6"/>
      <c r="O214" s="6"/>
      <c r="P214" s="6"/>
      <c r="Q214" s="586"/>
      <c r="R214" s="1829"/>
      <c r="Z214" s="25"/>
    </row>
    <row r="215" spans="1:26" s="7" customFormat="1">
      <c r="A215" s="25"/>
      <c r="B215" s="25"/>
      <c r="C215" s="25"/>
      <c r="D215" s="67"/>
      <c r="E215" s="25"/>
      <c r="F215" s="25"/>
      <c r="G215" s="6"/>
      <c r="H215" s="6"/>
      <c r="I215" s="6"/>
      <c r="J215" s="6"/>
      <c r="K215" s="6"/>
      <c r="L215" s="6"/>
      <c r="M215" s="6"/>
      <c r="N215" s="6"/>
      <c r="O215" s="521"/>
      <c r="P215" s="521"/>
      <c r="Q215" s="586"/>
      <c r="R215" s="1829"/>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4"/>
      <c r="H216" s="1814"/>
      <c r="I216" s="1814"/>
      <c r="J216" s="1814"/>
      <c r="K216" s="1814"/>
      <c r="L216" s="1814"/>
      <c r="M216" s="1814"/>
      <c r="N216" s="1814"/>
      <c r="O216" s="1828"/>
      <c r="P216" s="1828"/>
      <c r="Q216" s="586"/>
      <c r="R216" s="1829"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9"/>
      <c r="H217" s="1814"/>
      <c r="I217" s="1814"/>
      <c r="J217" s="1815"/>
      <c r="K217" s="1816"/>
      <c r="L217" s="1378">
        <v>1</v>
      </c>
      <c r="M217" s="27"/>
      <c r="N217" s="1827"/>
      <c r="O217" s="1822"/>
      <c r="P217" s="1824"/>
      <c r="Q217" s="586"/>
      <c r="R217" s="1829">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9">
        <v>1</v>
      </c>
      <c r="H218" s="1814"/>
      <c r="I218" s="1814"/>
      <c r="J218" s="1815"/>
      <c r="K218" s="1816"/>
      <c r="L218" s="1378">
        <v>1</v>
      </c>
      <c r="M218" s="27"/>
      <c r="N218" s="1827"/>
      <c r="O218" s="1822"/>
      <c r="P218" s="1824"/>
      <c r="Q218" s="586"/>
      <c r="R218" s="1829">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9"/>
      <c r="H219" s="1814"/>
      <c r="I219" s="1814"/>
      <c r="J219" s="1815"/>
      <c r="K219" s="1816"/>
      <c r="L219" s="1378">
        <v>1</v>
      </c>
      <c r="M219" s="27"/>
      <c r="N219" s="1827"/>
      <c r="O219" s="1822"/>
      <c r="P219" s="1824"/>
      <c r="Q219" s="586"/>
      <c r="R219" s="1829">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9"/>
      <c r="H220" s="1814"/>
      <c r="I220" s="1814"/>
      <c r="J220" s="1815"/>
      <c r="K220" s="1816"/>
      <c r="L220" s="1378">
        <v>1</v>
      </c>
      <c r="M220" s="27"/>
      <c r="N220" s="1827"/>
      <c r="O220" s="1822"/>
      <c r="P220" s="1824"/>
      <c r="Q220" s="586"/>
      <c r="R220" s="1829">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4"/>
      <c r="H221" s="1814"/>
      <c r="I221" s="1814"/>
      <c r="J221" s="1814"/>
      <c r="K221" s="1814"/>
      <c r="L221" s="1814"/>
      <c r="M221" s="1814"/>
      <c r="N221" s="1814"/>
      <c r="O221" s="1828"/>
      <c r="P221" s="1828"/>
      <c r="Q221" s="586"/>
      <c r="R221" s="1829">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9"/>
      <c r="H222" s="1814"/>
      <c r="I222" s="1814"/>
      <c r="J222" s="1815"/>
      <c r="K222" s="1816"/>
      <c r="L222" s="1378">
        <v>2</v>
      </c>
      <c r="M222" s="27"/>
      <c r="N222" s="1827"/>
      <c r="O222" s="1822"/>
      <c r="P222" s="1824"/>
      <c r="Q222" s="586"/>
      <c r="R222" s="1829">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9"/>
      <c r="H223" s="1814"/>
      <c r="I223" s="1814"/>
      <c r="J223" s="1815"/>
      <c r="K223" s="1816"/>
      <c r="L223" s="1378">
        <v>2</v>
      </c>
      <c r="M223" s="27"/>
      <c r="N223" s="1827"/>
      <c r="O223" s="1822"/>
      <c r="P223" s="1824"/>
      <c r="Q223" s="586"/>
      <c r="R223" s="1829">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9"/>
      <c r="H224" s="1814"/>
      <c r="I224" s="1814"/>
      <c r="J224" s="1815"/>
      <c r="K224" s="1816"/>
      <c r="L224" s="1378">
        <v>1</v>
      </c>
      <c r="M224" s="27"/>
      <c r="N224" s="1827"/>
      <c r="O224" s="1822"/>
      <c r="P224" s="1824"/>
      <c r="Q224" s="586"/>
      <c r="R224" s="1829">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9"/>
      <c r="H225" s="1814"/>
      <c r="I225" s="1814"/>
      <c r="J225" s="1815"/>
      <c r="K225" s="1816"/>
      <c r="L225" s="1378">
        <v>1</v>
      </c>
      <c r="M225" s="27"/>
      <c r="N225" s="1827"/>
      <c r="O225" s="1822"/>
      <c r="P225" s="1824"/>
      <c r="Q225" s="586"/>
      <c r="R225" s="1829">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9"/>
      <c r="H226" s="1814"/>
      <c r="I226" s="1814"/>
      <c r="J226" s="1815"/>
      <c r="K226" s="1816"/>
      <c r="L226" s="1378">
        <v>1</v>
      </c>
      <c r="M226" s="27"/>
      <c r="N226" s="1827"/>
      <c r="O226" s="1822"/>
      <c r="P226" s="1824"/>
      <c r="Q226" s="586"/>
      <c r="R226" s="1829">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9">
        <v>1</v>
      </c>
      <c r="H227" s="1814"/>
      <c r="I227" s="1814"/>
      <c r="J227" s="1815"/>
      <c r="K227" s="1816"/>
      <c r="L227" s="1378"/>
      <c r="M227" s="27"/>
      <c r="N227" s="1827"/>
      <c r="O227" s="1822"/>
      <c r="P227" s="1824"/>
      <c r="Q227" s="586"/>
      <c r="R227" s="1829">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9"/>
      <c r="H228" s="1814"/>
      <c r="I228" s="1814"/>
      <c r="J228" s="1815"/>
      <c r="K228" s="1816"/>
      <c r="L228" s="1378">
        <v>1</v>
      </c>
      <c r="M228" s="27"/>
      <c r="N228" s="1827"/>
      <c r="O228" s="1822"/>
      <c r="P228" s="1824"/>
      <c r="Q228" s="586"/>
      <c r="R228" s="1829">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9"/>
      <c r="H229" s="1814"/>
      <c r="I229" s="1814"/>
      <c r="J229" s="1815"/>
      <c r="K229" s="1816"/>
      <c r="L229" s="1378">
        <v>1</v>
      </c>
      <c r="M229" s="27"/>
      <c r="N229" s="1827"/>
      <c r="O229" s="1822"/>
      <c r="P229" s="1824"/>
      <c r="Q229" s="586"/>
      <c r="R229" s="1829">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9"/>
      <c r="H230" s="1814"/>
      <c r="I230" s="1814"/>
      <c r="J230" s="1815"/>
      <c r="K230" s="1816"/>
      <c r="L230" s="1378">
        <v>1</v>
      </c>
      <c r="M230" s="27"/>
      <c r="N230" s="1827"/>
      <c r="O230" s="1822"/>
      <c r="P230" s="1824"/>
      <c r="Q230" s="586"/>
      <c r="R230" s="1829">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9"/>
      <c r="H231" s="1814"/>
      <c r="I231" s="1814"/>
      <c r="J231" s="1815"/>
      <c r="K231" s="1816">
        <v>1</v>
      </c>
      <c r="L231" s="1378"/>
      <c r="M231" s="27"/>
      <c r="N231" s="1827"/>
      <c r="O231" s="1822"/>
      <c r="P231" s="1824"/>
      <c r="Q231" s="586"/>
      <c r="R231" s="1829">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9"/>
      <c r="H232" s="1814"/>
      <c r="I232" s="1814"/>
      <c r="J232" s="1815"/>
      <c r="K232" s="1816"/>
      <c r="L232" s="1378">
        <v>1</v>
      </c>
      <c r="M232" s="27"/>
      <c r="N232" s="1827"/>
      <c r="O232" s="1822"/>
      <c r="P232" s="1824"/>
      <c r="Q232" s="586"/>
      <c r="R232" s="1829">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9">
        <v>1</v>
      </c>
      <c r="H233" s="1814"/>
      <c r="I233" s="1814"/>
      <c r="J233" s="1815"/>
      <c r="K233" s="1816"/>
      <c r="L233" s="1378"/>
      <c r="M233" s="27"/>
      <c r="N233" s="1827"/>
      <c r="O233" s="1822"/>
      <c r="P233" s="1824"/>
      <c r="Q233" s="586"/>
      <c r="R233" s="1829">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9"/>
      <c r="H234" s="1814"/>
      <c r="I234" s="1814"/>
      <c r="J234" s="1815"/>
      <c r="K234" s="1816"/>
      <c r="L234" s="1378">
        <v>1</v>
      </c>
      <c r="M234" s="27"/>
      <c r="N234" s="1827"/>
      <c r="O234" s="1822"/>
      <c r="P234" s="1824"/>
      <c r="Q234" s="586"/>
      <c r="R234" s="1829">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9"/>
      <c r="Z235" s="25"/>
    </row>
    <row r="236" spans="1:26" s="7" customFormat="1">
      <c r="A236" s="25"/>
      <c r="B236" s="25"/>
      <c r="C236" s="25"/>
      <c r="D236" s="67"/>
      <c r="E236" s="25"/>
      <c r="F236" s="25"/>
      <c r="G236" s="6"/>
      <c r="H236" s="6"/>
      <c r="I236" s="6"/>
      <c r="J236" s="6"/>
      <c r="K236" s="6"/>
      <c r="L236" s="6"/>
      <c r="M236" s="6"/>
      <c r="N236" s="6"/>
      <c r="O236" s="521"/>
      <c r="P236" s="521"/>
      <c r="Q236" s="586"/>
      <c r="R236" s="1829"/>
      <c r="Z236" s="25"/>
    </row>
    <row r="237" spans="1:26" s="7" customFormat="1">
      <c r="A237" s="25"/>
      <c r="B237" s="25"/>
      <c r="C237" s="25"/>
      <c r="D237" s="67"/>
      <c r="E237" s="25"/>
      <c r="F237" s="25"/>
      <c r="G237" s="6"/>
      <c r="H237" s="6"/>
      <c r="I237" s="6"/>
      <c r="J237" s="6"/>
      <c r="K237" s="6"/>
      <c r="L237" s="6"/>
      <c r="M237" s="6"/>
      <c r="N237" s="6"/>
      <c r="O237" s="521"/>
      <c r="P237" s="521"/>
      <c r="Q237" s="586"/>
      <c r="R237" s="1829"/>
      <c r="Z237" s="25"/>
    </row>
    <row r="238" spans="1:26" s="7" customFormat="1">
      <c r="A238" s="25"/>
      <c r="B238" s="25"/>
      <c r="C238" s="25"/>
      <c r="D238" s="67"/>
      <c r="E238" s="25"/>
      <c r="F238" s="25"/>
      <c r="G238" s="6"/>
      <c r="H238" s="6"/>
      <c r="I238" s="6"/>
      <c r="J238" s="6"/>
      <c r="K238" s="6"/>
      <c r="L238" s="6"/>
      <c r="M238" s="6"/>
      <c r="N238" s="6"/>
      <c r="O238" s="521"/>
      <c r="P238" s="521"/>
      <c r="Q238" s="586"/>
      <c r="R238" s="1829"/>
      <c r="Z238" s="25"/>
    </row>
    <row r="239" spans="1:26" s="7" customFormat="1">
      <c r="A239" s="25"/>
      <c r="B239" s="25"/>
      <c r="C239" s="25"/>
      <c r="D239" s="67"/>
      <c r="E239" s="25"/>
      <c r="F239" s="25"/>
      <c r="G239" s="6"/>
      <c r="H239" s="6"/>
      <c r="I239" s="6"/>
      <c r="J239" s="6"/>
      <c r="K239" s="6"/>
      <c r="L239" s="6"/>
      <c r="M239" s="6"/>
      <c r="N239" s="6"/>
      <c r="O239" s="521"/>
      <c r="P239" s="521"/>
      <c r="Q239" s="586"/>
      <c r="R239" s="1829"/>
      <c r="Z239" s="25"/>
    </row>
    <row r="240" spans="1:26" s="7" customFormat="1">
      <c r="A240" s="25" t="str">
        <f>BIBLE!E240</f>
        <v>S01</v>
      </c>
      <c r="B240" s="25" t="str">
        <f>BIBLE!F240</f>
        <v xml:space="preserve">À quel groupe d'âge appartenez-vous? </v>
      </c>
      <c r="C240" s="25"/>
      <c r="D240" s="67"/>
      <c r="E240" s="25"/>
      <c r="F240" s="25"/>
      <c r="G240" s="1699"/>
      <c r="H240" s="1814"/>
      <c r="I240" s="1814"/>
      <c r="J240" s="1815"/>
      <c r="K240" s="1816"/>
      <c r="L240" s="1378"/>
      <c r="M240" s="27"/>
      <c r="N240" s="1827"/>
      <c r="O240" s="1822"/>
      <c r="P240" s="1824"/>
      <c r="Q240" s="586"/>
      <c r="R240" s="1829"/>
      <c r="Z240" s="25" t="s">
        <v>416</v>
      </c>
    </row>
    <row r="241" spans="1:26" s="7" customFormat="1" ht="46.5" customHeight="1">
      <c r="A241" s="25" t="str">
        <f>BIBLE!E241</f>
        <v>S02</v>
      </c>
      <c r="B241" s="25" t="str">
        <f>BIBLE!F241</f>
        <v xml:space="preserve">Êtes-vous en processus juridique actuellement? 
</v>
      </c>
      <c r="C241" s="25"/>
      <c r="D241" s="67"/>
      <c r="E241" s="25"/>
      <c r="F241" s="25"/>
      <c r="G241" s="1699"/>
      <c r="H241" s="1814"/>
      <c r="I241" s="1814"/>
      <c r="J241" s="1815"/>
      <c r="K241" s="1816"/>
      <c r="L241" s="1378"/>
      <c r="M241" s="27"/>
      <c r="N241" s="1827"/>
      <c r="O241" s="1822"/>
      <c r="P241" s="1824"/>
      <c r="Q241" s="586" t="s">
        <v>417</v>
      </c>
      <c r="R241" s="1829"/>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9"/>
      <c r="H242" s="1814"/>
      <c r="I242" s="1814"/>
      <c r="J242" s="1815"/>
      <c r="K242" s="1816"/>
      <c r="L242" s="1378"/>
      <c r="M242" s="27"/>
      <c r="N242" s="1827"/>
      <c r="O242" s="1822"/>
      <c r="P242" s="1824"/>
      <c r="Q242" s="586" t="s">
        <v>418</v>
      </c>
      <c r="R242" s="1829"/>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9"/>
      <c r="H243" s="1814"/>
      <c r="I243" s="1814"/>
      <c r="J243" s="1815"/>
      <c r="K243" s="1816"/>
      <c r="L243" s="1378"/>
      <c r="M243" s="27"/>
      <c r="N243" s="1827"/>
      <c r="O243" s="1822"/>
      <c r="P243" s="1824"/>
      <c r="Q243" s="586"/>
      <c r="R243" s="1829"/>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9"/>
      <c r="H244" s="1814"/>
      <c r="I244" s="1814"/>
      <c r="J244" s="1815"/>
      <c r="K244" s="1816"/>
      <c r="L244" s="1378"/>
      <c r="M244" s="27"/>
      <c r="N244" s="1827"/>
      <c r="O244" s="1822"/>
      <c r="P244" s="1824"/>
      <c r="Q244" s="586"/>
      <c r="R244" s="1830"/>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6"/>
      <c r="P1" s="128"/>
      <c r="Q1" s="163"/>
      <c r="R1" s="163"/>
      <c r="S1" s="110"/>
      <c r="U1" s="290"/>
    </row>
    <row r="2" spans="4:51" ht="15" customHeight="1">
      <c r="F2" s="942"/>
      <c r="L2" s="2484"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1"/>
      <c r="M3" s="7" t="s">
        <v>424</v>
      </c>
      <c r="N3" s="541"/>
      <c r="O3" s="17" t="s">
        <v>425</v>
      </c>
      <c r="P3" s="17"/>
      <c r="Q3" s="163"/>
      <c r="R3" s="163"/>
      <c r="S3" s="110"/>
      <c r="U3" s="290"/>
      <c r="AX3" s="7" t="s">
        <v>426</v>
      </c>
      <c r="AY3" t="str">
        <f>O9</f>
        <v>Toujours / Souvent / Régulièrement / Occasionnellement / Rarement / Jamais / S.O.</v>
      </c>
    </row>
    <row r="4" spans="4:51" ht="15" customHeight="1">
      <c r="L4" s="2491"/>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1"/>
      <c r="M5" s="7" t="s">
        <v>117</v>
      </c>
      <c r="N5" s="541"/>
      <c r="O5" s="17" t="s">
        <v>429</v>
      </c>
      <c r="P5" s="17"/>
      <c r="Q5" s="163"/>
      <c r="R5" s="163"/>
      <c r="S5" s="110"/>
      <c r="U5" s="290"/>
      <c r="AX5" s="805" t="s">
        <v>430</v>
      </c>
      <c r="AY5" t="str">
        <f>O10</f>
        <v xml:space="preserve">Mauvaise / Faible / Moyenne / Bonne / Très bonne / Excellente / S.O </v>
      </c>
    </row>
    <row r="6" spans="4:51" ht="15" customHeight="1">
      <c r="L6" s="2491"/>
      <c r="M6" s="7" t="s">
        <v>431</v>
      </c>
      <c r="N6" s="541"/>
      <c r="O6" s="17" t="s">
        <v>432</v>
      </c>
      <c r="P6" s="17"/>
      <c r="Q6" s="163"/>
      <c r="R6" s="163"/>
      <c r="S6" s="110"/>
      <c r="U6" s="290"/>
      <c r="AX6" s="805"/>
    </row>
    <row r="7" spans="4:51" ht="15" customHeight="1">
      <c r="L7" s="835"/>
      <c r="M7" s="7" t="s">
        <v>433</v>
      </c>
      <c r="N7" s="541"/>
      <c r="O7" s="17" t="s">
        <v>434</v>
      </c>
      <c r="P7" s="17"/>
      <c r="Q7" s="163"/>
      <c r="R7" s="163"/>
      <c r="S7" s="110"/>
      <c r="U7" s="290"/>
      <c r="AX7" s="804" t="s">
        <v>99</v>
      </c>
      <c r="AY7" t="str">
        <f>O4</f>
        <v>Tout à fait en désaccord / En désaccord /  Partiellement en désaccord /  Partiellement d’accord / D’accord / Tout à fait d’accord / S.O.</v>
      </c>
    </row>
    <row r="8" spans="4:51" ht="15" customHeight="1">
      <c r="L8" s="835"/>
      <c r="M8" s="7" t="s">
        <v>435</v>
      </c>
      <c r="N8" s="541"/>
      <c r="O8" s="17" t="s">
        <v>436</v>
      </c>
      <c r="P8" s="17"/>
      <c r="Q8" s="163"/>
      <c r="R8" s="163"/>
      <c r="S8" s="110"/>
      <c r="U8" s="290"/>
      <c r="AX8" s="803" t="s">
        <v>437</v>
      </c>
      <c r="AY8" t="s">
        <v>438</v>
      </c>
    </row>
    <row r="9" spans="4:51" ht="15" customHeight="1">
      <c r="L9" s="2491"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1"/>
      <c r="M10" s="805" t="s">
        <v>430</v>
      </c>
      <c r="N10" s="806" t="s">
        <v>441</v>
      </c>
      <c r="O10" s="805" t="s">
        <v>442</v>
      </c>
      <c r="P10" s="805"/>
      <c r="Q10" s="1495"/>
      <c r="R10" s="1495"/>
      <c r="S10" s="1496"/>
      <c r="T10" s="1496"/>
      <c r="U10" s="1497"/>
      <c r="V10" s="1498"/>
      <c r="W10" s="291"/>
      <c r="AX10" s="805" t="s">
        <v>443</v>
      </c>
      <c r="AY10" t="str">
        <f>O13</f>
        <v>Totalement / Grandement / Moyennement / Un peu / Très peu / Pas du tout / S.O.</v>
      </c>
    </row>
    <row r="11" spans="4:51" ht="15" customHeight="1">
      <c r="L11" s="2491"/>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1"/>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1"/>
      <c r="M13" s="7" t="s">
        <v>446</v>
      </c>
      <c r="N13" s="541"/>
      <c r="O13" s="17" t="s">
        <v>447</v>
      </c>
      <c r="P13" s="17"/>
      <c r="Q13" s="163"/>
      <c r="R13" s="163"/>
      <c r="S13" s="110"/>
      <c r="U13" s="290"/>
      <c r="AX13" s="805"/>
    </row>
    <row r="14" spans="4:51" ht="76" customHeight="1">
      <c r="N14" s="17"/>
      <c r="O14" s="272" t="s">
        <v>448</v>
      </c>
      <c r="P14" s="17"/>
      <c r="Q14" s="17"/>
      <c r="R14" s="17"/>
      <c r="S14" s="17"/>
    </row>
    <row r="15" spans="4:51" ht="20" customHeight="1">
      <c r="D15" s="2494" t="s">
        <v>449</v>
      </c>
      <c r="E15" s="32"/>
      <c r="F15" s="95"/>
      <c r="G15" s="32"/>
      <c r="H15" s="95"/>
      <c r="I15" s="95"/>
      <c r="J15" s="32"/>
      <c r="K15" s="32"/>
      <c r="L15" s="483"/>
      <c r="M15" s="483"/>
      <c r="N15" s="483"/>
      <c r="O15" s="1500"/>
      <c r="P15" s="483"/>
      <c r="Q15" s="483"/>
      <c r="R15" s="483"/>
      <c r="T15" s="484"/>
      <c r="U15" s="484"/>
      <c r="W15" s="414"/>
      <c r="X15" s="414"/>
      <c r="Y15" s="409" t="s">
        <v>450</v>
      </c>
      <c r="AE15" s="980"/>
      <c r="AF15" s="981"/>
      <c r="AG15" s="981"/>
      <c r="AH15" s="980"/>
      <c r="AI15" s="982"/>
      <c r="AJ15" s="980"/>
    </row>
    <row r="16" spans="4:51" ht="18" customHeight="1">
      <c r="D16" s="2468"/>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95" t="s">
        <v>451</v>
      </c>
      <c r="B17" s="2458"/>
      <c r="C17" s="2458"/>
      <c r="D17" s="2468"/>
      <c r="E17" s="95"/>
      <c r="F17" s="95"/>
      <c r="G17" s="95"/>
      <c r="H17" s="95" t="s">
        <v>76</v>
      </c>
      <c r="I17" s="95"/>
      <c r="J17" s="32" t="s">
        <v>452</v>
      </c>
      <c r="K17" s="32"/>
      <c r="L17" s="2492" t="s">
        <v>453</v>
      </c>
      <c r="M17" s="2493"/>
      <c r="N17" s="2492" t="s">
        <v>421</v>
      </c>
      <c r="O17" s="2493"/>
      <c r="P17" s="764"/>
      <c r="Q17" s="485" t="s">
        <v>454</v>
      </c>
      <c r="R17" s="485"/>
      <c r="S17" s="2488" t="s">
        <v>455</v>
      </c>
      <c r="T17" s="2489"/>
      <c r="U17" s="2490"/>
      <c r="V17" s="740" t="s">
        <v>289</v>
      </c>
      <c r="W17" s="414"/>
      <c r="X17" s="414"/>
      <c r="AE17" s="2485" t="s">
        <v>456</v>
      </c>
      <c r="AF17" s="2486"/>
      <c r="AG17" s="2486"/>
      <c r="AH17" s="2485" t="s">
        <v>457</v>
      </c>
      <c r="AI17" s="2487"/>
      <c r="AJ17" s="2458"/>
    </row>
    <row r="18" spans="1:36" ht="78" customHeight="1" thickBot="1">
      <c r="A18" s="768" t="s">
        <v>458</v>
      </c>
      <c r="B18" s="766" t="s">
        <v>459</v>
      </c>
      <c r="C18" s="767" t="s">
        <v>460</v>
      </c>
      <c r="D18" s="770"/>
      <c r="E18" s="113"/>
      <c r="F18" s="486" t="s">
        <v>59</v>
      </c>
      <c r="G18" s="486" t="s">
        <v>461</v>
      </c>
      <c r="H18" s="95" t="s">
        <v>462</v>
      </c>
      <c r="I18" s="95" t="s">
        <v>463</v>
      </c>
      <c r="J18" s="487" t="s">
        <v>464</v>
      </c>
      <c r="K18" s="799" t="s">
        <v>465</v>
      </c>
      <c r="L18" s="798" t="s">
        <v>60</v>
      </c>
      <c r="M18" s="797" t="s">
        <v>61</v>
      </c>
      <c r="N18" s="488" t="s">
        <v>62</v>
      </c>
      <c r="O18" s="1501" t="s">
        <v>466</v>
      </c>
      <c r="P18" s="489" t="s">
        <v>64</v>
      </c>
      <c r="Q18" s="489" t="s">
        <v>65</v>
      </c>
      <c r="R18" s="489"/>
      <c r="S18" s="490" t="s">
        <v>26</v>
      </c>
      <c r="T18" s="491" t="s">
        <v>301</v>
      </c>
      <c r="U18" s="492" t="s">
        <v>302</v>
      </c>
      <c r="V18" s="493"/>
      <c r="W18" s="1033" t="s">
        <v>467</v>
      </c>
      <c r="X18" s="1034" t="s">
        <v>230</v>
      </c>
      <c r="Y18" s="1035" t="s">
        <v>231</v>
      </c>
      <c r="Z18" s="1036" t="s">
        <v>47</v>
      </c>
      <c r="AA18" s="1037" t="s">
        <v>232</v>
      </c>
      <c r="AB18" s="1038" t="s">
        <v>233</v>
      </c>
      <c r="AC18" s="1039" t="s">
        <v>43</v>
      </c>
      <c r="AD18" s="1040" t="s">
        <v>234</v>
      </c>
      <c r="AE18" s="983"/>
      <c r="AF18" s="984"/>
      <c r="AG18" s="267" t="s">
        <v>468</v>
      </c>
      <c r="AH18" s="985"/>
      <c r="AI18" s="267" t="s">
        <v>468</v>
      </c>
      <c r="AJ18" s="836"/>
    </row>
    <row r="19" spans="1:36" ht="50" customHeight="1">
      <c r="A19" s="831"/>
      <c r="B19" s="831" t="s">
        <v>469</v>
      </c>
      <c r="C19" s="831" t="s">
        <v>470</v>
      </c>
      <c r="D19" s="967" t="s">
        <v>72</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08.5" customHeight="1">
      <c r="D20" s="175">
        <v>0</v>
      </c>
      <c r="E20" s="175" t="s">
        <v>471</v>
      </c>
      <c r="F20" s="577" t="s">
        <v>472</v>
      </c>
      <c r="G20" s="501"/>
      <c r="H20" s="178" t="s">
        <v>73</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473</v>
      </c>
      <c r="C21" s="825"/>
      <c r="D21" s="175">
        <v>1</v>
      </c>
      <c r="E21" s="175" t="s">
        <v>474</v>
      </c>
      <c r="F21" s="577" t="s">
        <v>475</v>
      </c>
      <c r="G21" s="501"/>
      <c r="H21" s="480" t="s">
        <v>476</v>
      </c>
      <c r="I21" s="881"/>
      <c r="J21" s="184"/>
      <c r="K21" s="198"/>
      <c r="L21" s="536"/>
      <c r="M21" s="556"/>
      <c r="N21" s="784" t="s">
        <v>76</v>
      </c>
      <c r="O21" s="1503"/>
      <c r="P21" s="298"/>
      <c r="Q21" s="298"/>
      <c r="R21" s="298"/>
      <c r="S21" s="164" t="s">
        <v>477</v>
      </c>
      <c r="T21" s="345" t="s">
        <v>477</v>
      </c>
      <c r="U21" s="346" t="s">
        <v>477</v>
      </c>
      <c r="V21" s="153" t="s">
        <v>478</v>
      </c>
      <c r="W21" s="416"/>
      <c r="X21" s="416"/>
      <c r="AE21" s="500" t="s">
        <v>479</v>
      </c>
      <c r="AF21" s="986" t="s">
        <v>480</v>
      </c>
      <c r="AH21" s="983"/>
      <c r="AI21" s="834"/>
      <c r="AJ21" s="836"/>
    </row>
    <row r="22" spans="1:36" ht="192" customHeight="1">
      <c r="C22" s="825" t="s">
        <v>481</v>
      </c>
      <c r="D22" s="175">
        <v>2</v>
      </c>
      <c r="E22" s="175" t="s">
        <v>482</v>
      </c>
      <c r="F22" s="577" t="s">
        <v>483</v>
      </c>
      <c r="G22" s="832"/>
      <c r="H22" s="480"/>
      <c r="I22" s="881"/>
      <c r="J22" s="184"/>
      <c r="K22" s="198"/>
      <c r="L22" s="536"/>
      <c r="M22" s="556"/>
      <c r="N22" s="784" t="s">
        <v>484</v>
      </c>
      <c r="O22" s="1503"/>
      <c r="P22" s="298"/>
      <c r="Q22" s="298"/>
      <c r="R22" s="298"/>
      <c r="S22" s="164"/>
      <c r="T22" s="345"/>
      <c r="U22" s="346"/>
      <c r="V22" s="153"/>
      <c r="W22" s="416"/>
      <c r="X22" s="416"/>
      <c r="AE22" s="500"/>
      <c r="AF22" s="986"/>
      <c r="AH22" s="983"/>
      <c r="AI22" s="834"/>
      <c r="AJ22" s="836"/>
    </row>
    <row r="23" spans="1:36" ht="96" customHeight="1">
      <c r="D23" s="175">
        <v>3</v>
      </c>
      <c r="E23" s="175" t="s">
        <v>485</v>
      </c>
      <c r="F23" s="577" t="s">
        <v>486</v>
      </c>
      <c r="G23" s="501" t="s">
        <v>487</v>
      </c>
      <c r="H23" s="478" t="s">
        <v>488</v>
      </c>
      <c r="I23" s="882"/>
      <c r="J23" s="177"/>
      <c r="K23" s="197"/>
      <c r="L23" s="195"/>
      <c r="M23" s="555"/>
      <c r="N23" s="111" t="s">
        <v>76</v>
      </c>
      <c r="O23" s="1502"/>
      <c r="P23" s="299"/>
      <c r="Q23" s="299"/>
      <c r="R23" s="299"/>
      <c r="S23" s="164" t="s">
        <v>477</v>
      </c>
      <c r="T23" s="345" t="s">
        <v>477</v>
      </c>
      <c r="U23" s="346" t="s">
        <v>477</v>
      </c>
      <c r="V23" s="153" t="s">
        <v>478</v>
      </c>
      <c r="W23" s="416"/>
      <c r="X23" s="416"/>
      <c r="AE23" s="500"/>
      <c r="AF23" s="984"/>
      <c r="AG23" s="984"/>
      <c r="AH23" s="500" t="s">
        <v>5</v>
      </c>
      <c r="AI23" s="834"/>
      <c r="AJ23" s="835" t="s">
        <v>489</v>
      </c>
    </row>
    <row r="24" spans="1:36" ht="97" customHeight="1">
      <c r="D24" s="175">
        <v>4</v>
      </c>
      <c r="E24" s="175" t="s">
        <v>490</v>
      </c>
      <c r="F24" s="577" t="s">
        <v>491</v>
      </c>
      <c r="G24" s="501" t="s">
        <v>492</v>
      </c>
      <c r="H24" s="478" t="s">
        <v>493</v>
      </c>
      <c r="I24" s="882"/>
      <c r="J24" s="177"/>
      <c r="K24" s="197"/>
      <c r="L24" s="195"/>
      <c r="M24" s="555"/>
      <c r="N24" s="111" t="s">
        <v>76</v>
      </c>
      <c r="O24" s="1502"/>
      <c r="P24" s="299"/>
      <c r="Q24" s="299"/>
      <c r="R24" s="299"/>
      <c r="S24" s="164" t="s">
        <v>477</v>
      </c>
      <c r="T24" s="345" t="s">
        <v>477</v>
      </c>
      <c r="U24" s="346" t="s">
        <v>477</v>
      </c>
      <c r="V24" s="153" t="s">
        <v>478</v>
      </c>
      <c r="W24" s="416"/>
      <c r="X24" s="416"/>
      <c r="AE24" s="500"/>
      <c r="AF24" s="986"/>
      <c r="AG24" s="986"/>
      <c r="AH24" s="500" t="s">
        <v>5</v>
      </c>
      <c r="AI24" s="834"/>
      <c r="AJ24" s="986" t="s">
        <v>494</v>
      </c>
    </row>
    <row r="25" spans="1:36" ht="95" customHeight="1">
      <c r="D25" s="175">
        <v>5</v>
      </c>
      <c r="E25" s="175" t="s">
        <v>495</v>
      </c>
      <c r="F25" s="577" t="s">
        <v>496</v>
      </c>
      <c r="G25" s="577" t="s">
        <v>496</v>
      </c>
      <c r="H25" s="940" t="s">
        <v>80</v>
      </c>
      <c r="I25" s="941"/>
      <c r="J25" s="177"/>
      <c r="K25" s="197"/>
      <c r="L25" s="195"/>
      <c r="M25" s="555"/>
      <c r="N25" s="111" t="s">
        <v>76</v>
      </c>
      <c r="O25" s="1502"/>
      <c r="P25" s="299"/>
      <c r="Q25" s="299"/>
      <c r="R25" s="299"/>
      <c r="S25" s="164"/>
      <c r="T25" s="345"/>
      <c r="U25" s="346"/>
      <c r="V25" s="153"/>
      <c r="W25" s="416"/>
      <c r="X25" s="416"/>
      <c r="AE25" s="500"/>
      <c r="AF25" s="986"/>
      <c r="AG25" s="986"/>
      <c r="AH25" s="983"/>
      <c r="AI25" s="834"/>
      <c r="AJ25" s="836"/>
    </row>
    <row r="26" spans="1:36" ht="79" customHeight="1">
      <c r="D26" s="175">
        <v>6</v>
      </c>
      <c r="E26" s="175" t="s">
        <v>497</v>
      </c>
      <c r="F26" s="577" t="s">
        <v>498</v>
      </c>
      <c r="G26" s="577" t="s">
        <v>498</v>
      </c>
      <c r="H26" s="176"/>
      <c r="I26" s="183"/>
      <c r="J26" s="177"/>
      <c r="K26" s="197"/>
      <c r="L26" s="195"/>
      <c r="M26" s="555"/>
      <c r="N26" s="111" t="s">
        <v>76</v>
      </c>
      <c r="O26" s="1502"/>
      <c r="P26" s="299"/>
      <c r="Q26" s="299"/>
      <c r="R26" s="299"/>
      <c r="S26" s="164" t="s">
        <v>477</v>
      </c>
      <c r="T26" s="345" t="s">
        <v>477</v>
      </c>
      <c r="U26" s="346" t="s">
        <v>477</v>
      </c>
      <c r="V26" s="153" t="s">
        <v>478</v>
      </c>
      <c r="W26" s="416"/>
      <c r="X26" s="416"/>
      <c r="AE26" s="500" t="s">
        <v>479</v>
      </c>
      <c r="AF26" s="986" t="s">
        <v>499</v>
      </c>
      <c r="AG26" s="986"/>
      <c r="AH26" s="983"/>
      <c r="AI26" s="834"/>
      <c r="AJ26" s="836"/>
    </row>
    <row r="27" spans="1:36" ht="98" customHeight="1">
      <c r="D27" s="175">
        <v>7</v>
      </c>
      <c r="E27" s="175" t="s">
        <v>500</v>
      </c>
      <c r="F27" s="577" t="s">
        <v>501</v>
      </c>
      <c r="G27" s="577" t="s">
        <v>502</v>
      </c>
      <c r="H27" s="478" t="s">
        <v>503</v>
      </c>
      <c r="I27" s="882"/>
      <c r="J27" s="177"/>
      <c r="K27" s="197"/>
      <c r="L27" s="195"/>
      <c r="M27" s="555"/>
      <c r="N27" s="111" t="s">
        <v>76</v>
      </c>
      <c r="O27" s="1494"/>
      <c r="P27" s="299"/>
      <c r="Q27" s="299"/>
      <c r="R27" s="299"/>
      <c r="S27" s="164" t="s">
        <v>477</v>
      </c>
      <c r="T27" s="345" t="s">
        <v>477</v>
      </c>
      <c r="U27" s="346" t="s">
        <v>477</v>
      </c>
      <c r="V27" s="153" t="s">
        <v>478</v>
      </c>
      <c r="W27" s="416"/>
      <c r="X27" s="416"/>
      <c r="AE27" s="500"/>
      <c r="AF27" s="986"/>
      <c r="AH27" s="983"/>
      <c r="AI27" s="834"/>
      <c r="AJ27" s="986" t="s">
        <v>504</v>
      </c>
    </row>
    <row r="28" spans="1:36" ht="71" customHeight="1">
      <c r="D28" s="175">
        <v>8</v>
      </c>
      <c r="E28" s="175" t="s">
        <v>505</v>
      </c>
      <c r="F28" s="577" t="s">
        <v>506</v>
      </c>
      <c r="G28" s="577" t="s">
        <v>507</v>
      </c>
      <c r="H28" s="478" t="s">
        <v>503</v>
      </c>
      <c r="I28" s="882"/>
      <c r="J28" s="177"/>
      <c r="K28" s="197"/>
      <c r="L28" s="195"/>
      <c r="M28" s="555"/>
      <c r="N28" s="111" t="s">
        <v>76</v>
      </c>
      <c r="O28" s="1494"/>
      <c r="P28" s="299"/>
      <c r="Q28" s="299"/>
      <c r="R28" s="299"/>
      <c r="S28" s="164" t="s">
        <v>477</v>
      </c>
      <c r="T28" s="345" t="s">
        <v>477</v>
      </c>
      <c r="U28" s="346" t="s">
        <v>477</v>
      </c>
      <c r="V28" s="153" t="s">
        <v>478</v>
      </c>
      <c r="W28" s="416"/>
      <c r="X28" s="416"/>
      <c r="AE28" s="500"/>
      <c r="AF28" s="986"/>
      <c r="AG28" s="984"/>
      <c r="AH28" s="983"/>
      <c r="AI28" s="834"/>
      <c r="AJ28" s="836"/>
    </row>
    <row r="29" spans="1:36" ht="57" customHeight="1">
      <c r="B29" s="1493"/>
      <c r="D29" s="175">
        <v>9</v>
      </c>
      <c r="E29" s="175" t="s">
        <v>508</v>
      </c>
      <c r="F29" s="577" t="s">
        <v>509</v>
      </c>
      <c r="G29" s="577" t="s">
        <v>510</v>
      </c>
      <c r="H29" s="220"/>
      <c r="I29" s="883"/>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7" t="s">
        <v>513</v>
      </c>
      <c r="AI29" s="834"/>
      <c r="AJ29" s="836"/>
    </row>
    <row r="30" spans="1:36" ht="51" customHeight="1">
      <c r="B30" s="99" t="s">
        <v>514</v>
      </c>
      <c r="D30" s="175">
        <v>10</v>
      </c>
      <c r="E30" s="118" t="s">
        <v>515</v>
      </c>
      <c r="F30" s="274" t="s">
        <v>516</v>
      </c>
      <c r="G30" s="274" t="s">
        <v>517</v>
      </c>
      <c r="H30" s="97"/>
      <c r="I30" s="884"/>
      <c r="J30" s="99"/>
      <c r="K30" s="199"/>
      <c r="L30" s="547"/>
      <c r="M30" s="557"/>
      <c r="N30" s="111" t="s">
        <v>87</v>
      </c>
      <c r="O30" s="1494"/>
      <c r="P30" s="299"/>
      <c r="Q30" s="299"/>
      <c r="R30" s="299"/>
      <c r="S30" s="164" t="s">
        <v>477</v>
      </c>
      <c r="T30" s="345" t="s">
        <v>477</v>
      </c>
      <c r="U30" s="346" t="s">
        <v>477</v>
      </c>
      <c r="V30" s="153" t="s">
        <v>478</v>
      </c>
      <c r="W30" s="416"/>
      <c r="X30" s="416"/>
      <c r="Y30" s="139"/>
      <c r="AE30" s="500"/>
      <c r="AF30" s="984"/>
      <c r="AG30" s="984"/>
      <c r="AH30" s="983"/>
      <c r="AI30" s="834"/>
      <c r="AJ30" s="836"/>
    </row>
    <row r="31" spans="1:36" ht="59" customHeight="1">
      <c r="B31" s="99" t="s">
        <v>518</v>
      </c>
      <c r="D31" s="175">
        <v>11</v>
      </c>
      <c r="E31" s="118" t="s">
        <v>519</v>
      </c>
      <c r="F31" s="274" t="s">
        <v>520</v>
      </c>
      <c r="G31" s="274" t="s">
        <v>521</v>
      </c>
      <c r="H31" s="97"/>
      <c r="I31" s="884"/>
      <c r="J31" s="99"/>
      <c r="K31" s="199"/>
      <c r="L31" s="539">
        <v>2</v>
      </c>
      <c r="M31" s="557"/>
      <c r="N31" s="111" t="s">
        <v>84</v>
      </c>
      <c r="O31" s="1517" t="s">
        <v>440</v>
      </c>
      <c r="P31" s="305">
        <f>Test_Bible!P56</f>
        <v>0</v>
      </c>
      <c r="Q31" s="305">
        <f>Test_Bible!Q56</f>
        <v>0</v>
      </c>
      <c r="R31" s="305"/>
      <c r="S31" s="164" t="s">
        <v>477</v>
      </c>
      <c r="T31" s="345" t="s">
        <v>477</v>
      </c>
      <c r="U31" s="346" t="s">
        <v>477</v>
      </c>
      <c r="V31" s="154" t="s">
        <v>232</v>
      </c>
      <c r="W31" s="417"/>
      <c r="X31" s="417"/>
      <c r="AE31" s="983"/>
      <c r="AF31" s="984"/>
      <c r="AG31" s="984"/>
      <c r="AH31" s="837" t="s">
        <v>513</v>
      </c>
      <c r="AI31" s="834"/>
      <c r="AJ31" s="836"/>
    </row>
    <row r="32" spans="1:36" ht="59" customHeight="1">
      <c r="B32" s="99" t="s">
        <v>514</v>
      </c>
      <c r="D32" s="175">
        <v>12</v>
      </c>
      <c r="E32" s="118" t="s">
        <v>522</v>
      </c>
      <c r="F32" s="274" t="s">
        <v>523</v>
      </c>
      <c r="G32" s="274" t="s">
        <v>524</v>
      </c>
      <c r="H32" s="97"/>
      <c r="I32" s="884"/>
      <c r="J32" s="99"/>
      <c r="K32" s="199"/>
      <c r="L32" s="539">
        <v>2</v>
      </c>
      <c r="M32" s="557"/>
      <c r="N32" s="111" t="s">
        <v>84</v>
      </c>
      <c r="O32" s="1517" t="s">
        <v>440</v>
      </c>
      <c r="P32" s="305">
        <f>Test_Bible!P57</f>
        <v>0</v>
      </c>
      <c r="Q32" s="305">
        <f>Test_Bible!Q57</f>
        <v>0</v>
      </c>
      <c r="R32" s="305"/>
      <c r="S32" s="164" t="s">
        <v>477</v>
      </c>
      <c r="T32" s="345" t="s">
        <v>477</v>
      </c>
      <c r="U32" s="346" t="s">
        <v>477</v>
      </c>
      <c r="V32" s="154" t="s">
        <v>232</v>
      </c>
      <c r="W32" s="418"/>
      <c r="X32" s="418"/>
      <c r="AE32" s="983"/>
      <c r="AF32" s="984"/>
      <c r="AG32" s="984"/>
      <c r="AH32" s="983"/>
      <c r="AI32" s="834"/>
      <c r="AJ32" s="836"/>
    </row>
    <row r="33" spans="2:47" ht="125" customHeight="1" thickBot="1">
      <c r="B33" s="1491"/>
      <c r="D33" s="175">
        <v>13</v>
      </c>
      <c r="E33" s="118" t="s">
        <v>525</v>
      </c>
      <c r="F33" s="274" t="s">
        <v>526</v>
      </c>
      <c r="G33" s="1318" t="s">
        <v>527</v>
      </c>
      <c r="H33" s="1381" t="s">
        <v>528</v>
      </c>
      <c r="I33" s="884"/>
      <c r="J33" s="99"/>
      <c r="K33" s="199"/>
      <c r="L33" s="547"/>
      <c r="M33" s="557"/>
      <c r="N33" s="786" t="s">
        <v>88</v>
      </c>
      <c r="O33" s="1502"/>
      <c r="P33" s="299"/>
      <c r="Q33" s="299"/>
      <c r="R33" s="299"/>
      <c r="S33" s="164" t="s">
        <v>477</v>
      </c>
      <c r="T33" s="345" t="s">
        <v>477</v>
      </c>
      <c r="U33" s="346" t="s">
        <v>477</v>
      </c>
      <c r="V33" s="154" t="s">
        <v>232</v>
      </c>
      <c r="W33" s="418"/>
      <c r="X33" s="418"/>
      <c r="AE33" s="500" t="s">
        <v>479</v>
      </c>
      <c r="AF33" s="986" t="s">
        <v>529</v>
      </c>
      <c r="AH33" s="500" t="s">
        <v>5</v>
      </c>
      <c r="AJ33" s="267" t="s">
        <v>530</v>
      </c>
    </row>
    <row r="34" spans="2:47" ht="128" customHeight="1">
      <c r="B34" s="99" t="s">
        <v>531</v>
      </c>
      <c r="D34" s="175">
        <v>14</v>
      </c>
      <c r="E34" s="118" t="s">
        <v>532</v>
      </c>
      <c r="F34" s="274" t="s">
        <v>533</v>
      </c>
      <c r="G34" s="274" t="s">
        <v>534</v>
      </c>
      <c r="H34" s="1381" t="s">
        <v>535</v>
      </c>
      <c r="I34" s="885"/>
      <c r="J34" s="99"/>
      <c r="K34" s="199"/>
      <c r="L34" s="547"/>
      <c r="M34" s="558"/>
      <c r="N34" s="785" t="s">
        <v>88</v>
      </c>
      <c r="O34" s="1502"/>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4"/>
      <c r="J35" s="99"/>
      <c r="K35" s="199"/>
      <c r="L35" s="547"/>
      <c r="M35" s="557"/>
      <c r="N35" s="111" t="s">
        <v>539</v>
      </c>
      <c r="O35" s="1502"/>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6"/>
      <c r="J36" s="99"/>
      <c r="K36" s="199"/>
      <c r="L36" s="547"/>
      <c r="M36" s="557"/>
      <c r="N36" s="111" t="s">
        <v>87</v>
      </c>
      <c r="O36" s="1502"/>
      <c r="P36" s="299"/>
      <c r="Q36" s="299"/>
      <c r="R36" s="299"/>
      <c r="S36" s="164" t="s">
        <v>477</v>
      </c>
      <c r="T36" s="345" t="s">
        <v>477</v>
      </c>
      <c r="U36" s="346" t="s">
        <v>477</v>
      </c>
      <c r="V36" s="154"/>
      <c r="W36" s="418"/>
      <c r="X36" s="418"/>
      <c r="AE36" s="500" t="s">
        <v>479</v>
      </c>
      <c r="AF36" s="986" t="s">
        <v>529</v>
      </c>
      <c r="AG36" s="986"/>
      <c r="AH36" s="500"/>
      <c r="AJ36" s="500"/>
    </row>
    <row r="37" spans="2:47" ht="135" customHeight="1" thickBot="1">
      <c r="B37" s="99" t="s">
        <v>540</v>
      </c>
      <c r="D37" s="175">
        <v>17</v>
      </c>
      <c r="E37" s="118" t="s">
        <v>544</v>
      </c>
      <c r="F37" s="274" t="s">
        <v>545</v>
      </c>
      <c r="G37" s="503" t="s">
        <v>546</v>
      </c>
      <c r="H37" s="514" t="s">
        <v>90</v>
      </c>
      <c r="I37" s="887"/>
      <c r="J37" s="99"/>
      <c r="K37" s="120"/>
      <c r="L37" s="548"/>
      <c r="M37" s="558"/>
      <c r="N37" s="786" t="s">
        <v>88</v>
      </c>
      <c r="O37" s="1504"/>
      <c r="P37" s="320"/>
      <c r="Q37" s="320"/>
      <c r="R37" s="320"/>
      <c r="S37" s="164" t="s">
        <v>477</v>
      </c>
      <c r="T37" s="345" t="s">
        <v>477</v>
      </c>
      <c r="U37" s="346" t="s">
        <v>477</v>
      </c>
      <c r="V37" s="364"/>
      <c r="W37" s="418"/>
      <c r="X37" s="418"/>
      <c r="AE37" s="500" t="s">
        <v>479</v>
      </c>
      <c r="AF37" s="986" t="s">
        <v>547</v>
      </c>
      <c r="AG37" s="986" t="s">
        <v>548</v>
      </c>
      <c r="AH37" s="500"/>
      <c r="AI37" s="987" t="s">
        <v>549</v>
      </c>
      <c r="AJ37" s="109" t="s">
        <v>548</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550</v>
      </c>
      <c r="AJ38" s="500"/>
    </row>
    <row r="39" spans="2:47" ht="40" customHeight="1" thickBot="1">
      <c r="D39" s="149" t="s">
        <v>551</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39" customHeight="1">
      <c r="D40" s="149">
        <v>0</v>
      </c>
      <c r="E40" s="119" t="s">
        <v>552</v>
      </c>
      <c r="F40" s="833" t="s">
        <v>553</v>
      </c>
      <c r="G40" s="833" t="s">
        <v>554</v>
      </c>
      <c r="H40" s="104"/>
      <c r="I40" s="889"/>
      <c r="J40" s="108" t="s">
        <v>555</v>
      </c>
      <c r="K40" s="1578"/>
      <c r="L40" s="549">
        <v>1</v>
      </c>
      <c r="M40" s="559"/>
      <c r="N40" s="783" t="s">
        <v>103</v>
      </c>
      <c r="O40" s="781"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3"/>
      <c r="AF40" s="984"/>
      <c r="AG40" s="984"/>
      <c r="AH40" s="837" t="s">
        <v>557</v>
      </c>
      <c r="AI40" s="834"/>
      <c r="AJ40" s="836"/>
      <c r="AU40" s="978" t="s">
        <v>467</v>
      </c>
    </row>
    <row r="41" spans="2:47" s="7" customFormat="1" ht="46.5" customHeight="1">
      <c r="D41" s="149">
        <v>1</v>
      </c>
      <c r="E41" s="119" t="s">
        <v>558</v>
      </c>
      <c r="F41" s="530" t="s">
        <v>559</v>
      </c>
      <c r="G41" s="530" t="s">
        <v>560</v>
      </c>
      <c r="H41" s="104"/>
      <c r="I41" s="889"/>
      <c r="J41" s="108" t="s">
        <v>555</v>
      </c>
      <c r="K41" s="1578"/>
      <c r="L41" s="549">
        <v>1</v>
      </c>
      <c r="M41" s="559"/>
      <c r="N41" s="112" t="s">
        <v>103</v>
      </c>
      <c r="O41" s="781"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3"/>
      <c r="AF41" s="984"/>
      <c r="AG41" s="984"/>
      <c r="AH41" s="983"/>
      <c r="AI41" s="834"/>
      <c r="AJ41" s="836"/>
      <c r="AU41" s="7" t="s">
        <v>230</v>
      </c>
    </row>
    <row r="42" spans="2:47" s="7" customFormat="1" ht="31" customHeight="1">
      <c r="D42" s="149">
        <v>2</v>
      </c>
      <c r="E42" s="119" t="s">
        <v>561</v>
      </c>
      <c r="F42" s="530" t="s">
        <v>562</v>
      </c>
      <c r="G42" s="530" t="s">
        <v>563</v>
      </c>
      <c r="H42" s="104"/>
      <c r="I42" s="889"/>
      <c r="J42" s="108" t="s">
        <v>555</v>
      </c>
      <c r="K42" s="1578">
        <v>6</v>
      </c>
      <c r="L42" s="549">
        <v>1</v>
      </c>
      <c r="M42" s="559"/>
      <c r="N42" s="112" t="s">
        <v>103</v>
      </c>
      <c r="O42" s="781"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3"/>
      <c r="AF42" s="984"/>
      <c r="AG42" s="984"/>
      <c r="AH42" s="983"/>
      <c r="AI42" s="834"/>
      <c r="AJ42" s="836"/>
      <c r="AU42" s="7" t="s">
        <v>231</v>
      </c>
    </row>
    <row r="43" spans="2:47" s="7" customFormat="1" ht="64" customHeight="1">
      <c r="B43" s="99" t="s">
        <v>564</v>
      </c>
      <c r="D43" s="149">
        <v>3</v>
      </c>
      <c r="E43" s="118" t="s">
        <v>565</v>
      </c>
      <c r="F43" s="274" t="s">
        <v>566</v>
      </c>
      <c r="G43" s="274" t="s">
        <v>567</v>
      </c>
      <c r="H43" s="97"/>
      <c r="I43" s="884"/>
      <c r="J43" s="108" t="s">
        <v>555</v>
      </c>
      <c r="K43" s="1578">
        <v>5</v>
      </c>
      <c r="L43" s="549">
        <v>1</v>
      </c>
      <c r="M43" s="559"/>
      <c r="N43" s="112" t="s">
        <v>103</v>
      </c>
      <c r="O43" s="781"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6" t="s">
        <v>568</v>
      </c>
      <c r="AG43" s="986"/>
      <c r="AH43" s="500" t="s">
        <v>5</v>
      </c>
      <c r="AI43" s="263"/>
      <c r="AJ43" s="986" t="s">
        <v>569</v>
      </c>
      <c r="AU43" s="7" t="s">
        <v>47</v>
      </c>
    </row>
    <row r="44" spans="2:47" s="7" customFormat="1" ht="48" customHeight="1">
      <c r="B44" s="99" t="s">
        <v>570</v>
      </c>
      <c r="D44" s="149">
        <v>4</v>
      </c>
      <c r="E44" s="118" t="s">
        <v>571</v>
      </c>
      <c r="F44" s="274" t="s">
        <v>572</v>
      </c>
      <c r="G44" s="274" t="s">
        <v>573</v>
      </c>
      <c r="H44" s="97"/>
      <c r="I44" s="889"/>
      <c r="J44" s="108" t="s">
        <v>555</v>
      </c>
      <c r="K44" s="1578"/>
      <c r="L44" s="549">
        <v>1</v>
      </c>
      <c r="M44" s="559"/>
      <c r="N44" s="112" t="s">
        <v>103</v>
      </c>
      <c r="O44" s="781"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3"/>
      <c r="AF44" s="984"/>
      <c r="AG44" s="984"/>
      <c r="AH44" s="983"/>
      <c r="AI44" s="834"/>
      <c r="AJ44" s="836"/>
      <c r="AU44" s="7" t="s">
        <v>232</v>
      </c>
    </row>
    <row r="45" spans="2:47" s="7" customFormat="1" ht="48" customHeight="1">
      <c r="D45" s="149">
        <v>7</v>
      </c>
      <c r="E45" s="119" t="s">
        <v>574</v>
      </c>
      <c r="F45" s="530" t="s">
        <v>575</v>
      </c>
      <c r="G45" s="530" t="s">
        <v>576</v>
      </c>
      <c r="H45" s="104"/>
      <c r="I45" s="889"/>
      <c r="J45" s="108" t="s">
        <v>555</v>
      </c>
      <c r="K45" s="1266">
        <v>2</v>
      </c>
      <c r="L45" s="539">
        <v>2</v>
      </c>
      <c r="M45" s="559"/>
      <c r="N45" s="559" t="s">
        <v>92</v>
      </c>
      <c r="O45" s="1518"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6"/>
      <c r="AG45" s="984"/>
      <c r="AH45" s="500" t="s">
        <v>5</v>
      </c>
      <c r="AI45" s="834"/>
      <c r="AJ45" s="986" t="s">
        <v>577</v>
      </c>
      <c r="AU45" s="7" t="s">
        <v>233</v>
      </c>
    </row>
    <row r="46" spans="2:47" s="7" customFormat="1" ht="31" customHeight="1">
      <c r="B46" s="99" t="s">
        <v>578</v>
      </c>
      <c r="D46" s="149">
        <v>8</v>
      </c>
      <c r="E46" s="118" t="s">
        <v>579</v>
      </c>
      <c r="F46" s="531" t="s">
        <v>580</v>
      </c>
      <c r="G46" s="531" t="s">
        <v>581</v>
      </c>
      <c r="H46" s="96"/>
      <c r="I46" s="890"/>
      <c r="J46" s="99" t="s">
        <v>582</v>
      </c>
      <c r="K46" s="199"/>
      <c r="L46" s="196">
        <v>3</v>
      </c>
      <c r="M46" s="559"/>
      <c r="N46" s="559" t="s">
        <v>92</v>
      </c>
      <c r="O46" s="1518"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3"/>
      <c r="AF46" s="984"/>
      <c r="AG46" s="984"/>
      <c r="AH46" s="983"/>
      <c r="AI46" s="834"/>
      <c r="AJ46" s="836"/>
      <c r="AU46" s="7" t="s">
        <v>43</v>
      </c>
    </row>
    <row r="47" spans="2:47" s="7" customFormat="1" ht="74" customHeight="1">
      <c r="D47" s="149">
        <v>5</v>
      </c>
      <c r="E47" s="119" t="s">
        <v>583</v>
      </c>
      <c r="F47" s="530" t="s">
        <v>584</v>
      </c>
      <c r="G47" s="530" t="s">
        <v>585</v>
      </c>
      <c r="H47" s="104"/>
      <c r="I47" s="889"/>
      <c r="J47" s="1589"/>
      <c r="K47" s="1266">
        <v>4</v>
      </c>
      <c r="L47" s="537">
        <v>1</v>
      </c>
      <c r="M47" s="559"/>
      <c r="N47" s="559" t="s">
        <v>443</v>
      </c>
      <c r="O47" s="1519"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6" t="s">
        <v>586</v>
      </c>
      <c r="AG47" s="986"/>
      <c r="AH47" s="500" t="s">
        <v>5</v>
      </c>
      <c r="AI47" s="834"/>
      <c r="AJ47" s="835" t="s">
        <v>587</v>
      </c>
      <c r="AU47" s="7" t="s">
        <v>234</v>
      </c>
    </row>
    <row r="48" spans="2:47" s="7" customFormat="1" ht="31" customHeight="1">
      <c r="B48" s="99" t="s">
        <v>588</v>
      </c>
      <c r="D48" s="149">
        <v>6</v>
      </c>
      <c r="E48" s="118" t="s">
        <v>589</v>
      </c>
      <c r="F48" s="531" t="s">
        <v>590</v>
      </c>
      <c r="G48" s="531" t="s">
        <v>591</v>
      </c>
      <c r="H48" s="96"/>
      <c r="I48" s="890"/>
      <c r="J48" s="99" t="s">
        <v>582</v>
      </c>
      <c r="K48" s="199"/>
      <c r="L48" s="539">
        <v>3</v>
      </c>
      <c r="M48" s="559"/>
      <c r="N48" s="559" t="s">
        <v>92</v>
      </c>
      <c r="O48" s="1518"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6"/>
      <c r="AG48" s="986"/>
      <c r="AH48" s="500"/>
      <c r="AI48" s="834"/>
      <c r="AJ48" s="835"/>
      <c r="AO48" s="25" t="s">
        <v>592</v>
      </c>
      <c r="AP48" s="68" t="s">
        <v>230</v>
      </c>
    </row>
    <row r="49" spans="1:58" s="82" customFormat="1" ht="40" customHeight="1">
      <c r="A49" s="939" t="s">
        <v>593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594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595</v>
      </c>
      <c r="F50" s="331" t="s">
        <v>596</v>
      </c>
      <c r="G50" s="330"/>
      <c r="H50" s="331"/>
      <c r="I50" s="331"/>
      <c r="J50" s="108" t="s">
        <v>555</v>
      </c>
      <c r="K50" s="200">
        <v>6</v>
      </c>
      <c r="L50" s="551">
        <v>1</v>
      </c>
      <c r="M50" s="551"/>
      <c r="N50" s="788" t="s">
        <v>597</v>
      </c>
      <c r="O50" s="781" t="s">
        <v>556</v>
      </c>
      <c r="Q50" s="6">
        <f>Test_Bible!Q110</f>
        <v>0</v>
      </c>
      <c r="S50" s="315" t="s">
        <v>477</v>
      </c>
      <c r="T50" s="339" t="s">
        <v>477</v>
      </c>
      <c r="U50" s="342" t="s">
        <v>477</v>
      </c>
      <c r="V50" s="654" t="s">
        <v>467</v>
      </c>
      <c r="W50" s="1033" t="s">
        <v>467</v>
      </c>
      <c r="X50" s="1034" t="s">
        <v>230</v>
      </c>
      <c r="Y50" s="1035" t="s">
        <v>231</v>
      </c>
      <c r="Z50" s="1036" t="s">
        <v>47</v>
      </c>
      <c r="AA50" s="1037" t="s">
        <v>232</v>
      </c>
      <c r="AB50" s="1038" t="s">
        <v>233</v>
      </c>
      <c r="AC50" s="1039" t="s">
        <v>43</v>
      </c>
      <c r="AD50" s="1040" t="s">
        <v>234</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9" t="s">
        <v>599</v>
      </c>
      <c r="D51" s="1605">
        <v>1</v>
      </c>
      <c r="E51" s="771" t="s">
        <v>600</v>
      </c>
      <c r="F51" s="331" t="s">
        <v>601</v>
      </c>
      <c r="G51" s="504" t="s">
        <v>602</v>
      </c>
      <c r="H51" s="225"/>
      <c r="I51" s="891"/>
      <c r="J51" s="187"/>
      <c r="K51" s="321">
        <v>2</v>
      </c>
      <c r="L51" s="1574">
        <v>1</v>
      </c>
      <c r="M51" s="1573">
        <v>0</v>
      </c>
      <c r="N51" s="787" t="s">
        <v>437</v>
      </c>
      <c r="O51" s="272" t="s">
        <v>438</v>
      </c>
      <c r="P51" s="322"/>
      <c r="Q51" s="322">
        <f>Test_Bible!Q112</f>
        <v>0</v>
      </c>
      <c r="R51" s="322" t="s">
        <v>603</v>
      </c>
      <c r="S51" s="1267">
        <v>0.5</v>
      </c>
      <c r="T51" s="1268">
        <v>0.5</v>
      </c>
      <c r="U51" s="1269">
        <v>0</v>
      </c>
      <c r="V51" s="646" t="s">
        <v>231</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5">
        <v>2</v>
      </c>
      <c r="E52" s="1620" t="s">
        <v>605</v>
      </c>
      <c r="F52" s="274" t="s">
        <v>606</v>
      </c>
      <c r="G52" s="505" t="s">
        <v>607</v>
      </c>
      <c r="H52" s="225"/>
      <c r="I52" s="891"/>
      <c r="J52" s="187"/>
      <c r="K52" s="321">
        <v>4</v>
      </c>
      <c r="L52" s="1574">
        <v>2</v>
      </c>
      <c r="M52" s="1573"/>
      <c r="N52" s="787" t="s">
        <v>92</v>
      </c>
      <c r="O52" s="272" t="s">
        <v>423</v>
      </c>
      <c r="P52" s="322"/>
      <c r="Q52" s="322">
        <f>Test_Bible!Q113</f>
        <v>0</v>
      </c>
      <c r="R52" s="322" t="s">
        <v>608</v>
      </c>
      <c r="S52" s="1267">
        <v>0.33</v>
      </c>
      <c r="T52" s="1268">
        <v>0.34</v>
      </c>
      <c r="U52" s="1269">
        <v>0.33</v>
      </c>
      <c r="V52" s="646" t="s">
        <v>231</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5">
        <v>3</v>
      </c>
      <c r="E53" s="1620" t="s">
        <v>610</v>
      </c>
      <c r="F53" s="838" t="s">
        <v>611</v>
      </c>
      <c r="G53" s="839" t="s">
        <v>612</v>
      </c>
      <c r="H53" s="225"/>
      <c r="I53" s="891"/>
      <c r="J53" s="187"/>
      <c r="K53" s="321"/>
      <c r="L53" s="1574">
        <v>3</v>
      </c>
      <c r="M53" s="1573"/>
      <c r="N53" s="787" t="s">
        <v>92</v>
      </c>
      <c r="O53" s="272" t="s">
        <v>423</v>
      </c>
      <c r="P53" s="322"/>
      <c r="Q53" s="322">
        <f>Test_Bible!Q114</f>
        <v>0</v>
      </c>
      <c r="R53" s="322" t="s">
        <v>613</v>
      </c>
      <c r="S53" s="1270">
        <v>0</v>
      </c>
      <c r="T53" s="1271">
        <v>0.5</v>
      </c>
      <c r="U53" s="1272">
        <v>0.5</v>
      </c>
      <c r="V53" s="647" t="s">
        <v>47</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5">
        <v>4</v>
      </c>
      <c r="E54" s="774" t="s">
        <v>614</v>
      </c>
      <c r="F54" s="274" t="s">
        <v>615</v>
      </c>
      <c r="G54" s="846" t="s">
        <v>616</v>
      </c>
      <c r="H54" s="262" t="s">
        <v>617</v>
      </c>
      <c r="I54" s="894"/>
      <c r="J54" s="222" t="s">
        <v>582</v>
      </c>
      <c r="K54" s="204"/>
      <c r="L54" s="1575"/>
      <c r="M54" s="1058"/>
      <c r="N54" s="788" t="s">
        <v>95</v>
      </c>
      <c r="O54" s="1520" t="s">
        <v>618</v>
      </c>
      <c r="P54" s="312"/>
      <c r="Q54" s="312"/>
      <c r="R54" s="312"/>
      <c r="S54" s="315" t="s">
        <v>477</v>
      </c>
      <c r="T54" s="339" t="s">
        <v>477</v>
      </c>
      <c r="U54" s="342" t="s">
        <v>477</v>
      </c>
      <c r="V54" s="647" t="s">
        <v>47</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C55" t="s">
        <v>620</v>
      </c>
      <c r="D55" s="1605">
        <v>12</v>
      </c>
      <c r="E55" s="771" t="s">
        <v>621</v>
      </c>
      <c r="F55" s="840" t="s">
        <v>622</v>
      </c>
      <c r="G55" s="841" t="s">
        <v>623</v>
      </c>
      <c r="H55" s="225"/>
      <c r="I55" s="891"/>
      <c r="J55" s="187" t="s">
        <v>124</v>
      </c>
      <c r="K55" s="201"/>
      <c r="L55" s="537">
        <v>1</v>
      </c>
      <c r="M55" s="537"/>
      <c r="N55" s="1624" t="s">
        <v>92</v>
      </c>
      <c r="O55" s="1517" t="s">
        <v>423</v>
      </c>
      <c r="P55" s="322"/>
      <c r="Q55" s="322">
        <f>Test_Bible!Q123</f>
        <v>0</v>
      </c>
      <c r="R55" s="322" t="s">
        <v>624</v>
      </c>
      <c r="S55" s="1270">
        <v>1</v>
      </c>
      <c r="T55" s="1271"/>
      <c r="U55" s="1272"/>
      <c r="V55" s="646" t="s">
        <v>231</v>
      </c>
      <c r="W55" s="1244"/>
      <c r="X55" s="1244"/>
      <c r="Y55" s="1244">
        <v>1</v>
      </c>
      <c r="Z55" s="1244"/>
      <c r="AA55" s="1244"/>
      <c r="AB55" s="1244"/>
      <c r="AC55" s="1244"/>
      <c r="AD55" s="1244"/>
      <c r="AE55" s="1245" t="s">
        <v>124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5">
        <v>9</v>
      </c>
      <c r="E56" s="771" t="s">
        <v>625</v>
      </c>
      <c r="F56" s="331" t="s">
        <v>626</v>
      </c>
      <c r="G56" s="482" t="s">
        <v>627</v>
      </c>
      <c r="H56" s="225"/>
      <c r="I56" s="891"/>
      <c r="J56" s="187"/>
      <c r="K56" s="201"/>
      <c r="L56" s="537">
        <v>1</v>
      </c>
      <c r="M56" s="537"/>
      <c r="N56" s="791" t="s">
        <v>84</v>
      </c>
      <c r="O56" s="1517" t="s">
        <v>440</v>
      </c>
      <c r="P56" s="311">
        <f>Test_Bible!P124</f>
        <v>0</v>
      </c>
      <c r="Q56" s="311">
        <f>Test_Bible!Q124</f>
        <v>0</v>
      </c>
      <c r="R56" s="311" t="s">
        <v>628</v>
      </c>
      <c r="S56" s="315">
        <v>1</v>
      </c>
      <c r="T56" s="339">
        <v>0</v>
      </c>
      <c r="U56" s="340">
        <v>0</v>
      </c>
      <c r="V56" s="646" t="s">
        <v>231</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5">
        <v>16</v>
      </c>
      <c r="E57" s="772" t="s">
        <v>629</v>
      </c>
      <c r="F57" s="331" t="s">
        <v>630</v>
      </c>
      <c r="G57" s="844" t="s">
        <v>631</v>
      </c>
      <c r="H57" s="226"/>
      <c r="I57" s="892"/>
      <c r="J57" s="188"/>
      <c r="K57" s="202"/>
      <c r="L57" s="537">
        <v>1</v>
      </c>
      <c r="M57" s="537"/>
      <c r="N57" s="788" t="s">
        <v>92</v>
      </c>
      <c r="O57" s="272" t="s">
        <v>423</v>
      </c>
      <c r="P57" s="311">
        <f>Test_Bible!P125</f>
        <v>0</v>
      </c>
      <c r="Q57" s="311">
        <f>Test_Bible!Q125</f>
        <v>0</v>
      </c>
      <c r="R57" s="311" t="s">
        <v>632</v>
      </c>
      <c r="S57" s="316">
        <v>0</v>
      </c>
      <c r="T57" s="317">
        <v>0</v>
      </c>
      <c r="U57" s="318">
        <v>1</v>
      </c>
      <c r="V57" s="646" t="s">
        <v>231</v>
      </c>
      <c r="W57" s="423"/>
      <c r="X57" s="423"/>
      <c r="Y57" s="411">
        <v>1</v>
      </c>
      <c r="Z57" s="424"/>
      <c r="AA57" s="42"/>
      <c r="AB57" s="42"/>
      <c r="AC57" s="42"/>
      <c r="AD57" s="42"/>
      <c r="AE57" s="500"/>
      <c r="AF57" s="979"/>
      <c r="AG57" s="979"/>
      <c r="AH57" s="992" t="s">
        <v>5</v>
      </c>
      <c r="AI57" s="834"/>
      <c r="AJ57" s="835"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5">
        <v>17</v>
      </c>
      <c r="E58" s="773" t="s">
        <v>634</v>
      </c>
      <c r="F58" s="331" t="s">
        <v>635</v>
      </c>
      <c r="G58" s="845" t="s">
        <v>636</v>
      </c>
      <c r="H58" s="228"/>
      <c r="I58" s="893"/>
      <c r="J58" s="221"/>
      <c r="K58" s="203">
        <v>2</v>
      </c>
      <c r="L58" s="537">
        <v>1</v>
      </c>
      <c r="M58" s="537"/>
      <c r="N58" s="788" t="s">
        <v>92</v>
      </c>
      <c r="O58" s="272" t="s">
        <v>423</v>
      </c>
      <c r="P58" s="311">
        <f>Test_Bible!P126</f>
        <v>0</v>
      </c>
      <c r="Q58" s="311">
        <f>Test_Bible!Q126</f>
        <v>0</v>
      </c>
      <c r="R58" s="311" t="s">
        <v>637</v>
      </c>
      <c r="S58" s="315">
        <v>1</v>
      </c>
      <c r="T58" s="339">
        <v>0</v>
      </c>
      <c r="U58" s="342">
        <v>0</v>
      </c>
      <c r="V58" s="647" t="s">
        <v>47</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5">
        <v>18</v>
      </c>
      <c r="E59" s="774" t="s">
        <v>640</v>
      </c>
      <c r="F59" s="274" t="s">
        <v>641</v>
      </c>
      <c r="G59" s="846" t="s">
        <v>616</v>
      </c>
      <c r="H59" s="262" t="s">
        <v>642</v>
      </c>
      <c r="I59" s="894"/>
      <c r="J59" s="222" t="s">
        <v>582</v>
      </c>
      <c r="K59" s="204"/>
      <c r="L59" s="1577"/>
      <c r="M59" s="1576"/>
      <c r="N59" s="788" t="s">
        <v>95</v>
      </c>
      <c r="O59" s="1520" t="s">
        <v>643</v>
      </c>
      <c r="P59" s="312"/>
      <c r="Q59" s="312"/>
      <c r="R59" s="312"/>
      <c r="S59" s="315" t="s">
        <v>477</v>
      </c>
      <c r="T59" s="339" t="s">
        <v>477</v>
      </c>
      <c r="U59" s="342" t="s">
        <v>477</v>
      </c>
      <c r="V59" s="647" t="s">
        <v>47</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5">
        <v>19</v>
      </c>
      <c r="E60" s="775" t="s">
        <v>644</v>
      </c>
      <c r="F60" s="331" t="s">
        <v>645</v>
      </c>
      <c r="G60" s="847" t="s">
        <v>646</v>
      </c>
      <c r="H60" s="228"/>
      <c r="I60" s="893"/>
      <c r="J60" s="186"/>
      <c r="K60" s="201"/>
      <c r="L60" s="537">
        <v>1</v>
      </c>
      <c r="M60" s="537"/>
      <c r="N60" s="791" t="s">
        <v>92</v>
      </c>
      <c r="O60" s="1517" t="s">
        <v>423</v>
      </c>
      <c r="P60" s="311">
        <f>Test_Bible!P134</f>
        <v>0</v>
      </c>
      <c r="Q60" s="311">
        <f>Test_Bible!Q134</f>
        <v>0</v>
      </c>
      <c r="R60" s="311" t="s">
        <v>647</v>
      </c>
      <c r="S60" s="319">
        <v>0</v>
      </c>
      <c r="T60" s="339">
        <v>0</v>
      </c>
      <c r="U60" s="342">
        <v>1</v>
      </c>
      <c r="V60" s="647" t="s">
        <v>47</v>
      </c>
      <c r="W60" s="423"/>
      <c r="X60" s="423"/>
      <c r="Y60" s="411"/>
      <c r="Z60" s="424">
        <v>1</v>
      </c>
      <c r="AE60" s="1000"/>
      <c r="AF60" s="1000"/>
      <c r="AG60" s="997"/>
      <c r="AH60" s="992" t="s">
        <v>5</v>
      </c>
      <c r="AI60" s="998"/>
      <c r="AJ60" s="1001" t="s">
        <v>648</v>
      </c>
    </row>
    <row r="61" spans="1:58" ht="92" customHeight="1">
      <c r="C61" s="769" t="s">
        <v>649</v>
      </c>
      <c r="D61" s="1605">
        <v>11</v>
      </c>
      <c r="E61" s="775" t="s">
        <v>650</v>
      </c>
      <c r="F61" s="331" t="s">
        <v>651</v>
      </c>
      <c r="G61" s="844" t="s">
        <v>652</v>
      </c>
      <c r="H61" s="228"/>
      <c r="I61" s="893"/>
      <c r="J61" s="186" t="s">
        <v>124</v>
      </c>
      <c r="K61" s="203">
        <v>2</v>
      </c>
      <c r="L61" s="537">
        <v>1</v>
      </c>
      <c r="M61" s="544">
        <v>3</v>
      </c>
      <c r="N61" s="791" t="s">
        <v>433</v>
      </c>
      <c r="O61" s="1517" t="s">
        <v>653</v>
      </c>
      <c r="P61" s="311">
        <f>Test_Bible!P135</f>
        <v>0</v>
      </c>
      <c r="Q61" s="311">
        <f>Test_Bible!Q135</f>
        <v>0</v>
      </c>
      <c r="R61" s="311" t="s">
        <v>654</v>
      </c>
      <c r="S61" s="315">
        <v>1</v>
      </c>
      <c r="T61" s="339">
        <v>0</v>
      </c>
      <c r="U61" s="340">
        <v>0</v>
      </c>
      <c r="V61" s="648" t="s">
        <v>232</v>
      </c>
      <c r="W61" s="423"/>
      <c r="X61" s="423"/>
      <c r="Y61" s="410"/>
      <c r="Z61" s="424"/>
      <c r="AA61" s="1041">
        <v>1</v>
      </c>
      <c r="AE61" s="996"/>
      <c r="AF61" s="997"/>
      <c r="AG61" s="997"/>
      <c r="AH61" s="992" t="s">
        <v>5</v>
      </c>
      <c r="AI61" s="994"/>
      <c r="AJ61" s="1002" t="s">
        <v>655</v>
      </c>
    </row>
    <row r="62" spans="1:58" ht="88" customHeight="1">
      <c r="C62" s="769" t="s">
        <v>656</v>
      </c>
      <c r="D62" s="1605">
        <v>23</v>
      </c>
      <c r="E62" s="776" t="s">
        <v>657</v>
      </c>
      <c r="F62" s="331" t="s">
        <v>658</v>
      </c>
      <c r="G62" s="844" t="s">
        <v>659</v>
      </c>
      <c r="H62" s="594"/>
      <c r="I62" s="895"/>
      <c r="J62" s="595"/>
      <c r="K62" s="205"/>
      <c r="L62" s="545">
        <v>2</v>
      </c>
      <c r="M62" s="544">
        <v>3</v>
      </c>
      <c r="N62" s="791" t="s">
        <v>92</v>
      </c>
      <c r="O62" s="1517" t="s">
        <v>423</v>
      </c>
      <c r="P62" s="311">
        <f>Test_Bible!P136</f>
        <v>0</v>
      </c>
      <c r="Q62" s="311">
        <f>Test_Bible!Q136</f>
        <v>0</v>
      </c>
      <c r="R62" s="311" t="s">
        <v>660</v>
      </c>
      <c r="S62" s="315">
        <v>1</v>
      </c>
      <c r="T62" s="317">
        <v>0</v>
      </c>
      <c r="U62" s="318">
        <v>0</v>
      </c>
      <c r="V62" s="648" t="s">
        <v>232</v>
      </c>
      <c r="W62" s="423"/>
      <c r="X62" s="423"/>
      <c r="Y62" s="410"/>
      <c r="Z62" s="424"/>
      <c r="AA62" s="1041">
        <v>1</v>
      </c>
    </row>
    <row r="63" spans="1:58" ht="68" customHeight="1">
      <c r="D63" s="1605">
        <v>7</v>
      </c>
      <c r="E63" s="1223" t="s">
        <v>661</v>
      </c>
      <c r="F63" s="1606" t="s">
        <v>662</v>
      </c>
      <c r="G63" s="848" t="s">
        <v>663</v>
      </c>
      <c r="H63" s="205"/>
      <c r="I63" s="895"/>
      <c r="J63" s="595"/>
      <c r="K63" s="205"/>
      <c r="L63" s="537">
        <v>1</v>
      </c>
      <c r="M63" s="537"/>
      <c r="N63" s="791" t="s">
        <v>446</v>
      </c>
      <c r="O63" s="1517" t="s">
        <v>447</v>
      </c>
      <c r="P63" s="311">
        <f>Test_Bible!P137</f>
        <v>0</v>
      </c>
      <c r="Q63" s="311">
        <f>Test_Bible!Q137</f>
        <v>0</v>
      </c>
      <c r="R63" s="311" t="s">
        <v>664</v>
      </c>
      <c r="S63" s="315">
        <v>0</v>
      </c>
      <c r="T63" s="317">
        <v>0</v>
      </c>
      <c r="U63" s="318">
        <v>0</v>
      </c>
      <c r="V63" s="649" t="s">
        <v>233</v>
      </c>
      <c r="W63" s="423"/>
      <c r="X63" s="423"/>
      <c r="Y63" s="411"/>
      <c r="Z63" s="424"/>
      <c r="AA63" s="1041"/>
      <c r="AB63" s="1041">
        <v>1</v>
      </c>
      <c r="AE63" s="996" t="s">
        <v>479</v>
      </c>
      <c r="AF63" s="263" t="s">
        <v>665</v>
      </c>
      <c r="AG63" s="986"/>
    </row>
    <row r="64" spans="1:58" ht="96" customHeight="1">
      <c r="D64" s="1605">
        <v>8</v>
      </c>
      <c r="E64" s="776" t="s">
        <v>666</v>
      </c>
      <c r="F64" s="1606" t="s">
        <v>667</v>
      </c>
      <c r="G64" s="848" t="s">
        <v>668</v>
      </c>
      <c r="H64" s="596"/>
      <c r="I64" s="896"/>
      <c r="J64" s="597"/>
      <c r="K64" s="205"/>
      <c r="L64" s="537">
        <v>1</v>
      </c>
      <c r="M64" s="537"/>
      <c r="N64" s="791" t="s">
        <v>446</v>
      </c>
      <c r="O64" s="1517" t="s">
        <v>447</v>
      </c>
      <c r="P64" s="311">
        <f>Test_Bible!P138</f>
        <v>0</v>
      </c>
      <c r="Q64" s="311">
        <f>Test_Bible!Q138</f>
        <v>0</v>
      </c>
      <c r="R64" s="311" t="s">
        <v>669</v>
      </c>
      <c r="S64" s="316">
        <v>0</v>
      </c>
      <c r="T64" s="317">
        <v>1</v>
      </c>
      <c r="U64" s="318">
        <v>0</v>
      </c>
      <c r="V64" s="649" t="s">
        <v>233</v>
      </c>
      <c r="W64" s="423"/>
      <c r="X64" s="423"/>
      <c r="Y64" s="410"/>
      <c r="Z64" s="424"/>
      <c r="AB64" s="1041">
        <v>1</v>
      </c>
      <c r="AE64" s="996"/>
      <c r="AG64" s="986"/>
    </row>
    <row r="65" spans="1:98" ht="90" customHeight="1">
      <c r="D65" s="1605">
        <v>10</v>
      </c>
      <c r="E65" s="776" t="s">
        <v>670</v>
      </c>
      <c r="F65" s="331" t="s">
        <v>671</v>
      </c>
      <c r="G65" s="848" t="s">
        <v>672</v>
      </c>
      <c r="H65" s="228"/>
      <c r="I65" s="893"/>
      <c r="J65" s="186" t="s">
        <v>124</v>
      </c>
      <c r="K65" s="201"/>
      <c r="L65" s="545">
        <v>2</v>
      </c>
      <c r="M65" s="545"/>
      <c r="N65" s="791" t="s">
        <v>84</v>
      </c>
      <c r="O65" s="1517" t="s">
        <v>440</v>
      </c>
      <c r="P65" s="311">
        <f>Test_Bible!P139</f>
        <v>0</v>
      </c>
      <c r="Q65" s="311">
        <f>Test_Bible!Q139</f>
        <v>0</v>
      </c>
      <c r="R65" s="311" t="s">
        <v>673</v>
      </c>
      <c r="S65" s="316">
        <v>1</v>
      </c>
      <c r="T65" s="339">
        <v>0</v>
      </c>
      <c r="U65" s="340">
        <v>0</v>
      </c>
      <c r="V65" s="649" t="s">
        <v>233</v>
      </c>
      <c r="W65" s="423"/>
      <c r="X65" s="423"/>
      <c r="Y65" s="410"/>
      <c r="Z65" s="424"/>
      <c r="AB65" s="1041">
        <v>1</v>
      </c>
      <c r="AE65" s="996" t="s">
        <v>124</v>
      </c>
      <c r="AF65" s="997"/>
      <c r="AG65" s="997"/>
      <c r="AH65" s="996" t="s">
        <v>124</v>
      </c>
      <c r="AI65" s="998"/>
      <c r="AJ65" s="999"/>
    </row>
    <row r="66" spans="1:98" s="7" customFormat="1" ht="52" customHeight="1">
      <c r="D66" s="1605">
        <v>14</v>
      </c>
      <c r="E66" s="775" t="s">
        <v>674</v>
      </c>
      <c r="F66" s="331" t="s">
        <v>675</v>
      </c>
      <c r="G66" s="847" t="s">
        <v>676</v>
      </c>
      <c r="H66" s="230"/>
      <c r="I66" s="897"/>
      <c r="J66" s="188"/>
      <c r="K66" s="202">
        <v>4</v>
      </c>
      <c r="L66" s="545">
        <v>2</v>
      </c>
      <c r="M66" s="545"/>
      <c r="N66" s="791" t="s">
        <v>92</v>
      </c>
      <c r="O66" s="1517" t="s">
        <v>423</v>
      </c>
      <c r="P66" s="311">
        <f>Test_Bible!P140</f>
        <v>0</v>
      </c>
      <c r="Q66" s="311">
        <f>Test_Bible!Q140</f>
        <v>0</v>
      </c>
      <c r="R66" s="311" t="s">
        <v>677</v>
      </c>
      <c r="S66" s="319">
        <v>1</v>
      </c>
      <c r="T66" s="339">
        <v>0</v>
      </c>
      <c r="U66" s="340">
        <v>0</v>
      </c>
      <c r="V66" s="650" t="s">
        <v>233</v>
      </c>
      <c r="W66" s="423"/>
      <c r="X66" s="423"/>
      <c r="Y66" s="410"/>
      <c r="Z66" s="424"/>
      <c r="AA66" s="42"/>
      <c r="AB66" s="1041">
        <v>1</v>
      </c>
      <c r="AC66" s="42"/>
      <c r="AD66" s="42"/>
      <c r="AE66" s="992" t="s">
        <v>479</v>
      </c>
      <c r="AF66" s="993"/>
      <c r="AG66" s="993"/>
      <c r="AH66" s="500" t="s">
        <v>5</v>
      </c>
      <c r="AI66" s="994"/>
      <c r="AJ66" s="995"/>
    </row>
    <row r="67" spans="1:98" s="7" customFormat="1" ht="120" customHeight="1">
      <c r="B67" s="99" t="s">
        <v>678</v>
      </c>
      <c r="D67" s="1605">
        <v>15</v>
      </c>
      <c r="E67" s="777" t="s">
        <v>679</v>
      </c>
      <c r="F67" s="274" t="s">
        <v>680</v>
      </c>
      <c r="G67" s="695" t="s">
        <v>680</v>
      </c>
      <c r="H67" s="231" t="s">
        <v>681</v>
      </c>
      <c r="I67" s="898"/>
      <c r="J67" s="223"/>
      <c r="K67" s="206"/>
      <c r="L67" s="545"/>
      <c r="M67" s="545"/>
      <c r="N67" s="788" t="s">
        <v>95</v>
      </c>
      <c r="O67" s="272"/>
      <c r="P67" s="313"/>
      <c r="Q67" s="313"/>
      <c r="R67" s="313"/>
      <c r="S67" s="315" t="s">
        <v>477</v>
      </c>
      <c r="T67" s="339" t="s">
        <v>477</v>
      </c>
      <c r="U67" s="342" t="s">
        <v>477</v>
      </c>
      <c r="V67" s="650" t="s">
        <v>233</v>
      </c>
      <c r="W67" s="423"/>
      <c r="X67" s="423"/>
      <c r="Y67" s="411"/>
      <c r="Z67" s="424"/>
      <c r="AA67" s="42"/>
      <c r="AB67" s="1041">
        <v>1</v>
      </c>
      <c r="AC67" s="42"/>
      <c r="AD67" s="42"/>
      <c r="AE67" s="992" t="s">
        <v>479</v>
      </c>
      <c r="AF67" s="1001" t="s">
        <v>682</v>
      </c>
      <c r="AG67" s="1001"/>
      <c r="AH67" s="500" t="s">
        <v>5</v>
      </c>
      <c r="AI67" s="998"/>
      <c r="AJ67" s="999"/>
    </row>
    <row r="68" spans="1:98" ht="101" customHeight="1">
      <c r="C68" s="2220" t="s">
        <v>683</v>
      </c>
      <c r="D68" s="1605">
        <v>13</v>
      </c>
      <c r="E68" s="775" t="s">
        <v>684</v>
      </c>
      <c r="F68" s="331" t="s">
        <v>685</v>
      </c>
      <c r="G68" s="504" t="s">
        <v>686</v>
      </c>
      <c r="H68" s="228"/>
      <c r="I68" s="893"/>
      <c r="J68" s="186" t="s">
        <v>124</v>
      </c>
      <c r="K68" s="201"/>
      <c r="L68" s="545">
        <v>2</v>
      </c>
      <c r="M68" s="544">
        <v>3</v>
      </c>
      <c r="N68" s="791" t="s">
        <v>92</v>
      </c>
      <c r="O68" s="1517" t="s">
        <v>423</v>
      </c>
      <c r="P68" s="311">
        <f>Test_Bible!P149</f>
        <v>0</v>
      </c>
      <c r="Q68" s="311">
        <f>Test_Bible!Q149</f>
        <v>0</v>
      </c>
      <c r="R68" s="311" t="s">
        <v>687</v>
      </c>
      <c r="S68" s="315">
        <v>1</v>
      </c>
      <c r="T68" s="339">
        <v>0</v>
      </c>
      <c r="U68" s="340">
        <v>0</v>
      </c>
      <c r="V68" s="651" t="s">
        <v>43</v>
      </c>
      <c r="W68" s="423"/>
      <c r="X68" s="423"/>
      <c r="Y68" s="410"/>
      <c r="Z68" s="424"/>
      <c r="AC68" s="1041">
        <v>1</v>
      </c>
      <c r="AE68" s="996" t="s">
        <v>124</v>
      </c>
      <c r="AF68" s="997"/>
      <c r="AG68" s="997"/>
      <c r="AH68" s="500" t="s">
        <v>5</v>
      </c>
      <c r="AI68" s="998"/>
      <c r="AJ68" s="1003" t="s">
        <v>688</v>
      </c>
    </row>
    <row r="69" spans="1:98" ht="74" customHeight="1">
      <c r="C69" s="769" t="s">
        <v>689</v>
      </c>
      <c r="D69" s="1605">
        <v>20</v>
      </c>
      <c r="E69" s="775" t="s">
        <v>690</v>
      </c>
      <c r="F69" s="331" t="s">
        <v>691</v>
      </c>
      <c r="G69" s="504" t="s">
        <v>692</v>
      </c>
      <c r="H69" s="228"/>
      <c r="I69" s="893"/>
      <c r="J69" s="186" t="s">
        <v>124</v>
      </c>
      <c r="K69" s="201"/>
      <c r="L69" s="545">
        <v>2</v>
      </c>
      <c r="M69" s="544">
        <v>3</v>
      </c>
      <c r="N69" s="791" t="s">
        <v>99</v>
      </c>
      <c r="O69" s="1517" t="s">
        <v>427</v>
      </c>
      <c r="P69" s="311">
        <f>Test_Bible!P150</f>
        <v>0</v>
      </c>
      <c r="Q69" s="311">
        <f>Test_Bible!Q150</f>
        <v>0</v>
      </c>
      <c r="R69" s="311" t="s">
        <v>693</v>
      </c>
      <c r="S69" s="315">
        <v>1</v>
      </c>
      <c r="T69" s="339">
        <v>0</v>
      </c>
      <c r="U69" s="340">
        <v>0</v>
      </c>
      <c r="V69" s="651" t="s">
        <v>43</v>
      </c>
      <c r="W69" s="423"/>
      <c r="X69" s="423"/>
      <c r="Y69" s="410"/>
      <c r="Z69" s="424"/>
      <c r="AC69" s="1041">
        <v>1</v>
      </c>
      <c r="AE69" s="996" t="s">
        <v>124</v>
      </c>
      <c r="AF69" s="997"/>
      <c r="AG69" s="997"/>
      <c r="AH69" s="500" t="s">
        <v>5</v>
      </c>
      <c r="AI69" s="998"/>
      <c r="AJ69" s="1003" t="s">
        <v>688</v>
      </c>
    </row>
    <row r="70" spans="1:98" ht="66" customHeight="1">
      <c r="C70" s="769" t="s">
        <v>694</v>
      </c>
      <c r="D70" s="1605">
        <v>21</v>
      </c>
      <c r="E70" s="775" t="s">
        <v>695</v>
      </c>
      <c r="F70" s="331" t="s">
        <v>696</v>
      </c>
      <c r="G70" s="504" t="s">
        <v>697</v>
      </c>
      <c r="H70" s="228"/>
      <c r="I70" s="893"/>
      <c r="J70" s="186"/>
      <c r="K70" s="201">
        <v>2</v>
      </c>
      <c r="L70" s="545">
        <v>2</v>
      </c>
      <c r="M70" s="544">
        <v>3</v>
      </c>
      <c r="N70" s="791" t="s">
        <v>99</v>
      </c>
      <c r="O70" s="1517" t="s">
        <v>427</v>
      </c>
      <c r="P70" s="311">
        <f>Test_Bible!P151</f>
        <v>0</v>
      </c>
      <c r="Q70" s="311">
        <f>Test_Bible!Q151</f>
        <v>0</v>
      </c>
      <c r="R70" s="311" t="s">
        <v>698</v>
      </c>
      <c r="S70" s="315">
        <v>1</v>
      </c>
      <c r="T70" s="339">
        <v>0</v>
      </c>
      <c r="U70" s="340">
        <v>0</v>
      </c>
      <c r="V70" s="651" t="s">
        <v>43</v>
      </c>
      <c r="W70" s="423"/>
      <c r="X70" s="423"/>
      <c r="Y70" s="410"/>
      <c r="Z70" s="424"/>
      <c r="AC70" s="1041">
        <v>1</v>
      </c>
      <c r="AD70" s="138">
        <v>1</v>
      </c>
      <c r="AE70" s="500"/>
      <c r="AF70" s="986"/>
      <c r="AG70" s="986"/>
      <c r="AH70" s="500" t="s">
        <v>5</v>
      </c>
      <c r="AI70" s="998"/>
      <c r="AJ70" s="1003" t="s">
        <v>688</v>
      </c>
    </row>
    <row r="71" spans="1:98" ht="57" customHeight="1">
      <c r="B71" s="99" t="s">
        <v>699</v>
      </c>
      <c r="D71" s="1605">
        <v>22</v>
      </c>
      <c r="E71" s="777" t="s">
        <v>700</v>
      </c>
      <c r="F71" s="274" t="s">
        <v>701</v>
      </c>
      <c r="G71" s="481" t="s">
        <v>702</v>
      </c>
      <c r="H71" s="232"/>
      <c r="I71" s="899"/>
      <c r="J71" s="224"/>
      <c r="K71" s="207"/>
      <c r="L71" s="593"/>
      <c r="M71" s="593"/>
      <c r="N71" s="791" t="s">
        <v>87</v>
      </c>
      <c r="O71" s="1517"/>
      <c r="P71" s="311"/>
      <c r="Q71" s="311"/>
      <c r="R71" s="311"/>
      <c r="S71" s="315" t="s">
        <v>477</v>
      </c>
      <c r="T71" s="339" t="s">
        <v>477</v>
      </c>
      <c r="U71" s="342" t="s">
        <v>477</v>
      </c>
      <c r="V71" s="651" t="s">
        <v>43</v>
      </c>
      <c r="W71" s="423"/>
      <c r="X71" s="423"/>
      <c r="Y71" s="410"/>
      <c r="Z71" s="424"/>
      <c r="AC71" s="1041">
        <v>1</v>
      </c>
      <c r="AE71" s="500"/>
      <c r="AF71" s="1001"/>
      <c r="AG71" s="1001"/>
      <c r="AH71" s="992" t="s">
        <v>5</v>
      </c>
      <c r="AI71" s="998"/>
      <c r="AJ71" s="1003" t="s">
        <v>688</v>
      </c>
    </row>
    <row r="72" spans="1:98" s="7" customFormat="1" ht="57" customHeight="1">
      <c r="C72" s="2316" t="s">
        <v>703</v>
      </c>
      <c r="D72" s="1605">
        <v>5</v>
      </c>
      <c r="E72" s="772" t="s">
        <v>704</v>
      </c>
      <c r="F72" s="331" t="s">
        <v>705</v>
      </c>
      <c r="G72" s="482" t="s">
        <v>706</v>
      </c>
      <c r="H72" s="227"/>
      <c r="I72" s="900"/>
      <c r="J72" s="188"/>
      <c r="K72" s="202">
        <v>4</v>
      </c>
      <c r="L72" s="546">
        <v>1</v>
      </c>
      <c r="M72" s="546">
        <v>0</v>
      </c>
      <c r="N72" s="791" t="s">
        <v>446</v>
      </c>
      <c r="O72" s="1517" t="s">
        <v>447</v>
      </c>
      <c r="P72" s="311">
        <f>Test_Bible!P154</f>
        <v>0</v>
      </c>
      <c r="Q72" s="311">
        <f>Test_Bible!Q154</f>
        <v>0</v>
      </c>
      <c r="R72" s="311" t="s">
        <v>707</v>
      </c>
      <c r="S72" s="316">
        <v>0</v>
      </c>
      <c r="T72" s="317">
        <v>1</v>
      </c>
      <c r="U72" s="318">
        <v>0</v>
      </c>
      <c r="V72" s="651" t="s">
        <v>43</v>
      </c>
      <c r="W72" s="423"/>
      <c r="X72" s="423"/>
      <c r="Y72" s="410"/>
      <c r="Z72" s="424"/>
      <c r="AA72" s="42"/>
      <c r="AB72" s="42"/>
      <c r="AC72" s="1041">
        <v>1</v>
      </c>
      <c r="AD72" s="42"/>
      <c r="AE72" s="983"/>
      <c r="AF72" s="984"/>
      <c r="AG72" s="984"/>
      <c r="AH72" s="983"/>
      <c r="AI72" s="834"/>
      <c r="AJ72" s="1003" t="s">
        <v>688</v>
      </c>
    </row>
    <row r="73" spans="1:98" s="7" customFormat="1" ht="52" customHeight="1">
      <c r="B73" s="99" t="s">
        <v>708</v>
      </c>
      <c r="D73" s="1605">
        <v>6</v>
      </c>
      <c r="E73" s="778" t="s">
        <v>709</v>
      </c>
      <c r="F73" s="274" t="s">
        <v>710</v>
      </c>
      <c r="G73" s="503" t="s">
        <v>711</v>
      </c>
      <c r="H73" s="347"/>
      <c r="I73" s="901"/>
      <c r="J73" s="348"/>
      <c r="K73" s="349"/>
      <c r="L73" s="545">
        <v>2</v>
      </c>
      <c r="M73" s="545"/>
      <c r="N73" s="791" t="s">
        <v>92</v>
      </c>
      <c r="O73" s="1517" t="s">
        <v>423</v>
      </c>
      <c r="P73" s="350">
        <f>Test_Bible!P155</f>
        <v>0</v>
      </c>
      <c r="Q73" s="350">
        <f>Test_Bible!Q155</f>
        <v>0</v>
      </c>
      <c r="R73" s="350" t="s">
        <v>712</v>
      </c>
      <c r="S73" s="351">
        <v>0</v>
      </c>
      <c r="T73" s="352">
        <v>1</v>
      </c>
      <c r="U73" s="353">
        <v>0</v>
      </c>
      <c r="V73" s="652" t="s">
        <v>43</v>
      </c>
      <c r="W73" s="423"/>
      <c r="X73" s="423"/>
      <c r="Y73" s="411"/>
      <c r="Z73" s="424"/>
      <c r="AA73" s="42"/>
      <c r="AB73" s="42"/>
      <c r="AC73" s="1041">
        <v>1</v>
      </c>
      <c r="AD73" s="42"/>
      <c r="AE73" s="500" t="s">
        <v>479</v>
      </c>
      <c r="AF73" s="979"/>
      <c r="AG73" s="979"/>
      <c r="AH73" s="500" t="s">
        <v>5</v>
      </c>
      <c r="AI73" s="834"/>
      <c r="AJ73" s="1004" t="s">
        <v>688</v>
      </c>
    </row>
    <row r="74" spans="1:98" s="7" customFormat="1" ht="76" customHeight="1">
      <c r="A74" s="694" t="s">
        <v>713</v>
      </c>
      <c r="B74" s="1659"/>
      <c r="D74" s="1605">
        <v>24</v>
      </c>
      <c r="E74" s="779" t="s">
        <v>714</v>
      </c>
      <c r="F74" s="331" t="s">
        <v>715</v>
      </c>
      <c r="G74" s="330" t="s">
        <v>716</v>
      </c>
      <c r="H74" s="528"/>
      <c r="I74" s="528"/>
      <c r="J74" s="529"/>
      <c r="K74" s="529"/>
      <c r="L74" s="1273">
        <v>1</v>
      </c>
      <c r="M74" s="1572"/>
      <c r="N74" s="1625" t="s">
        <v>92</v>
      </c>
      <c r="O74" s="1517"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4"/>
      <c r="AG74" s="984"/>
      <c r="AH74" s="500" t="s">
        <v>5</v>
      </c>
      <c r="AI74" s="834"/>
      <c r="AJ74" s="2484" t="s">
        <v>718</v>
      </c>
    </row>
    <row r="75" spans="1:98" s="7" customFormat="1" ht="31.5" customHeight="1" thickBot="1">
      <c r="A75" s="694" t="s">
        <v>713</v>
      </c>
      <c r="B75" s="1659"/>
      <c r="D75" s="1605">
        <v>25</v>
      </c>
      <c r="E75" s="779" t="s">
        <v>719</v>
      </c>
      <c r="F75" s="331" t="s">
        <v>720</v>
      </c>
      <c r="G75" s="330" t="s">
        <v>721</v>
      </c>
      <c r="H75" s="528"/>
      <c r="I75" s="528"/>
      <c r="J75" s="529"/>
      <c r="K75" s="529"/>
      <c r="L75" s="1273">
        <v>1</v>
      </c>
      <c r="M75" s="1572"/>
      <c r="N75" s="1626" t="s">
        <v>92</v>
      </c>
      <c r="O75" s="1517"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4"/>
      <c r="AG75" s="984"/>
      <c r="AH75" s="500" t="s">
        <v>5</v>
      </c>
      <c r="AI75" s="834"/>
      <c r="AJ75" s="2483"/>
    </row>
    <row r="76" spans="1:98" s="107" customFormat="1" ht="37" customHeight="1">
      <c r="A76" s="7"/>
      <c r="B76" s="7"/>
      <c r="C76" s="7"/>
      <c r="D76" s="943"/>
      <c r="E76" s="944"/>
      <c r="F76" s="945"/>
      <c r="G76" s="946"/>
      <c r="H76" s="947"/>
      <c r="I76" s="947"/>
      <c r="J76" s="948"/>
      <c r="K76" s="948"/>
      <c r="L76" s="948"/>
      <c r="M76" s="948"/>
      <c r="N76" s="949"/>
      <c r="O76" s="1507"/>
      <c r="P76" s="949"/>
      <c r="Q76" s="950">
        <f>SUM(Q51:Q75)</f>
        <v>0</v>
      </c>
      <c r="R76" s="950"/>
      <c r="S76" s="951" t="s">
        <v>26</v>
      </c>
      <c r="T76" s="952" t="s">
        <v>301</v>
      </c>
      <c r="U76" s="952" t="s">
        <v>302</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9">
        <v>1</v>
      </c>
      <c r="M80" s="1627"/>
      <c r="N80" s="1628" t="s">
        <v>84</v>
      </c>
      <c r="O80" s="1517" t="s">
        <v>440</v>
      </c>
      <c r="P80" s="1562">
        <f>Test_Bible!P163</f>
        <v>0</v>
      </c>
      <c r="Q80" s="1562">
        <f>Test_Bible!Q163</f>
        <v>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2"/>
      <c r="J81" s="356" t="s">
        <v>555</v>
      </c>
      <c r="K81" s="357"/>
      <c r="L81" s="566">
        <v>1</v>
      </c>
      <c r="M81" s="1627"/>
      <c r="N81" s="1629" t="s">
        <v>103</v>
      </c>
      <c r="O81" s="781" t="s">
        <v>556</v>
      </c>
      <c r="P81" s="358">
        <f>Test_Bible!P165</f>
        <v>0</v>
      </c>
      <c r="Q81" s="358">
        <f>Test_Bible!Q165</f>
        <v>0</v>
      </c>
      <c r="R81" s="1705"/>
      <c r="S81" s="315" t="s">
        <v>477</v>
      </c>
      <c r="T81" s="339" t="s">
        <v>477</v>
      </c>
      <c r="U81" s="342" t="s">
        <v>477</v>
      </c>
      <c r="V81" s="683" t="s">
        <v>467</v>
      </c>
      <c r="W81" s="8"/>
      <c r="X81" s="423"/>
      <c r="Y81" s="8"/>
      <c r="Z81" s="424"/>
      <c r="AA81" s="42"/>
      <c r="AB81" s="42"/>
      <c r="AC81" s="42"/>
      <c r="AD81" s="42"/>
      <c r="AE81" s="983"/>
      <c r="AF81" s="984"/>
      <c r="AG81" s="984"/>
      <c r="AH81" s="983"/>
      <c r="AI81" s="834"/>
      <c r="AJ81" s="836"/>
    </row>
    <row r="82" spans="1:36" ht="51" customHeight="1">
      <c r="D82" s="354">
        <v>8</v>
      </c>
      <c r="E82" s="117" t="s">
        <v>729</v>
      </c>
      <c r="F82" s="532" t="s">
        <v>730</v>
      </c>
      <c r="G82" s="532" t="s">
        <v>731</v>
      </c>
      <c r="H82" s="234"/>
      <c r="I82" s="903"/>
      <c r="J82" s="356" t="s">
        <v>555</v>
      </c>
      <c r="K82" s="200">
        <v>6</v>
      </c>
      <c r="L82" s="567">
        <v>1</v>
      </c>
      <c r="M82" s="1630"/>
      <c r="N82" s="1631" t="s">
        <v>103</v>
      </c>
      <c r="O82" s="781" t="s">
        <v>556</v>
      </c>
      <c r="P82" s="306">
        <f>Test_Bible!P166</f>
        <v>0</v>
      </c>
      <c r="Q82" s="306">
        <f>Test_Bible!Q166</f>
        <v>0</v>
      </c>
      <c r="R82" s="305"/>
      <c r="S82" s="315" t="s">
        <v>477</v>
      </c>
      <c r="T82" s="339" t="s">
        <v>477</v>
      </c>
      <c r="U82" s="342" t="s">
        <v>477</v>
      </c>
      <c r="V82" s="655" t="s">
        <v>467</v>
      </c>
      <c r="W82" s="8"/>
      <c r="X82" s="423"/>
      <c r="Z82" s="425"/>
      <c r="AE82" s="500" t="s">
        <v>479</v>
      </c>
      <c r="AF82" s="986" t="s">
        <v>732</v>
      </c>
      <c r="AG82" s="986"/>
      <c r="AH82" s="500" t="s">
        <v>5</v>
      </c>
      <c r="AI82" s="834"/>
      <c r="AJ82" s="835" t="s">
        <v>733</v>
      </c>
    </row>
    <row r="83" spans="1:36" ht="54" customHeight="1">
      <c r="B83" s="99" t="s">
        <v>734</v>
      </c>
      <c r="D83" s="354">
        <v>9</v>
      </c>
      <c r="E83" s="118" t="s">
        <v>735</v>
      </c>
      <c r="F83" s="274" t="s">
        <v>105</v>
      </c>
      <c r="G83" s="274" t="s">
        <v>736</v>
      </c>
      <c r="H83" s="229"/>
      <c r="I83" s="904"/>
      <c r="J83" s="99"/>
      <c r="K83" s="199"/>
      <c r="L83" s="567">
        <v>1</v>
      </c>
      <c r="M83" s="1630"/>
      <c r="N83" s="1632" t="s">
        <v>76</v>
      </c>
      <c r="O83" s="1502"/>
      <c r="P83" s="299"/>
      <c r="Q83" s="299"/>
      <c r="R83" s="299"/>
      <c r="S83" s="315" t="s">
        <v>477</v>
      </c>
      <c r="T83" s="339" t="s">
        <v>477</v>
      </c>
      <c r="U83" s="342" t="s">
        <v>477</v>
      </c>
      <c r="V83" s="655" t="s">
        <v>467</v>
      </c>
      <c r="W83" s="8"/>
      <c r="X83" s="423"/>
      <c r="Z83" s="425"/>
      <c r="AE83" s="500"/>
      <c r="AF83" s="986"/>
      <c r="AG83" s="986"/>
      <c r="AH83" s="500" t="s">
        <v>5</v>
      </c>
      <c r="AI83" s="263"/>
      <c r="AJ83" s="462" t="s">
        <v>737</v>
      </c>
    </row>
    <row r="84" spans="1:36" s="7" customFormat="1" ht="65" customHeight="1">
      <c r="C84" s="769" t="s">
        <v>656</v>
      </c>
      <c r="D84" s="354">
        <v>52</v>
      </c>
      <c r="E84" s="181" t="s">
        <v>738</v>
      </c>
      <c r="F84" s="532" t="s">
        <v>739</v>
      </c>
      <c r="G84" s="532" t="s">
        <v>740</v>
      </c>
      <c r="H84" s="234"/>
      <c r="I84" s="903"/>
      <c r="J84" s="190"/>
      <c r="K84" s="209"/>
      <c r="L84" s="568">
        <v>2</v>
      </c>
      <c r="M84" s="1633">
        <v>3</v>
      </c>
      <c r="N84" s="791" t="s">
        <v>92</v>
      </c>
      <c r="O84" s="272" t="s">
        <v>423</v>
      </c>
      <c r="P84" s="307">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6" t="s">
        <v>742</v>
      </c>
      <c r="AG84" s="986"/>
      <c r="AH84" s="500" t="s">
        <v>5</v>
      </c>
      <c r="AI84" s="834"/>
      <c r="AJ84" s="835" t="s">
        <v>743</v>
      </c>
    </row>
    <row r="85" spans="1:36" s="7" customFormat="1" ht="68" customHeight="1">
      <c r="D85" s="354">
        <v>56</v>
      </c>
      <c r="E85" s="181" t="s">
        <v>744</v>
      </c>
      <c r="F85" s="532" t="s">
        <v>745</v>
      </c>
      <c r="G85" s="532" t="s">
        <v>746</v>
      </c>
      <c r="H85" s="234"/>
      <c r="I85" s="903"/>
      <c r="J85" s="190"/>
      <c r="K85" s="209">
        <v>4</v>
      </c>
      <c r="L85" s="569">
        <v>1</v>
      </c>
      <c r="M85" s="1634"/>
      <c r="N85" s="791" t="s">
        <v>117</v>
      </c>
      <c r="O85" s="272" t="s">
        <v>747</v>
      </c>
      <c r="P85" s="307">
        <f>Test_Bible!P171</f>
        <v>0</v>
      </c>
      <c r="Q85" s="307">
        <f>Test_Bible!Q171</f>
        <v>0</v>
      </c>
      <c r="R85" s="307" t="s">
        <v>748</v>
      </c>
      <c r="S85" s="316">
        <v>0</v>
      </c>
      <c r="T85" s="317">
        <v>1</v>
      </c>
      <c r="U85" s="318">
        <v>0</v>
      </c>
      <c r="V85" s="684" t="s">
        <v>230</v>
      </c>
      <c r="W85" s="8"/>
      <c r="X85" s="1042">
        <v>1</v>
      </c>
      <c r="Y85" s="44"/>
      <c r="Z85" s="424"/>
      <c r="AA85" s="42"/>
      <c r="AB85" s="42"/>
      <c r="AC85" s="42"/>
      <c r="AD85" s="42"/>
      <c r="AE85" s="500"/>
      <c r="AF85" s="986"/>
      <c r="AG85" s="986"/>
      <c r="AH85" s="500" t="s">
        <v>5</v>
      </c>
      <c r="AI85" s="834"/>
      <c r="AJ85" s="986" t="s">
        <v>749</v>
      </c>
    </row>
    <row r="86" spans="1:36" s="7" customFormat="1" ht="68" customHeight="1">
      <c r="B86" s="99" t="s">
        <v>750</v>
      </c>
      <c r="D86" s="354">
        <v>57</v>
      </c>
      <c r="E86" s="118" t="s">
        <v>751</v>
      </c>
      <c r="F86" s="274" t="s">
        <v>752</v>
      </c>
      <c r="G86" s="274" t="s">
        <v>753</v>
      </c>
      <c r="H86" s="229"/>
      <c r="I86" s="229"/>
      <c r="J86" s="229"/>
      <c r="K86" s="229"/>
      <c r="L86" s="568">
        <v>2</v>
      </c>
      <c r="M86" s="1635"/>
      <c r="N86" s="791" t="s">
        <v>117</v>
      </c>
      <c r="O86" s="272" t="s">
        <v>747</v>
      </c>
      <c r="P86" s="307">
        <f>Test_Bible!P173</f>
        <v>0</v>
      </c>
      <c r="Q86" s="307">
        <f>Test_Bible!Q173</f>
        <v>0</v>
      </c>
      <c r="R86" s="307" t="s">
        <v>754</v>
      </c>
      <c r="S86" s="316">
        <v>0</v>
      </c>
      <c r="T86" s="317">
        <v>1</v>
      </c>
      <c r="U86" s="318">
        <v>0</v>
      </c>
      <c r="V86" s="684" t="s">
        <v>230</v>
      </c>
      <c r="W86" s="8"/>
      <c r="X86" s="1042">
        <v>1</v>
      </c>
      <c r="Y86" s="44"/>
      <c r="Z86" s="424"/>
      <c r="AA86" s="42"/>
      <c r="AB86" s="42"/>
      <c r="AC86" s="42"/>
      <c r="AD86" s="42"/>
      <c r="AE86" s="500"/>
      <c r="AF86" s="986"/>
      <c r="AG86" s="986"/>
      <c r="AH86" s="500" t="s">
        <v>5</v>
      </c>
      <c r="AI86" s="834"/>
      <c r="AJ86" s="986" t="s">
        <v>749</v>
      </c>
    </row>
    <row r="87" spans="1:36" s="7" customFormat="1" ht="71" customHeight="1">
      <c r="D87" s="354">
        <v>58</v>
      </c>
      <c r="E87" s="181" t="s">
        <v>755</v>
      </c>
      <c r="F87" s="532" t="s">
        <v>756</v>
      </c>
      <c r="G87" s="532" t="s">
        <v>757</v>
      </c>
      <c r="H87" s="234"/>
      <c r="I87" s="903"/>
      <c r="J87" s="190"/>
      <c r="K87" s="209">
        <v>4</v>
      </c>
      <c r="L87" s="568">
        <v>2</v>
      </c>
      <c r="M87" s="1635"/>
      <c r="N87" s="791" t="s">
        <v>117</v>
      </c>
      <c r="O87" s="272" t="s">
        <v>747</v>
      </c>
      <c r="P87" s="307">
        <f>Test_Bible!P173</f>
        <v>0</v>
      </c>
      <c r="Q87" s="307">
        <f>Test_Bible!Q173</f>
        <v>0</v>
      </c>
      <c r="R87" s="307" t="s">
        <v>758</v>
      </c>
      <c r="S87" s="316">
        <v>0</v>
      </c>
      <c r="T87" s="317">
        <v>1</v>
      </c>
      <c r="U87" s="318">
        <v>0</v>
      </c>
      <c r="V87" s="684" t="s">
        <v>230</v>
      </c>
      <c r="W87" s="8"/>
      <c r="X87" s="1042">
        <v>1</v>
      </c>
      <c r="Y87" s="44"/>
      <c r="Z87" s="424"/>
      <c r="AA87" s="42"/>
      <c r="AB87" s="42"/>
      <c r="AC87" s="42"/>
      <c r="AD87" s="42"/>
      <c r="AE87" s="500"/>
      <c r="AF87" s="986"/>
      <c r="AG87" s="986"/>
      <c r="AH87" s="500" t="s">
        <v>5</v>
      </c>
      <c r="AI87" s="263"/>
      <c r="AJ87" s="1011" t="s">
        <v>759</v>
      </c>
    </row>
    <row r="88" spans="1:36" s="7" customFormat="1" ht="75" customHeight="1">
      <c r="B88" s="99" t="s">
        <v>760</v>
      </c>
      <c r="D88" s="354">
        <v>59</v>
      </c>
      <c r="E88" s="120" t="s">
        <v>761</v>
      </c>
      <c r="F88" s="274" t="s">
        <v>762</v>
      </c>
      <c r="G88" s="274" t="s">
        <v>763</v>
      </c>
      <c r="H88" s="229"/>
      <c r="I88" s="904"/>
      <c r="J88" s="189" t="s">
        <v>582</v>
      </c>
      <c r="K88" s="208"/>
      <c r="L88" s="568">
        <v>2</v>
      </c>
      <c r="M88" s="1635"/>
      <c r="N88" s="791" t="s">
        <v>117</v>
      </c>
      <c r="O88" s="272" t="s">
        <v>747</v>
      </c>
      <c r="P88" s="307">
        <f>Test_Bible!P174</f>
        <v>0</v>
      </c>
      <c r="Q88" s="307">
        <f>Test_Bible!Q174</f>
        <v>0</v>
      </c>
      <c r="R88" s="307" t="s">
        <v>764</v>
      </c>
      <c r="S88" s="316">
        <v>0</v>
      </c>
      <c r="T88" s="317">
        <v>1</v>
      </c>
      <c r="U88" s="318">
        <v>0</v>
      </c>
      <c r="V88" s="684" t="s">
        <v>230</v>
      </c>
      <c r="W88" s="8"/>
      <c r="X88" s="1042">
        <v>1</v>
      </c>
      <c r="Y88" s="44"/>
      <c r="Z88" s="424"/>
      <c r="AA88" s="42"/>
      <c r="AB88" s="42"/>
      <c r="AC88" s="42"/>
      <c r="AD88" s="42"/>
      <c r="AE88" s="500"/>
      <c r="AF88" s="986"/>
      <c r="AG88" s="984"/>
      <c r="AH88" s="500" t="s">
        <v>5</v>
      </c>
      <c r="AI88" s="834"/>
      <c r="AJ88" s="1012" t="s">
        <v>765</v>
      </c>
    </row>
    <row r="89" spans="1:36" s="7" customFormat="1" ht="61" customHeight="1">
      <c r="D89" s="354">
        <v>60</v>
      </c>
      <c r="E89" s="181" t="s">
        <v>766</v>
      </c>
      <c r="F89" s="532" t="s">
        <v>767</v>
      </c>
      <c r="G89" s="532" t="s">
        <v>768</v>
      </c>
      <c r="H89" s="234"/>
      <c r="I89" s="903"/>
      <c r="J89" s="191"/>
      <c r="K89" s="210">
        <v>4</v>
      </c>
      <c r="L89" s="570">
        <v>2</v>
      </c>
      <c r="M89" s="1636"/>
      <c r="N89" s="791" t="s">
        <v>117</v>
      </c>
      <c r="O89" s="272" t="s">
        <v>747</v>
      </c>
      <c r="P89" s="307">
        <f>Test_Bible!P175</f>
        <v>0</v>
      </c>
      <c r="Q89" s="307">
        <f>Test_Bible!Q175</f>
        <v>0</v>
      </c>
      <c r="R89" s="307" t="s">
        <v>769</v>
      </c>
      <c r="S89" s="316">
        <v>0</v>
      </c>
      <c r="T89" s="317">
        <v>0.5</v>
      </c>
      <c r="U89" s="318">
        <v>0.5</v>
      </c>
      <c r="V89" s="684" t="s">
        <v>230</v>
      </c>
      <c r="W89" s="8"/>
      <c r="X89" s="1042">
        <v>1</v>
      </c>
      <c r="Y89" s="44"/>
      <c r="Z89" s="424"/>
      <c r="AA89" s="42"/>
      <c r="AB89" s="42"/>
      <c r="AC89" s="42"/>
      <c r="AD89" s="42"/>
      <c r="AE89" s="500"/>
      <c r="AF89" s="986"/>
      <c r="AG89" s="986"/>
      <c r="AH89" s="837" t="s">
        <v>557</v>
      </c>
      <c r="AI89" s="263"/>
      <c r="AJ89" s="986" t="s">
        <v>770</v>
      </c>
    </row>
    <row r="90" spans="1:36" s="7" customFormat="1" ht="68" customHeight="1">
      <c r="B90" s="99" t="s">
        <v>771</v>
      </c>
      <c r="D90" s="354">
        <v>61</v>
      </c>
      <c r="E90" s="120" t="s">
        <v>772</v>
      </c>
      <c r="F90" s="274" t="s">
        <v>773</v>
      </c>
      <c r="G90" s="274" t="s">
        <v>774</v>
      </c>
      <c r="H90" s="229"/>
      <c r="I90" s="904"/>
      <c r="J90" s="189" t="s">
        <v>582</v>
      </c>
      <c r="K90" s="208"/>
      <c r="L90" s="571">
        <v>3</v>
      </c>
      <c r="M90" s="561"/>
      <c r="N90" s="791" t="s">
        <v>117</v>
      </c>
      <c r="O90" s="1517" t="s">
        <v>747</v>
      </c>
      <c r="P90" s="307">
        <f>Test_Bible!P176</f>
        <v>0</v>
      </c>
      <c r="Q90" s="307">
        <f>Test_Bible!Q176</f>
        <v>0</v>
      </c>
      <c r="R90" s="307" t="s">
        <v>775</v>
      </c>
      <c r="S90" s="316">
        <v>0</v>
      </c>
      <c r="T90" s="317">
        <v>1</v>
      </c>
      <c r="U90" s="318">
        <v>0</v>
      </c>
      <c r="V90" s="684" t="s">
        <v>230</v>
      </c>
      <c r="W90" s="8"/>
      <c r="X90" s="1042">
        <v>1</v>
      </c>
      <c r="Y90" s="411"/>
      <c r="Z90" s="424"/>
      <c r="AA90" s="42"/>
      <c r="AB90" s="42"/>
      <c r="AC90" s="42"/>
      <c r="AD90" s="42"/>
      <c r="AE90" s="983"/>
      <c r="AF90" s="984"/>
      <c r="AG90" s="984"/>
      <c r="AH90" s="983"/>
      <c r="AI90" s="834"/>
      <c r="AJ90" s="836"/>
    </row>
    <row r="91" spans="1:36" ht="87" customHeight="1">
      <c r="D91" s="354">
        <v>34</v>
      </c>
      <c r="E91" s="181" t="s">
        <v>776</v>
      </c>
      <c r="F91" s="532" t="s">
        <v>777</v>
      </c>
      <c r="G91" s="532" t="s">
        <v>778</v>
      </c>
      <c r="H91" s="234"/>
      <c r="I91" s="903"/>
      <c r="J91" s="151"/>
      <c r="K91" s="211">
        <v>2</v>
      </c>
      <c r="L91" s="572">
        <v>1</v>
      </c>
      <c r="M91" s="537"/>
      <c r="N91" s="791" t="s">
        <v>117</v>
      </c>
      <c r="O91" s="1517" t="s">
        <v>747</v>
      </c>
      <c r="P91" s="307">
        <f>Test_Bible!P177</f>
        <v>0</v>
      </c>
      <c r="Q91" s="307">
        <f>Test_Bible!Q177</f>
        <v>0</v>
      </c>
      <c r="R91" s="307" t="s">
        <v>779</v>
      </c>
      <c r="S91" s="316">
        <v>0.5</v>
      </c>
      <c r="T91" s="317">
        <v>0.5</v>
      </c>
      <c r="U91" s="318">
        <v>0</v>
      </c>
      <c r="V91" s="646" t="s">
        <v>231</v>
      </c>
      <c r="W91" s="8"/>
      <c r="X91" s="423"/>
      <c r="Y91" s="1043">
        <v>1</v>
      </c>
      <c r="Z91" s="425"/>
      <c r="AE91" s="500"/>
      <c r="AF91" s="986"/>
      <c r="AG91" s="986"/>
      <c r="AH91" s="500" t="s">
        <v>5</v>
      </c>
      <c r="AI91" s="986"/>
      <c r="AJ91" s="986" t="s">
        <v>780</v>
      </c>
    </row>
    <row r="92" spans="1:36" s="7" customFormat="1" ht="58" customHeight="1">
      <c r="B92" s="99" t="s">
        <v>781</v>
      </c>
      <c r="D92" s="354">
        <v>35</v>
      </c>
      <c r="E92" s="120" t="s">
        <v>782</v>
      </c>
      <c r="F92" s="274" t="s">
        <v>783</v>
      </c>
      <c r="G92" s="274" t="s">
        <v>784</v>
      </c>
      <c r="H92" s="229"/>
      <c r="I92" s="904"/>
      <c r="J92" s="189" t="s">
        <v>582</v>
      </c>
      <c r="K92" s="208">
        <v>2</v>
      </c>
      <c r="L92" s="568">
        <v>2</v>
      </c>
      <c r="M92" s="560"/>
      <c r="N92" s="791" t="s">
        <v>117</v>
      </c>
      <c r="O92" s="1517" t="s">
        <v>429</v>
      </c>
      <c r="P92" s="307">
        <f>Test_Bible!P178</f>
        <v>0</v>
      </c>
      <c r="Q92" s="307">
        <f>Test_Bible!Q178</f>
        <v>0</v>
      </c>
      <c r="R92" s="307" t="s">
        <v>785</v>
      </c>
      <c r="S92" s="316">
        <v>1</v>
      </c>
      <c r="T92" s="317">
        <v>0</v>
      </c>
      <c r="U92" s="318">
        <v>0</v>
      </c>
      <c r="V92" s="646" t="s">
        <v>231</v>
      </c>
      <c r="W92" s="8"/>
      <c r="X92" s="423"/>
      <c r="Y92" s="1043">
        <v>1</v>
      </c>
      <c r="Z92" s="424"/>
      <c r="AA92" s="42"/>
      <c r="AB92" s="42"/>
      <c r="AC92" s="42"/>
      <c r="AD92" s="42"/>
      <c r="AE92" s="500"/>
      <c r="AF92" s="986"/>
      <c r="AG92" s="986"/>
      <c r="AH92" s="500" t="s">
        <v>5</v>
      </c>
      <c r="AI92" s="986"/>
      <c r="AJ92" s="986" t="s">
        <v>780</v>
      </c>
    </row>
    <row r="93" spans="1:36" s="7" customFormat="1" ht="63" customHeight="1">
      <c r="B93" s="99" t="s">
        <v>786</v>
      </c>
      <c r="D93" s="354">
        <v>36</v>
      </c>
      <c r="E93" s="120" t="s">
        <v>787</v>
      </c>
      <c r="F93" s="274" t="s">
        <v>788</v>
      </c>
      <c r="G93" s="274" t="s">
        <v>789</v>
      </c>
      <c r="H93" s="229"/>
      <c r="I93" s="904"/>
      <c r="J93" s="189" t="s">
        <v>790</v>
      </c>
      <c r="K93" s="208"/>
      <c r="L93" s="571">
        <v>3</v>
      </c>
      <c r="M93" s="561"/>
      <c r="N93" s="791" t="s">
        <v>117</v>
      </c>
      <c r="O93" s="1517" t="s">
        <v>429</v>
      </c>
      <c r="P93" s="307">
        <f>Test_Bible!P179</f>
        <v>0</v>
      </c>
      <c r="Q93" s="307">
        <f>Test_Bible!Q179</f>
        <v>0</v>
      </c>
      <c r="R93" s="307" t="s">
        <v>791</v>
      </c>
      <c r="S93" s="316">
        <v>0.5</v>
      </c>
      <c r="T93" s="317">
        <v>0.5</v>
      </c>
      <c r="U93" s="318">
        <v>0</v>
      </c>
      <c r="V93" s="646" t="s">
        <v>231</v>
      </c>
      <c r="W93" s="8"/>
      <c r="X93" s="423"/>
      <c r="Y93" s="1043">
        <v>1</v>
      </c>
      <c r="Z93" s="424"/>
      <c r="AA93" s="42"/>
      <c r="AB93" s="42"/>
      <c r="AC93" s="42"/>
      <c r="AD93" s="42"/>
      <c r="AE93" s="500"/>
      <c r="AF93" s="986"/>
      <c r="AG93" s="986"/>
      <c r="AH93" s="500" t="s">
        <v>5</v>
      </c>
      <c r="AI93" s="986"/>
      <c r="AJ93" s="986" t="s">
        <v>780</v>
      </c>
    </row>
    <row r="94" spans="1:36" s="7" customFormat="1" ht="60" customHeight="1">
      <c r="D94" s="354">
        <v>27</v>
      </c>
      <c r="E94" s="181" t="s">
        <v>792</v>
      </c>
      <c r="F94" s="532" t="s">
        <v>793</v>
      </c>
      <c r="G94" s="532" t="s">
        <v>794</v>
      </c>
      <c r="H94" s="234"/>
      <c r="I94" s="903"/>
      <c r="J94" s="190"/>
      <c r="K94" s="209">
        <v>4</v>
      </c>
      <c r="L94" s="569">
        <v>1</v>
      </c>
      <c r="M94" s="546"/>
      <c r="N94" s="791" t="s">
        <v>92</v>
      </c>
      <c r="O94" s="1517" t="s">
        <v>423</v>
      </c>
      <c r="P94" s="307">
        <f>Test_Bible!P180</f>
        <v>0</v>
      </c>
      <c r="Q94" s="307">
        <f>Test_Bible!Q180</f>
        <v>0</v>
      </c>
      <c r="R94" s="307" t="s">
        <v>795</v>
      </c>
      <c r="S94" s="316">
        <v>0</v>
      </c>
      <c r="T94" s="317">
        <v>0</v>
      </c>
      <c r="U94" s="318">
        <v>1</v>
      </c>
      <c r="V94" s="646" t="s">
        <v>231</v>
      </c>
      <c r="W94" s="8"/>
      <c r="X94" s="423"/>
      <c r="Y94" s="1043">
        <v>1</v>
      </c>
      <c r="Z94" s="424"/>
      <c r="AA94" s="42"/>
      <c r="AB94" s="42"/>
      <c r="AC94" s="42"/>
      <c r="AD94" s="42"/>
      <c r="AE94" s="983"/>
      <c r="AF94" s="984"/>
      <c r="AG94" s="984"/>
      <c r="AH94" s="500" t="s">
        <v>5</v>
      </c>
      <c r="AI94" s="263"/>
      <c r="AJ94" s="263" t="s">
        <v>796</v>
      </c>
    </row>
    <row r="95" spans="1:36" s="7" customFormat="1" ht="78" customHeight="1">
      <c r="B95" s="99" t="s">
        <v>797</v>
      </c>
      <c r="C95" s="769" t="s">
        <v>798</v>
      </c>
      <c r="D95" s="354">
        <v>28</v>
      </c>
      <c r="E95" s="120" t="s">
        <v>799</v>
      </c>
      <c r="F95" s="531" t="s">
        <v>800</v>
      </c>
      <c r="G95" s="531" t="s">
        <v>801</v>
      </c>
      <c r="H95" s="235"/>
      <c r="I95" s="905"/>
      <c r="J95" s="189" t="s">
        <v>582</v>
      </c>
      <c r="K95" s="208"/>
      <c r="L95" s="573">
        <v>2</v>
      </c>
      <c r="M95" s="544">
        <v>3</v>
      </c>
      <c r="N95" s="791" t="s">
        <v>92</v>
      </c>
      <c r="O95" s="1517" t="s">
        <v>423</v>
      </c>
      <c r="P95" s="307">
        <f>Test_Bible!P181</f>
        <v>0</v>
      </c>
      <c r="Q95" s="307">
        <f>Test_Bible!Q181</f>
        <v>0</v>
      </c>
      <c r="R95" s="307" t="s">
        <v>802</v>
      </c>
      <c r="S95" s="316">
        <v>1</v>
      </c>
      <c r="T95" s="317">
        <v>0</v>
      </c>
      <c r="U95" s="318">
        <v>0</v>
      </c>
      <c r="V95" s="685" t="s">
        <v>803</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804</v>
      </c>
      <c r="F96" s="532" t="s">
        <v>805</v>
      </c>
      <c r="G96" s="532" t="s">
        <v>806</v>
      </c>
      <c r="H96" s="236"/>
      <c r="I96" s="906"/>
      <c r="J96" s="190"/>
      <c r="K96" s="209"/>
      <c r="L96" s="569">
        <v>1</v>
      </c>
      <c r="M96" s="546"/>
      <c r="N96" s="791" t="s">
        <v>84</v>
      </c>
      <c r="O96" s="1517" t="s">
        <v>440</v>
      </c>
      <c r="P96" s="307">
        <f>Test_Bible!P182</f>
        <v>0</v>
      </c>
      <c r="Q96" s="307">
        <f>Test_Bible!Q182</f>
        <v>0</v>
      </c>
      <c r="R96" s="311" t="s">
        <v>628</v>
      </c>
      <c r="S96" s="316">
        <v>1</v>
      </c>
      <c r="T96" s="317">
        <v>0</v>
      </c>
      <c r="U96" s="318">
        <v>0</v>
      </c>
      <c r="V96" s="646" t="s">
        <v>231</v>
      </c>
      <c r="W96" s="8"/>
      <c r="X96" s="423"/>
      <c r="Y96" s="1043">
        <v>1</v>
      </c>
      <c r="Z96" s="424"/>
      <c r="AA96" s="42"/>
      <c r="AB96" s="42"/>
      <c r="AC96" s="42"/>
      <c r="AD96" s="42"/>
      <c r="AE96" s="983"/>
      <c r="AF96" s="984"/>
      <c r="AG96" s="984"/>
      <c r="AH96" s="983"/>
      <c r="AI96" s="834"/>
      <c r="AJ96" s="836"/>
    </row>
    <row r="97" spans="1:36" s="7" customFormat="1" ht="91" customHeight="1">
      <c r="C97" s="769" t="s">
        <v>689</v>
      </c>
      <c r="D97" s="354">
        <v>43</v>
      </c>
      <c r="E97" s="181" t="s">
        <v>807</v>
      </c>
      <c r="F97" s="532" t="s">
        <v>808</v>
      </c>
      <c r="G97" s="532" t="s">
        <v>809</v>
      </c>
      <c r="H97" s="234"/>
      <c r="I97" s="903"/>
      <c r="J97" s="190"/>
      <c r="K97" s="209">
        <v>4</v>
      </c>
      <c r="L97" s="545">
        <v>2</v>
      </c>
      <c r="M97" s="544">
        <v>3</v>
      </c>
      <c r="N97" s="791" t="s">
        <v>117</v>
      </c>
      <c r="O97" s="1517" t="s">
        <v>429</v>
      </c>
      <c r="P97" s="308">
        <f>Test_Bible!P198</f>
        <v>0</v>
      </c>
      <c r="Q97" s="308">
        <f>Test_Bible!Q198</f>
        <v>0</v>
      </c>
      <c r="R97" s="311" t="s">
        <v>810</v>
      </c>
      <c r="S97" s="316">
        <v>0</v>
      </c>
      <c r="T97" s="317">
        <v>0.5</v>
      </c>
      <c r="U97" s="318">
        <v>0.5</v>
      </c>
      <c r="V97" s="689" t="s">
        <v>234</v>
      </c>
      <c r="W97" s="8"/>
      <c r="X97" s="423"/>
      <c r="Y97" s="44"/>
      <c r="Z97" s="424"/>
      <c r="AA97" s="42"/>
      <c r="AB97" s="42"/>
      <c r="AC97" s="42"/>
      <c r="AD97" s="1044">
        <v>1</v>
      </c>
      <c r="AE97" s="983"/>
      <c r="AF97" s="984"/>
      <c r="AG97" s="984"/>
      <c r="AH97" s="983"/>
      <c r="AI97" s="834"/>
      <c r="AJ97" s="836"/>
    </row>
    <row r="98" spans="1:36" s="7" customFormat="1" ht="73" customHeight="1">
      <c r="B98" s="99" t="s">
        <v>811</v>
      </c>
      <c r="C98" s="769" t="s">
        <v>689</v>
      </c>
      <c r="D98" s="354">
        <v>44</v>
      </c>
      <c r="E98" s="120" t="s">
        <v>812</v>
      </c>
      <c r="F98" s="274" t="s">
        <v>813</v>
      </c>
      <c r="G98" s="274" t="s">
        <v>814</v>
      </c>
      <c r="H98" s="229"/>
      <c r="I98" s="904"/>
      <c r="J98" s="189" t="s">
        <v>582</v>
      </c>
      <c r="K98" s="208"/>
      <c r="L98" s="545">
        <v>2</v>
      </c>
      <c r="M98" s="544">
        <v>3</v>
      </c>
      <c r="N98" s="791" t="s">
        <v>92</v>
      </c>
      <c r="O98" s="1517" t="s">
        <v>423</v>
      </c>
      <c r="P98" s="308">
        <f>Test_Bible!P199</f>
        <v>0</v>
      </c>
      <c r="Q98" s="308">
        <f>Test_Bible!Q199</f>
        <v>0</v>
      </c>
      <c r="R98" s="311" t="s">
        <v>815</v>
      </c>
      <c r="S98" s="316">
        <v>0</v>
      </c>
      <c r="T98" s="317">
        <v>0</v>
      </c>
      <c r="U98" s="318">
        <v>1</v>
      </c>
      <c r="V98" s="689" t="s">
        <v>234</v>
      </c>
      <c r="W98" s="8"/>
      <c r="X98" s="423"/>
      <c r="Y98" s="411"/>
      <c r="Z98" s="424"/>
      <c r="AA98" s="42"/>
      <c r="AB98" s="42"/>
      <c r="AC98" s="42"/>
      <c r="AD98" s="1044">
        <v>1</v>
      </c>
      <c r="AE98" s="983"/>
      <c r="AF98" s="984"/>
      <c r="AG98" s="984"/>
      <c r="AH98" s="983"/>
      <c r="AI98" s="834"/>
      <c r="AJ98" s="836"/>
    </row>
    <row r="99" spans="1:36" s="7" customFormat="1" ht="78" customHeight="1">
      <c r="C99" s="769" t="s">
        <v>816</v>
      </c>
      <c r="D99" s="354">
        <v>26</v>
      </c>
      <c r="E99" s="181" t="s">
        <v>817</v>
      </c>
      <c r="F99" s="532" t="s">
        <v>818</v>
      </c>
      <c r="G99" s="532" t="s">
        <v>819</v>
      </c>
      <c r="H99" s="236"/>
      <c r="I99" s="906"/>
      <c r="J99" s="190"/>
      <c r="K99" s="209"/>
      <c r="L99" s="569">
        <v>1</v>
      </c>
      <c r="M99" s="545">
        <v>2</v>
      </c>
      <c r="N99" s="791" t="s">
        <v>117</v>
      </c>
      <c r="O99" s="1517" t="s">
        <v>820</v>
      </c>
      <c r="P99" s="307">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6" t="s">
        <v>822</v>
      </c>
      <c r="AG99" s="986"/>
      <c r="AH99" s="983"/>
      <c r="AI99" s="834"/>
      <c r="AJ99" s="836"/>
    </row>
    <row r="100" spans="1:36" s="7" customFormat="1" ht="45" customHeight="1">
      <c r="D100" s="354">
        <v>37</v>
      </c>
      <c r="E100" s="181" t="s">
        <v>823</v>
      </c>
      <c r="F100" s="532" t="s">
        <v>824</v>
      </c>
      <c r="G100" s="532" t="s">
        <v>825</v>
      </c>
      <c r="H100" s="236"/>
      <c r="I100" s="906"/>
      <c r="J100" s="192" t="s">
        <v>826</v>
      </c>
      <c r="K100" s="209">
        <v>4</v>
      </c>
      <c r="L100" s="569">
        <v>1</v>
      </c>
      <c r="M100" s="546"/>
      <c r="N100" s="791" t="s">
        <v>92</v>
      </c>
      <c r="O100" s="1517" t="s">
        <v>423</v>
      </c>
      <c r="P100" s="307">
        <f>Test_Bible!P186</f>
        <v>0</v>
      </c>
      <c r="Q100" s="307">
        <f>Test_Bible!Q186</f>
        <v>0</v>
      </c>
      <c r="R100" s="307" t="s">
        <v>827</v>
      </c>
      <c r="S100" s="316">
        <v>0</v>
      </c>
      <c r="T100" s="317">
        <v>0</v>
      </c>
      <c r="U100" s="318">
        <v>1</v>
      </c>
      <c r="V100" s="686" t="s">
        <v>47</v>
      </c>
      <c r="W100" s="8"/>
      <c r="X100" s="423"/>
      <c r="Y100" s="44"/>
      <c r="Z100" s="424">
        <v>1</v>
      </c>
      <c r="AA100" s="42"/>
      <c r="AB100" s="42"/>
      <c r="AC100" s="42"/>
      <c r="AD100" s="42"/>
      <c r="AE100" s="500" t="s">
        <v>479</v>
      </c>
      <c r="AF100" s="979"/>
      <c r="AG100" s="979"/>
      <c r="AH100" s="500" t="s">
        <v>5</v>
      </c>
      <c r="AI100" s="267"/>
      <c r="AJ100" s="500"/>
    </row>
    <row r="101" spans="1:36" s="7" customFormat="1" ht="55" customHeight="1">
      <c r="B101" s="99" t="s">
        <v>828</v>
      </c>
      <c r="D101" s="354">
        <v>38</v>
      </c>
      <c r="E101" s="120" t="s">
        <v>829</v>
      </c>
      <c r="F101" s="531" t="s">
        <v>830</v>
      </c>
      <c r="G101" s="531" t="s">
        <v>831</v>
      </c>
      <c r="H101" s="235"/>
      <c r="I101" s="905"/>
      <c r="J101" s="189" t="s">
        <v>582</v>
      </c>
      <c r="K101" s="208"/>
      <c r="L101" s="574">
        <v>3</v>
      </c>
      <c r="M101" s="544"/>
      <c r="N101" s="791" t="s">
        <v>92</v>
      </c>
      <c r="O101" s="1517" t="s">
        <v>423</v>
      </c>
      <c r="P101" s="307">
        <f>Test_Bible!P187</f>
        <v>0</v>
      </c>
      <c r="Q101" s="307">
        <f>Test_Bible!Q187</f>
        <v>0</v>
      </c>
      <c r="R101" s="307" t="s">
        <v>832</v>
      </c>
      <c r="S101" s="316">
        <v>0</v>
      </c>
      <c r="T101" s="317">
        <v>1</v>
      </c>
      <c r="U101" s="318">
        <v>0</v>
      </c>
      <c r="V101" s="685" t="s">
        <v>47</v>
      </c>
      <c r="W101" s="8"/>
      <c r="X101" s="423"/>
      <c r="Y101" s="44"/>
      <c r="Z101" s="424">
        <v>1</v>
      </c>
      <c r="AA101" s="42"/>
      <c r="AB101" s="42"/>
      <c r="AC101" s="42"/>
      <c r="AD101" s="42"/>
      <c r="AE101" s="983"/>
      <c r="AF101" s="984"/>
      <c r="AG101" s="984"/>
      <c r="AH101" s="983"/>
      <c r="AI101" s="834"/>
      <c r="AJ101" s="836"/>
    </row>
    <row r="102" spans="1:36" s="7" customFormat="1" ht="54" customHeight="1">
      <c r="A102" s="694" t="s">
        <v>833</v>
      </c>
      <c r="B102" s="99" t="s">
        <v>828</v>
      </c>
      <c r="D102" s="354">
        <v>39</v>
      </c>
      <c r="E102" s="120" t="s">
        <v>834</v>
      </c>
      <c r="F102" s="531" t="s">
        <v>800</v>
      </c>
      <c r="G102" s="531" t="s">
        <v>801</v>
      </c>
      <c r="H102" s="235"/>
      <c r="I102" s="905"/>
      <c r="J102" s="99" t="s">
        <v>582</v>
      </c>
      <c r="K102" s="208"/>
      <c r="L102" s="574">
        <v>3</v>
      </c>
      <c r="M102" s="544"/>
      <c r="N102" s="791" t="s">
        <v>92</v>
      </c>
      <c r="O102" s="1517"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3"/>
      <c r="AF102" s="984"/>
      <c r="AG102" s="984"/>
      <c r="AH102" s="837" t="s">
        <v>513</v>
      </c>
      <c r="AI102" s="834"/>
      <c r="AJ102" s="836"/>
    </row>
    <row r="103" spans="1:36" s="7" customFormat="1" ht="58" customHeight="1">
      <c r="B103" s="99" t="s">
        <v>828</v>
      </c>
      <c r="D103" s="354">
        <v>40</v>
      </c>
      <c r="E103" s="120" t="s">
        <v>836</v>
      </c>
      <c r="F103" s="531" t="s">
        <v>837</v>
      </c>
      <c r="G103" s="531" t="s">
        <v>838</v>
      </c>
      <c r="H103" s="235"/>
      <c r="I103" s="905"/>
      <c r="J103" s="189" t="s">
        <v>582</v>
      </c>
      <c r="K103" s="208"/>
      <c r="L103" s="573">
        <v>2</v>
      </c>
      <c r="M103" s="545"/>
      <c r="N103" s="791" t="s">
        <v>92</v>
      </c>
      <c r="O103" s="1517" t="s">
        <v>423</v>
      </c>
      <c r="P103" s="307">
        <f>Test_Bible!P189</f>
        <v>0</v>
      </c>
      <c r="Q103" s="307">
        <f>Test_Bible!Q189</f>
        <v>0</v>
      </c>
      <c r="R103" s="307" t="s">
        <v>839</v>
      </c>
      <c r="S103" s="316">
        <v>1</v>
      </c>
      <c r="T103" s="317">
        <v>0</v>
      </c>
      <c r="U103" s="318">
        <v>0</v>
      </c>
      <c r="V103" s="685" t="s">
        <v>47</v>
      </c>
      <c r="W103" s="8"/>
      <c r="X103" s="423"/>
      <c r="Y103" s="44"/>
      <c r="Z103" s="424">
        <v>1</v>
      </c>
      <c r="AA103" s="42"/>
      <c r="AB103" s="42"/>
      <c r="AC103" s="42"/>
      <c r="AD103" s="42"/>
      <c r="AE103" s="983"/>
      <c r="AF103" s="984"/>
      <c r="AG103" s="984"/>
      <c r="AH103" s="983"/>
      <c r="AI103" s="834"/>
      <c r="AJ103" s="836"/>
    </row>
    <row r="104" spans="1:36" s="7" customFormat="1" ht="70" customHeight="1">
      <c r="A104" s="694" t="s">
        <v>713</v>
      </c>
      <c r="D104" s="354">
        <v>66</v>
      </c>
      <c r="E104" s="117" t="s">
        <v>840</v>
      </c>
      <c r="F104" s="532" t="s">
        <v>841</v>
      </c>
      <c r="G104" s="532" t="s">
        <v>842</v>
      </c>
      <c r="H104" s="236"/>
      <c r="I104" s="906"/>
      <c r="J104" s="190"/>
      <c r="K104" s="209"/>
      <c r="L104" s="569">
        <v>1</v>
      </c>
      <c r="M104" s="546"/>
      <c r="N104" s="791" t="s">
        <v>92</v>
      </c>
      <c r="O104" s="1517"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6" t="s">
        <v>844</v>
      </c>
      <c r="AG104" s="986"/>
      <c r="AH104" s="500" t="s">
        <v>5</v>
      </c>
      <c r="AI104" s="834"/>
      <c r="AJ104" s="836"/>
    </row>
    <row r="105" spans="1:36" s="7" customFormat="1" ht="66" customHeight="1">
      <c r="A105" s="694" t="s">
        <v>845</v>
      </c>
      <c r="D105" s="354">
        <v>53</v>
      </c>
      <c r="E105" s="117" t="s">
        <v>846</v>
      </c>
      <c r="F105" s="532" t="s">
        <v>847</v>
      </c>
      <c r="G105" s="532" t="s">
        <v>848</v>
      </c>
      <c r="H105" s="234"/>
      <c r="I105" s="903"/>
      <c r="J105" s="190" t="s">
        <v>849</v>
      </c>
      <c r="K105" s="209">
        <v>4</v>
      </c>
      <c r="L105" s="568">
        <v>2</v>
      </c>
      <c r="M105" s="560"/>
      <c r="N105" s="791" t="s">
        <v>117</v>
      </c>
      <c r="O105" s="1517" t="s">
        <v>850</v>
      </c>
      <c r="P105" s="307">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852</v>
      </c>
      <c r="D106" s="354">
        <v>54</v>
      </c>
      <c r="E106" s="120" t="s">
        <v>853</v>
      </c>
      <c r="F106" s="533" t="s">
        <v>854</v>
      </c>
      <c r="G106" s="274" t="s">
        <v>855</v>
      </c>
      <c r="H106" s="237"/>
      <c r="I106" s="907"/>
      <c r="J106" s="189" t="s">
        <v>582</v>
      </c>
      <c r="K106" s="208"/>
      <c r="L106" s="571">
        <v>3</v>
      </c>
      <c r="M106" s="790"/>
      <c r="N106" s="1637" t="s">
        <v>117</v>
      </c>
      <c r="O106" s="1517"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857</v>
      </c>
      <c r="F107" s="532" t="s">
        <v>858</v>
      </c>
      <c r="G107" s="532" t="s">
        <v>859</v>
      </c>
      <c r="H107" s="234"/>
      <c r="I107" s="903"/>
      <c r="J107" s="190" t="s">
        <v>860</v>
      </c>
      <c r="K107" s="209">
        <v>2</v>
      </c>
      <c r="L107" s="545">
        <v>2</v>
      </c>
      <c r="M107" s="545"/>
      <c r="N107" s="791" t="s">
        <v>92</v>
      </c>
      <c r="O107" s="1517" t="s">
        <v>423</v>
      </c>
      <c r="P107" s="307">
        <f>Test_Bible!P193</f>
        <v>0</v>
      </c>
      <c r="Q107" s="307">
        <f>Test_Bible!Q193</f>
        <v>0</v>
      </c>
      <c r="R107" s="307" t="s">
        <v>861</v>
      </c>
      <c r="S107" s="316">
        <v>1</v>
      </c>
      <c r="T107" s="317">
        <v>0</v>
      </c>
      <c r="U107" s="318">
        <v>0</v>
      </c>
      <c r="V107" s="687" t="s">
        <v>232</v>
      </c>
      <c r="W107" s="8"/>
      <c r="X107" s="423"/>
      <c r="Y107" s="44"/>
      <c r="Z107" s="424"/>
      <c r="AA107" s="1044">
        <v>1</v>
      </c>
      <c r="AB107" s="42"/>
      <c r="AC107" s="42"/>
      <c r="AD107" s="42"/>
      <c r="AE107" s="500" t="s">
        <v>479</v>
      </c>
      <c r="AF107" s="979"/>
      <c r="AG107" s="979"/>
      <c r="AH107" s="500" t="s">
        <v>5</v>
      </c>
      <c r="AI107" s="267"/>
      <c r="AJ107" s="500"/>
    </row>
    <row r="108" spans="1:36" s="7" customFormat="1" ht="52" customHeight="1">
      <c r="B108" s="99" t="s">
        <v>862</v>
      </c>
      <c r="D108" s="354">
        <v>19</v>
      </c>
      <c r="E108" s="120" t="s">
        <v>863</v>
      </c>
      <c r="F108" s="274" t="s">
        <v>864</v>
      </c>
      <c r="G108" s="274" t="s">
        <v>865</v>
      </c>
      <c r="H108" s="238"/>
      <c r="I108" s="908"/>
      <c r="J108" s="189" t="s">
        <v>582</v>
      </c>
      <c r="K108" s="208"/>
      <c r="L108" s="545">
        <v>2</v>
      </c>
      <c r="M108" s="545"/>
      <c r="N108" s="791" t="s">
        <v>92</v>
      </c>
      <c r="O108" s="1517" t="s">
        <v>423</v>
      </c>
      <c r="P108" s="307">
        <f>Test_Bible!P194</f>
        <v>0</v>
      </c>
      <c r="Q108" s="307">
        <f>Test_Bible!Q194</f>
        <v>0</v>
      </c>
      <c r="R108" s="307" t="s">
        <v>866</v>
      </c>
      <c r="S108" s="316">
        <v>1</v>
      </c>
      <c r="T108" s="317">
        <v>0</v>
      </c>
      <c r="U108" s="318">
        <v>0</v>
      </c>
      <c r="V108" s="687" t="s">
        <v>232</v>
      </c>
      <c r="W108" s="8"/>
      <c r="X108" s="423"/>
      <c r="Y108" s="44"/>
      <c r="Z108" s="424"/>
      <c r="AA108" s="1044">
        <v>1</v>
      </c>
      <c r="AB108" s="42"/>
      <c r="AC108" s="42"/>
      <c r="AD108" s="42"/>
      <c r="AE108" s="983"/>
      <c r="AF108" s="984"/>
      <c r="AG108" s="984"/>
      <c r="AH108" s="983"/>
      <c r="AI108" s="834"/>
      <c r="AJ108" s="836"/>
    </row>
    <row r="109" spans="1:36" s="7" customFormat="1" ht="58" customHeight="1">
      <c r="B109" s="99" t="s">
        <v>862</v>
      </c>
      <c r="D109" s="354">
        <v>20</v>
      </c>
      <c r="E109" s="120" t="s">
        <v>867</v>
      </c>
      <c r="F109" s="274" t="s">
        <v>868</v>
      </c>
      <c r="G109" s="274" t="s">
        <v>869</v>
      </c>
      <c r="H109" s="239"/>
      <c r="I109" s="909"/>
      <c r="J109" s="189" t="s">
        <v>582</v>
      </c>
      <c r="K109" s="208">
        <v>4</v>
      </c>
      <c r="L109" s="545">
        <v>2</v>
      </c>
      <c r="M109" s="545"/>
      <c r="N109" s="791" t="s">
        <v>92</v>
      </c>
      <c r="O109" s="1517" t="s">
        <v>423</v>
      </c>
      <c r="P109" s="307">
        <f>Test_Bible!P195</f>
        <v>0</v>
      </c>
      <c r="Q109" s="307">
        <f>Test_Bible!Q195</f>
        <v>0</v>
      </c>
      <c r="R109" s="307" t="s">
        <v>870</v>
      </c>
      <c r="S109" s="316">
        <v>1</v>
      </c>
      <c r="T109" s="317">
        <v>0</v>
      </c>
      <c r="U109" s="318">
        <v>0</v>
      </c>
      <c r="V109" s="687" t="s">
        <v>232</v>
      </c>
      <c r="W109" s="8"/>
      <c r="X109" s="423"/>
      <c r="Y109" s="44"/>
      <c r="Z109" s="424"/>
      <c r="AA109" s="1044">
        <v>1</v>
      </c>
      <c r="AB109" s="42"/>
      <c r="AC109" s="42"/>
      <c r="AD109" s="42"/>
      <c r="AE109" s="983"/>
      <c r="AF109" s="984"/>
      <c r="AG109" s="984"/>
      <c r="AH109" s="983"/>
      <c r="AI109" s="834"/>
      <c r="AJ109" s="836"/>
    </row>
    <row r="110" spans="1:36" s="7" customFormat="1" ht="60" customHeight="1">
      <c r="B110" s="99" t="s">
        <v>871</v>
      </c>
      <c r="D110" s="354">
        <v>21</v>
      </c>
      <c r="E110" s="120" t="s">
        <v>872</v>
      </c>
      <c r="F110" s="274" t="s">
        <v>873</v>
      </c>
      <c r="G110" s="274" t="s">
        <v>874</v>
      </c>
      <c r="H110" s="238"/>
      <c r="I110" s="908"/>
      <c r="J110" s="189" t="s">
        <v>790</v>
      </c>
      <c r="K110" s="208"/>
      <c r="L110" s="544">
        <v>3</v>
      </c>
      <c r="M110" s="544"/>
      <c r="N110" s="791" t="s">
        <v>92</v>
      </c>
      <c r="O110" s="1517" t="s">
        <v>423</v>
      </c>
      <c r="P110" s="307">
        <f>Test_Bible!P196</f>
        <v>0</v>
      </c>
      <c r="Q110" s="307">
        <f>Test_Bible!Q196</f>
        <v>0</v>
      </c>
      <c r="R110" s="307" t="s">
        <v>875</v>
      </c>
      <c r="S110" s="316">
        <v>1</v>
      </c>
      <c r="T110" s="317">
        <v>0</v>
      </c>
      <c r="U110" s="318">
        <v>0</v>
      </c>
      <c r="V110" s="687" t="s">
        <v>232</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876</v>
      </c>
      <c r="F111" s="532" t="s">
        <v>877</v>
      </c>
      <c r="G111" s="532" t="s">
        <v>878</v>
      </c>
      <c r="H111" s="234"/>
      <c r="I111" s="903"/>
      <c r="J111" s="190"/>
      <c r="K111" s="209"/>
      <c r="L111" s="537">
        <v>1</v>
      </c>
      <c r="M111" s="537"/>
      <c r="N111" s="791" t="s">
        <v>92</v>
      </c>
      <c r="O111" s="1517" t="s">
        <v>423</v>
      </c>
      <c r="P111" s="307">
        <f>Test_Bible!P197</f>
        <v>0</v>
      </c>
      <c r="Q111" s="307">
        <f>Test_Bible!Q197</f>
        <v>0</v>
      </c>
      <c r="R111" s="307" t="s">
        <v>879</v>
      </c>
      <c r="S111" s="316">
        <v>1</v>
      </c>
      <c r="T111" s="317">
        <v>0</v>
      </c>
      <c r="U111" s="318">
        <v>0</v>
      </c>
      <c r="V111" s="687" t="s">
        <v>232</v>
      </c>
      <c r="W111" s="8"/>
      <c r="X111" s="423"/>
      <c r="Y111" s="44"/>
      <c r="Z111" s="424"/>
      <c r="AA111" s="1044">
        <v>1</v>
      </c>
      <c r="AB111" s="42"/>
      <c r="AC111" s="42"/>
      <c r="AD111" s="42"/>
      <c r="AE111" s="500" t="s">
        <v>479</v>
      </c>
      <c r="AF111" s="979"/>
      <c r="AG111" s="979"/>
      <c r="AH111" s="983"/>
      <c r="AI111" s="834"/>
      <c r="AJ111" s="836"/>
    </row>
    <row r="112" spans="1:36" s="7" customFormat="1" ht="93" customHeight="1">
      <c r="C112" s="769" t="s">
        <v>880</v>
      </c>
      <c r="D112" s="354">
        <v>17</v>
      </c>
      <c r="E112" s="181" t="s">
        <v>881</v>
      </c>
      <c r="F112" s="532" t="s">
        <v>882</v>
      </c>
      <c r="G112" s="532" t="s">
        <v>883</v>
      </c>
      <c r="H112" s="234"/>
      <c r="I112" s="903"/>
      <c r="J112" s="190"/>
      <c r="K112" s="209">
        <v>4</v>
      </c>
      <c r="L112" s="537">
        <v>1</v>
      </c>
      <c r="M112" s="850">
        <v>3</v>
      </c>
      <c r="N112" s="791" t="s">
        <v>433</v>
      </c>
      <c r="O112" s="1517" t="s">
        <v>434</v>
      </c>
      <c r="P112" s="307">
        <f>Test_Bible!P198</f>
        <v>0</v>
      </c>
      <c r="Q112" s="307">
        <f>Test_Bible!Q198</f>
        <v>0</v>
      </c>
      <c r="R112" s="311" t="s">
        <v>884</v>
      </c>
      <c r="S112" s="316">
        <v>1</v>
      </c>
      <c r="T112" s="317">
        <v>0</v>
      </c>
      <c r="U112" s="318">
        <v>0</v>
      </c>
      <c r="V112" s="687" t="s">
        <v>232</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885</v>
      </c>
      <c r="F113" s="532" t="s">
        <v>886</v>
      </c>
      <c r="G113" s="696" t="s">
        <v>887</v>
      </c>
      <c r="H113" s="234"/>
      <c r="I113" s="903"/>
      <c r="J113" s="190"/>
      <c r="K113" s="1607">
        <v>7</v>
      </c>
      <c r="L113" s="545">
        <v>2</v>
      </c>
      <c r="M113" s="545"/>
      <c r="N113" s="791" t="s">
        <v>84</v>
      </c>
      <c r="O113" s="1517" t="s">
        <v>440</v>
      </c>
      <c r="P113" s="307">
        <f>Test_Bible!P199</f>
        <v>0</v>
      </c>
      <c r="Q113" s="307">
        <f>Test_Bible!Q199</f>
        <v>0</v>
      </c>
      <c r="R113" s="307" t="s">
        <v>888</v>
      </c>
      <c r="S113" s="316">
        <v>1</v>
      </c>
      <c r="T113" s="317">
        <v>0</v>
      </c>
      <c r="U113" s="318">
        <v>0</v>
      </c>
      <c r="V113" s="687" t="s">
        <v>232</v>
      </c>
      <c r="W113" s="8"/>
      <c r="X113" s="423"/>
      <c r="Y113" s="44"/>
      <c r="Z113" s="424"/>
      <c r="AA113" s="1044">
        <v>1</v>
      </c>
      <c r="AB113" s="42"/>
      <c r="AC113" s="42"/>
      <c r="AD113" s="42"/>
      <c r="AE113" s="983"/>
      <c r="AF113" s="984"/>
      <c r="AG113" s="984"/>
      <c r="AH113" s="983"/>
      <c r="AI113" s="834"/>
      <c r="AJ113" s="836"/>
    </row>
    <row r="114" spans="1:36" s="7" customFormat="1" ht="80" customHeight="1">
      <c r="B114" s="99" t="s">
        <v>889</v>
      </c>
      <c r="D114" s="354">
        <v>14</v>
      </c>
      <c r="E114" s="120" t="s">
        <v>890</v>
      </c>
      <c r="F114" s="274" t="s">
        <v>891</v>
      </c>
      <c r="G114" s="692" t="s">
        <v>892</v>
      </c>
      <c r="H114" s="238"/>
      <c r="I114" s="908"/>
      <c r="J114" s="189" t="s">
        <v>582</v>
      </c>
      <c r="K114" s="208"/>
      <c r="L114" s="544">
        <v>3</v>
      </c>
      <c r="M114" s="544"/>
      <c r="N114" s="791" t="s">
        <v>117</v>
      </c>
      <c r="O114" s="1517" t="s">
        <v>850</v>
      </c>
      <c r="P114" s="307">
        <f>Test_Bible!P200</f>
        <v>0</v>
      </c>
      <c r="Q114" s="307">
        <f>Test_Bible!Q200</f>
        <v>0</v>
      </c>
      <c r="R114" s="307" t="s">
        <v>893</v>
      </c>
      <c r="S114" s="316">
        <v>1</v>
      </c>
      <c r="T114" s="317">
        <v>0</v>
      </c>
      <c r="U114" s="318">
        <v>0</v>
      </c>
      <c r="V114" s="687" t="s">
        <v>232</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894</v>
      </c>
      <c r="F115" s="532" t="s">
        <v>895</v>
      </c>
      <c r="G115" s="696" t="s">
        <v>896</v>
      </c>
      <c r="H115" s="234"/>
      <c r="I115" s="903"/>
      <c r="J115" s="190" t="s">
        <v>849</v>
      </c>
      <c r="K115" s="209">
        <v>4</v>
      </c>
      <c r="L115" s="537">
        <v>1</v>
      </c>
      <c r="M115" s="537"/>
      <c r="N115" s="791" t="s">
        <v>84</v>
      </c>
      <c r="O115" s="1517" t="s">
        <v>440</v>
      </c>
      <c r="P115" s="307">
        <f>Test_Bible!P201</f>
        <v>0</v>
      </c>
      <c r="Q115" s="307">
        <f>Test_Bible!Q201</f>
        <v>0</v>
      </c>
      <c r="R115" s="307" t="s">
        <v>897</v>
      </c>
      <c r="S115" s="316">
        <v>1</v>
      </c>
      <c r="T115" s="317">
        <v>0</v>
      </c>
      <c r="U115" s="318">
        <v>0</v>
      </c>
      <c r="V115" s="687" t="s">
        <v>232</v>
      </c>
      <c r="W115" s="8"/>
      <c r="X115" s="423"/>
      <c r="Y115" s="44"/>
      <c r="Z115" s="424"/>
      <c r="AA115" s="1044">
        <v>1</v>
      </c>
      <c r="AB115" s="42"/>
      <c r="AC115" s="42"/>
      <c r="AD115" s="42"/>
      <c r="AE115" s="500" t="s">
        <v>479</v>
      </c>
      <c r="AF115" s="986" t="s">
        <v>898</v>
      </c>
      <c r="AG115" s="984"/>
      <c r="AH115" s="500" t="s">
        <v>5</v>
      </c>
      <c r="AI115" s="834"/>
      <c r="AJ115" s="986" t="s">
        <v>898</v>
      </c>
    </row>
    <row r="116" spans="1:36" s="7" customFormat="1" ht="63" customHeight="1">
      <c r="B116" s="99" t="s">
        <v>899</v>
      </c>
      <c r="D116" s="354">
        <v>30</v>
      </c>
      <c r="E116" s="120" t="s">
        <v>900</v>
      </c>
      <c r="F116" s="274" t="s">
        <v>901</v>
      </c>
      <c r="G116" s="692" t="s">
        <v>902</v>
      </c>
      <c r="H116" s="238"/>
      <c r="I116" s="908"/>
      <c r="J116" s="189" t="s">
        <v>582</v>
      </c>
      <c r="K116" s="208">
        <v>4</v>
      </c>
      <c r="L116" s="545">
        <v>2</v>
      </c>
      <c r="M116" s="545"/>
      <c r="N116" s="791" t="s">
        <v>92</v>
      </c>
      <c r="O116" s="1517" t="s">
        <v>423</v>
      </c>
      <c r="P116" s="307">
        <f>Test_Bible!P202</f>
        <v>0</v>
      </c>
      <c r="Q116" s="307">
        <f>Test_Bible!Q202</f>
        <v>0</v>
      </c>
      <c r="R116" s="307" t="s">
        <v>903</v>
      </c>
      <c r="S116" s="316">
        <v>1</v>
      </c>
      <c r="T116" s="317">
        <v>0</v>
      </c>
      <c r="U116" s="318">
        <v>0</v>
      </c>
      <c r="V116" s="687" t="s">
        <v>232</v>
      </c>
      <c r="W116" s="8"/>
      <c r="X116" s="423"/>
      <c r="Y116" s="411"/>
      <c r="Z116" s="424"/>
      <c r="AA116" s="1044">
        <v>1</v>
      </c>
      <c r="AB116" s="42"/>
      <c r="AC116" s="42"/>
      <c r="AD116" s="42"/>
      <c r="AE116" s="983"/>
      <c r="AF116" s="984"/>
      <c r="AG116" s="984"/>
      <c r="AH116" s="983"/>
      <c r="AI116" s="834"/>
      <c r="AJ116" s="836"/>
    </row>
    <row r="117" spans="1:36" s="7" customFormat="1" ht="63" customHeight="1">
      <c r="B117" s="99" t="s">
        <v>904</v>
      </c>
      <c r="C117" s="25"/>
      <c r="D117" s="354">
        <v>31</v>
      </c>
      <c r="E117" s="120" t="s">
        <v>905</v>
      </c>
      <c r="F117" s="531" t="s">
        <v>906</v>
      </c>
      <c r="G117" s="849" t="s">
        <v>907</v>
      </c>
      <c r="H117" s="235"/>
      <c r="I117" s="905"/>
      <c r="J117" s="99"/>
      <c r="K117" s="208">
        <v>4</v>
      </c>
      <c r="L117" s="544">
        <v>3</v>
      </c>
      <c r="M117" s="544"/>
      <c r="N117" s="791" t="s">
        <v>92</v>
      </c>
      <c r="O117" s="1517" t="s">
        <v>423</v>
      </c>
      <c r="P117" s="307">
        <f>Test_Bible!P203</f>
        <v>0</v>
      </c>
      <c r="Q117" s="307">
        <f>Test_Bible!Q203</f>
        <v>0</v>
      </c>
      <c r="R117" s="307" t="s">
        <v>908</v>
      </c>
      <c r="S117" s="316">
        <v>0.5</v>
      </c>
      <c r="T117" s="317">
        <v>0</v>
      </c>
      <c r="U117" s="316">
        <v>0.5</v>
      </c>
      <c r="V117" s="685" t="s">
        <v>47</v>
      </c>
      <c r="W117" s="8"/>
      <c r="X117" s="423"/>
      <c r="Y117" s="411"/>
      <c r="Z117" s="424">
        <v>1</v>
      </c>
      <c r="AA117" s="42"/>
      <c r="AB117" s="42"/>
      <c r="AC117" s="42"/>
      <c r="AD117" s="42"/>
      <c r="AE117" s="983"/>
      <c r="AF117" s="984"/>
      <c r="AG117" s="984"/>
      <c r="AH117" s="500"/>
      <c r="AI117" s="267"/>
      <c r="AJ117" s="836"/>
    </row>
    <row r="118" spans="1:36" s="7" customFormat="1" ht="63" customHeight="1">
      <c r="B118" s="99" t="s">
        <v>909</v>
      </c>
      <c r="D118" s="354">
        <v>32</v>
      </c>
      <c r="E118" s="120" t="s">
        <v>910</v>
      </c>
      <c r="F118" s="531" t="s">
        <v>911</v>
      </c>
      <c r="G118" s="849" t="s">
        <v>912</v>
      </c>
      <c r="H118" s="235"/>
      <c r="I118" s="905"/>
      <c r="J118" s="99" t="s">
        <v>582</v>
      </c>
      <c r="K118" s="208"/>
      <c r="L118" s="544">
        <v>3</v>
      </c>
      <c r="M118" s="544"/>
      <c r="N118" s="791" t="s">
        <v>92</v>
      </c>
      <c r="O118" s="1517" t="s">
        <v>423</v>
      </c>
      <c r="P118" s="307">
        <f>Test_Bible!P204</f>
        <v>0</v>
      </c>
      <c r="Q118" s="307">
        <f>Test_Bible!Q204</f>
        <v>0</v>
      </c>
      <c r="R118" s="307" t="s">
        <v>913</v>
      </c>
      <c r="S118" s="316">
        <v>1</v>
      </c>
      <c r="T118" s="317">
        <v>0</v>
      </c>
      <c r="U118" s="318">
        <v>0</v>
      </c>
      <c r="V118" s="685" t="s">
        <v>232</v>
      </c>
      <c r="W118" s="8"/>
      <c r="X118" s="423"/>
      <c r="Y118" s="411"/>
      <c r="Z118" s="424"/>
      <c r="AA118" s="1044">
        <v>1</v>
      </c>
      <c r="AB118" s="42"/>
      <c r="AC118" s="42"/>
      <c r="AD118" s="42"/>
      <c r="AE118" s="983"/>
      <c r="AF118" s="984"/>
      <c r="AG118" s="984"/>
      <c r="AH118" s="500" t="s">
        <v>5</v>
      </c>
      <c r="AI118" s="267"/>
      <c r="AJ118" s="836"/>
    </row>
    <row r="119" spans="1:36" ht="72" customHeight="1">
      <c r="D119" s="354">
        <v>3</v>
      </c>
      <c r="E119" s="181" t="s">
        <v>914</v>
      </c>
      <c r="F119" s="1571" t="s">
        <v>915</v>
      </c>
      <c r="G119" s="696" t="s">
        <v>916</v>
      </c>
      <c r="H119" s="903"/>
      <c r="I119" s="903"/>
      <c r="J119" s="1570"/>
      <c r="K119" s="209"/>
      <c r="L119" s="537">
        <v>1</v>
      </c>
      <c r="M119" s="537"/>
      <c r="N119" s="791" t="s">
        <v>446</v>
      </c>
      <c r="O119" s="1517" t="s">
        <v>447</v>
      </c>
      <c r="P119" s="305">
        <f>Test_Bible!P205</f>
        <v>0</v>
      </c>
      <c r="Q119" s="305">
        <f>Test_Bible!Q205</f>
        <v>0</v>
      </c>
      <c r="R119" s="311" t="s">
        <v>917</v>
      </c>
      <c r="S119" s="316">
        <v>0.5</v>
      </c>
      <c r="T119" s="317">
        <v>0.5</v>
      </c>
      <c r="U119" s="318">
        <v>0</v>
      </c>
      <c r="V119" s="688" t="s">
        <v>233</v>
      </c>
      <c r="W119" s="8"/>
      <c r="X119" s="423"/>
      <c r="Z119" s="425"/>
      <c r="AB119" s="1041">
        <v>1</v>
      </c>
      <c r="AE119" s="500" t="s">
        <v>479</v>
      </c>
      <c r="AF119" s="986" t="s">
        <v>918</v>
      </c>
      <c r="AG119" s="986"/>
      <c r="AH119" s="500" t="s">
        <v>5</v>
      </c>
      <c r="AI119" s="263"/>
      <c r="AJ119" s="263" t="s">
        <v>919</v>
      </c>
    </row>
    <row r="120" spans="1:36" ht="72" customHeight="1">
      <c r="D120" s="354">
        <v>33</v>
      </c>
      <c r="E120" s="181" t="s">
        <v>920</v>
      </c>
      <c r="F120" s="1571" t="s">
        <v>921</v>
      </c>
      <c r="G120" s="696" t="s">
        <v>922</v>
      </c>
      <c r="H120" s="903"/>
      <c r="I120" s="903"/>
      <c r="J120" s="1570" t="s">
        <v>582</v>
      </c>
      <c r="K120" s="209"/>
      <c r="L120" s="545">
        <v>2</v>
      </c>
      <c r="M120" s="545"/>
      <c r="N120" s="791" t="s">
        <v>117</v>
      </c>
      <c r="O120" s="1517" t="s">
        <v>747</v>
      </c>
      <c r="P120" s="305">
        <f>Test_Bible!P206</f>
        <v>0</v>
      </c>
      <c r="Q120" s="305">
        <f>Test_Bible!Q206</f>
        <v>0</v>
      </c>
      <c r="R120" s="305" t="s">
        <v>923</v>
      </c>
      <c r="S120" s="316">
        <v>0</v>
      </c>
      <c r="T120" s="317">
        <v>1</v>
      </c>
      <c r="U120" s="318">
        <v>0</v>
      </c>
      <c r="V120" s="688" t="s">
        <v>233</v>
      </c>
      <c r="W120" s="8"/>
      <c r="X120" s="423"/>
      <c r="Z120" s="425"/>
      <c r="AB120" s="1041">
        <v>1</v>
      </c>
      <c r="AE120" s="500" t="s">
        <v>479</v>
      </c>
      <c r="AF120" s="986" t="s">
        <v>924</v>
      </c>
      <c r="AH120" s="500" t="s">
        <v>5</v>
      </c>
      <c r="AI120" s="834"/>
      <c r="AJ120" s="836"/>
    </row>
    <row r="121" spans="1:36" ht="73" customHeight="1">
      <c r="D121" s="354">
        <v>5</v>
      </c>
      <c r="E121" s="181" t="s">
        <v>925</v>
      </c>
      <c r="F121" s="532" t="s">
        <v>926</v>
      </c>
      <c r="G121" s="696" t="s">
        <v>927</v>
      </c>
      <c r="H121" s="234"/>
      <c r="I121" s="903"/>
      <c r="J121" s="151"/>
      <c r="K121" s="211"/>
      <c r="L121" s="537">
        <v>1</v>
      </c>
      <c r="M121" s="537"/>
      <c r="N121" s="791" t="s">
        <v>446</v>
      </c>
      <c r="O121" s="1517" t="s">
        <v>447</v>
      </c>
      <c r="P121" s="305">
        <f>Test_Bible!P207</f>
        <v>0</v>
      </c>
      <c r="Q121" s="305">
        <f>Test_Bible!Q207</f>
        <v>0</v>
      </c>
      <c r="R121" s="311" t="s">
        <v>669</v>
      </c>
      <c r="S121" s="316">
        <v>0.5</v>
      </c>
      <c r="T121" s="317">
        <v>0.5</v>
      </c>
      <c r="U121" s="318">
        <v>0</v>
      </c>
      <c r="V121" s="688" t="s">
        <v>233</v>
      </c>
      <c r="W121" s="8"/>
      <c r="X121" s="423"/>
      <c r="Z121" s="425"/>
      <c r="AB121" s="1041">
        <v>1</v>
      </c>
      <c r="AE121" s="983"/>
      <c r="AF121" s="984"/>
      <c r="AG121" s="984"/>
      <c r="AH121" s="983"/>
      <c r="AI121" s="834"/>
      <c r="AJ121" s="835" t="s">
        <v>928</v>
      </c>
    </row>
    <row r="122" spans="1:36" ht="64" customHeight="1">
      <c r="D122" s="354">
        <v>10</v>
      </c>
      <c r="E122" s="181" t="s">
        <v>929</v>
      </c>
      <c r="F122" s="532" t="s">
        <v>930</v>
      </c>
      <c r="G122" s="696" t="s">
        <v>931</v>
      </c>
      <c r="H122" s="234"/>
      <c r="I122" s="903"/>
      <c r="J122" s="151"/>
      <c r="K122" s="211">
        <v>4</v>
      </c>
      <c r="L122" s="537">
        <v>1</v>
      </c>
      <c r="M122" s="537"/>
      <c r="N122" s="791" t="s">
        <v>117</v>
      </c>
      <c r="O122" s="1517" t="s">
        <v>747</v>
      </c>
      <c r="P122" s="305">
        <f>Test_Bible!P208</f>
        <v>0</v>
      </c>
      <c r="Q122" s="305">
        <f>Test_Bible!Q208</f>
        <v>0</v>
      </c>
      <c r="R122" s="305" t="s">
        <v>932</v>
      </c>
      <c r="S122" s="316">
        <v>0</v>
      </c>
      <c r="T122" s="317">
        <v>1</v>
      </c>
      <c r="U122" s="318">
        <v>0</v>
      </c>
      <c r="V122" s="688" t="s">
        <v>233</v>
      </c>
      <c r="W122" s="8"/>
      <c r="X122" s="423"/>
      <c r="Z122" s="425"/>
      <c r="AB122" s="1041">
        <v>1</v>
      </c>
      <c r="AE122" s="500" t="s">
        <v>479</v>
      </c>
      <c r="AH122" s="500" t="s">
        <v>5</v>
      </c>
      <c r="AI122" s="834"/>
      <c r="AJ122" s="836"/>
    </row>
    <row r="123" spans="1:36" ht="64" customHeight="1">
      <c r="B123" s="99" t="s">
        <v>933</v>
      </c>
      <c r="D123" s="354">
        <v>11</v>
      </c>
      <c r="E123" s="120" t="s">
        <v>934</v>
      </c>
      <c r="F123" s="274" t="s">
        <v>935</v>
      </c>
      <c r="G123" s="692"/>
      <c r="H123" s="229"/>
      <c r="I123" s="904"/>
      <c r="J123" s="99"/>
      <c r="K123" s="199"/>
      <c r="L123" s="545">
        <v>2</v>
      </c>
      <c r="M123" s="537"/>
      <c r="N123" s="791" t="s">
        <v>92</v>
      </c>
      <c r="O123" s="1517" t="s">
        <v>423</v>
      </c>
      <c r="P123" s="305">
        <f>Test_Bible!P209</f>
        <v>0</v>
      </c>
      <c r="Q123" s="305">
        <f>Test_Bible!Q209</f>
        <v>0</v>
      </c>
      <c r="R123" s="305" t="s">
        <v>936</v>
      </c>
      <c r="S123" s="316">
        <v>0.5</v>
      </c>
      <c r="T123" s="317">
        <v>0.5</v>
      </c>
      <c r="U123" s="318"/>
      <c r="V123" s="688" t="s">
        <v>233</v>
      </c>
      <c r="W123" s="8"/>
      <c r="X123" s="423"/>
      <c r="Z123" s="425"/>
      <c r="AB123" s="1041"/>
      <c r="AE123" s="500"/>
      <c r="AH123" s="500"/>
      <c r="AI123" s="834"/>
      <c r="AJ123" s="836"/>
    </row>
    <row r="124" spans="1:36" ht="86" customHeight="1">
      <c r="C124" s="769" t="s">
        <v>937</v>
      </c>
      <c r="D124" s="354">
        <v>55</v>
      </c>
      <c r="E124" s="181" t="s">
        <v>938</v>
      </c>
      <c r="F124" s="532" t="s">
        <v>939</v>
      </c>
      <c r="G124" s="696" t="s">
        <v>940</v>
      </c>
      <c r="H124" s="234"/>
      <c r="I124" s="903"/>
      <c r="J124" s="151"/>
      <c r="K124" s="211">
        <v>4</v>
      </c>
      <c r="L124" s="545">
        <v>2</v>
      </c>
      <c r="M124" s="544">
        <v>3</v>
      </c>
      <c r="N124" s="791" t="s">
        <v>117</v>
      </c>
      <c r="O124" s="1517" t="s">
        <v>747</v>
      </c>
      <c r="P124" s="305">
        <f>Test_Bible!P210</f>
        <v>0</v>
      </c>
      <c r="Q124" s="305">
        <f>Test_Bible!Q210</f>
        <v>0</v>
      </c>
      <c r="R124" s="305" t="s">
        <v>941</v>
      </c>
      <c r="S124" s="316">
        <v>1</v>
      </c>
      <c r="T124" s="317">
        <v>0</v>
      </c>
      <c r="U124" s="318">
        <v>0</v>
      </c>
      <c r="V124" s="688" t="s">
        <v>233</v>
      </c>
      <c r="W124" s="8"/>
      <c r="X124" s="423"/>
      <c r="Z124" s="425"/>
      <c r="AB124" s="1041">
        <v>1</v>
      </c>
      <c r="AE124" s="500" t="s">
        <v>479</v>
      </c>
      <c r="AH124" s="500" t="s">
        <v>5</v>
      </c>
      <c r="AI124" s="834"/>
      <c r="AJ124" s="836"/>
    </row>
    <row r="125" spans="1:36" s="7" customFormat="1" ht="80" customHeight="1">
      <c r="C125" s="769" t="s">
        <v>942</v>
      </c>
      <c r="D125" s="354">
        <v>63</v>
      </c>
      <c r="E125" s="181" t="s">
        <v>943</v>
      </c>
      <c r="F125" s="532" t="s">
        <v>944</v>
      </c>
      <c r="G125" s="696" t="s">
        <v>945</v>
      </c>
      <c r="H125" s="234"/>
      <c r="I125" s="903"/>
      <c r="J125" s="190" t="s">
        <v>849</v>
      </c>
      <c r="K125" s="211">
        <v>2</v>
      </c>
      <c r="L125" s="537">
        <v>1</v>
      </c>
      <c r="M125" s="545">
        <v>2</v>
      </c>
      <c r="N125" s="791" t="s">
        <v>92</v>
      </c>
      <c r="O125" s="1517" t="s">
        <v>423</v>
      </c>
      <c r="P125" s="305">
        <f>Test_Bible!P211</f>
        <v>0</v>
      </c>
      <c r="Q125" s="305">
        <f>Test_Bible!Q211</f>
        <v>0</v>
      </c>
      <c r="R125" s="305" t="s">
        <v>946</v>
      </c>
      <c r="S125" s="316">
        <v>0.5</v>
      </c>
      <c r="T125" s="317">
        <v>0.5</v>
      </c>
      <c r="U125" s="318">
        <v>0</v>
      </c>
      <c r="V125" s="688" t="s">
        <v>233</v>
      </c>
      <c r="W125" s="8"/>
      <c r="X125" s="423"/>
      <c r="Y125" s="44"/>
      <c r="Z125" s="424"/>
      <c r="AA125" s="42"/>
      <c r="AB125" s="1041">
        <v>1</v>
      </c>
      <c r="AC125" s="42"/>
      <c r="AD125" s="42"/>
      <c r="AE125" s="983"/>
      <c r="AF125" s="984"/>
      <c r="AG125" s="984"/>
      <c r="AH125" s="983"/>
      <c r="AI125" s="834"/>
      <c r="AJ125" s="836"/>
    </row>
    <row r="126" spans="1:36" s="7" customFormat="1" ht="84" customHeight="1">
      <c r="B126" s="99" t="s">
        <v>947</v>
      </c>
      <c r="D126" s="354">
        <v>64</v>
      </c>
      <c r="E126" s="120" t="s">
        <v>948</v>
      </c>
      <c r="F126" s="274" t="s">
        <v>949</v>
      </c>
      <c r="G126" s="503" t="s">
        <v>950</v>
      </c>
      <c r="H126" s="280" t="s">
        <v>111</v>
      </c>
      <c r="I126" s="910"/>
      <c r="J126" s="189" t="s">
        <v>582</v>
      </c>
      <c r="K126" s="208"/>
      <c r="L126" s="1569"/>
      <c r="M126" s="1568"/>
      <c r="N126" s="791" t="s">
        <v>112</v>
      </c>
      <c r="O126" s="1517" t="s">
        <v>113</v>
      </c>
      <c r="P126" s="302"/>
      <c r="Q126" s="302"/>
      <c r="R126" s="302"/>
      <c r="S126" s="315" t="s">
        <v>477</v>
      </c>
      <c r="T126" s="339" t="s">
        <v>477</v>
      </c>
      <c r="U126" s="342" t="s">
        <v>477</v>
      </c>
      <c r="V126" s="688" t="s">
        <v>233</v>
      </c>
      <c r="W126" s="8"/>
      <c r="X126" s="423"/>
      <c r="Y126" s="44"/>
      <c r="Z126" s="424"/>
      <c r="AA126" s="42"/>
      <c r="AB126" s="1041">
        <v>1</v>
      </c>
      <c r="AC126" s="42"/>
      <c r="AD126" s="42"/>
      <c r="AE126" s="983"/>
      <c r="AF126" s="984"/>
      <c r="AG126" s="984"/>
      <c r="AH126" s="500" t="s">
        <v>5</v>
      </c>
      <c r="AI126" s="834"/>
      <c r="AJ126" s="836"/>
    </row>
    <row r="127" spans="1:36" s="7" customFormat="1" ht="37.5" customHeight="1">
      <c r="A127" s="694" t="s">
        <v>845</v>
      </c>
      <c r="D127" s="354">
        <v>65</v>
      </c>
      <c r="E127" s="181" t="s">
        <v>951</v>
      </c>
      <c r="F127" s="532" t="s">
        <v>952</v>
      </c>
      <c r="G127" s="383" t="s">
        <v>953</v>
      </c>
      <c r="H127" s="234"/>
      <c r="I127" s="903"/>
      <c r="J127" s="190"/>
      <c r="K127" s="209">
        <v>4</v>
      </c>
      <c r="L127" s="545">
        <v>2</v>
      </c>
      <c r="M127" s="545"/>
      <c r="N127" s="791" t="s">
        <v>117</v>
      </c>
      <c r="O127" s="1517" t="s">
        <v>747</v>
      </c>
      <c r="P127" s="308">
        <f>Test_Bible!P216</f>
        <v>0</v>
      </c>
      <c r="Q127" s="308">
        <f>Test_Bible!Q216</f>
        <v>0</v>
      </c>
      <c r="R127" s="1706" t="s">
        <v>954</v>
      </c>
      <c r="S127" s="316">
        <v>0.5</v>
      </c>
      <c r="T127" s="317">
        <v>0.5</v>
      </c>
      <c r="U127" s="318">
        <v>0</v>
      </c>
      <c r="V127" s="688" t="s">
        <v>233</v>
      </c>
      <c r="W127" s="8"/>
      <c r="X127" s="423"/>
      <c r="Y127" s="44"/>
      <c r="Z127" s="424"/>
      <c r="AA127" s="42"/>
      <c r="AB127" s="1041">
        <v>1</v>
      </c>
      <c r="AC127" s="42"/>
      <c r="AD127" s="42"/>
      <c r="AE127" s="983"/>
      <c r="AF127" s="984"/>
      <c r="AG127" s="984"/>
      <c r="AH127" s="500"/>
      <c r="AI127" s="834"/>
      <c r="AJ127" s="836"/>
    </row>
    <row r="128" spans="1:36" s="7" customFormat="1" ht="63" customHeight="1">
      <c r="A128" s="694" t="s">
        <v>955</v>
      </c>
      <c r="D128" s="354">
        <v>62</v>
      </c>
      <c r="E128" s="181" t="s">
        <v>956</v>
      </c>
      <c r="F128" s="532" t="s">
        <v>957</v>
      </c>
      <c r="G128" s="383" t="s">
        <v>958</v>
      </c>
      <c r="H128" s="234"/>
      <c r="I128" s="903"/>
      <c r="J128" s="190"/>
      <c r="K128" s="209"/>
      <c r="L128" s="545">
        <v>2</v>
      </c>
      <c r="M128" s="545"/>
      <c r="N128" s="791" t="s">
        <v>117</v>
      </c>
      <c r="O128" s="1517" t="s">
        <v>747</v>
      </c>
      <c r="P128" s="308">
        <f>Test_Bible!P217</f>
        <v>0</v>
      </c>
      <c r="Q128" s="308">
        <f>Test_Bible!Q217</f>
        <v>0</v>
      </c>
      <c r="R128" s="1706" t="s">
        <v>959</v>
      </c>
      <c r="S128" s="316">
        <v>1</v>
      </c>
      <c r="T128" s="317">
        <v>0</v>
      </c>
      <c r="U128" s="318">
        <v>0</v>
      </c>
      <c r="V128" s="688" t="s">
        <v>233</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960</v>
      </c>
      <c r="F129" s="532" t="s">
        <v>961</v>
      </c>
      <c r="G129" s="383" t="s">
        <v>962</v>
      </c>
      <c r="H129" s="234"/>
      <c r="I129" s="903"/>
      <c r="J129" s="190"/>
      <c r="K129" s="209">
        <v>4</v>
      </c>
      <c r="L129" s="545">
        <v>2</v>
      </c>
      <c r="M129" s="545"/>
      <c r="N129" s="791" t="s">
        <v>84</v>
      </c>
      <c r="O129" s="1517" t="s">
        <v>440</v>
      </c>
      <c r="P129" s="308">
        <f>Test_Bible!P218</f>
        <v>0</v>
      </c>
      <c r="Q129" s="308">
        <f>Test_Bible!Q218</f>
        <v>0</v>
      </c>
      <c r="R129" s="311" t="s">
        <v>963</v>
      </c>
      <c r="S129" s="316">
        <v>1</v>
      </c>
      <c r="T129" s="317">
        <v>0</v>
      </c>
      <c r="U129" s="318">
        <v>0</v>
      </c>
      <c r="V129" s="688" t="s">
        <v>233</v>
      </c>
      <c r="W129" s="8"/>
      <c r="X129" s="423"/>
      <c r="Y129" s="44"/>
      <c r="Z129" s="424"/>
      <c r="AA129" s="42"/>
      <c r="AB129" s="1041">
        <v>1</v>
      </c>
      <c r="AC129" s="42"/>
      <c r="AD129" s="42"/>
      <c r="AE129" s="983"/>
      <c r="AF129" s="984"/>
      <c r="AG129" s="984"/>
      <c r="AH129" s="983"/>
      <c r="AI129" s="834"/>
      <c r="AJ129" s="836"/>
    </row>
    <row r="130" spans="1:36" s="7" customFormat="1" ht="55" customHeight="1">
      <c r="B130" s="99" t="s">
        <v>964</v>
      </c>
      <c r="D130" s="354">
        <v>16</v>
      </c>
      <c r="E130" s="120" t="s">
        <v>965</v>
      </c>
      <c r="F130" s="274" t="s">
        <v>966</v>
      </c>
      <c r="G130" s="503" t="s">
        <v>967</v>
      </c>
      <c r="H130" s="229"/>
      <c r="I130" s="904"/>
      <c r="J130" s="189" t="s">
        <v>582</v>
      </c>
      <c r="K130" s="208"/>
      <c r="L130" s="544">
        <v>3</v>
      </c>
      <c r="M130" s="544"/>
      <c r="N130" s="791" t="s">
        <v>117</v>
      </c>
      <c r="O130" s="1517" t="s">
        <v>747</v>
      </c>
      <c r="P130" s="308">
        <f>Test_Bible!P219</f>
        <v>0</v>
      </c>
      <c r="Q130" s="308">
        <f>Test_Bible!Q219</f>
        <v>0</v>
      </c>
      <c r="R130" s="1706" t="s">
        <v>968</v>
      </c>
      <c r="S130" s="316">
        <v>0.5</v>
      </c>
      <c r="T130" s="317">
        <v>0.5</v>
      </c>
      <c r="U130" s="318">
        <v>0</v>
      </c>
      <c r="V130" s="688" t="s">
        <v>233</v>
      </c>
      <c r="W130" s="8"/>
      <c r="X130" s="423"/>
      <c r="Y130" s="44"/>
      <c r="Z130" s="424"/>
      <c r="AA130" s="42"/>
      <c r="AB130" s="1041">
        <v>1</v>
      </c>
      <c r="AC130" s="42"/>
      <c r="AD130" s="42"/>
      <c r="AE130" s="500" t="s">
        <v>479</v>
      </c>
      <c r="AF130" s="979"/>
      <c r="AG130" s="979"/>
      <c r="AH130" s="500" t="s">
        <v>5</v>
      </c>
      <c r="AI130" s="834"/>
      <c r="AJ130" s="836"/>
    </row>
    <row r="131" spans="1:36" s="7" customFormat="1" ht="79" customHeight="1">
      <c r="A131" s="694" t="s">
        <v>955</v>
      </c>
      <c r="D131" s="354">
        <v>45</v>
      </c>
      <c r="E131" s="182" t="s">
        <v>969</v>
      </c>
      <c r="F131" s="532" t="s">
        <v>970</v>
      </c>
      <c r="G131" s="507" t="s">
        <v>971</v>
      </c>
      <c r="H131" s="240"/>
      <c r="I131" s="911"/>
      <c r="J131" s="190"/>
      <c r="K131" s="209"/>
      <c r="L131" s="544">
        <v>3</v>
      </c>
      <c r="M131" s="544"/>
      <c r="N131" s="791" t="s">
        <v>117</v>
      </c>
      <c r="O131" s="1517" t="s">
        <v>747</v>
      </c>
      <c r="P131" s="308">
        <f>Test_Bible!P220</f>
        <v>0</v>
      </c>
      <c r="Q131" s="308">
        <f>Test_Bible!Q220</f>
        <v>0</v>
      </c>
      <c r="R131" s="1706" t="s">
        <v>972</v>
      </c>
      <c r="S131" s="319">
        <v>1</v>
      </c>
      <c r="T131" s="339">
        <v>0</v>
      </c>
      <c r="U131" s="340">
        <v>0</v>
      </c>
      <c r="V131" s="650" t="s">
        <v>233</v>
      </c>
      <c r="W131" s="8"/>
      <c r="X131" s="423"/>
      <c r="Y131" s="44"/>
      <c r="Z131" s="424"/>
      <c r="AA131" s="42"/>
      <c r="AB131" s="1041">
        <v>1</v>
      </c>
      <c r="AC131" s="42"/>
      <c r="AD131" s="42"/>
      <c r="AE131" s="992" t="s">
        <v>479</v>
      </c>
      <c r="AF131" s="993"/>
      <c r="AG131" s="993"/>
      <c r="AH131" s="500" t="s">
        <v>5</v>
      </c>
      <c r="AI131" s="994"/>
      <c r="AJ131" s="995"/>
    </row>
    <row r="132" spans="1:36" s="7" customFormat="1" ht="58" customHeight="1">
      <c r="D132" s="354">
        <v>23</v>
      </c>
      <c r="E132" s="182" t="s">
        <v>973</v>
      </c>
      <c r="F132" s="532" t="s">
        <v>974</v>
      </c>
      <c r="G132" s="507" t="s">
        <v>971</v>
      </c>
      <c r="H132" s="240"/>
      <c r="I132" s="911"/>
      <c r="J132" s="190"/>
      <c r="K132" s="209">
        <v>2</v>
      </c>
      <c r="L132" s="545">
        <v>2</v>
      </c>
      <c r="M132" s="545"/>
      <c r="N132" s="791" t="s">
        <v>92</v>
      </c>
      <c r="O132" s="1517" t="s">
        <v>423</v>
      </c>
      <c r="P132" s="1564">
        <f>Test_Bible!P222</f>
        <v>0</v>
      </c>
      <c r="Q132" s="1561">
        <f>Test_Bible!Q222</f>
        <v>0</v>
      </c>
      <c r="R132" s="311" t="s">
        <v>975</v>
      </c>
      <c r="S132" s="319">
        <v>1</v>
      </c>
      <c r="T132" s="339">
        <v>0</v>
      </c>
      <c r="U132" s="340">
        <v>0</v>
      </c>
      <c r="V132" s="650" t="s">
        <v>233</v>
      </c>
      <c r="W132" s="8"/>
      <c r="X132" s="423"/>
      <c r="Y132" s="44"/>
      <c r="Z132" s="424"/>
      <c r="AA132" s="42"/>
      <c r="AB132" s="1041">
        <v>1</v>
      </c>
      <c r="AC132" s="42"/>
      <c r="AD132" s="42"/>
      <c r="AE132" s="992" t="s">
        <v>479</v>
      </c>
      <c r="AF132" s="993"/>
      <c r="AG132" s="993"/>
      <c r="AH132" s="500" t="s">
        <v>5</v>
      </c>
      <c r="AI132" s="994"/>
      <c r="AJ132" s="995"/>
    </row>
    <row r="133" spans="1:36" s="7" customFormat="1" ht="149" customHeight="1">
      <c r="B133" s="99" t="s">
        <v>976</v>
      </c>
      <c r="D133" s="354">
        <v>24</v>
      </c>
      <c r="E133" s="852" t="s">
        <v>977</v>
      </c>
      <c r="F133" s="854" t="s">
        <v>978</v>
      </c>
      <c r="G133" s="855" t="s">
        <v>979</v>
      </c>
      <c r="H133" s="851" t="s">
        <v>980</v>
      </c>
      <c r="I133" s="912"/>
      <c r="J133" s="142" t="s">
        <v>582</v>
      </c>
      <c r="K133" s="206"/>
      <c r="L133" s="562"/>
      <c r="M133" s="562"/>
      <c r="N133" s="788" t="s">
        <v>88</v>
      </c>
      <c r="O133" s="1563"/>
      <c r="P133" s="1565"/>
      <c r="Q133" s="303"/>
      <c r="R133" s="303"/>
      <c r="S133" s="315" t="s">
        <v>477</v>
      </c>
      <c r="T133" s="339" t="s">
        <v>477</v>
      </c>
      <c r="U133" s="342" t="s">
        <v>477</v>
      </c>
      <c r="V133" s="649" t="s">
        <v>233</v>
      </c>
      <c r="W133" s="8"/>
      <c r="X133" s="423"/>
      <c r="Y133" s="44"/>
      <c r="Z133" s="424"/>
      <c r="AA133" s="42"/>
      <c r="AB133" s="1041">
        <v>1</v>
      </c>
      <c r="AC133" s="42"/>
      <c r="AD133" s="42"/>
      <c r="AE133" s="996" t="s">
        <v>124</v>
      </c>
      <c r="AF133" s="987"/>
      <c r="AG133" s="987"/>
      <c r="AH133" s="500" t="s">
        <v>5</v>
      </c>
      <c r="AI133" s="998"/>
      <c r="AJ133" s="999"/>
    </row>
    <row r="134" spans="1:36" s="7" customFormat="1" ht="52" customHeight="1">
      <c r="B134" s="99" t="s">
        <v>976</v>
      </c>
      <c r="D134" s="354">
        <v>25</v>
      </c>
      <c r="E134" s="852" t="s">
        <v>981</v>
      </c>
      <c r="F134" s="854" t="s">
        <v>982</v>
      </c>
      <c r="G134" s="855" t="s">
        <v>983</v>
      </c>
      <c r="H134" s="851"/>
      <c r="I134" s="912"/>
      <c r="J134" s="142" t="s">
        <v>582</v>
      </c>
      <c r="K134" s="206"/>
      <c r="L134" s="562"/>
      <c r="M134" s="562"/>
      <c r="N134" s="788" t="s">
        <v>87</v>
      </c>
      <c r="O134" s="1563"/>
      <c r="P134" s="1566"/>
      <c r="Q134" s="301"/>
      <c r="R134" s="301"/>
      <c r="S134" s="315" t="s">
        <v>477</v>
      </c>
      <c r="T134" s="339" t="s">
        <v>477</v>
      </c>
      <c r="U134" s="342" t="s">
        <v>477</v>
      </c>
      <c r="V134" s="649" t="s">
        <v>233</v>
      </c>
      <c r="W134" s="8"/>
      <c r="X134" s="423"/>
      <c r="Y134" s="44"/>
      <c r="Z134" s="424"/>
      <c r="AA134" s="42"/>
      <c r="AB134" s="1041">
        <v>1</v>
      </c>
      <c r="AC134" s="42"/>
      <c r="AD134" s="42"/>
      <c r="AE134" s="992" t="s">
        <v>479</v>
      </c>
      <c r="AF134" s="1001" t="s">
        <v>984</v>
      </c>
      <c r="AG134" s="1013" t="s">
        <v>985</v>
      </c>
      <c r="AH134" s="500" t="s">
        <v>5</v>
      </c>
      <c r="AI134" s="998"/>
      <c r="AJ134" s="999"/>
    </row>
    <row r="135" spans="1:36" ht="70" customHeight="1">
      <c r="A135" s="174" t="s">
        <v>986</v>
      </c>
      <c r="D135" s="354">
        <v>47</v>
      </c>
      <c r="E135" s="182" t="s">
        <v>987</v>
      </c>
      <c r="F135" s="696" t="s">
        <v>988</v>
      </c>
      <c r="G135" s="856" t="s">
        <v>989</v>
      </c>
      <c r="H135" s="234"/>
      <c r="I135" s="903"/>
      <c r="J135" s="190"/>
      <c r="K135" s="212">
        <v>4</v>
      </c>
      <c r="L135" s="544">
        <v>3</v>
      </c>
      <c r="M135" s="544"/>
      <c r="N135" s="788" t="s">
        <v>117</v>
      </c>
      <c r="O135" s="1517" t="s">
        <v>747</v>
      </c>
      <c r="P135" s="1567">
        <f>Test_Bible!P234</f>
        <v>0</v>
      </c>
      <c r="Q135" s="305">
        <f>Test_Bible!Q234</f>
        <v>0</v>
      </c>
      <c r="R135" s="1562" t="s">
        <v>990</v>
      </c>
      <c r="S135" s="316">
        <v>0.5</v>
      </c>
      <c r="T135" s="317">
        <v>0.5</v>
      </c>
      <c r="U135" s="318">
        <v>0</v>
      </c>
      <c r="V135" s="688" t="s">
        <v>233</v>
      </c>
      <c r="W135" s="8"/>
      <c r="X135" s="423"/>
      <c r="Z135" s="425"/>
      <c r="AB135" s="1041">
        <v>1</v>
      </c>
      <c r="AE135" s="983"/>
      <c r="AF135" s="984"/>
      <c r="AG135" s="984"/>
      <c r="AH135" s="983"/>
      <c r="AI135" s="834"/>
      <c r="AJ135" s="836"/>
    </row>
    <row r="136" spans="1:36" ht="52" customHeight="1">
      <c r="B136" s="99" t="s">
        <v>991</v>
      </c>
      <c r="D136" s="354">
        <v>48</v>
      </c>
      <c r="E136" s="118" t="s">
        <v>992</v>
      </c>
      <c r="F136" s="692" t="s">
        <v>993</v>
      </c>
      <c r="G136" s="692" t="s">
        <v>994</v>
      </c>
      <c r="H136" s="229"/>
      <c r="I136" s="904"/>
      <c r="J136" s="99" t="s">
        <v>582</v>
      </c>
      <c r="K136" s="199">
        <v>4</v>
      </c>
      <c r="L136" s="544">
        <v>3</v>
      </c>
      <c r="M136" s="544"/>
      <c r="N136" s="788" t="s">
        <v>117</v>
      </c>
      <c r="O136" s="1517" t="s">
        <v>747</v>
      </c>
      <c r="P136" s="305">
        <f>Test_Bible!P235</f>
        <v>0</v>
      </c>
      <c r="Q136" s="305">
        <f>Test_Bible!Q235</f>
        <v>0</v>
      </c>
      <c r="R136" s="305" t="s">
        <v>995</v>
      </c>
      <c r="S136" s="316">
        <v>0.5</v>
      </c>
      <c r="T136" s="317">
        <v>0.5</v>
      </c>
      <c r="U136" s="318">
        <v>0</v>
      </c>
      <c r="V136" s="688" t="s">
        <v>233</v>
      </c>
      <c r="W136" s="8"/>
      <c r="X136" s="423"/>
      <c r="Z136" s="425"/>
      <c r="AB136" s="1041">
        <v>1</v>
      </c>
      <c r="AE136" s="500" t="s">
        <v>479</v>
      </c>
      <c r="AH136" s="837" t="s">
        <v>513</v>
      </c>
      <c r="AJ136" s="462" t="s">
        <v>996</v>
      </c>
    </row>
    <row r="137" spans="1:36" ht="54" customHeight="1">
      <c r="A137" s="694" t="s">
        <v>997</v>
      </c>
      <c r="B137" s="99" t="s">
        <v>998</v>
      </c>
      <c r="D137" s="354">
        <v>49</v>
      </c>
      <c r="E137" s="118" t="s">
        <v>999</v>
      </c>
      <c r="F137" s="849" t="s">
        <v>800</v>
      </c>
      <c r="G137" s="849" t="s">
        <v>801</v>
      </c>
      <c r="H137" s="242"/>
      <c r="I137" s="913"/>
      <c r="J137" s="99" t="s">
        <v>790</v>
      </c>
      <c r="K137" s="199"/>
      <c r="L137" s="544">
        <v>3</v>
      </c>
      <c r="M137" s="544"/>
      <c r="N137" s="788" t="s">
        <v>92</v>
      </c>
      <c r="O137" s="272" t="s">
        <v>423</v>
      </c>
      <c r="P137" s="305">
        <f>Test_Bible!P236</f>
        <v>0</v>
      </c>
      <c r="Q137" s="305">
        <f>Test_Bible!Q236</f>
        <v>0</v>
      </c>
      <c r="R137" s="307" t="s">
        <v>835</v>
      </c>
      <c r="S137" s="316">
        <v>1</v>
      </c>
      <c r="T137" s="317">
        <v>0</v>
      </c>
      <c r="U137" s="318">
        <v>0</v>
      </c>
      <c r="V137" s="685" t="s">
        <v>233</v>
      </c>
      <c r="W137" s="8"/>
      <c r="X137" s="423"/>
      <c r="Z137" s="425"/>
      <c r="AB137" s="1041">
        <v>1</v>
      </c>
      <c r="AE137" s="983"/>
      <c r="AF137" s="984"/>
      <c r="AG137" s="984"/>
      <c r="AH137" s="500" t="s">
        <v>5</v>
      </c>
      <c r="AI137" s="834"/>
      <c r="AJ137" s="1014" t="s">
        <v>1000</v>
      </c>
    </row>
    <row r="138" spans="1:36" ht="161" customHeight="1">
      <c r="B138" s="99" t="s">
        <v>998</v>
      </c>
      <c r="D138" s="354">
        <v>50</v>
      </c>
      <c r="E138" s="118" t="s">
        <v>1001</v>
      </c>
      <c r="F138" s="692" t="s">
        <v>1002</v>
      </c>
      <c r="G138" s="692" t="s">
        <v>1003</v>
      </c>
      <c r="H138" s="281" t="s">
        <v>119</v>
      </c>
      <c r="I138" s="894"/>
      <c r="J138" s="99" t="s">
        <v>790</v>
      </c>
      <c r="K138" s="199"/>
      <c r="L138" s="562"/>
      <c r="M138" s="562"/>
      <c r="N138" s="788" t="s">
        <v>88</v>
      </c>
      <c r="P138" s="299"/>
      <c r="Q138" s="299"/>
      <c r="R138" s="299"/>
      <c r="S138" s="315" t="s">
        <v>477</v>
      </c>
      <c r="T138" s="339" t="s">
        <v>477</v>
      </c>
      <c r="U138" s="342" t="s">
        <v>477</v>
      </c>
      <c r="V138" s="688" t="s">
        <v>233</v>
      </c>
      <c r="W138" s="8"/>
      <c r="X138" s="423"/>
      <c r="Y138" s="411"/>
      <c r="Z138" s="424"/>
      <c r="AB138" s="1041">
        <v>1</v>
      </c>
      <c r="AE138" s="500" t="s">
        <v>479</v>
      </c>
      <c r="AF138" s="1015" t="s">
        <v>1004</v>
      </c>
      <c r="AG138" s="1015"/>
      <c r="AH138" s="500" t="s">
        <v>5</v>
      </c>
      <c r="AI138" s="263"/>
      <c r="AJ138" s="462" t="s">
        <v>1005</v>
      </c>
    </row>
    <row r="139" spans="1:36" s="7" customFormat="1" ht="46.5" customHeight="1">
      <c r="A139" s="25"/>
      <c r="C139" s="769" t="s">
        <v>1006</v>
      </c>
      <c r="D139" s="354">
        <v>0</v>
      </c>
      <c r="E139" s="181" t="s">
        <v>1007</v>
      </c>
      <c r="F139" s="696" t="s">
        <v>1008</v>
      </c>
      <c r="G139" s="696" t="s">
        <v>1009</v>
      </c>
      <c r="H139" s="234"/>
      <c r="I139" s="903"/>
      <c r="J139" s="190" t="s">
        <v>849</v>
      </c>
      <c r="K139" s="209">
        <v>4</v>
      </c>
      <c r="L139" s="537">
        <v>1</v>
      </c>
      <c r="M139" s="537">
        <v>0</v>
      </c>
      <c r="N139" s="788" t="s">
        <v>446</v>
      </c>
      <c r="O139" s="1517" t="s">
        <v>447</v>
      </c>
      <c r="P139" s="308">
        <f>Test_Bible!P243</f>
        <v>0</v>
      </c>
      <c r="Q139" s="308">
        <f>Test_Bible!Q243</f>
        <v>0</v>
      </c>
      <c r="R139" s="311" t="s">
        <v>707</v>
      </c>
      <c r="S139" s="316">
        <v>0</v>
      </c>
      <c r="T139" s="317">
        <v>1</v>
      </c>
      <c r="U139" s="318">
        <v>0</v>
      </c>
      <c r="V139" s="658" t="s">
        <v>43</v>
      </c>
      <c r="W139" s="8"/>
      <c r="X139" s="423"/>
      <c r="Y139" s="44"/>
      <c r="Z139" s="424"/>
      <c r="AA139" s="42"/>
      <c r="AB139" s="42"/>
      <c r="AC139" s="1044">
        <v>1</v>
      </c>
      <c r="AD139" s="42"/>
      <c r="AE139" s="983"/>
      <c r="AF139" s="984"/>
      <c r="AG139" s="984"/>
      <c r="AH139" s="500" t="s">
        <v>5</v>
      </c>
      <c r="AI139" s="834"/>
      <c r="AJ139" s="1003"/>
    </row>
    <row r="140" spans="1:36" s="7" customFormat="1" ht="52" customHeight="1">
      <c r="B140" s="99" t="s">
        <v>1010</v>
      </c>
      <c r="D140" s="354">
        <v>1</v>
      </c>
      <c r="E140" s="120" t="s">
        <v>1011</v>
      </c>
      <c r="F140" s="692" t="s">
        <v>1012</v>
      </c>
      <c r="G140" s="692" t="s">
        <v>1013</v>
      </c>
      <c r="H140" s="229"/>
      <c r="I140" s="904"/>
      <c r="J140" s="189" t="s">
        <v>582</v>
      </c>
      <c r="K140" s="208">
        <v>4</v>
      </c>
      <c r="L140" s="545">
        <v>2</v>
      </c>
      <c r="M140" s="545"/>
      <c r="N140" s="788" t="s">
        <v>117</v>
      </c>
      <c r="O140" s="1517" t="s">
        <v>747</v>
      </c>
      <c r="P140" s="308">
        <f>Test_Bible!P244</f>
        <v>0</v>
      </c>
      <c r="Q140" s="308">
        <f>Test_Bible!Q244</f>
        <v>0</v>
      </c>
      <c r="R140" s="350" t="s">
        <v>712</v>
      </c>
      <c r="S140" s="316">
        <v>0</v>
      </c>
      <c r="T140" s="317">
        <v>1</v>
      </c>
      <c r="U140" s="318">
        <v>0</v>
      </c>
      <c r="V140" s="658" t="s">
        <v>43</v>
      </c>
      <c r="W140" s="8"/>
      <c r="X140" s="423"/>
      <c r="Y140" s="44"/>
      <c r="Z140" s="424"/>
      <c r="AA140" s="42"/>
      <c r="AB140" s="42"/>
      <c r="AC140" s="1044">
        <v>1</v>
      </c>
      <c r="AD140" s="42"/>
      <c r="AE140" s="500" t="s">
        <v>479</v>
      </c>
      <c r="AF140" s="986" t="s">
        <v>1014</v>
      </c>
      <c r="AG140" s="986"/>
      <c r="AH140" s="500" t="s">
        <v>5</v>
      </c>
      <c r="AI140" s="834"/>
      <c r="AJ140" s="1003" t="s">
        <v>688</v>
      </c>
    </row>
    <row r="141" spans="1:36" s="7" customFormat="1" ht="60" customHeight="1">
      <c r="B141" s="99" t="s">
        <v>1015</v>
      </c>
      <c r="D141" s="354">
        <v>2</v>
      </c>
      <c r="E141" s="120" t="s">
        <v>1016</v>
      </c>
      <c r="F141" s="692" t="s">
        <v>1017</v>
      </c>
      <c r="G141" s="692" t="s">
        <v>1018</v>
      </c>
      <c r="H141" s="229"/>
      <c r="I141" s="904"/>
      <c r="J141" s="189" t="s">
        <v>790</v>
      </c>
      <c r="K141" s="208"/>
      <c r="L141" s="545">
        <v>2</v>
      </c>
      <c r="M141" s="545"/>
      <c r="N141" s="788" t="s">
        <v>92</v>
      </c>
      <c r="O141" s="272" t="s">
        <v>423</v>
      </c>
      <c r="P141" s="308">
        <f>Test_Bible!P245</f>
        <v>0</v>
      </c>
      <c r="Q141" s="308">
        <f>Test_Bible!Q245</f>
        <v>0</v>
      </c>
      <c r="R141" s="350" t="s">
        <v>1019</v>
      </c>
      <c r="S141" s="316">
        <v>0</v>
      </c>
      <c r="T141" s="317">
        <v>0.5</v>
      </c>
      <c r="U141" s="318">
        <v>0.5</v>
      </c>
      <c r="V141" s="658" t="s">
        <v>43</v>
      </c>
      <c r="W141" s="8"/>
      <c r="X141" s="423"/>
      <c r="Y141" s="44"/>
      <c r="Z141" s="424"/>
      <c r="AA141" s="42"/>
      <c r="AB141" s="42"/>
      <c r="AC141" s="1044">
        <v>1</v>
      </c>
      <c r="AD141" s="42"/>
      <c r="AE141" s="500"/>
      <c r="AF141" s="979"/>
      <c r="AG141" s="979"/>
      <c r="AH141" s="500" t="s">
        <v>5</v>
      </c>
      <c r="AI141" s="834"/>
      <c r="AJ141" s="1003" t="s">
        <v>688</v>
      </c>
    </row>
    <row r="142" spans="1:36" s="7" customFormat="1" ht="86" customHeight="1">
      <c r="C142" s="2220" t="s">
        <v>694</v>
      </c>
      <c r="D142" s="354">
        <v>42</v>
      </c>
      <c r="E142" s="181" t="s">
        <v>1020</v>
      </c>
      <c r="F142" s="696" t="s">
        <v>1021</v>
      </c>
      <c r="G142" s="696" t="s">
        <v>1022</v>
      </c>
      <c r="H142" s="234"/>
      <c r="I142" s="903"/>
      <c r="J142" s="190"/>
      <c r="K142" s="209"/>
      <c r="L142" s="545">
        <v>2</v>
      </c>
      <c r="M142" s="544">
        <v>3</v>
      </c>
      <c r="N142" s="788" t="s">
        <v>117</v>
      </c>
      <c r="O142" s="1517" t="s">
        <v>747</v>
      </c>
      <c r="P142" s="308">
        <f>Test_Bible!P246</f>
        <v>0</v>
      </c>
      <c r="Q142" s="308">
        <f>Test_Bible!Q246</f>
        <v>0</v>
      </c>
      <c r="R142" s="1706" t="s">
        <v>1023</v>
      </c>
      <c r="S142" s="316">
        <v>1</v>
      </c>
      <c r="T142" s="317">
        <v>0</v>
      </c>
      <c r="U142" s="318">
        <v>0</v>
      </c>
      <c r="V142" s="658" t="s">
        <v>43</v>
      </c>
      <c r="W142" s="8"/>
      <c r="X142" s="423"/>
      <c r="Y142" s="411"/>
      <c r="Z142" s="424"/>
      <c r="AA142" s="42"/>
      <c r="AB142" s="42"/>
      <c r="AC142" s="1044">
        <v>1</v>
      </c>
      <c r="AD142" s="42"/>
      <c r="AE142" s="983"/>
      <c r="AF142" s="984"/>
      <c r="AG142" s="984"/>
      <c r="AH142" s="500" t="s">
        <v>5</v>
      </c>
      <c r="AI142" s="834"/>
      <c r="AJ142" s="1003" t="s">
        <v>688</v>
      </c>
    </row>
    <row r="143" spans="1:36" s="7" customFormat="1" ht="65" customHeight="1">
      <c r="A143" s="694" t="s">
        <v>713</v>
      </c>
      <c r="D143" s="354">
        <v>67</v>
      </c>
      <c r="E143" s="181" t="s">
        <v>1024</v>
      </c>
      <c r="F143" s="696" t="s">
        <v>1025</v>
      </c>
      <c r="G143" s="696" t="s">
        <v>1026</v>
      </c>
      <c r="H143" s="234"/>
      <c r="I143" s="914"/>
      <c r="J143" s="412"/>
      <c r="K143" s="209"/>
      <c r="L143" s="545">
        <v>2</v>
      </c>
      <c r="M143" s="545"/>
      <c r="N143" s="788" t="s">
        <v>117</v>
      </c>
      <c r="O143" s="1517" t="s">
        <v>747</v>
      </c>
      <c r="P143" s="308">
        <f>Test_Bible!P247</f>
        <v>0</v>
      </c>
      <c r="Q143" s="308">
        <f>Test_Bible!Q247</f>
        <v>0</v>
      </c>
      <c r="R143" s="1706" t="s">
        <v>1027</v>
      </c>
      <c r="S143" s="316">
        <v>0</v>
      </c>
      <c r="T143" s="317">
        <v>0</v>
      </c>
      <c r="U143" s="318">
        <v>1</v>
      </c>
      <c r="V143" s="689" t="s">
        <v>234</v>
      </c>
      <c r="W143" s="8"/>
      <c r="X143" s="423"/>
      <c r="Y143" s="44"/>
      <c r="Z143" s="424"/>
      <c r="AA143" s="42"/>
      <c r="AB143" s="42"/>
      <c r="AC143" s="42"/>
      <c r="AD143" s="1044">
        <v>1</v>
      </c>
      <c r="AE143" s="500"/>
      <c r="AF143" s="979"/>
      <c r="AG143" s="979"/>
      <c r="AH143" s="983"/>
      <c r="AI143" s="834"/>
      <c r="AJ143" s="836"/>
    </row>
    <row r="144" spans="1:36" s="7" customFormat="1" ht="100" customHeight="1">
      <c r="C144" s="769" t="s">
        <v>683</v>
      </c>
      <c r="D144" s="354">
        <v>41</v>
      </c>
      <c r="E144" s="181" t="s">
        <v>1028</v>
      </c>
      <c r="F144" s="696" t="s">
        <v>1029</v>
      </c>
      <c r="G144" s="696" t="s">
        <v>1030</v>
      </c>
      <c r="H144" s="234"/>
      <c r="I144" s="903"/>
      <c r="J144" s="190"/>
      <c r="K144" s="209">
        <v>2</v>
      </c>
      <c r="L144" s="545">
        <v>2</v>
      </c>
      <c r="M144" s="544">
        <v>3</v>
      </c>
      <c r="N144" s="788" t="s">
        <v>92</v>
      </c>
      <c r="O144" s="272" t="s">
        <v>423</v>
      </c>
      <c r="P144" s="308">
        <f>Test_Bible!P248</f>
        <v>0</v>
      </c>
      <c r="Q144" s="308">
        <f>Test_Bible!Q248</f>
        <v>0</v>
      </c>
      <c r="R144" s="311" t="s">
        <v>687</v>
      </c>
      <c r="S144" s="316">
        <v>0</v>
      </c>
      <c r="T144" s="317">
        <v>0</v>
      </c>
      <c r="U144" s="318">
        <v>1</v>
      </c>
      <c r="V144" s="689" t="s">
        <v>234</v>
      </c>
      <c r="W144" s="8"/>
      <c r="X144" s="423"/>
      <c r="Y144" s="44"/>
      <c r="Z144" s="424"/>
      <c r="AA144" s="42"/>
      <c r="AB144" s="42"/>
      <c r="AC144" s="42"/>
      <c r="AD144" s="1044">
        <v>1</v>
      </c>
      <c r="AE144" s="983"/>
      <c r="AF144" s="984"/>
      <c r="AG144" s="984"/>
      <c r="AH144" s="983"/>
      <c r="AI144" s="834"/>
      <c r="AJ144" s="836"/>
    </row>
    <row r="145" spans="1:98" s="7" customFormat="1" ht="75" customHeight="1">
      <c r="A145" s="694" t="s">
        <v>955</v>
      </c>
      <c r="D145" s="354">
        <v>46</v>
      </c>
      <c r="E145" s="181" t="s">
        <v>1031</v>
      </c>
      <c r="F145" s="696" t="s">
        <v>1032</v>
      </c>
      <c r="G145" s="696" t="s">
        <v>1033</v>
      </c>
      <c r="H145" s="234"/>
      <c r="I145" s="914"/>
      <c r="J145" s="412"/>
      <c r="K145" s="209"/>
      <c r="L145" s="544">
        <v>3</v>
      </c>
      <c r="M145" s="544"/>
      <c r="N145" s="788"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4">
        <v>1</v>
      </c>
      <c r="AE145" s="983"/>
      <c r="AF145" s="984"/>
      <c r="AG145" s="984"/>
      <c r="AH145" s="983"/>
      <c r="AI145" s="834"/>
      <c r="AJ145" s="836"/>
    </row>
    <row r="146" spans="1:98" s="7" customFormat="1" ht="112.5" customHeight="1">
      <c r="A146" s="694" t="s">
        <v>955</v>
      </c>
      <c r="D146" s="354">
        <v>51</v>
      </c>
      <c r="E146" s="181" t="s">
        <v>1035</v>
      </c>
      <c r="F146" s="696" t="s">
        <v>1036</v>
      </c>
      <c r="G146" s="696" t="s">
        <v>1037</v>
      </c>
      <c r="H146" s="236"/>
      <c r="I146" s="906"/>
      <c r="J146" s="190"/>
      <c r="K146" s="209"/>
      <c r="L146" s="571">
        <v>3</v>
      </c>
      <c r="M146" s="561"/>
      <c r="N146" s="788" t="s">
        <v>117</v>
      </c>
      <c r="O146" s="1517" t="s">
        <v>747</v>
      </c>
      <c r="P146" s="307">
        <f>Test_Bible!P234</f>
        <v>0</v>
      </c>
      <c r="Q146" s="308">
        <f>Test_Bible!Q234</f>
        <v>0</v>
      </c>
      <c r="R146" s="1562" t="s">
        <v>1038</v>
      </c>
      <c r="S146" s="316">
        <v>0</v>
      </c>
      <c r="T146" s="317">
        <v>0.5</v>
      </c>
      <c r="U146" s="318">
        <v>0.5</v>
      </c>
      <c r="V146" s="646" t="s">
        <v>231</v>
      </c>
      <c r="W146" s="8"/>
      <c r="X146" s="423"/>
      <c r="Y146" s="1045">
        <v>1</v>
      </c>
      <c r="Z146" s="424"/>
      <c r="AA146" s="42"/>
      <c r="AB146" s="42"/>
      <c r="AC146" s="42"/>
      <c r="AD146" s="42"/>
      <c r="AE146" s="500"/>
      <c r="AF146" s="986"/>
      <c r="AG146" s="986"/>
      <c r="AH146" s="500" t="s">
        <v>5</v>
      </c>
      <c r="AI146" s="834"/>
      <c r="AJ146" s="986" t="s">
        <v>1039</v>
      </c>
    </row>
    <row r="147" spans="1:98" ht="176" customHeight="1">
      <c r="A147" s="694" t="s">
        <v>955</v>
      </c>
      <c r="D147" s="354">
        <v>6</v>
      </c>
      <c r="E147" s="117" t="s">
        <v>1040</v>
      </c>
      <c r="F147" s="857" t="s">
        <v>1041</v>
      </c>
      <c r="G147" s="696" t="s">
        <v>1042</v>
      </c>
      <c r="H147" s="377" t="s">
        <v>1043</v>
      </c>
      <c r="I147" s="915"/>
      <c r="J147" s="412"/>
      <c r="K147" s="181"/>
      <c r="L147" s="462"/>
      <c r="M147" s="462"/>
      <c r="N147" s="788"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0</v>
      </c>
      <c r="R148" s="864"/>
      <c r="S148" s="865" t="s">
        <v>26</v>
      </c>
      <c r="T148" s="866" t="s">
        <v>301</v>
      </c>
      <c r="U148" s="866" t="s">
        <v>302</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123</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1045</v>
      </c>
      <c r="F151" s="77" t="s">
        <v>1046</v>
      </c>
      <c r="G151" s="878" t="s">
        <v>1047</v>
      </c>
      <c r="H151" s="243"/>
      <c r="I151" s="918"/>
      <c r="J151" s="108" t="s">
        <v>555</v>
      </c>
      <c r="K151" s="200"/>
      <c r="L151" s="551">
        <v>1</v>
      </c>
      <c r="M151" s="551"/>
      <c r="N151" s="788" t="s">
        <v>597</v>
      </c>
      <c r="O151" s="781" t="s">
        <v>556</v>
      </c>
      <c r="P151" s="309">
        <f>Test_Bible!P263</f>
        <v>0</v>
      </c>
      <c r="Q151" s="309">
        <f>Test_Bible!Q263</f>
        <v>0</v>
      </c>
      <c r="R151" s="309"/>
      <c r="S151" s="315" t="s">
        <v>477</v>
      </c>
      <c r="T151" s="339" t="s">
        <v>477</v>
      </c>
      <c r="U151" s="342" t="s">
        <v>477</v>
      </c>
      <c r="V151" s="654" t="s">
        <v>467</v>
      </c>
      <c r="W151" s="8"/>
      <c r="X151" s="423"/>
      <c r="Y151" s="420"/>
      <c r="Z151" s="425"/>
      <c r="AE151" s="996" t="s">
        <v>124</v>
      </c>
      <c r="AF151" s="997"/>
      <c r="AG151" s="997"/>
      <c r="AH151" s="996" t="s">
        <v>124</v>
      </c>
      <c r="AI151" s="998"/>
      <c r="AJ151" s="999"/>
    </row>
    <row r="152" spans="1:98" ht="49" customHeight="1">
      <c r="D152" s="1262">
        <v>1</v>
      </c>
      <c r="E152" s="286" t="s">
        <v>1048</v>
      </c>
      <c r="F152" s="77" t="s">
        <v>1049</v>
      </c>
      <c r="G152" s="879" t="s">
        <v>1050</v>
      </c>
      <c r="H152" s="244"/>
      <c r="I152" s="919"/>
      <c r="J152" s="108" t="s">
        <v>555</v>
      </c>
      <c r="K152" s="200">
        <v>6</v>
      </c>
      <c r="L152" s="551">
        <v>1</v>
      </c>
      <c r="M152" s="551"/>
      <c r="N152" s="788" t="s">
        <v>597</v>
      </c>
      <c r="O152" s="781" t="s">
        <v>556</v>
      </c>
      <c r="P152" s="309">
        <f>Test_Bible!P264</f>
        <v>0</v>
      </c>
      <c r="Q152" s="309">
        <f>Test_Bible!Q264</f>
        <v>0</v>
      </c>
      <c r="R152" s="309"/>
      <c r="S152" s="315" t="s">
        <v>477</v>
      </c>
      <c r="T152" s="339" t="s">
        <v>477</v>
      </c>
      <c r="U152" s="342" t="s">
        <v>477</v>
      </c>
      <c r="V152" s="655" t="s">
        <v>467</v>
      </c>
      <c r="W152" s="8"/>
      <c r="X152" s="423"/>
      <c r="Z152" s="425"/>
      <c r="AE152" s="500" t="s">
        <v>479</v>
      </c>
      <c r="AH152" s="983"/>
      <c r="AI152" s="834"/>
      <c r="AJ152" s="836"/>
    </row>
    <row r="153" spans="1:98" ht="58" customHeight="1">
      <c r="B153" s="99" t="s">
        <v>1051</v>
      </c>
      <c r="D153" s="1262">
        <v>2</v>
      </c>
      <c r="E153" s="167" t="s">
        <v>1052</v>
      </c>
      <c r="F153" s="274" t="s">
        <v>1053</v>
      </c>
      <c r="G153" s="880" t="s">
        <v>1054</v>
      </c>
      <c r="H153" s="241"/>
      <c r="I153" s="920"/>
      <c r="J153" s="108" t="s">
        <v>555</v>
      </c>
      <c r="K153" s="215"/>
      <c r="L153" s="551">
        <v>1</v>
      </c>
      <c r="M153" s="551"/>
      <c r="N153" s="788" t="s">
        <v>597</v>
      </c>
      <c r="O153" s="781" t="s">
        <v>556</v>
      </c>
      <c r="P153" s="309">
        <f>Test_Bible!P265</f>
        <v>0</v>
      </c>
      <c r="Q153" s="309">
        <f>Test_Bible!Q265</f>
        <v>0</v>
      </c>
      <c r="R153" s="309"/>
      <c r="S153" s="315" t="s">
        <v>477</v>
      </c>
      <c r="T153" s="339" t="s">
        <v>477</v>
      </c>
      <c r="U153" s="342" t="s">
        <v>477</v>
      </c>
      <c r="V153" s="656" t="s">
        <v>467</v>
      </c>
      <c r="W153" s="8"/>
      <c r="X153" s="423"/>
      <c r="Y153" s="420"/>
      <c r="Z153" s="425"/>
      <c r="AE153" s="992" t="s">
        <v>479</v>
      </c>
      <c r="AF153" s="1001" t="s">
        <v>1055</v>
      </c>
      <c r="AG153" s="993"/>
      <c r="AH153" s="996" t="s">
        <v>124</v>
      </c>
      <c r="AI153" s="998"/>
      <c r="AJ153" s="999"/>
    </row>
    <row r="154" spans="1:98" ht="70" customHeight="1">
      <c r="C154" s="769" t="s">
        <v>1056</v>
      </c>
      <c r="D154" s="1262">
        <v>20</v>
      </c>
      <c r="E154" s="166" t="s">
        <v>1057</v>
      </c>
      <c r="F154" s="77" t="s">
        <v>1058</v>
      </c>
      <c r="G154" s="878" t="s">
        <v>1059</v>
      </c>
      <c r="H154" s="245"/>
      <c r="I154" s="921"/>
      <c r="J154" s="123"/>
      <c r="K154" s="213">
        <v>4</v>
      </c>
      <c r="L154" s="537">
        <v>1</v>
      </c>
      <c r="M154" s="565">
        <v>2</v>
      </c>
      <c r="N154" s="788" t="s">
        <v>92</v>
      </c>
      <c r="O154" s="272" t="s">
        <v>423</v>
      </c>
      <c r="P154" s="310">
        <f>Test_Bible!P267</f>
        <v>0</v>
      </c>
      <c r="Q154" s="310">
        <f>Test_Bible!Q267</f>
        <v>0</v>
      </c>
      <c r="R154" s="310" t="s">
        <v>1060</v>
      </c>
      <c r="S154" s="319">
        <v>0.5</v>
      </c>
      <c r="T154" s="339">
        <v>0.5</v>
      </c>
      <c r="U154" s="340">
        <v>0</v>
      </c>
      <c r="V154" s="656" t="s">
        <v>467</v>
      </c>
      <c r="W154" s="6">
        <v>1</v>
      </c>
      <c r="X154" s="423"/>
      <c r="Y154" s="420"/>
      <c r="Z154" s="425"/>
      <c r="AE154" s="500" t="s">
        <v>479</v>
      </c>
      <c r="AF154" s="986" t="s">
        <v>1061</v>
      </c>
      <c r="AG154" s="986"/>
      <c r="AH154" s="992" t="s">
        <v>5</v>
      </c>
      <c r="AI154" s="994"/>
      <c r="AJ154" s="995"/>
    </row>
    <row r="155" spans="1:98" ht="69" customHeight="1">
      <c r="A155" s="1128"/>
      <c r="B155" s="99" t="s">
        <v>1062</v>
      </c>
      <c r="C155" s="25"/>
      <c r="D155" s="1262">
        <v>21</v>
      </c>
      <c r="E155" s="167" t="s">
        <v>1063</v>
      </c>
      <c r="F155" s="274" t="s">
        <v>1064</v>
      </c>
      <c r="G155" s="880" t="s">
        <v>1065</v>
      </c>
      <c r="H155" s="246"/>
      <c r="I155" s="922"/>
      <c r="J155" s="124"/>
      <c r="K155" s="214"/>
      <c r="L155" s="545">
        <v>2</v>
      </c>
      <c r="M155" s="545"/>
      <c r="N155" s="788" t="s">
        <v>117</v>
      </c>
      <c r="O155" s="1517" t="s">
        <v>747</v>
      </c>
      <c r="P155" s="310">
        <f>Test_Bible!P268</f>
        <v>0</v>
      </c>
      <c r="Q155" s="310">
        <f>Test_Bible!Q268</f>
        <v>0</v>
      </c>
      <c r="R155" s="310" t="s">
        <v>1066</v>
      </c>
      <c r="S155" s="319">
        <v>0.5</v>
      </c>
      <c r="T155" s="339">
        <v>0.5</v>
      </c>
      <c r="U155" s="340">
        <v>0</v>
      </c>
      <c r="V155" s="656" t="s">
        <v>467</v>
      </c>
      <c r="W155" s="6">
        <v>1</v>
      </c>
      <c r="X155" s="423"/>
      <c r="Y155" s="420"/>
      <c r="Z155" s="425"/>
      <c r="AE155" s="996" t="s">
        <v>124</v>
      </c>
      <c r="AF155" s="997"/>
      <c r="AG155" s="997"/>
      <c r="AH155" s="996" t="s">
        <v>124</v>
      </c>
      <c r="AI155" s="998"/>
      <c r="AJ155" s="999"/>
    </row>
    <row r="156" spans="1:98" ht="68" customHeight="1">
      <c r="A156" s="174" t="s">
        <v>1067</v>
      </c>
      <c r="B156" s="1490"/>
      <c r="D156" s="1262">
        <v>52</v>
      </c>
      <c r="E156" s="166" t="s">
        <v>1068</v>
      </c>
      <c r="F156" s="77" t="s">
        <v>1069</v>
      </c>
      <c r="G156" s="878" t="s">
        <v>1070</v>
      </c>
      <c r="H156" s="245"/>
      <c r="I156" s="921"/>
      <c r="J156" s="123"/>
      <c r="K156" s="213">
        <v>4</v>
      </c>
      <c r="L156" s="545">
        <v>2</v>
      </c>
      <c r="M156" s="545"/>
      <c r="N156" s="788"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6" t="s">
        <v>124</v>
      </c>
      <c r="AF156" s="997"/>
      <c r="AG156" s="997"/>
      <c r="AH156" s="996" t="s">
        <v>124</v>
      </c>
      <c r="AI156" s="998"/>
      <c r="AJ156" s="999"/>
    </row>
    <row r="157" spans="1:98" ht="82" customHeight="1">
      <c r="B157" s="99" t="s">
        <v>1072</v>
      </c>
      <c r="D157" s="1262">
        <v>53</v>
      </c>
      <c r="E157" s="167" t="s">
        <v>1073</v>
      </c>
      <c r="F157" s="274" t="s">
        <v>1074</v>
      </c>
      <c r="G157" s="880" t="s">
        <v>1075</v>
      </c>
      <c r="H157" s="241"/>
      <c r="I157" s="920"/>
      <c r="J157" s="124"/>
      <c r="K157" s="214">
        <v>4</v>
      </c>
      <c r="L157" s="544">
        <v>3</v>
      </c>
      <c r="M157" s="544"/>
      <c r="N157" s="788"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6" t="s">
        <v>124</v>
      </c>
      <c r="AF157" s="997"/>
      <c r="AG157" s="997"/>
      <c r="AH157" s="996" t="s">
        <v>124</v>
      </c>
      <c r="AI157" s="998"/>
      <c r="AJ157" s="999"/>
    </row>
    <row r="158" spans="1:98" ht="60" customHeight="1">
      <c r="B158" s="99" t="s">
        <v>1077</v>
      </c>
      <c r="D158" s="1262">
        <v>54</v>
      </c>
      <c r="E158" s="168" t="s">
        <v>1078</v>
      </c>
      <c r="F158" s="692" t="s">
        <v>1079</v>
      </c>
      <c r="G158" s="691" t="s">
        <v>1080</v>
      </c>
      <c r="H158" s="249"/>
      <c r="I158" s="924"/>
      <c r="J158" s="146"/>
      <c r="K158" s="171"/>
      <c r="L158" s="544">
        <v>3</v>
      </c>
      <c r="M158" s="544"/>
      <c r="N158" s="788" t="s">
        <v>92</v>
      </c>
      <c r="O158" s="272" t="s">
        <v>423</v>
      </c>
      <c r="P158" s="310">
        <f>Test_Bible!P271</f>
        <v>0</v>
      </c>
      <c r="Q158" s="310">
        <f>Test_Bible!Q271</f>
        <v>0</v>
      </c>
      <c r="R158" s="310" t="s">
        <v>1081</v>
      </c>
      <c r="S158" s="315">
        <v>0.5</v>
      </c>
      <c r="T158" s="341">
        <v>0.5</v>
      </c>
      <c r="U158" s="342">
        <v>0</v>
      </c>
      <c r="V158" s="659" t="s">
        <v>234</v>
      </c>
      <c r="W158" s="8"/>
      <c r="X158" s="423"/>
      <c r="Y158" s="420"/>
      <c r="Z158" s="425"/>
      <c r="AD158" s="1041">
        <v>1</v>
      </c>
      <c r="AE158" s="996" t="s">
        <v>124</v>
      </c>
      <c r="AF158" s="997"/>
      <c r="AG158" s="997"/>
      <c r="AH158" s="996" t="s">
        <v>124</v>
      </c>
      <c r="AI158" s="998"/>
      <c r="AJ158" s="999"/>
    </row>
    <row r="159" spans="1:98" ht="69" customHeight="1">
      <c r="D159" s="1262">
        <v>29</v>
      </c>
      <c r="E159" s="166" t="s">
        <v>1082</v>
      </c>
      <c r="F159" s="77" t="s">
        <v>1083</v>
      </c>
      <c r="G159" s="878" t="s">
        <v>1084</v>
      </c>
      <c r="H159" s="247"/>
      <c r="I159" s="923"/>
      <c r="J159" s="123"/>
      <c r="K159" s="213">
        <v>4</v>
      </c>
      <c r="L159" s="545">
        <v>2</v>
      </c>
      <c r="M159" s="545"/>
      <c r="N159" s="788" t="s">
        <v>92</v>
      </c>
      <c r="O159" s="272" t="s">
        <v>423</v>
      </c>
      <c r="P159" s="310">
        <f>Test_Bible!P272</f>
        <v>0</v>
      </c>
      <c r="Q159" s="310">
        <f>Test_Bible!Q272</f>
        <v>0</v>
      </c>
      <c r="R159" s="310" t="s">
        <v>1085</v>
      </c>
      <c r="S159" s="319">
        <v>0</v>
      </c>
      <c r="T159" s="339">
        <v>0</v>
      </c>
      <c r="U159" s="340">
        <v>1</v>
      </c>
      <c r="V159" s="656" t="s">
        <v>467</v>
      </c>
      <c r="W159" s="6">
        <v>1</v>
      </c>
      <c r="X159" s="423"/>
      <c r="Z159" s="425"/>
      <c r="AE159" s="996" t="s">
        <v>124</v>
      </c>
      <c r="AF159" s="997"/>
      <c r="AG159" s="997"/>
      <c r="AH159" s="996" t="s">
        <v>124</v>
      </c>
      <c r="AI159" s="998"/>
      <c r="AJ159" s="999"/>
    </row>
    <row r="160" spans="1:98" ht="105" customHeight="1">
      <c r="B160" s="99" t="s">
        <v>1086</v>
      </c>
      <c r="D160" s="1262">
        <v>30</v>
      </c>
      <c r="E160" s="167" t="s">
        <v>1087</v>
      </c>
      <c r="F160" s="274" t="s">
        <v>1088</v>
      </c>
      <c r="G160" s="853" t="s">
        <v>1089</v>
      </c>
      <c r="H160" s="1612" t="s">
        <v>125</v>
      </c>
      <c r="I160" s="894"/>
      <c r="J160" s="124"/>
      <c r="K160" s="214"/>
      <c r="L160" s="545"/>
      <c r="M160" s="545"/>
      <c r="N160" s="788" t="s">
        <v>154</v>
      </c>
      <c r="O160" s="598" t="s">
        <v>127</v>
      </c>
      <c r="P160" s="300"/>
      <c r="Q160" s="300"/>
      <c r="R160" s="300"/>
      <c r="S160" s="315" t="s">
        <v>477</v>
      </c>
      <c r="T160" s="339" t="s">
        <v>477</v>
      </c>
      <c r="U160" s="342" t="s">
        <v>477</v>
      </c>
      <c r="V160" s="656" t="s">
        <v>467</v>
      </c>
      <c r="W160" s="6">
        <v>1</v>
      </c>
      <c r="X160" s="423"/>
      <c r="Y160" s="411"/>
      <c r="Z160" s="424"/>
      <c r="AE160" s="996" t="s">
        <v>124</v>
      </c>
      <c r="AF160" s="997"/>
      <c r="AG160" s="997"/>
      <c r="AH160" s="996" t="s">
        <v>124</v>
      </c>
      <c r="AI160" s="998"/>
      <c r="AJ160" s="999"/>
    </row>
    <row r="161" spans="1:36" ht="91" customHeight="1">
      <c r="C161" s="769" t="s">
        <v>1090</v>
      </c>
      <c r="D161" s="1262">
        <v>31</v>
      </c>
      <c r="E161" s="166" t="s">
        <v>1091</v>
      </c>
      <c r="F161" s="77" t="s">
        <v>1092</v>
      </c>
      <c r="G161" s="878" t="s">
        <v>1093</v>
      </c>
      <c r="H161" s="247"/>
      <c r="I161" s="923"/>
      <c r="J161" s="123"/>
      <c r="K161" s="213">
        <v>4</v>
      </c>
      <c r="L161" s="537">
        <v>1</v>
      </c>
      <c r="M161" s="565">
        <v>2</v>
      </c>
      <c r="N161" s="788" t="s">
        <v>92</v>
      </c>
      <c r="O161" s="272" t="s">
        <v>423</v>
      </c>
      <c r="P161" s="310">
        <f>Test_Bible!P278</f>
        <v>0</v>
      </c>
      <c r="Q161" s="310">
        <f>Test_Bible!Q278</f>
        <v>0</v>
      </c>
      <c r="R161" s="310" t="s">
        <v>1094</v>
      </c>
      <c r="S161" s="319">
        <v>0</v>
      </c>
      <c r="T161" s="341">
        <v>0.5</v>
      </c>
      <c r="U161" s="342">
        <v>0.5</v>
      </c>
      <c r="V161" s="657" t="s">
        <v>230</v>
      </c>
      <c r="W161" s="8"/>
      <c r="X161" s="1042">
        <v>1</v>
      </c>
      <c r="Y161" s="420"/>
      <c r="Z161" s="425"/>
      <c r="AE161" s="992" t="s">
        <v>479</v>
      </c>
      <c r="AF161" s="1001" t="s">
        <v>1095</v>
      </c>
      <c r="AG161" s="1001"/>
      <c r="AH161" s="992" t="s">
        <v>5</v>
      </c>
      <c r="AI161" s="994"/>
      <c r="AJ161" s="1001" t="s">
        <v>1096</v>
      </c>
    </row>
    <row r="162" spans="1:36" ht="74" customHeight="1">
      <c r="B162" s="99" t="s">
        <v>1097</v>
      </c>
      <c r="D162" s="1262">
        <v>32</v>
      </c>
      <c r="E162" s="167" t="s">
        <v>1098</v>
      </c>
      <c r="F162" s="274" t="s">
        <v>1099</v>
      </c>
      <c r="G162" s="880" t="s">
        <v>1100</v>
      </c>
      <c r="H162" s="241"/>
      <c r="I162" s="920"/>
      <c r="J162" s="124" t="s">
        <v>582</v>
      </c>
      <c r="K162" s="214">
        <v>4</v>
      </c>
      <c r="L162" s="544">
        <v>3</v>
      </c>
      <c r="M162" s="544"/>
      <c r="N162" s="788" t="s">
        <v>117</v>
      </c>
      <c r="O162" s="1517" t="s">
        <v>747</v>
      </c>
      <c r="P162" s="310">
        <f>Test_Bible!P279</f>
        <v>0</v>
      </c>
      <c r="Q162" s="310">
        <f>Test_Bible!Q279</f>
        <v>0</v>
      </c>
      <c r="R162" s="310" t="s">
        <v>1101</v>
      </c>
      <c r="S162" s="319">
        <v>0</v>
      </c>
      <c r="T162" s="339">
        <v>1</v>
      </c>
      <c r="U162" s="340">
        <v>0</v>
      </c>
      <c r="V162" s="657" t="s">
        <v>230</v>
      </c>
      <c r="W162" s="8"/>
      <c r="X162" s="1042">
        <v>1</v>
      </c>
      <c r="Y162" s="420"/>
      <c r="Z162" s="425"/>
      <c r="AE162" s="992" t="s">
        <v>479</v>
      </c>
      <c r="AF162" s="1023" t="s">
        <v>1102</v>
      </c>
      <c r="AG162" s="993"/>
      <c r="AH162" s="992" t="s">
        <v>5</v>
      </c>
      <c r="AI162" s="994"/>
      <c r="AJ162" s="1001" t="s">
        <v>1096</v>
      </c>
    </row>
    <row r="163" spans="1:36" ht="65" customHeight="1">
      <c r="B163" s="99" t="s">
        <v>1103</v>
      </c>
      <c r="D163" s="1262">
        <v>33</v>
      </c>
      <c r="E163" s="167" t="s">
        <v>1104</v>
      </c>
      <c r="F163" s="274" t="s">
        <v>1105</v>
      </c>
      <c r="G163" s="880" t="s">
        <v>1106</v>
      </c>
      <c r="H163" s="241"/>
      <c r="I163" s="920"/>
      <c r="J163" s="124" t="s">
        <v>790</v>
      </c>
      <c r="K163" s="214"/>
      <c r="L163" s="544">
        <v>3</v>
      </c>
      <c r="M163" s="544"/>
      <c r="N163" s="788" t="s">
        <v>92</v>
      </c>
      <c r="O163" s="272" t="s">
        <v>423</v>
      </c>
      <c r="P163" s="310">
        <f>Test_Bible!P280</f>
        <v>0</v>
      </c>
      <c r="Q163" s="310">
        <f>Test_Bible!Q280</f>
        <v>0</v>
      </c>
      <c r="R163" s="310" t="s">
        <v>1107</v>
      </c>
      <c r="S163" s="319">
        <v>0</v>
      </c>
      <c r="T163" s="341">
        <v>0.5</v>
      </c>
      <c r="U163" s="342">
        <v>0.5</v>
      </c>
      <c r="V163" s="657" t="s">
        <v>230</v>
      </c>
      <c r="W163" s="8"/>
      <c r="X163" s="1042">
        <v>1</v>
      </c>
      <c r="Y163" s="411"/>
      <c r="Z163" s="424"/>
      <c r="AE163" s="992" t="s">
        <v>479</v>
      </c>
      <c r="AF163" s="1023" t="s">
        <v>1108</v>
      </c>
      <c r="AG163" s="997"/>
      <c r="AH163" s="992" t="s">
        <v>5</v>
      </c>
      <c r="AI163" s="994"/>
      <c r="AJ163" s="1001" t="s">
        <v>1096</v>
      </c>
    </row>
    <row r="164" spans="1:36" ht="94" customHeight="1">
      <c r="D164" s="1262">
        <v>14</v>
      </c>
      <c r="E164" s="166" t="s">
        <v>1109</v>
      </c>
      <c r="F164" s="77" t="s">
        <v>1110</v>
      </c>
      <c r="G164" s="878" t="s">
        <v>1111</v>
      </c>
      <c r="H164" s="247"/>
      <c r="I164" s="923"/>
      <c r="J164" s="125" t="s">
        <v>124</v>
      </c>
      <c r="K164" s="216"/>
      <c r="L164" s="537">
        <v>1</v>
      </c>
      <c r="M164" s="537"/>
      <c r="N164" s="788" t="s">
        <v>117</v>
      </c>
      <c r="O164" s="1517" t="s">
        <v>747</v>
      </c>
      <c r="P164" s="310">
        <f>Test_Bible!P281</f>
        <v>0</v>
      </c>
      <c r="Q164" s="310">
        <f>Test_Bible!Q281</f>
        <v>0</v>
      </c>
      <c r="R164" s="310" t="s">
        <v>1112</v>
      </c>
      <c r="S164" s="319">
        <v>0</v>
      </c>
      <c r="T164" s="339">
        <v>1</v>
      </c>
      <c r="U164" s="342">
        <v>0</v>
      </c>
      <c r="V164" s="646" t="s">
        <v>231</v>
      </c>
      <c r="W164" s="8"/>
      <c r="X164" s="423"/>
      <c r="Y164" s="1046">
        <v>1</v>
      </c>
      <c r="Z164" s="425"/>
      <c r="AE164" s="992" t="s">
        <v>479</v>
      </c>
      <c r="AF164" s="1001" t="s">
        <v>1113</v>
      </c>
      <c r="AG164" s="1001"/>
      <c r="AH164" s="992" t="s">
        <v>5</v>
      </c>
      <c r="AI164" s="994"/>
      <c r="AJ164" s="1024" t="s">
        <v>1114</v>
      </c>
    </row>
    <row r="165" spans="1:36" ht="71" customHeight="1">
      <c r="A165" s="174" t="s">
        <v>1115</v>
      </c>
      <c r="B165" s="1421"/>
      <c r="D165" s="1262">
        <v>16</v>
      </c>
      <c r="E165" s="166" t="s">
        <v>1116</v>
      </c>
      <c r="F165" s="694" t="s">
        <v>1117</v>
      </c>
      <c r="G165" s="185" t="s">
        <v>1118</v>
      </c>
      <c r="H165" s="247"/>
      <c r="I165" s="923"/>
      <c r="J165" s="125" t="s">
        <v>124</v>
      </c>
      <c r="K165" s="216"/>
      <c r="L165" s="537">
        <v>1</v>
      </c>
      <c r="M165" s="537"/>
      <c r="N165" s="788" t="s">
        <v>431</v>
      </c>
      <c r="O165" s="1517" t="s">
        <v>432</v>
      </c>
      <c r="P165" s="310">
        <f>Test_Bible!P282</f>
        <v>0</v>
      </c>
      <c r="Q165" s="310">
        <f>Test_Bible!Q282</f>
        <v>0</v>
      </c>
      <c r="R165" s="310" t="s">
        <v>1119</v>
      </c>
      <c r="S165" s="319">
        <v>0</v>
      </c>
      <c r="T165" s="341">
        <v>0.5</v>
      </c>
      <c r="U165" s="342">
        <v>0.5</v>
      </c>
      <c r="V165" s="646" t="s">
        <v>231</v>
      </c>
      <c r="W165" s="8"/>
      <c r="X165" s="423"/>
      <c r="Y165" s="1046">
        <v>1</v>
      </c>
      <c r="Z165" s="425"/>
      <c r="AE165" s="996" t="s">
        <v>124</v>
      </c>
      <c r="AF165" s="997"/>
      <c r="AG165" s="997"/>
      <c r="AH165" s="996" t="s">
        <v>124</v>
      </c>
      <c r="AI165" s="998"/>
      <c r="AJ165" s="13" t="s">
        <v>1120</v>
      </c>
    </row>
    <row r="166" spans="1:36" ht="68" customHeight="1">
      <c r="D166" s="1262">
        <v>17</v>
      </c>
      <c r="E166" s="166" t="s">
        <v>1121</v>
      </c>
      <c r="F166" s="694" t="s">
        <v>1122</v>
      </c>
      <c r="G166" s="185" t="s">
        <v>1123</v>
      </c>
      <c r="H166" s="247"/>
      <c r="I166" s="923"/>
      <c r="J166" s="125" t="s">
        <v>124</v>
      </c>
      <c r="K166" s="216"/>
      <c r="L166" s="545">
        <v>2</v>
      </c>
      <c r="M166" s="545"/>
      <c r="N166" s="788" t="s">
        <v>92</v>
      </c>
      <c r="O166" s="272" t="s">
        <v>423</v>
      </c>
      <c r="P166" s="310">
        <f>Test_Bible!P283</f>
        <v>0</v>
      </c>
      <c r="Q166" s="310">
        <f>Test_Bible!Q283</f>
        <v>0</v>
      </c>
      <c r="R166" s="310" t="s">
        <v>1124</v>
      </c>
      <c r="S166" s="319">
        <v>0</v>
      </c>
      <c r="T166" s="341">
        <v>0.5</v>
      </c>
      <c r="U166" s="342">
        <v>0.5</v>
      </c>
      <c r="V166" s="646" t="s">
        <v>231</v>
      </c>
      <c r="W166" s="8"/>
      <c r="X166" s="423"/>
      <c r="Y166" s="1046">
        <v>1</v>
      </c>
      <c r="Z166" s="425"/>
      <c r="AE166" s="992" t="s">
        <v>479</v>
      </c>
      <c r="AF166" s="1001" t="s">
        <v>1125</v>
      </c>
      <c r="AG166" s="1001"/>
      <c r="AH166" s="992" t="s">
        <v>5</v>
      </c>
      <c r="AI166" s="998"/>
      <c r="AJ166" s="1002" t="s">
        <v>1126</v>
      </c>
    </row>
    <row r="167" spans="1:36" ht="85" customHeight="1">
      <c r="C167" s="769" t="s">
        <v>1127</v>
      </c>
      <c r="D167" s="1262">
        <v>3</v>
      </c>
      <c r="E167" s="172" t="s">
        <v>1128</v>
      </c>
      <c r="F167" s="694" t="s">
        <v>1129</v>
      </c>
      <c r="G167" s="185" t="s">
        <v>1130</v>
      </c>
      <c r="H167" s="247"/>
      <c r="I167" s="923"/>
      <c r="J167" s="125" t="s">
        <v>124</v>
      </c>
      <c r="K167" s="216"/>
      <c r="L167" s="545">
        <v>2</v>
      </c>
      <c r="M167" s="544">
        <v>3</v>
      </c>
      <c r="N167" s="788" t="s">
        <v>84</v>
      </c>
      <c r="O167" s="1517" t="s">
        <v>440</v>
      </c>
      <c r="P167" s="310">
        <f>Test_Bible!P284</f>
        <v>0</v>
      </c>
      <c r="Q167" s="310">
        <f>Test_Bible!Q284</f>
        <v>0</v>
      </c>
      <c r="R167" s="310" t="s">
        <v>1131</v>
      </c>
      <c r="S167" s="319">
        <v>1</v>
      </c>
      <c r="T167" s="341">
        <v>0</v>
      </c>
      <c r="U167" s="342">
        <v>0</v>
      </c>
      <c r="V167" s="646" t="s">
        <v>231</v>
      </c>
      <c r="W167" s="8"/>
      <c r="X167" s="423"/>
      <c r="Y167" s="1046">
        <v>1</v>
      </c>
      <c r="Z167" s="424"/>
      <c r="AE167" s="996" t="s">
        <v>124</v>
      </c>
      <c r="AF167" s="997"/>
      <c r="AG167" s="997"/>
      <c r="AH167" s="996" t="s">
        <v>124</v>
      </c>
      <c r="AI167" s="998"/>
      <c r="AJ167" s="999"/>
    </row>
    <row r="168" spans="1:36" ht="58" customHeight="1">
      <c r="A168" s="694" t="s">
        <v>713</v>
      </c>
      <c r="D168" s="1262">
        <v>47</v>
      </c>
      <c r="E168" s="172" t="s">
        <v>1132</v>
      </c>
      <c r="F168" s="694" t="s">
        <v>1133</v>
      </c>
      <c r="G168" s="185" t="s">
        <v>1134</v>
      </c>
      <c r="H168" s="247"/>
      <c r="I168" s="923"/>
      <c r="J168" s="125" t="s">
        <v>124</v>
      </c>
      <c r="K168" s="216"/>
      <c r="L168" s="545">
        <v>2</v>
      </c>
      <c r="M168" s="545"/>
      <c r="N168" s="788" t="s">
        <v>92</v>
      </c>
      <c r="O168" s="272" t="s">
        <v>423</v>
      </c>
      <c r="P168" s="310">
        <f>Test_Bible!P285</f>
        <v>0</v>
      </c>
      <c r="Q168" s="310">
        <f>Test_Bible!Q285</f>
        <v>0</v>
      </c>
      <c r="R168" s="310" t="s">
        <v>843</v>
      </c>
      <c r="S168" s="315">
        <v>0</v>
      </c>
      <c r="T168" s="341">
        <v>0</v>
      </c>
      <c r="U168" s="340">
        <v>1</v>
      </c>
      <c r="V168" s="647" t="s">
        <v>47</v>
      </c>
      <c r="W168" s="8"/>
      <c r="X168" s="423"/>
      <c r="Y168" s="420"/>
      <c r="Z168" s="425">
        <v>1</v>
      </c>
      <c r="AE168" s="996" t="s">
        <v>124</v>
      </c>
      <c r="AF168" s="997"/>
      <c r="AG168" s="997"/>
      <c r="AH168" s="996" t="s">
        <v>124</v>
      </c>
      <c r="AI168" s="998"/>
      <c r="AJ168" s="999"/>
    </row>
    <row r="169" spans="1:36" ht="83" customHeight="1">
      <c r="A169" s="694" t="s">
        <v>1135</v>
      </c>
      <c r="D169" s="1262">
        <v>48</v>
      </c>
      <c r="E169" s="172" t="s">
        <v>1136</v>
      </c>
      <c r="F169" s="694" t="s">
        <v>1137</v>
      </c>
      <c r="G169" s="185" t="s">
        <v>1138</v>
      </c>
      <c r="H169" s="247"/>
      <c r="I169" s="923"/>
      <c r="J169" s="125" t="s">
        <v>124</v>
      </c>
      <c r="K169" s="216">
        <v>4</v>
      </c>
      <c r="L169" s="545">
        <v>2</v>
      </c>
      <c r="M169" s="545"/>
      <c r="N169" s="788" t="s">
        <v>92</v>
      </c>
      <c r="O169" s="272" t="s">
        <v>423</v>
      </c>
      <c r="P169" s="310">
        <f>Test_Bible!P286</f>
        <v>0</v>
      </c>
      <c r="Q169" s="310">
        <f>Test_Bible!Q286</f>
        <v>0</v>
      </c>
      <c r="R169" s="310" t="s">
        <v>1139</v>
      </c>
      <c r="S169" s="315">
        <v>0</v>
      </c>
      <c r="T169" s="339">
        <v>1</v>
      </c>
      <c r="U169" s="342">
        <v>0</v>
      </c>
      <c r="V169" s="647" t="s">
        <v>47</v>
      </c>
      <c r="W169" s="8"/>
      <c r="X169" s="423"/>
      <c r="Y169" s="420"/>
      <c r="Z169" s="425">
        <v>1</v>
      </c>
      <c r="AE169" s="992" t="s">
        <v>479</v>
      </c>
      <c r="AF169" s="1001" t="s">
        <v>1140</v>
      </c>
      <c r="AG169" s="1001"/>
      <c r="AH169" s="996" t="s">
        <v>124</v>
      </c>
      <c r="AI169" s="998"/>
      <c r="AJ169" s="999"/>
    </row>
    <row r="170" spans="1:36" ht="83" customHeight="1">
      <c r="B170" s="99" t="s">
        <v>1141</v>
      </c>
      <c r="D170" s="1262">
        <v>49</v>
      </c>
      <c r="E170" s="168" t="s">
        <v>1142</v>
      </c>
      <c r="F170" s="692" t="s">
        <v>1143</v>
      </c>
      <c r="G170" s="691" t="s">
        <v>1144</v>
      </c>
      <c r="H170" s="249"/>
      <c r="I170" s="924"/>
      <c r="J170" s="146" t="s">
        <v>582</v>
      </c>
      <c r="K170" s="171"/>
      <c r="L170" s="544">
        <v>3</v>
      </c>
      <c r="M170" s="544"/>
      <c r="N170" s="788" t="s">
        <v>117</v>
      </c>
      <c r="O170" s="1517" t="s">
        <v>747</v>
      </c>
      <c r="P170" s="310">
        <f>Test_Bible!P287</f>
        <v>0</v>
      </c>
      <c r="Q170" s="310">
        <f>Test_Bible!Q287</f>
        <v>0</v>
      </c>
      <c r="R170" s="310" t="s">
        <v>1145</v>
      </c>
      <c r="S170" s="315">
        <v>0</v>
      </c>
      <c r="T170" s="339">
        <v>1</v>
      </c>
      <c r="U170" s="342">
        <v>0</v>
      </c>
      <c r="V170" s="647" t="s">
        <v>47</v>
      </c>
      <c r="W170" s="8"/>
      <c r="X170" s="423"/>
      <c r="Y170" s="420"/>
      <c r="Z170" s="425">
        <v>1</v>
      </c>
      <c r="AE170" s="996"/>
      <c r="AF170" s="997"/>
      <c r="AG170" s="997"/>
      <c r="AH170" s="996"/>
      <c r="AI170" s="998"/>
      <c r="AJ170" s="999"/>
    </row>
    <row r="171" spans="1:36" ht="65" customHeight="1">
      <c r="D171" s="1262">
        <v>22</v>
      </c>
      <c r="E171" s="166" t="s">
        <v>1146</v>
      </c>
      <c r="F171" s="694" t="s">
        <v>1147</v>
      </c>
      <c r="G171" s="185" t="s">
        <v>1148</v>
      </c>
      <c r="H171" s="247"/>
      <c r="I171" s="923"/>
      <c r="J171" s="125" t="s">
        <v>849</v>
      </c>
      <c r="K171" s="216">
        <v>4</v>
      </c>
      <c r="L171" s="545">
        <v>2</v>
      </c>
      <c r="M171" s="545"/>
      <c r="N171" s="788" t="s">
        <v>92</v>
      </c>
      <c r="O171" s="272" t="s">
        <v>423</v>
      </c>
      <c r="P171" s="310">
        <f>Test_Bible!P288</f>
        <v>0</v>
      </c>
      <c r="Q171" s="310">
        <f>Test_Bible!Q288</f>
        <v>0</v>
      </c>
      <c r="R171" s="310" t="s">
        <v>1149</v>
      </c>
      <c r="S171" s="315">
        <v>0</v>
      </c>
      <c r="T171" s="341">
        <v>1</v>
      </c>
      <c r="U171" s="342">
        <v>0</v>
      </c>
      <c r="V171" s="647" t="s">
        <v>47</v>
      </c>
      <c r="W171" s="8"/>
      <c r="X171" s="423"/>
      <c r="Y171" s="420"/>
      <c r="Z171" s="425">
        <v>1</v>
      </c>
      <c r="AE171" s="996" t="s">
        <v>124</v>
      </c>
      <c r="AF171" s="997"/>
      <c r="AG171" s="997"/>
      <c r="AH171" s="996" t="s">
        <v>124</v>
      </c>
      <c r="AI171" s="998"/>
      <c r="AJ171" s="999"/>
    </row>
    <row r="172" spans="1:36" ht="71" customHeight="1">
      <c r="B172" s="99" t="s">
        <v>1150</v>
      </c>
      <c r="D172" s="1262">
        <v>23</v>
      </c>
      <c r="E172" s="167" t="s">
        <v>1151</v>
      </c>
      <c r="F172" s="692" t="s">
        <v>1152</v>
      </c>
      <c r="G172" s="935" t="s">
        <v>1153</v>
      </c>
      <c r="H172" s="241"/>
      <c r="I172" s="920"/>
      <c r="J172" s="127" t="s">
        <v>582</v>
      </c>
      <c r="K172" s="207"/>
      <c r="L172" s="544">
        <v>3</v>
      </c>
      <c r="M172" s="544"/>
      <c r="N172" s="788"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2" t="s">
        <v>479</v>
      </c>
      <c r="AF172" s="1001" t="s">
        <v>1155</v>
      </c>
      <c r="AG172" s="1001"/>
      <c r="AH172" s="992" t="s">
        <v>5</v>
      </c>
      <c r="AI172" s="994"/>
      <c r="AJ172" s="995"/>
    </row>
    <row r="173" spans="1:36" ht="67" customHeight="1">
      <c r="C173" s="1489"/>
      <c r="D173" s="1522">
        <v>24</v>
      </c>
      <c r="E173" s="166" t="s">
        <v>1156</v>
      </c>
      <c r="F173" s="694" t="s">
        <v>1157</v>
      </c>
      <c r="G173" s="185" t="s">
        <v>1158</v>
      </c>
      <c r="H173" s="247"/>
      <c r="I173" s="923"/>
      <c r="J173" s="125" t="s">
        <v>849</v>
      </c>
      <c r="K173" s="216">
        <v>2</v>
      </c>
      <c r="L173" s="545">
        <v>2</v>
      </c>
      <c r="M173" s="565"/>
      <c r="N173" s="788" t="s">
        <v>92</v>
      </c>
      <c r="O173" s="272" t="s">
        <v>423</v>
      </c>
      <c r="P173" s="310">
        <f>Test_Bible!P290</f>
        <v>0</v>
      </c>
      <c r="Q173" s="310">
        <f>Test_Bible!Q290</f>
        <v>0</v>
      </c>
      <c r="R173" s="310" t="s">
        <v>1159</v>
      </c>
      <c r="S173" s="315">
        <v>0.5</v>
      </c>
      <c r="T173" s="341">
        <v>0</v>
      </c>
      <c r="U173" s="342">
        <v>0.5</v>
      </c>
      <c r="V173" s="648" t="s">
        <v>1160</v>
      </c>
      <c r="W173" s="8"/>
      <c r="X173" s="423"/>
      <c r="Y173" s="420"/>
      <c r="Z173" s="425"/>
      <c r="AA173" s="1041">
        <v>1</v>
      </c>
      <c r="AE173" s="996" t="s">
        <v>124</v>
      </c>
      <c r="AF173" s="997"/>
      <c r="AG173" s="997"/>
      <c r="AH173" s="996" t="s">
        <v>124</v>
      </c>
      <c r="AI173" s="998"/>
      <c r="AJ173" s="999"/>
    </row>
    <row r="174" spans="1:36" ht="72" customHeight="1">
      <c r="A174" s="1490" t="s">
        <v>1161</v>
      </c>
      <c r="B174" s="99" t="s">
        <v>1162</v>
      </c>
      <c r="C174" s="1521"/>
      <c r="D174" s="1262">
        <v>25</v>
      </c>
      <c r="E174" s="1523" t="s">
        <v>1163</v>
      </c>
      <c r="F174" s="854" t="s">
        <v>1164</v>
      </c>
      <c r="G174" s="1524"/>
      <c r="H174" s="1525"/>
      <c r="I174" s="1526"/>
      <c r="J174" s="1527"/>
      <c r="K174" s="1527"/>
      <c r="L174" s="545">
        <v>2</v>
      </c>
      <c r="M174" s="565"/>
      <c r="N174" s="1528" t="s">
        <v>154</v>
      </c>
      <c r="O174" s="1529" t="s">
        <v>1165</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1166</v>
      </c>
      <c r="C175" s="769" t="s">
        <v>656</v>
      </c>
      <c r="D175" s="1262">
        <v>26</v>
      </c>
      <c r="E175" s="167" t="s">
        <v>1167</v>
      </c>
      <c r="F175" s="692" t="s">
        <v>1168</v>
      </c>
      <c r="G175" s="935" t="s">
        <v>1169</v>
      </c>
      <c r="H175" s="241"/>
      <c r="I175" s="920"/>
      <c r="J175" s="127" t="s">
        <v>582</v>
      </c>
      <c r="K175" s="207"/>
      <c r="L175" s="545">
        <v>2</v>
      </c>
      <c r="M175" s="544">
        <v>3</v>
      </c>
      <c r="N175" s="788" t="s">
        <v>92</v>
      </c>
      <c r="O175" s="272" t="s">
        <v>423</v>
      </c>
      <c r="P175" s="310">
        <f>Test_Bible!P296</f>
        <v>0</v>
      </c>
      <c r="Q175" s="310">
        <f>Test_Bible!Q296</f>
        <v>0</v>
      </c>
      <c r="R175" s="310" t="s">
        <v>1170</v>
      </c>
      <c r="S175" s="315">
        <v>1</v>
      </c>
      <c r="T175" s="341">
        <v>0</v>
      </c>
      <c r="U175" s="342">
        <v>0</v>
      </c>
      <c r="V175" s="648" t="s">
        <v>1160</v>
      </c>
      <c r="W175" s="8"/>
      <c r="X175" s="423"/>
      <c r="Y175" s="420"/>
      <c r="Z175" s="425"/>
      <c r="AA175" s="1041">
        <v>1</v>
      </c>
      <c r="AE175" s="996" t="s">
        <v>124</v>
      </c>
      <c r="AF175" s="997"/>
      <c r="AG175" s="997"/>
      <c r="AH175" s="996" t="s">
        <v>124</v>
      </c>
      <c r="AI175" s="998"/>
      <c r="AJ175" s="999"/>
    </row>
    <row r="176" spans="1:36" ht="88" customHeight="1">
      <c r="B176" s="99" t="s">
        <v>1166</v>
      </c>
      <c r="D176" s="1262">
        <v>27</v>
      </c>
      <c r="E176" s="167" t="s">
        <v>1171</v>
      </c>
      <c r="F176" s="692" t="s">
        <v>1172</v>
      </c>
      <c r="G176" s="935" t="s">
        <v>1173</v>
      </c>
      <c r="H176" s="241"/>
      <c r="I176" s="920"/>
      <c r="J176" s="127" t="s">
        <v>582</v>
      </c>
      <c r="K176" s="207"/>
      <c r="L176" s="544">
        <v>3</v>
      </c>
      <c r="M176" s="544"/>
      <c r="N176" s="788" t="s">
        <v>92</v>
      </c>
      <c r="O176" s="272" t="s">
        <v>423</v>
      </c>
      <c r="P176" s="310">
        <f>Test_Bible!P297</f>
        <v>0</v>
      </c>
      <c r="Q176" s="310">
        <f>Test_Bible!Q297</f>
        <v>0</v>
      </c>
      <c r="R176" s="310" t="s">
        <v>1174</v>
      </c>
      <c r="S176" s="315">
        <v>1</v>
      </c>
      <c r="T176" s="341">
        <v>0</v>
      </c>
      <c r="U176" s="342">
        <v>0</v>
      </c>
      <c r="V176" s="648" t="s">
        <v>1160</v>
      </c>
      <c r="W176" s="8"/>
      <c r="X176" s="423"/>
      <c r="Y176" s="420"/>
      <c r="Z176" s="425"/>
      <c r="AA176" s="1041">
        <v>1</v>
      </c>
      <c r="AE176" s="996" t="s">
        <v>124</v>
      </c>
      <c r="AF176" s="997"/>
      <c r="AG176" s="997"/>
      <c r="AH176" s="996" t="s">
        <v>124</v>
      </c>
      <c r="AI176" s="998"/>
      <c r="AJ176" s="999"/>
    </row>
    <row r="177" spans="1:36" ht="73" customHeight="1">
      <c r="B177" s="99" t="s">
        <v>1166</v>
      </c>
      <c r="C177" s="769" t="s">
        <v>656</v>
      </c>
      <c r="D177" s="1262">
        <v>28</v>
      </c>
      <c r="E177" s="167" t="s">
        <v>1175</v>
      </c>
      <c r="F177" s="692" t="s">
        <v>1176</v>
      </c>
      <c r="G177" s="935" t="s">
        <v>1177</v>
      </c>
      <c r="H177" s="241"/>
      <c r="I177" s="920"/>
      <c r="J177" s="127" t="s">
        <v>582</v>
      </c>
      <c r="K177" s="207"/>
      <c r="L177" s="545">
        <v>2</v>
      </c>
      <c r="M177" s="544">
        <v>3</v>
      </c>
      <c r="N177" s="788" t="s">
        <v>117</v>
      </c>
      <c r="O177" s="1517" t="s">
        <v>747</v>
      </c>
      <c r="P177" s="310">
        <f>Test_Bible!P298</f>
        <v>0</v>
      </c>
      <c r="Q177" s="310">
        <f>Test_Bible!Q298</f>
        <v>0</v>
      </c>
      <c r="R177" s="310" t="s">
        <v>1178</v>
      </c>
      <c r="S177" s="315">
        <v>0.5</v>
      </c>
      <c r="T177" s="341">
        <v>0.5</v>
      </c>
      <c r="U177" s="342">
        <v>0</v>
      </c>
      <c r="V177" s="648" t="s">
        <v>1160</v>
      </c>
      <c r="W177" s="8"/>
      <c r="X177" s="423"/>
      <c r="Y177" s="420"/>
      <c r="Z177" s="425"/>
      <c r="AA177" s="1041">
        <v>1</v>
      </c>
      <c r="AE177" s="996" t="s">
        <v>124</v>
      </c>
      <c r="AF177" s="997"/>
      <c r="AG177" s="997"/>
      <c r="AH177" s="996" t="s">
        <v>124</v>
      </c>
      <c r="AI177" s="998"/>
      <c r="AJ177" s="999"/>
    </row>
    <row r="178" spans="1:36" ht="77" customHeight="1">
      <c r="D178" s="1262">
        <v>4</v>
      </c>
      <c r="E178" s="166" t="s">
        <v>1179</v>
      </c>
      <c r="F178" s="694" t="s">
        <v>1180</v>
      </c>
      <c r="G178" s="185" t="s">
        <v>1181</v>
      </c>
      <c r="H178" s="248"/>
      <c r="I178" s="185"/>
      <c r="J178" s="185"/>
      <c r="K178" s="217"/>
      <c r="L178" s="545">
        <v>2</v>
      </c>
      <c r="M178" s="545"/>
      <c r="N178" s="788" t="s">
        <v>84</v>
      </c>
      <c r="O178" s="1517" t="s">
        <v>440</v>
      </c>
      <c r="P178" s="310">
        <f>Test_Bible!P299</f>
        <v>0</v>
      </c>
      <c r="Q178" s="310">
        <f>Test_Bible!Q299</f>
        <v>0</v>
      </c>
      <c r="R178" s="310" t="s">
        <v>1182</v>
      </c>
      <c r="S178" s="315">
        <v>1</v>
      </c>
      <c r="T178" s="341">
        <v>0</v>
      </c>
      <c r="U178" s="342">
        <v>0</v>
      </c>
      <c r="V178" s="648" t="s">
        <v>1160</v>
      </c>
      <c r="W178" s="8"/>
      <c r="X178" s="423"/>
      <c r="Y178" s="411"/>
      <c r="Z178" s="424"/>
      <c r="AA178" s="1041">
        <v>1</v>
      </c>
      <c r="AE178" s="992" t="s">
        <v>479</v>
      </c>
      <c r="AF178" s="1025" t="s">
        <v>1183</v>
      </c>
      <c r="AG178" s="997"/>
      <c r="AH178" s="996" t="s">
        <v>124</v>
      </c>
      <c r="AI178" s="998"/>
      <c r="AJ178" s="1025" t="s">
        <v>1183</v>
      </c>
    </row>
    <row r="179" spans="1:36" ht="74" customHeight="1">
      <c r="A179" s="694" t="s">
        <v>1135</v>
      </c>
      <c r="B179" s="16"/>
      <c r="C179" s="13"/>
      <c r="D179" s="1262">
        <v>50</v>
      </c>
      <c r="E179" s="166" t="s">
        <v>1184</v>
      </c>
      <c r="F179" s="694" t="s">
        <v>1185</v>
      </c>
      <c r="G179" s="185" t="s">
        <v>1186</v>
      </c>
      <c r="H179" s="248"/>
      <c r="I179" s="185"/>
      <c r="J179" s="509"/>
      <c r="K179" s="216">
        <v>4</v>
      </c>
      <c r="L179" s="545">
        <v>2</v>
      </c>
      <c r="M179" s="545"/>
      <c r="N179" s="788" t="s">
        <v>117</v>
      </c>
      <c r="O179" s="1517" t="s">
        <v>747</v>
      </c>
      <c r="P179" s="310">
        <f>Test_Bible!P300</f>
        <v>0</v>
      </c>
      <c r="Q179" s="310">
        <f>Test_Bible!Q300</f>
        <v>0</v>
      </c>
      <c r="R179" s="310" t="s">
        <v>1187</v>
      </c>
      <c r="S179" s="315">
        <v>0.5</v>
      </c>
      <c r="T179" s="341">
        <v>0.5</v>
      </c>
      <c r="U179" s="342">
        <v>0</v>
      </c>
      <c r="V179" s="649" t="s">
        <v>233</v>
      </c>
      <c r="W179" s="8"/>
      <c r="X179" s="423"/>
      <c r="Y179" s="420"/>
      <c r="Z179" s="425"/>
      <c r="AB179" s="1041">
        <v>1</v>
      </c>
      <c r="AE179" s="992" t="s">
        <v>479</v>
      </c>
      <c r="AF179" s="1001" t="s">
        <v>1188</v>
      </c>
      <c r="AG179" s="1001"/>
      <c r="AH179" s="992" t="s">
        <v>5</v>
      </c>
      <c r="AI179" s="994"/>
      <c r="AJ179" s="995"/>
    </row>
    <row r="180" spans="1:36" ht="74" customHeight="1">
      <c r="A180" s="1490"/>
      <c r="B180" s="99" t="s">
        <v>1189</v>
      </c>
      <c r="C180" s="13"/>
      <c r="D180" s="1262">
        <v>51</v>
      </c>
      <c r="E180" s="1583" t="s">
        <v>1190</v>
      </c>
      <c r="F180" s="692" t="s">
        <v>1191</v>
      </c>
      <c r="G180" s="1584"/>
      <c r="H180" s="1621"/>
      <c r="I180" s="1584"/>
      <c r="J180" s="1622"/>
      <c r="K180" s="1623"/>
      <c r="L180" s="544">
        <v>3</v>
      </c>
      <c r="M180" s="544"/>
      <c r="N180" s="788" t="s">
        <v>117</v>
      </c>
      <c r="O180" s="1517" t="s">
        <v>747</v>
      </c>
      <c r="P180" s="310">
        <f>Test_Bible!P301</f>
        <v>0</v>
      </c>
      <c r="Q180" s="310">
        <f>Test_Bible!Q301</f>
        <v>0</v>
      </c>
      <c r="R180" s="310" t="s">
        <v>1192</v>
      </c>
      <c r="S180" s="315">
        <v>0.5</v>
      </c>
      <c r="T180" s="341">
        <v>0.5</v>
      </c>
      <c r="U180" s="342">
        <v>0</v>
      </c>
      <c r="V180" s="649" t="s">
        <v>233</v>
      </c>
      <c r="W180" s="8"/>
      <c r="X180" s="423"/>
      <c r="Y180" s="420"/>
      <c r="Z180" s="425"/>
      <c r="AB180" s="1041">
        <v>1</v>
      </c>
      <c r="AE180" s="992"/>
      <c r="AF180" s="1001"/>
      <c r="AG180" s="1001"/>
      <c r="AH180" s="992"/>
      <c r="AI180" s="994"/>
      <c r="AJ180" s="995"/>
    </row>
    <row r="181" spans="1:36" ht="66" customHeight="1">
      <c r="D181" s="1262">
        <v>5</v>
      </c>
      <c r="E181" s="166" t="s">
        <v>1193</v>
      </c>
      <c r="F181" s="694" t="s">
        <v>1194</v>
      </c>
      <c r="G181" s="185" t="s">
        <v>1195</v>
      </c>
      <c r="H181" s="247"/>
      <c r="I181" s="923"/>
      <c r="J181" s="125" t="s">
        <v>124</v>
      </c>
      <c r="K181" s="216">
        <v>4</v>
      </c>
      <c r="L181" s="537">
        <v>1</v>
      </c>
      <c r="M181" s="537"/>
      <c r="N181" s="788" t="s">
        <v>84</v>
      </c>
      <c r="O181" s="1517" t="s">
        <v>440</v>
      </c>
      <c r="P181" s="310">
        <f>Test_Bible!P302</f>
        <v>0</v>
      </c>
      <c r="Q181" s="310">
        <f>Test_Bible!Q302</f>
        <v>0</v>
      </c>
      <c r="R181" s="310" t="s">
        <v>1196</v>
      </c>
      <c r="S181" s="335">
        <v>1</v>
      </c>
      <c r="T181" s="341">
        <v>0</v>
      </c>
      <c r="U181" s="342">
        <v>0</v>
      </c>
      <c r="V181" s="649" t="s">
        <v>233</v>
      </c>
      <c r="W181" s="8"/>
      <c r="X181" s="423"/>
      <c r="Y181" s="420"/>
      <c r="Z181" s="425"/>
      <c r="AB181" s="1041">
        <v>1</v>
      </c>
      <c r="AE181" s="992" t="s">
        <v>479</v>
      </c>
      <c r="AF181" s="1001" t="s">
        <v>1197</v>
      </c>
      <c r="AG181" s="1001"/>
      <c r="AH181" s="996" t="s">
        <v>124</v>
      </c>
      <c r="AI181" s="998"/>
      <c r="AJ181" s="999"/>
    </row>
    <row r="182" spans="1:36" ht="66" customHeight="1">
      <c r="B182" s="99" t="s">
        <v>1198</v>
      </c>
      <c r="D182" s="1262">
        <v>6</v>
      </c>
      <c r="E182" s="168" t="s">
        <v>1199</v>
      </c>
      <c r="F182" s="692" t="s">
        <v>1200</v>
      </c>
      <c r="G182" s="691" t="s">
        <v>1201</v>
      </c>
      <c r="H182" s="249"/>
      <c r="I182" s="924"/>
      <c r="J182" s="146" t="s">
        <v>124</v>
      </c>
      <c r="K182" s="171"/>
      <c r="L182" s="545">
        <v>2</v>
      </c>
      <c r="M182" s="545"/>
      <c r="N182" s="788" t="s">
        <v>84</v>
      </c>
      <c r="O182" s="1517" t="s">
        <v>440</v>
      </c>
      <c r="P182" s="310">
        <f>Test_Bible!P303</f>
        <v>0</v>
      </c>
      <c r="Q182" s="310">
        <f>Test_Bible!Q303</f>
        <v>0</v>
      </c>
      <c r="R182" s="310" t="s">
        <v>1202</v>
      </c>
      <c r="S182" s="335">
        <v>0.5</v>
      </c>
      <c r="T182" s="343">
        <v>0.5</v>
      </c>
      <c r="U182" s="342">
        <v>0</v>
      </c>
      <c r="V182" s="649" t="s">
        <v>233</v>
      </c>
      <c r="W182" s="8"/>
      <c r="X182" s="423"/>
      <c r="Y182" s="411"/>
      <c r="Z182" s="424"/>
      <c r="AB182" s="1041">
        <v>1</v>
      </c>
      <c r="AE182" s="996" t="s">
        <v>124</v>
      </c>
      <c r="AF182" s="997"/>
      <c r="AG182" s="997"/>
      <c r="AH182" s="996" t="s">
        <v>124</v>
      </c>
      <c r="AI182" s="998"/>
      <c r="AJ182" s="999"/>
    </row>
    <row r="183" spans="1:36" ht="72" customHeight="1">
      <c r="D183" s="1262">
        <v>42</v>
      </c>
      <c r="E183" s="166" t="s">
        <v>1203</v>
      </c>
      <c r="F183" s="694" t="s">
        <v>1204</v>
      </c>
      <c r="G183" s="185" t="s">
        <v>1205</v>
      </c>
      <c r="H183" s="247"/>
      <c r="I183" s="923"/>
      <c r="J183" s="125" t="s">
        <v>124</v>
      </c>
      <c r="K183" s="216">
        <v>2</v>
      </c>
      <c r="L183" s="545">
        <v>2</v>
      </c>
      <c r="M183" s="545"/>
      <c r="N183" s="788" t="s">
        <v>117</v>
      </c>
      <c r="O183" s="1517" t="s">
        <v>747</v>
      </c>
      <c r="P183" s="310">
        <f>Test_Bible!P304</f>
        <v>0</v>
      </c>
      <c r="Q183" s="310">
        <f>Test_Bible!Q304</f>
        <v>0</v>
      </c>
      <c r="R183" s="310" t="s">
        <v>1206</v>
      </c>
      <c r="S183" s="315">
        <v>0</v>
      </c>
      <c r="T183" s="341">
        <v>0.5</v>
      </c>
      <c r="U183" s="342">
        <v>0.5</v>
      </c>
      <c r="V183" s="649" t="s">
        <v>233</v>
      </c>
      <c r="W183" s="8"/>
      <c r="X183" s="423"/>
      <c r="Y183" s="420"/>
      <c r="Z183" s="425"/>
      <c r="AB183" s="1041">
        <v>1</v>
      </c>
      <c r="AE183" s="996" t="s">
        <v>124</v>
      </c>
      <c r="AF183" s="997"/>
      <c r="AG183" s="997"/>
      <c r="AH183" s="996" t="s">
        <v>124</v>
      </c>
      <c r="AI183" s="998"/>
      <c r="AJ183" s="1003" t="s">
        <v>688</v>
      </c>
    </row>
    <row r="184" spans="1:36" ht="74" customHeight="1">
      <c r="B184" s="99" t="s">
        <v>1207</v>
      </c>
      <c r="D184" s="1262">
        <v>43</v>
      </c>
      <c r="E184" s="167" t="s">
        <v>1208</v>
      </c>
      <c r="F184" s="692" t="s">
        <v>1209</v>
      </c>
      <c r="G184" s="935" t="s">
        <v>1210</v>
      </c>
      <c r="H184" s="241"/>
      <c r="I184" s="920"/>
      <c r="J184" s="127" t="s">
        <v>582</v>
      </c>
      <c r="K184" s="207"/>
      <c r="L184" s="544">
        <v>3</v>
      </c>
      <c r="M184" s="544"/>
      <c r="N184" s="788" t="s">
        <v>117</v>
      </c>
      <c r="O184" s="1517" t="s">
        <v>747</v>
      </c>
      <c r="P184" s="310">
        <f>Test_Bible!P305</f>
        <v>0</v>
      </c>
      <c r="Q184" s="310">
        <f>Test_Bible!Q305</f>
        <v>0</v>
      </c>
      <c r="R184" s="310" t="s">
        <v>1211</v>
      </c>
      <c r="S184" s="315">
        <v>0</v>
      </c>
      <c r="T184" s="341">
        <v>1</v>
      </c>
      <c r="U184" s="342">
        <v>0</v>
      </c>
      <c r="V184" s="649" t="s">
        <v>233</v>
      </c>
      <c r="W184" s="8"/>
      <c r="X184" s="423"/>
      <c r="Y184" s="411"/>
      <c r="Z184" s="424"/>
      <c r="AB184" s="1041">
        <v>1</v>
      </c>
      <c r="AE184" s="996" t="s">
        <v>124</v>
      </c>
      <c r="AF184" s="997"/>
      <c r="AG184" s="997"/>
      <c r="AH184" s="992" t="s">
        <v>5</v>
      </c>
      <c r="AI184" s="1001"/>
      <c r="AJ184" s="1001" t="s">
        <v>1212</v>
      </c>
    </row>
    <row r="185" spans="1:36" ht="100" customHeight="1">
      <c r="C185" s="769" t="s">
        <v>1213</v>
      </c>
      <c r="D185" s="1262">
        <v>8</v>
      </c>
      <c r="E185" s="166" t="s">
        <v>1214</v>
      </c>
      <c r="F185" s="694" t="s">
        <v>1215</v>
      </c>
      <c r="G185" s="185" t="s">
        <v>1216</v>
      </c>
      <c r="H185" s="248"/>
      <c r="I185" s="185"/>
      <c r="J185" s="194" t="s">
        <v>124</v>
      </c>
      <c r="K185" s="217"/>
      <c r="L185" s="537">
        <v>1</v>
      </c>
      <c r="M185" s="545">
        <v>2</v>
      </c>
      <c r="N185" s="788" t="s">
        <v>92</v>
      </c>
      <c r="O185" s="272" t="s">
        <v>423</v>
      </c>
      <c r="P185" s="310">
        <f>Test_Bible!P306</f>
        <v>0</v>
      </c>
      <c r="Q185" s="310">
        <f>Test_Bible!Q306</f>
        <v>0</v>
      </c>
      <c r="R185" s="310" t="s">
        <v>1217</v>
      </c>
      <c r="S185" s="315">
        <v>1</v>
      </c>
      <c r="T185" s="341">
        <v>0</v>
      </c>
      <c r="U185" s="342">
        <v>0</v>
      </c>
      <c r="V185" s="651" t="s">
        <v>43</v>
      </c>
      <c r="W185" s="8"/>
      <c r="X185" s="423"/>
      <c r="Y185" s="420"/>
      <c r="Z185" s="425"/>
      <c r="AC185" s="1041">
        <v>1</v>
      </c>
      <c r="AE185" s="996" t="s">
        <v>124</v>
      </c>
      <c r="AF185" s="997"/>
      <c r="AG185" s="997"/>
      <c r="AH185" s="996" t="s">
        <v>124</v>
      </c>
      <c r="AI185" s="998"/>
      <c r="AJ185" s="999"/>
    </row>
    <row r="186" spans="1:36" ht="72" customHeight="1">
      <c r="D186" s="1262">
        <v>7</v>
      </c>
      <c r="E186" s="166" t="s">
        <v>1218</v>
      </c>
      <c r="F186" s="694" t="s">
        <v>1219</v>
      </c>
      <c r="G186" s="185" t="s">
        <v>1220</v>
      </c>
      <c r="H186" s="247"/>
      <c r="I186" s="923"/>
      <c r="J186" s="125" t="s">
        <v>124</v>
      </c>
      <c r="K186" s="216"/>
      <c r="L186" s="537">
        <v>1</v>
      </c>
      <c r="M186" s="537"/>
      <c r="N186" s="788" t="s">
        <v>117</v>
      </c>
      <c r="O186" s="1517" t="s">
        <v>747</v>
      </c>
      <c r="P186" s="310">
        <f>Test_Bible!P307</f>
        <v>0</v>
      </c>
      <c r="Q186" s="310">
        <f>Test_Bible!Q307</f>
        <v>0</v>
      </c>
      <c r="R186" s="310" t="s">
        <v>1221</v>
      </c>
      <c r="S186" s="315">
        <v>0</v>
      </c>
      <c r="T186" s="341">
        <v>1</v>
      </c>
      <c r="U186" s="342">
        <v>0</v>
      </c>
      <c r="V186" s="651" t="s">
        <v>43</v>
      </c>
      <c r="W186" s="8"/>
      <c r="X186" s="423"/>
      <c r="Y186" s="420"/>
      <c r="Z186" s="425"/>
      <c r="AC186" s="1041">
        <v>1</v>
      </c>
      <c r="AE186" s="992" t="s">
        <v>479</v>
      </c>
      <c r="AF186" s="993" t="s">
        <v>1222</v>
      </c>
      <c r="AG186" s="993"/>
      <c r="AH186" s="996" t="s">
        <v>124</v>
      </c>
      <c r="AI186" s="998"/>
      <c r="AJ186" s="1003" t="s">
        <v>688</v>
      </c>
    </row>
    <row r="187" spans="1:36" ht="68" customHeight="1">
      <c r="A187" s="694" t="s">
        <v>1223</v>
      </c>
      <c r="D187" s="1262">
        <v>38</v>
      </c>
      <c r="E187" s="166" t="s">
        <v>1224</v>
      </c>
      <c r="F187" s="694" t="s">
        <v>1225</v>
      </c>
      <c r="G187" s="185" t="s">
        <v>1226</v>
      </c>
      <c r="H187" s="247"/>
      <c r="I187" s="923"/>
      <c r="J187" s="125" t="s">
        <v>124</v>
      </c>
      <c r="K187" s="216"/>
      <c r="L187" s="545">
        <v>2</v>
      </c>
      <c r="M187" s="545"/>
      <c r="N187" s="788" t="s">
        <v>117</v>
      </c>
      <c r="O187" s="1517" t="s">
        <v>747</v>
      </c>
      <c r="P187" s="310">
        <f>Test_Bible!P308</f>
        <v>0</v>
      </c>
      <c r="Q187" s="310">
        <f>Test_Bible!Q308</f>
        <v>0</v>
      </c>
      <c r="R187" s="310" t="s">
        <v>1227</v>
      </c>
      <c r="S187" s="315">
        <v>1</v>
      </c>
      <c r="T187" s="341">
        <v>0</v>
      </c>
      <c r="U187" s="342">
        <v>0</v>
      </c>
      <c r="V187" s="651" t="s">
        <v>43</v>
      </c>
      <c r="W187" s="8"/>
      <c r="X187" s="423"/>
      <c r="Y187" s="420"/>
      <c r="Z187" s="425"/>
      <c r="AC187" s="1041">
        <v>1</v>
      </c>
      <c r="AE187" s="996" t="s">
        <v>124</v>
      </c>
      <c r="AF187" s="997"/>
      <c r="AG187" s="997"/>
      <c r="AH187" s="996" t="s">
        <v>124</v>
      </c>
      <c r="AI187" s="998"/>
      <c r="AJ187" s="1003" t="s">
        <v>688</v>
      </c>
    </row>
    <row r="188" spans="1:36" ht="54" customHeight="1">
      <c r="D188" s="1262">
        <v>15</v>
      </c>
      <c r="E188" s="172" t="s">
        <v>1228</v>
      </c>
      <c r="F188" s="694" t="s">
        <v>1229</v>
      </c>
      <c r="G188" s="693" t="s">
        <v>1230</v>
      </c>
      <c r="H188" s="244"/>
      <c r="I188" s="919"/>
      <c r="J188" s="174"/>
      <c r="K188" s="218"/>
      <c r="L188" s="545">
        <v>2</v>
      </c>
      <c r="M188" s="545"/>
      <c r="N188" s="788" t="s">
        <v>117</v>
      </c>
      <c r="O188" s="1517" t="s">
        <v>747</v>
      </c>
      <c r="P188" s="310">
        <f>Test_Bible!P309</f>
        <v>0</v>
      </c>
      <c r="Q188" s="310">
        <f>Test_Bible!Q309</f>
        <v>0</v>
      </c>
      <c r="R188" s="310" t="s">
        <v>1231</v>
      </c>
      <c r="S188" s="316">
        <v>0.5</v>
      </c>
      <c r="T188" s="317">
        <v>0.5</v>
      </c>
      <c r="U188" s="342">
        <v>0</v>
      </c>
      <c r="V188" s="658" t="s">
        <v>43</v>
      </c>
      <c r="W188" s="8"/>
      <c r="X188" s="423"/>
      <c r="Y188" s="411"/>
      <c r="Z188" s="424"/>
      <c r="AC188" s="1041">
        <v>1</v>
      </c>
      <c r="AE188" s="992" t="s">
        <v>479</v>
      </c>
      <c r="AF188" s="986" t="s">
        <v>1232</v>
      </c>
      <c r="AG188" s="986"/>
      <c r="AH188" s="983"/>
      <c r="AI188" s="834"/>
      <c r="AJ188" s="1003" t="s">
        <v>688</v>
      </c>
    </row>
    <row r="189" spans="1:36" ht="52" customHeight="1">
      <c r="D189" s="1262">
        <v>12</v>
      </c>
      <c r="E189" s="166" t="s">
        <v>1233</v>
      </c>
      <c r="F189" s="694" t="s">
        <v>1234</v>
      </c>
      <c r="G189" s="185" t="s">
        <v>1235</v>
      </c>
      <c r="H189" s="247"/>
      <c r="I189" s="923"/>
      <c r="J189" s="125" t="s">
        <v>124</v>
      </c>
      <c r="K189" s="216">
        <v>2</v>
      </c>
      <c r="L189" s="545">
        <v>2</v>
      </c>
      <c r="M189" s="545"/>
      <c r="N189" s="788" t="s">
        <v>92</v>
      </c>
      <c r="O189" s="272" t="s">
        <v>423</v>
      </c>
      <c r="P189" s="310">
        <f>Test_Bible!P310</f>
        <v>0</v>
      </c>
      <c r="Q189" s="310">
        <f>Test_Bible!Q310</f>
        <v>0</v>
      </c>
      <c r="R189" s="310" t="s">
        <v>1236</v>
      </c>
      <c r="S189" s="315">
        <v>0.5</v>
      </c>
      <c r="T189" s="341">
        <v>0.5</v>
      </c>
      <c r="U189" s="342">
        <v>0</v>
      </c>
      <c r="V189" s="659" t="s">
        <v>234</v>
      </c>
      <c r="W189" s="8"/>
      <c r="X189" s="423"/>
      <c r="Y189" s="420"/>
      <c r="Z189" s="425"/>
      <c r="AD189" s="1041">
        <v>1</v>
      </c>
      <c r="AE189" s="996" t="s">
        <v>124</v>
      </c>
      <c r="AF189" s="997"/>
      <c r="AG189" s="997"/>
      <c r="AH189" s="996" t="s">
        <v>124</v>
      </c>
      <c r="AI189" s="998"/>
      <c r="AJ189" s="999"/>
    </row>
    <row r="190" spans="1:36" ht="64" customHeight="1">
      <c r="A190" s="174" t="s">
        <v>1237</v>
      </c>
      <c r="C190" s="769" t="s">
        <v>1238</v>
      </c>
      <c r="D190" s="1262">
        <v>13</v>
      </c>
      <c r="E190" s="172" t="s">
        <v>1239</v>
      </c>
      <c r="F190" s="694" t="s">
        <v>1240</v>
      </c>
      <c r="G190" s="185" t="s">
        <v>1241</v>
      </c>
      <c r="H190" s="247"/>
      <c r="I190" s="923"/>
      <c r="J190" s="125" t="s">
        <v>124</v>
      </c>
      <c r="K190" s="216"/>
      <c r="L190" s="545">
        <v>2</v>
      </c>
      <c r="M190" s="544">
        <v>3</v>
      </c>
      <c r="N190" s="788" t="s">
        <v>92</v>
      </c>
      <c r="O190" s="272" t="s">
        <v>423</v>
      </c>
      <c r="P190" s="310">
        <f>Test_Bible!P311</f>
        <v>0</v>
      </c>
      <c r="Q190" s="310">
        <f>Test_Bible!Q311</f>
        <v>0</v>
      </c>
      <c r="R190" s="310" t="s">
        <v>1242</v>
      </c>
      <c r="S190" s="315">
        <v>0</v>
      </c>
      <c r="T190" s="341">
        <v>0</v>
      </c>
      <c r="U190" s="340">
        <v>1</v>
      </c>
      <c r="V190" s="647" t="s">
        <v>47</v>
      </c>
      <c r="W190" s="8"/>
      <c r="X190" s="423"/>
      <c r="Y190" s="420"/>
      <c r="Z190" s="425">
        <v>1</v>
      </c>
      <c r="AE190" s="996" t="s">
        <v>124</v>
      </c>
      <c r="AF190" s="997"/>
      <c r="AG190" s="997"/>
      <c r="AH190" s="996" t="s">
        <v>124</v>
      </c>
      <c r="AI190" s="998"/>
      <c r="AJ190" s="999"/>
    </row>
    <row r="191" spans="1:36" ht="54" customHeight="1">
      <c r="D191" s="1262">
        <v>9</v>
      </c>
      <c r="E191" s="166" t="s">
        <v>1243</v>
      </c>
      <c r="F191" s="694" t="s">
        <v>1244</v>
      </c>
      <c r="G191" s="185" t="s">
        <v>1245</v>
      </c>
      <c r="H191" s="247"/>
      <c r="I191" s="923"/>
      <c r="J191" s="125"/>
      <c r="K191" s="216">
        <v>4</v>
      </c>
      <c r="L191" s="545">
        <v>2</v>
      </c>
      <c r="M191" s="545"/>
      <c r="N191" s="788" t="s">
        <v>92</v>
      </c>
      <c r="O191" s="272" t="s">
        <v>423</v>
      </c>
      <c r="P191" s="310">
        <f>Test_Bible!P312</f>
        <v>0</v>
      </c>
      <c r="Q191" s="310">
        <f>Test_Bible!Q312</f>
        <v>0</v>
      </c>
      <c r="R191" s="310" t="s">
        <v>1246</v>
      </c>
      <c r="S191" s="315">
        <v>1</v>
      </c>
      <c r="T191" s="341">
        <v>0</v>
      </c>
      <c r="U191" s="342">
        <v>0</v>
      </c>
      <c r="V191" s="659" t="s">
        <v>234</v>
      </c>
      <c r="W191" s="8"/>
      <c r="X191" s="423"/>
      <c r="Y191" s="420"/>
      <c r="Z191" s="425"/>
      <c r="AD191" s="1041">
        <v>1</v>
      </c>
      <c r="AE191" s="992" t="s">
        <v>479</v>
      </c>
      <c r="AF191" s="1001" t="s">
        <v>1247</v>
      </c>
      <c r="AG191" s="1001"/>
      <c r="AH191" s="996" t="s">
        <v>124</v>
      </c>
      <c r="AI191" s="998"/>
      <c r="AJ191" s="999"/>
    </row>
    <row r="192" spans="1:36" ht="57" customHeight="1">
      <c r="B192" s="99" t="s">
        <v>1248</v>
      </c>
      <c r="D192" s="1262">
        <v>10</v>
      </c>
      <c r="E192" s="167" t="s">
        <v>1249</v>
      </c>
      <c r="F192" s="692" t="s">
        <v>1250</v>
      </c>
      <c r="G192" s="935" t="s">
        <v>1251</v>
      </c>
      <c r="H192" s="233" t="s">
        <v>128</v>
      </c>
      <c r="I192" s="920"/>
      <c r="J192" s="127" t="s">
        <v>582</v>
      </c>
      <c r="K192" s="207"/>
      <c r="L192" s="1559"/>
      <c r="M192" s="1560"/>
      <c r="N192" s="788" t="s">
        <v>129</v>
      </c>
      <c r="O192" s="272"/>
      <c r="P192" s="304"/>
      <c r="Q192" s="304"/>
      <c r="R192" s="304"/>
      <c r="S192" s="315" t="s">
        <v>477</v>
      </c>
      <c r="T192" s="339" t="s">
        <v>477</v>
      </c>
      <c r="U192" s="342" t="s">
        <v>477</v>
      </c>
      <c r="V192" s="659" t="s">
        <v>234</v>
      </c>
      <c r="W192" s="8"/>
      <c r="X192" s="423"/>
      <c r="Y192" s="420"/>
      <c r="Z192" s="425"/>
      <c r="AD192" s="1041">
        <v>1</v>
      </c>
      <c r="AE192" s="992"/>
      <c r="AF192" s="997"/>
      <c r="AG192" s="997"/>
      <c r="AH192" s="992"/>
      <c r="AI192" s="998"/>
      <c r="AJ192" s="999"/>
    </row>
    <row r="193" spans="1:36" ht="68" customHeight="1">
      <c r="B193" s="99" t="s">
        <v>1252</v>
      </c>
      <c r="D193" s="1262">
        <v>11</v>
      </c>
      <c r="E193" s="167" t="s">
        <v>1253</v>
      </c>
      <c r="F193" s="692" t="s">
        <v>1254</v>
      </c>
      <c r="G193" s="935" t="s">
        <v>1255</v>
      </c>
      <c r="H193" s="241"/>
      <c r="I193" s="920"/>
      <c r="J193" s="127" t="s">
        <v>582</v>
      </c>
      <c r="K193" s="207"/>
      <c r="L193" s="545">
        <v>3</v>
      </c>
      <c r="M193" s="545"/>
      <c r="N193" s="788"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41">
        <v>1</v>
      </c>
      <c r="AE193" s="1026" t="s">
        <v>124</v>
      </c>
      <c r="AF193" s="993"/>
      <c r="AG193" s="993"/>
      <c r="AH193" s="992" t="s">
        <v>5</v>
      </c>
      <c r="AI193" s="998"/>
      <c r="AJ193" s="1027"/>
    </row>
    <row r="194" spans="1:36" ht="63" customHeight="1">
      <c r="D194" s="1262">
        <v>39</v>
      </c>
      <c r="E194" s="166" t="s">
        <v>1257</v>
      </c>
      <c r="F194" s="694" t="s">
        <v>1258</v>
      </c>
      <c r="G194" s="185" t="s">
        <v>1259</v>
      </c>
      <c r="H194" s="247"/>
      <c r="I194" s="923"/>
      <c r="J194" s="125" t="s">
        <v>124</v>
      </c>
      <c r="K194" s="216"/>
      <c r="L194" s="545">
        <v>2</v>
      </c>
      <c r="M194" s="545"/>
      <c r="N194" s="788" t="s">
        <v>92</v>
      </c>
      <c r="O194" s="272" t="s">
        <v>423</v>
      </c>
      <c r="P194" s="310">
        <f>Test_Bible!P321</f>
        <v>0</v>
      </c>
      <c r="Q194" s="310">
        <f>Test_Bible!Q321</f>
        <v>0</v>
      </c>
      <c r="R194" s="310" t="s">
        <v>1260</v>
      </c>
      <c r="S194" s="335">
        <v>1</v>
      </c>
      <c r="T194" s="341">
        <v>0</v>
      </c>
      <c r="U194" s="342">
        <v>0</v>
      </c>
      <c r="V194" s="659" t="s">
        <v>234</v>
      </c>
      <c r="W194" s="8"/>
      <c r="X194" s="423"/>
      <c r="Y194" s="420"/>
      <c r="Z194" s="425"/>
      <c r="AD194" s="1041">
        <v>1</v>
      </c>
      <c r="AE194" s="996" t="s">
        <v>124</v>
      </c>
      <c r="AF194" s="997"/>
      <c r="AG194" s="997"/>
      <c r="AH194" s="996" t="s">
        <v>124</v>
      </c>
      <c r="AI194" s="998"/>
      <c r="AJ194" s="999"/>
    </row>
    <row r="195" spans="1:36" ht="82" customHeight="1">
      <c r="A195" s="16"/>
      <c r="D195" s="1262">
        <v>40</v>
      </c>
      <c r="E195" s="166" t="s">
        <v>1261</v>
      </c>
      <c r="F195" s="694" t="s">
        <v>1262</v>
      </c>
      <c r="G195" s="185" t="s">
        <v>1263</v>
      </c>
      <c r="H195" s="247"/>
      <c r="I195" s="923"/>
      <c r="J195" s="125"/>
      <c r="K195" s="216">
        <v>4</v>
      </c>
      <c r="L195" s="545">
        <v>2</v>
      </c>
      <c r="M195" s="545"/>
      <c r="N195" s="788" t="s">
        <v>431</v>
      </c>
      <c r="O195" s="1517" t="s">
        <v>432</v>
      </c>
      <c r="P195" s="310">
        <f>Test_Bible!P322</f>
        <v>0</v>
      </c>
      <c r="Q195" s="310">
        <f>Test_Bible!Q322</f>
        <v>0</v>
      </c>
      <c r="R195" s="310" t="s">
        <v>1264</v>
      </c>
      <c r="S195" s="335">
        <v>1</v>
      </c>
      <c r="T195" s="341">
        <v>0</v>
      </c>
      <c r="U195" s="342">
        <v>0</v>
      </c>
      <c r="V195" s="659" t="s">
        <v>234</v>
      </c>
      <c r="W195" s="8"/>
      <c r="X195" s="423"/>
      <c r="Y195" s="420"/>
      <c r="Z195" s="425"/>
      <c r="AD195" s="1041">
        <v>1</v>
      </c>
      <c r="AE195" s="996" t="s">
        <v>124</v>
      </c>
      <c r="AF195" s="997"/>
      <c r="AG195" s="997"/>
      <c r="AH195" s="996" t="s">
        <v>124</v>
      </c>
      <c r="AI195" s="998"/>
      <c r="AJ195" s="999"/>
    </row>
    <row r="196" spans="1:36" ht="71" customHeight="1">
      <c r="B196" s="99" t="s">
        <v>1265</v>
      </c>
      <c r="D196" s="1262">
        <v>41</v>
      </c>
      <c r="E196" s="552" t="s">
        <v>1266</v>
      </c>
      <c r="F196" s="692" t="s">
        <v>1267</v>
      </c>
      <c r="G196" s="691" t="s">
        <v>1268</v>
      </c>
      <c r="H196" s="249"/>
      <c r="I196" s="924"/>
      <c r="J196" s="127" t="s">
        <v>582</v>
      </c>
      <c r="K196" s="216"/>
      <c r="L196" s="544">
        <v>3</v>
      </c>
      <c r="M196" s="544"/>
      <c r="N196" s="788" t="s">
        <v>431</v>
      </c>
      <c r="O196" s="1517" t="s">
        <v>432</v>
      </c>
      <c r="P196" s="310">
        <f>Test_Bible!P323</f>
        <v>0</v>
      </c>
      <c r="Q196" s="310">
        <f>Test_Bible!Q323</f>
        <v>0</v>
      </c>
      <c r="R196" s="310" t="s">
        <v>1269</v>
      </c>
      <c r="S196" s="315">
        <v>1</v>
      </c>
      <c r="T196" s="341">
        <v>0</v>
      </c>
      <c r="U196" s="342">
        <v>0</v>
      </c>
      <c r="V196" s="659" t="s">
        <v>234</v>
      </c>
      <c r="W196" s="8"/>
      <c r="X196" s="423"/>
      <c r="Y196" s="420"/>
      <c r="Z196" s="426"/>
      <c r="AA196" s="140"/>
      <c r="AD196" s="1041">
        <v>1</v>
      </c>
      <c r="AE196" s="1026" t="s">
        <v>124</v>
      </c>
      <c r="AF196" s="993"/>
      <c r="AG196" s="993"/>
      <c r="AH196" s="1028" t="s">
        <v>124</v>
      </c>
      <c r="AI196" s="998"/>
      <c r="AJ196" s="1027"/>
    </row>
    <row r="197" spans="1:36" ht="73" customHeight="1">
      <c r="A197" s="174" t="s">
        <v>1270</v>
      </c>
      <c r="C197" s="769" t="s">
        <v>1271</v>
      </c>
      <c r="D197" s="1262">
        <v>34</v>
      </c>
      <c r="E197" s="166" t="s">
        <v>1272</v>
      </c>
      <c r="F197" s="694" t="s">
        <v>1273</v>
      </c>
      <c r="G197" s="185" t="s">
        <v>1274</v>
      </c>
      <c r="H197" s="247"/>
      <c r="I197" s="923"/>
      <c r="J197" s="125" t="s">
        <v>124</v>
      </c>
      <c r="K197" s="216"/>
      <c r="L197" s="545">
        <v>2</v>
      </c>
      <c r="M197" s="544">
        <v>3</v>
      </c>
      <c r="N197" s="788" t="s">
        <v>92</v>
      </c>
      <c r="O197" s="272" t="s">
        <v>423</v>
      </c>
      <c r="P197" s="310">
        <f>Test_Bible!P324</f>
        <v>0</v>
      </c>
      <c r="Q197" s="310">
        <f>Test_Bible!Q324</f>
        <v>0</v>
      </c>
      <c r="R197" s="310" t="s">
        <v>1275</v>
      </c>
      <c r="S197" s="315">
        <v>0.5</v>
      </c>
      <c r="T197" s="341">
        <v>0</v>
      </c>
      <c r="U197" s="342">
        <v>0.5</v>
      </c>
      <c r="V197" s="659" t="s">
        <v>234</v>
      </c>
      <c r="W197" s="8"/>
      <c r="X197" s="423"/>
      <c r="Y197" s="420"/>
      <c r="Z197" s="425"/>
      <c r="AD197" s="1041">
        <v>1</v>
      </c>
      <c r="AE197" s="996" t="s">
        <v>124</v>
      </c>
      <c r="AF197" s="997"/>
      <c r="AG197" s="997"/>
      <c r="AH197" s="996" t="s">
        <v>124</v>
      </c>
      <c r="AI197" s="998"/>
      <c r="AJ197" s="999"/>
    </row>
    <row r="198" spans="1:36" ht="72" customHeight="1">
      <c r="A198" s="1919" t="s">
        <v>1276</v>
      </c>
      <c r="D198" s="1262">
        <v>55</v>
      </c>
      <c r="E198" s="166" t="s">
        <v>1277</v>
      </c>
      <c r="F198" s="694" t="s">
        <v>1278</v>
      </c>
      <c r="G198" s="185" t="s">
        <v>1279</v>
      </c>
      <c r="H198" s="247"/>
      <c r="I198" s="923"/>
      <c r="J198" s="125" t="s">
        <v>124</v>
      </c>
      <c r="K198" s="216"/>
      <c r="L198" s="545">
        <v>2</v>
      </c>
      <c r="M198" s="545"/>
      <c r="N198" s="788" t="s">
        <v>92</v>
      </c>
      <c r="O198" s="272" t="s">
        <v>423</v>
      </c>
      <c r="P198" s="310">
        <f>Test_Bible!P325</f>
        <v>0</v>
      </c>
      <c r="Q198" s="310">
        <f>Test_Bible!Q325</f>
        <v>0</v>
      </c>
      <c r="R198" s="310" t="s">
        <v>1280</v>
      </c>
      <c r="S198" s="315">
        <v>0</v>
      </c>
      <c r="T198" s="341">
        <v>0.5</v>
      </c>
      <c r="U198" s="342">
        <v>0.5</v>
      </c>
      <c r="V198" s="659" t="s">
        <v>234</v>
      </c>
      <c r="W198" s="8"/>
      <c r="X198" s="423"/>
      <c r="Y198" s="420"/>
      <c r="Z198" s="425"/>
      <c r="AD198" s="1041">
        <v>1</v>
      </c>
      <c r="AE198" s="996" t="s">
        <v>124</v>
      </c>
      <c r="AF198" s="997"/>
      <c r="AG198" s="997"/>
      <c r="AH198" s="996" t="s">
        <v>124</v>
      </c>
      <c r="AI198" s="998"/>
      <c r="AJ198" s="999"/>
    </row>
    <row r="199" spans="1:36" ht="78" customHeight="1">
      <c r="A199" s="174" t="s">
        <v>1270</v>
      </c>
      <c r="D199" s="1262">
        <v>35</v>
      </c>
      <c r="E199" s="166" t="s">
        <v>1281</v>
      </c>
      <c r="F199" s="694" t="s">
        <v>1282</v>
      </c>
      <c r="G199" s="185" t="s">
        <v>1283</v>
      </c>
      <c r="H199" s="247"/>
      <c r="I199" s="923"/>
      <c r="J199" s="125"/>
      <c r="K199" s="216">
        <v>4</v>
      </c>
      <c r="L199" s="544">
        <v>3</v>
      </c>
      <c r="M199" s="544"/>
      <c r="N199" s="788" t="s">
        <v>92</v>
      </c>
      <c r="O199" s="272" t="s">
        <v>423</v>
      </c>
      <c r="P199" s="310">
        <f>Test_Bible!P326</f>
        <v>0</v>
      </c>
      <c r="Q199" s="310">
        <f>Test_Bible!Q326</f>
        <v>0</v>
      </c>
      <c r="R199" s="310" t="s">
        <v>1284</v>
      </c>
      <c r="S199" s="315">
        <v>0</v>
      </c>
      <c r="T199" s="341">
        <v>0</v>
      </c>
      <c r="U199" s="342">
        <v>1</v>
      </c>
      <c r="V199" s="659" t="s">
        <v>234</v>
      </c>
      <c r="W199" s="8"/>
      <c r="X199" s="423"/>
      <c r="Y199" s="420"/>
      <c r="Z199" s="425"/>
      <c r="AD199" s="1041">
        <v>1</v>
      </c>
      <c r="AE199" s="996" t="s">
        <v>124</v>
      </c>
      <c r="AF199" s="997"/>
      <c r="AG199" s="997"/>
      <c r="AH199" s="996" t="s">
        <v>124</v>
      </c>
      <c r="AI199" s="998"/>
      <c r="AJ199" s="999"/>
    </row>
    <row r="200" spans="1:36" ht="75" customHeight="1">
      <c r="B200" s="99" t="s">
        <v>1285</v>
      </c>
      <c r="D200" s="1262">
        <v>36</v>
      </c>
      <c r="E200" s="167" t="s">
        <v>1286</v>
      </c>
      <c r="F200" s="692" t="s">
        <v>1287</v>
      </c>
      <c r="G200" s="935" t="s">
        <v>1288</v>
      </c>
      <c r="H200" s="241"/>
      <c r="I200" s="920"/>
      <c r="J200" s="127" t="s">
        <v>582</v>
      </c>
      <c r="K200" s="207"/>
      <c r="L200" s="545">
        <v>2</v>
      </c>
      <c r="M200" s="545"/>
      <c r="N200" s="788" t="s">
        <v>92</v>
      </c>
      <c r="O200" s="272" t="s">
        <v>423</v>
      </c>
      <c r="P200" s="310">
        <f>Test_Bible!P327</f>
        <v>0</v>
      </c>
      <c r="Q200" s="310">
        <f>Test_Bible!Q327</f>
        <v>0</v>
      </c>
      <c r="R200" s="310" t="s">
        <v>1289</v>
      </c>
      <c r="S200" s="315">
        <v>1</v>
      </c>
      <c r="T200" s="341">
        <v>0</v>
      </c>
      <c r="U200" s="342">
        <v>0</v>
      </c>
      <c r="V200" s="659" t="s">
        <v>234</v>
      </c>
      <c r="W200" s="8"/>
      <c r="X200" s="423"/>
      <c r="Y200" s="420"/>
      <c r="Z200" s="425"/>
      <c r="AD200" s="1041">
        <v>1</v>
      </c>
      <c r="AE200" s="996" t="s">
        <v>124</v>
      </c>
      <c r="AF200" s="997"/>
      <c r="AG200" s="997"/>
      <c r="AH200" s="996" t="s">
        <v>124</v>
      </c>
      <c r="AI200" s="998"/>
      <c r="AJ200" s="999"/>
    </row>
    <row r="201" spans="1:36" ht="75" customHeight="1">
      <c r="B201" s="99" t="s">
        <v>1285</v>
      </c>
      <c r="D201" s="1262">
        <v>37</v>
      </c>
      <c r="E201" s="167" t="s">
        <v>1290</v>
      </c>
      <c r="F201" s="692" t="s">
        <v>1291</v>
      </c>
      <c r="G201" s="935" t="s">
        <v>1292</v>
      </c>
      <c r="H201" s="241"/>
      <c r="I201" s="920"/>
      <c r="J201" s="127" t="s">
        <v>582</v>
      </c>
      <c r="K201" s="207"/>
      <c r="L201" s="544">
        <v>3</v>
      </c>
      <c r="M201" s="544"/>
      <c r="N201" s="788"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41">
        <v>1</v>
      </c>
      <c r="AE201" s="1026" t="s">
        <v>124</v>
      </c>
      <c r="AF201" s="993"/>
      <c r="AG201" s="993"/>
      <c r="AH201" s="1028" t="s">
        <v>124</v>
      </c>
      <c r="AI201" s="998"/>
      <c r="AJ201" s="1027"/>
    </row>
    <row r="202" spans="1:36" ht="72" customHeight="1">
      <c r="A202" s="174" t="s">
        <v>1294</v>
      </c>
      <c r="C202" s="769" t="s">
        <v>694</v>
      </c>
      <c r="D202" s="1262">
        <v>56</v>
      </c>
      <c r="E202" s="169" t="s">
        <v>1295</v>
      </c>
      <c r="F202" s="694" t="s">
        <v>1296</v>
      </c>
      <c r="G202" s="185" t="s">
        <v>1297</v>
      </c>
      <c r="H202" s="247"/>
      <c r="I202" s="923"/>
      <c r="J202" s="125" t="s">
        <v>124</v>
      </c>
      <c r="K202" s="216"/>
      <c r="L202" s="545">
        <v>2</v>
      </c>
      <c r="M202" s="544">
        <v>3</v>
      </c>
      <c r="N202" s="788" t="s">
        <v>92</v>
      </c>
      <c r="O202" s="272" t="s">
        <v>423</v>
      </c>
      <c r="P202" s="310">
        <f>Test_Bible!P329</f>
        <v>0</v>
      </c>
      <c r="Q202" s="310">
        <f>Test_Bible!Q329</f>
        <v>0</v>
      </c>
      <c r="R202" s="310" t="s">
        <v>1298</v>
      </c>
      <c r="S202" s="315">
        <v>1</v>
      </c>
      <c r="T202" s="341">
        <v>0</v>
      </c>
      <c r="U202" s="342">
        <v>0</v>
      </c>
      <c r="V202" s="659" t="s">
        <v>234</v>
      </c>
      <c r="W202" s="8"/>
      <c r="X202" s="423"/>
      <c r="Y202" s="420"/>
      <c r="Z202" s="426"/>
      <c r="AA202" s="140"/>
      <c r="AD202" s="1041">
        <v>1</v>
      </c>
      <c r="AE202" s="992" t="s">
        <v>479</v>
      </c>
      <c r="AF202" s="1023" t="s">
        <v>1299</v>
      </c>
      <c r="AG202" s="993"/>
      <c r="AH202" s="992" t="s">
        <v>5</v>
      </c>
      <c r="AI202" s="994" t="s">
        <v>1300</v>
      </c>
      <c r="AJ202" s="1023" t="s">
        <v>1299</v>
      </c>
    </row>
    <row r="203" spans="1:36" ht="93" customHeight="1">
      <c r="A203" s="174" t="s">
        <v>1294</v>
      </c>
      <c r="D203" s="1262">
        <v>44</v>
      </c>
      <c r="E203" s="170" t="s">
        <v>1301</v>
      </c>
      <c r="F203" s="694" t="s">
        <v>1302</v>
      </c>
      <c r="G203" s="693" t="s">
        <v>1303</v>
      </c>
      <c r="H203" s="250"/>
      <c r="I203" s="925"/>
      <c r="J203" s="126" t="s">
        <v>1304</v>
      </c>
      <c r="K203" s="170"/>
      <c r="L203" s="551"/>
      <c r="M203" s="551"/>
      <c r="N203" s="788" t="s">
        <v>76</v>
      </c>
      <c r="O203" s="579" t="s">
        <v>1305</v>
      </c>
      <c r="P203" s="310"/>
      <c r="Q203" s="310"/>
      <c r="R203" s="310"/>
      <c r="S203" s="315"/>
      <c r="T203" s="341"/>
      <c r="U203" s="342"/>
      <c r="V203" s="659"/>
      <c r="W203" s="8"/>
      <c r="X203" s="423"/>
      <c r="Y203" s="420"/>
      <c r="Z203" s="426"/>
      <c r="AA203" s="140"/>
      <c r="AD203" s="1041"/>
      <c r="AE203" s="1026"/>
      <c r="AF203" s="993"/>
      <c r="AG203" s="993"/>
      <c r="AH203" s="1028" t="s">
        <v>124</v>
      </c>
      <c r="AI203" s="998"/>
      <c r="AJ203" s="1027"/>
    </row>
    <row r="204" spans="1:36" ht="85" customHeight="1">
      <c r="A204" s="16"/>
      <c r="B204" s="99" t="s">
        <v>1306</v>
      </c>
      <c r="D204" s="1262">
        <v>45</v>
      </c>
      <c r="E204" s="171" t="s">
        <v>1307</v>
      </c>
      <c r="F204" s="692" t="s">
        <v>1308</v>
      </c>
      <c r="G204" s="691"/>
      <c r="H204" s="251"/>
      <c r="I204" s="691"/>
      <c r="J204" s="505"/>
      <c r="K204" s="171"/>
      <c r="L204" s="551">
        <v>1</v>
      </c>
      <c r="M204" s="551"/>
      <c r="N204" s="788"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41">
        <v>1</v>
      </c>
      <c r="AE204" s="1026"/>
      <c r="AF204" s="993"/>
      <c r="AG204" s="993"/>
      <c r="AH204" s="1028"/>
      <c r="AI204" s="998"/>
      <c r="AJ204" s="1027"/>
    </row>
    <row r="205" spans="1:36" ht="82" customHeight="1">
      <c r="B205" s="99" t="s">
        <v>1306</v>
      </c>
      <c r="D205" s="1262">
        <v>46</v>
      </c>
      <c r="E205" s="171" t="s">
        <v>1310</v>
      </c>
      <c r="F205" s="692" t="s">
        <v>1311</v>
      </c>
      <c r="G205" s="691" t="s">
        <v>1312</v>
      </c>
      <c r="H205" s="251"/>
      <c r="I205" s="691"/>
      <c r="J205" s="126" t="s">
        <v>1304</v>
      </c>
      <c r="K205" s="171"/>
      <c r="L205" s="551">
        <v>1</v>
      </c>
      <c r="M205" s="551"/>
      <c r="N205" s="788"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41">
        <v>1</v>
      </c>
      <c r="AE205" s="1026"/>
      <c r="AF205" s="993"/>
      <c r="AG205" s="993"/>
      <c r="AH205" s="837" t="s">
        <v>513</v>
      </c>
      <c r="AI205" s="998"/>
      <c r="AJ205" s="1027"/>
    </row>
    <row r="206" spans="1:36" ht="49" customHeight="1">
      <c r="D206" s="1262">
        <v>57</v>
      </c>
      <c r="E206" s="172" t="s">
        <v>1313</v>
      </c>
      <c r="F206" s="694" t="s">
        <v>1314</v>
      </c>
      <c r="G206" s="693" t="s">
        <v>1315</v>
      </c>
      <c r="H206" s="252"/>
      <c r="I206" s="926"/>
      <c r="J206" s="143" t="s">
        <v>1316</v>
      </c>
      <c r="K206" s="170"/>
      <c r="L206" s="551">
        <v>0</v>
      </c>
      <c r="M206" s="551"/>
      <c r="N206" s="788" t="s">
        <v>87</v>
      </c>
      <c r="O206" s="272"/>
      <c r="P206" s="304"/>
      <c r="Q206" s="304"/>
      <c r="R206" s="304"/>
      <c r="S206" s="315" t="s">
        <v>477</v>
      </c>
      <c r="T206" s="339" t="s">
        <v>477</v>
      </c>
      <c r="U206" s="342" t="s">
        <v>477</v>
      </c>
      <c r="V206" s="659" t="s">
        <v>234</v>
      </c>
      <c r="W206" s="8"/>
      <c r="X206" s="423"/>
      <c r="Y206" s="420"/>
      <c r="Z206" s="426"/>
      <c r="AA206" s="140"/>
      <c r="AD206" s="1041">
        <v>1</v>
      </c>
      <c r="AE206" s="1026"/>
      <c r="AF206" s="993"/>
      <c r="AG206" s="993"/>
      <c r="AH206" s="1028"/>
      <c r="AI206" s="998"/>
      <c r="AJ206" s="1027"/>
    </row>
    <row r="207" spans="1:36" ht="233" customHeight="1">
      <c r="B207" s="99" t="s">
        <v>1317</v>
      </c>
      <c r="D207" s="1262"/>
      <c r="E207" s="168" t="s">
        <v>1318</v>
      </c>
      <c r="F207" s="692" t="s">
        <v>1319</v>
      </c>
      <c r="G207" s="691" t="s">
        <v>1320</v>
      </c>
      <c r="H207" s="512" t="s">
        <v>130</v>
      </c>
      <c r="I207" s="927"/>
      <c r="J207" s="144" t="s">
        <v>1321</v>
      </c>
      <c r="K207" s="171"/>
      <c r="L207" s="551">
        <v>1</v>
      </c>
      <c r="M207" s="551"/>
      <c r="N207" s="788" t="s">
        <v>1322</v>
      </c>
      <c r="O207" s="272" t="s">
        <v>423</v>
      </c>
      <c r="P207" s="304"/>
      <c r="Q207" s="304"/>
      <c r="R207" s="304"/>
      <c r="S207" s="315" t="s">
        <v>477</v>
      </c>
      <c r="T207" s="339" t="s">
        <v>477</v>
      </c>
      <c r="U207" s="342" t="s">
        <v>477</v>
      </c>
      <c r="V207" s="659" t="s">
        <v>234</v>
      </c>
      <c r="W207" s="8"/>
      <c r="X207" s="423"/>
      <c r="Y207" s="411"/>
      <c r="Z207" s="424"/>
      <c r="AD207" s="1041">
        <v>1</v>
      </c>
      <c r="AE207" s="992" t="s">
        <v>479</v>
      </c>
      <c r="AF207" s="1001" t="s">
        <v>1323</v>
      </c>
      <c r="AG207" s="1001"/>
      <c r="AH207" s="992" t="s">
        <v>5</v>
      </c>
      <c r="AI207" s="1023"/>
      <c r="AJ207" s="1002" t="s">
        <v>1324</v>
      </c>
    </row>
    <row r="208" spans="1:36" s="7" customFormat="1" ht="170.5" customHeight="1">
      <c r="B208" s="99" t="s">
        <v>1325</v>
      </c>
      <c r="D208" s="1262"/>
      <c r="E208" s="1558" t="s">
        <v>1326</v>
      </c>
      <c r="F208" s="692" t="s">
        <v>1327</v>
      </c>
      <c r="G208" s="692" t="s">
        <v>1327</v>
      </c>
      <c r="H208" s="512" t="s">
        <v>130</v>
      </c>
      <c r="I208" s="927"/>
      <c r="J208" s="144" t="s">
        <v>1328</v>
      </c>
      <c r="K208" s="199"/>
      <c r="L208" s="551">
        <v>1</v>
      </c>
      <c r="M208" s="551"/>
      <c r="N208" s="788" t="s">
        <v>1322</v>
      </c>
      <c r="O208" s="272" t="s">
        <v>423</v>
      </c>
      <c r="P208" s="304"/>
      <c r="Q208" s="304"/>
      <c r="R208" s="304"/>
      <c r="S208" s="315" t="s">
        <v>477</v>
      </c>
      <c r="T208" s="339" t="s">
        <v>477</v>
      </c>
      <c r="U208" s="342" t="s">
        <v>477</v>
      </c>
      <c r="V208" s="659" t="s">
        <v>234</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1329</v>
      </c>
      <c r="F209" s="879" t="s">
        <v>1330</v>
      </c>
      <c r="G209" s="1290"/>
      <c r="H209" s="1290"/>
      <c r="I209" s="1290"/>
      <c r="J209" s="1290"/>
      <c r="K209" s="1290">
        <v>4</v>
      </c>
      <c r="L209" s="1291">
        <v>2</v>
      </c>
      <c r="M209" s="1292"/>
      <c r="N209" s="788" t="s">
        <v>92</v>
      </c>
      <c r="O209" s="272" t="s">
        <v>423</v>
      </c>
      <c r="P209" s="310">
        <f>Test_Bible!P329</f>
        <v>0</v>
      </c>
      <c r="Q209" s="310">
        <f>Test_Bible!Q329</f>
        <v>0</v>
      </c>
      <c r="R209" s="310" t="s">
        <v>1331</v>
      </c>
      <c r="S209" s="315">
        <v>1</v>
      </c>
      <c r="T209" s="341">
        <v>0</v>
      </c>
      <c r="U209" s="342">
        <v>0</v>
      </c>
      <c r="V209" s="1281" t="s">
        <v>234</v>
      </c>
      <c r="W209" s="421"/>
      <c r="X209" s="421"/>
      <c r="Y209" s="420"/>
      <c r="Z209" s="424"/>
      <c r="AA209" s="42"/>
      <c r="AB209" s="42"/>
      <c r="AC209" s="42"/>
      <c r="AD209" s="1041">
        <v>1</v>
      </c>
      <c r="AE209" s="527"/>
      <c r="AF209" s="984"/>
      <c r="AG209" s="984"/>
      <c r="AH209" s="983"/>
      <c r="AI209" s="834"/>
      <c r="AJ209" s="836"/>
    </row>
    <row r="210" spans="1:36" s="7" customFormat="1" ht="56" customHeight="1">
      <c r="B210" s="99" t="s">
        <v>1332</v>
      </c>
      <c r="C210" s="1490"/>
      <c r="D210" s="1617">
        <v>19</v>
      </c>
      <c r="E210" s="1294" t="s">
        <v>1333</v>
      </c>
      <c r="F210" s="1293" t="s">
        <v>1334</v>
      </c>
      <c r="G210" s="1293" t="s">
        <v>1251</v>
      </c>
      <c r="H210" s="1293" t="s">
        <v>128</v>
      </c>
      <c r="I210" s="1293"/>
      <c r="J210" s="1293" t="s">
        <v>582</v>
      </c>
      <c r="K210" s="1293"/>
      <c r="L210" s="1291"/>
      <c r="M210" s="1292"/>
      <c r="N210" s="788" t="s">
        <v>154</v>
      </c>
      <c r="O210" s="272"/>
      <c r="P210" s="310">
        <f>Test_Bible!P372</f>
        <v>0</v>
      </c>
      <c r="Q210" s="310">
        <f>Test_Bible!Q372</f>
        <v>0</v>
      </c>
      <c r="R210" s="310"/>
      <c r="S210" s="315" t="s">
        <v>477</v>
      </c>
      <c r="T210" s="339" t="s">
        <v>477</v>
      </c>
      <c r="U210" s="342" t="s">
        <v>477</v>
      </c>
      <c r="V210" s="1281" t="s">
        <v>234</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1335</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1336</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1337</v>
      </c>
      <c r="B213" s="25"/>
      <c r="C213" s="2496"/>
      <c r="D213" s="1265">
        <v>19</v>
      </c>
      <c r="E213" s="162" t="s">
        <v>1338</v>
      </c>
      <c r="F213" s="331" t="s">
        <v>1339</v>
      </c>
      <c r="G213" s="502" t="s">
        <v>1340</v>
      </c>
      <c r="H213" s="475" t="s">
        <v>1341</v>
      </c>
      <c r="I213" s="928" t="s">
        <v>1342</v>
      </c>
      <c r="J213" s="150" t="s">
        <v>124</v>
      </c>
      <c r="K213" s="201"/>
      <c r="L213" s="201">
        <v>0</v>
      </c>
      <c r="M213" s="564"/>
      <c r="N213" s="795" t="s">
        <v>112</v>
      </c>
      <c r="O213" s="598" t="s">
        <v>1343</v>
      </c>
      <c r="P213" s="300"/>
      <c r="Q213" s="300"/>
      <c r="R213" s="300"/>
      <c r="S213" s="315">
        <v>1</v>
      </c>
      <c r="T213" s="339">
        <v>0</v>
      </c>
      <c r="U213" s="339">
        <v>0</v>
      </c>
      <c r="V213" s="160" t="s">
        <v>47</v>
      </c>
      <c r="W213" s="422"/>
      <c r="X213" s="422"/>
      <c r="Z213" s="431"/>
      <c r="AE213" s="996" t="s">
        <v>479</v>
      </c>
      <c r="AF213" s="1001" t="s">
        <v>1344</v>
      </c>
      <c r="AG213" s="1001"/>
      <c r="AH213" s="996" t="s">
        <v>124</v>
      </c>
      <c r="AI213" s="998"/>
      <c r="AJ213" s="999"/>
    </row>
    <row r="214" spans="1:36" ht="214" customHeight="1" thickBot="1">
      <c r="A214" s="510" t="s">
        <v>1345</v>
      </c>
      <c r="B214" s="25"/>
      <c r="C214" s="2497"/>
      <c r="D214" s="324"/>
      <c r="E214" s="393" t="s">
        <v>1346</v>
      </c>
      <c r="F214" s="331" t="s">
        <v>1347</v>
      </c>
      <c r="G214" s="502" t="s">
        <v>1348</v>
      </c>
      <c r="H214" s="476" t="s">
        <v>1349</v>
      </c>
      <c r="I214" s="476" t="s">
        <v>1350</v>
      </c>
      <c r="J214" s="150" t="s">
        <v>124</v>
      </c>
      <c r="K214" s="394"/>
      <c r="L214" s="201">
        <v>0</v>
      </c>
      <c r="M214" s="564"/>
      <c r="N214" s="795" t="s">
        <v>112</v>
      </c>
      <c r="O214" s="598" t="s">
        <v>1351</v>
      </c>
      <c r="P214" s="1062"/>
      <c r="Q214" s="1062"/>
      <c r="R214" s="1062"/>
      <c r="S214" s="336">
        <v>1</v>
      </c>
      <c r="T214" s="399">
        <v>0</v>
      </c>
      <c r="U214" s="399">
        <v>0</v>
      </c>
      <c r="V214" s="396" t="s">
        <v>47</v>
      </c>
      <c r="W214" s="422"/>
      <c r="X214" s="422"/>
      <c r="Z214" s="431"/>
      <c r="AE214" s="996" t="s">
        <v>479</v>
      </c>
      <c r="AF214" s="1001" t="s">
        <v>1352</v>
      </c>
      <c r="AG214" s="1001"/>
      <c r="AH214" s="996" t="s">
        <v>124</v>
      </c>
      <c r="AI214" s="998"/>
      <c r="AJ214" s="1001" t="s">
        <v>1353</v>
      </c>
    </row>
    <row r="215" spans="1:36" s="107" customFormat="1" ht="40" customHeight="1" thickBot="1">
      <c r="A215" s="2498" t="s">
        <v>1354</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3"/>
      <c r="D216" s="780">
        <v>0</v>
      </c>
      <c r="E216" s="1593" t="s">
        <v>1355</v>
      </c>
      <c r="F216" s="1595" t="s">
        <v>1356</v>
      </c>
      <c r="G216" s="1594"/>
      <c r="H216" s="1595"/>
      <c r="I216" s="1594"/>
      <c r="J216" s="356" t="s">
        <v>555</v>
      </c>
      <c r="K216" s="357">
        <v>5</v>
      </c>
      <c r="L216" s="1590">
        <v>1</v>
      </c>
      <c r="M216" s="1591"/>
      <c r="N216" s="783" t="s">
        <v>103</v>
      </c>
      <c r="O216" s="781"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1357</v>
      </c>
      <c r="B217" s="1493"/>
      <c r="C217" s="769" t="s">
        <v>1358</v>
      </c>
      <c r="D217" s="1263">
        <v>1</v>
      </c>
      <c r="E217" s="121" t="s">
        <v>1359</v>
      </c>
      <c r="F217" s="936" t="s">
        <v>1360</v>
      </c>
      <c r="G217" s="936" t="s">
        <v>1361</v>
      </c>
      <c r="H217" s="1599"/>
      <c r="I217" s="1600"/>
      <c r="J217" s="1601"/>
      <c r="K217" s="1602">
        <v>4</v>
      </c>
      <c r="L217" s="537">
        <v>1</v>
      </c>
      <c r="M217" s="537">
        <v>0</v>
      </c>
      <c r="N217" s="787" t="s">
        <v>117</v>
      </c>
      <c r="O217" s="1517" t="s">
        <v>747</v>
      </c>
      <c r="P217" s="397">
        <f>Test_Bible!P404</f>
        <v>0</v>
      </c>
      <c r="Q217" s="397">
        <f>Test_Bible!Q404</f>
        <v>0</v>
      </c>
      <c r="R217" s="1707" t="s">
        <v>1362</v>
      </c>
      <c r="S217" s="400">
        <v>1</v>
      </c>
      <c r="T217" s="401">
        <v>0</v>
      </c>
      <c r="U217" s="402">
        <v>0</v>
      </c>
      <c r="V217" s="359" t="s">
        <v>467</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1363</v>
      </c>
      <c r="D218" s="1263">
        <v>2</v>
      </c>
      <c r="E218" s="118" t="s">
        <v>1364</v>
      </c>
      <c r="F218" s="692" t="s">
        <v>1365</v>
      </c>
      <c r="G218" s="692" t="s">
        <v>1366</v>
      </c>
      <c r="H218" s="97"/>
      <c r="I218" s="884"/>
      <c r="J218" s="189"/>
      <c r="K218" s="208"/>
      <c r="L218" s="545">
        <v>2</v>
      </c>
      <c r="M218" s="545"/>
      <c r="N218" s="787" t="s">
        <v>446</v>
      </c>
      <c r="O218" s="1517" t="s">
        <v>447</v>
      </c>
      <c r="P218" s="308">
        <f>Test_Bible!P405</f>
        <v>0</v>
      </c>
      <c r="Q218" s="308">
        <f>Test_Bible!Q405</f>
        <v>0</v>
      </c>
      <c r="R218" s="1707" t="s">
        <v>1367</v>
      </c>
      <c r="S218" s="115">
        <v>0</v>
      </c>
      <c r="T218" s="116">
        <v>1</v>
      </c>
      <c r="U218" s="370">
        <v>0</v>
      </c>
      <c r="V218" s="155" t="s">
        <v>467</v>
      </c>
      <c r="W218" s="6">
        <v>1</v>
      </c>
      <c r="X218" s="423"/>
      <c r="Y218" s="411"/>
      <c r="Z218" s="433"/>
      <c r="AB218" s="42"/>
      <c r="AC218" s="42"/>
      <c r="AD218" s="42"/>
      <c r="AE218" s="500" t="s">
        <v>479</v>
      </c>
      <c r="AF218" s="263" t="s">
        <v>1368</v>
      </c>
      <c r="AG218" s="984"/>
      <c r="AH218" s="992" t="s">
        <v>5</v>
      </c>
      <c r="AI218" s="834"/>
      <c r="AJ218" s="263" t="s">
        <v>1368</v>
      </c>
    </row>
    <row r="219" spans="1:36" s="7" customFormat="1" ht="63" customHeight="1">
      <c r="A219" s="1666" t="s">
        <v>1294</v>
      </c>
      <c r="D219" s="1263">
        <v>15</v>
      </c>
      <c r="E219" s="121" t="s">
        <v>1369</v>
      </c>
      <c r="F219" s="936" t="s">
        <v>1370</v>
      </c>
      <c r="G219" s="936" t="s">
        <v>1371</v>
      </c>
      <c r="H219" s="253"/>
      <c r="I219" s="929"/>
      <c r="J219" s="193"/>
      <c r="K219" s="219"/>
      <c r="L219" s="545">
        <v>2</v>
      </c>
      <c r="M219" s="545"/>
      <c r="N219" s="788" t="s">
        <v>117</v>
      </c>
      <c r="O219" s="1517" t="s">
        <v>747</v>
      </c>
      <c r="P219" s="308">
        <f>Test_Bible!P406</f>
        <v>0</v>
      </c>
      <c r="Q219" s="308">
        <f>Test_Bible!Q406</f>
        <v>0</v>
      </c>
      <c r="R219" s="307" t="s">
        <v>1372</v>
      </c>
      <c r="S219" s="114">
        <v>0.5</v>
      </c>
      <c r="T219" s="333">
        <v>0</v>
      </c>
      <c r="U219" s="297">
        <v>0.5</v>
      </c>
      <c r="V219" s="161" t="s">
        <v>230</v>
      </c>
      <c r="W219" s="8"/>
      <c r="X219" s="1042">
        <v>1</v>
      </c>
      <c r="Y219" s="411"/>
      <c r="Z219" s="433"/>
      <c r="AA219" s="42"/>
      <c r="AB219" s="42"/>
      <c r="AC219" s="42"/>
      <c r="AD219" s="42"/>
      <c r="AE219" s="500" t="s">
        <v>479</v>
      </c>
      <c r="AF219" s="986" t="s">
        <v>759</v>
      </c>
      <c r="AG219" s="986"/>
      <c r="AH219" s="500" t="s">
        <v>5</v>
      </c>
      <c r="AI219" s="263"/>
      <c r="AJ219" s="1011" t="s">
        <v>1373</v>
      </c>
    </row>
    <row r="220" spans="1:36" s="7" customFormat="1" ht="63" customHeight="1">
      <c r="A220" s="1665"/>
      <c r="D220" s="1263">
        <v>7</v>
      </c>
      <c r="E220" s="121" t="s">
        <v>1374</v>
      </c>
      <c r="F220" s="936" t="s">
        <v>1375</v>
      </c>
      <c r="G220" s="936" t="s">
        <v>1376</v>
      </c>
      <c r="H220" s="254"/>
      <c r="I220" s="930"/>
      <c r="J220" s="193"/>
      <c r="K220" s="219"/>
      <c r="L220" s="537">
        <v>1</v>
      </c>
      <c r="M220" s="537"/>
      <c r="N220" s="788" t="s">
        <v>84</v>
      </c>
      <c r="O220" s="1517" t="s">
        <v>440</v>
      </c>
      <c r="P220" s="308">
        <f>Test_Bible!P407</f>
        <v>0</v>
      </c>
      <c r="Q220" s="308">
        <f>Test_Bible!Q407</f>
        <v>0</v>
      </c>
      <c r="R220" s="311" t="s">
        <v>1377</v>
      </c>
      <c r="S220" s="114">
        <v>1</v>
      </c>
      <c r="T220" s="333">
        <v>0</v>
      </c>
      <c r="U220" s="370">
        <v>0</v>
      </c>
      <c r="V220" s="159" t="s">
        <v>231</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1378</v>
      </c>
      <c r="F221" s="936" t="s">
        <v>1379</v>
      </c>
      <c r="G221" s="936"/>
      <c r="H221" s="254"/>
      <c r="I221" s="930"/>
      <c r="J221" s="193"/>
      <c r="K221" s="219"/>
      <c r="L221" s="1597"/>
      <c r="M221" s="1598"/>
      <c r="N221" s="796" t="s">
        <v>76</v>
      </c>
      <c r="O221" s="1611" t="s">
        <v>1380</v>
      </c>
      <c r="P221" s="308"/>
      <c r="Q221" s="308"/>
      <c r="R221" s="1706" t="s">
        <v>1381</v>
      </c>
      <c r="S221" s="115">
        <v>0</v>
      </c>
      <c r="T221" s="333">
        <v>0</v>
      </c>
      <c r="U221" s="297">
        <v>1</v>
      </c>
      <c r="V221" s="156" t="s">
        <v>47</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1382</v>
      </c>
      <c r="D222" s="1263">
        <v>4</v>
      </c>
      <c r="E222" s="118" t="s">
        <v>1383</v>
      </c>
      <c r="F222" s="692" t="s">
        <v>1384</v>
      </c>
      <c r="G222" s="936" t="s">
        <v>1385</v>
      </c>
      <c r="H222" s="253"/>
      <c r="I222" s="929"/>
      <c r="J222" s="193"/>
      <c r="K222" s="219">
        <v>2</v>
      </c>
      <c r="L222" s="544">
        <v>3</v>
      </c>
      <c r="M222" s="544"/>
      <c r="N222" s="788" t="s">
        <v>92</v>
      </c>
      <c r="O222" s="272" t="s">
        <v>423</v>
      </c>
      <c r="P222" s="308">
        <f>Test_Bible!P415</f>
        <v>0</v>
      </c>
      <c r="Q222" s="308">
        <f>Test_Bible!Q415</f>
        <v>0</v>
      </c>
      <c r="R222" s="307" t="s">
        <v>1386</v>
      </c>
      <c r="S222" s="115">
        <v>0</v>
      </c>
      <c r="T222" s="333">
        <v>0</v>
      </c>
      <c r="U222" s="297">
        <v>1</v>
      </c>
      <c r="V222" s="156" t="s">
        <v>47</v>
      </c>
      <c r="W222" s="8"/>
      <c r="X222" s="423"/>
      <c r="Y222" s="44"/>
      <c r="Z222" s="424">
        <v>1</v>
      </c>
      <c r="AA222" s="42"/>
      <c r="AB222" s="42"/>
      <c r="AC222" s="42"/>
      <c r="AD222" s="42"/>
      <c r="AE222" s="527"/>
      <c r="AF222" s="984"/>
      <c r="AG222" s="984"/>
      <c r="AH222" s="500" t="s">
        <v>5</v>
      </c>
      <c r="AI222" s="834"/>
      <c r="AJ222" s="835" t="s">
        <v>1387</v>
      </c>
    </row>
    <row r="223" spans="1:36" s="7" customFormat="1" ht="63" customHeight="1">
      <c r="A223" s="1665"/>
      <c r="B223" s="1492" t="s">
        <v>1388</v>
      </c>
      <c r="D223" s="1263">
        <v>5</v>
      </c>
      <c r="E223" s="118" t="s">
        <v>1389</v>
      </c>
      <c r="F223" s="692" t="s">
        <v>1390</v>
      </c>
      <c r="G223" s="936" t="s">
        <v>1391</v>
      </c>
      <c r="H223" s="253"/>
      <c r="I223" s="929"/>
      <c r="J223" s="193"/>
      <c r="K223" s="219"/>
      <c r="L223" s="544">
        <v>3</v>
      </c>
      <c r="M223" s="544"/>
      <c r="N223" s="788" t="s">
        <v>92</v>
      </c>
      <c r="O223" s="272" t="s">
        <v>423</v>
      </c>
      <c r="P223" s="308">
        <f>Test_Bible!P414</f>
        <v>0</v>
      </c>
      <c r="Q223" s="308">
        <f>Test_Bible!Q414</f>
        <v>0</v>
      </c>
      <c r="R223" s="307" t="s">
        <v>1392</v>
      </c>
      <c r="S223" s="115">
        <v>0</v>
      </c>
      <c r="T223" s="333">
        <v>0</v>
      </c>
      <c r="U223" s="297">
        <v>1</v>
      </c>
      <c r="V223" s="156" t="s">
        <v>47</v>
      </c>
      <c r="W223" s="8"/>
      <c r="X223" s="423"/>
      <c r="Y223" s="44"/>
      <c r="Z223" s="424">
        <v>1</v>
      </c>
      <c r="AA223" s="42"/>
      <c r="AB223" s="42"/>
      <c r="AC223" s="42"/>
      <c r="AD223" s="42"/>
      <c r="AE223" s="996"/>
      <c r="AF223" s="835"/>
      <c r="AG223" s="984"/>
      <c r="AH223" s="500" t="s">
        <v>5</v>
      </c>
      <c r="AI223" s="834"/>
      <c r="AJ223" s="835" t="s">
        <v>1393</v>
      </c>
    </row>
    <row r="224" spans="1:36" s="7" customFormat="1" ht="63" customHeight="1">
      <c r="A224" s="1666" t="s">
        <v>1394</v>
      </c>
      <c r="B224" s="1492" t="s">
        <v>1395</v>
      </c>
      <c r="D224" s="1263">
        <v>6</v>
      </c>
      <c r="E224" s="118" t="s">
        <v>1396</v>
      </c>
      <c r="F224" s="692" t="s">
        <v>1397</v>
      </c>
      <c r="G224" s="936" t="s">
        <v>1398</v>
      </c>
      <c r="H224" s="254"/>
      <c r="I224" s="930"/>
      <c r="J224" s="193"/>
      <c r="K224" s="219"/>
      <c r="L224" s="544">
        <v>3</v>
      </c>
      <c r="M224" s="544"/>
      <c r="N224" s="788"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4"/>
      <c r="AG224" s="984"/>
      <c r="AH224" s="500" t="s">
        <v>5</v>
      </c>
      <c r="AI224" s="834"/>
      <c r="AJ224" s="835" t="s">
        <v>1399</v>
      </c>
    </row>
    <row r="225" spans="1:36" s="7" customFormat="1" ht="63" customHeight="1">
      <c r="A225" s="1665"/>
      <c r="D225" s="1263">
        <v>9</v>
      </c>
      <c r="E225" s="121" t="s">
        <v>1400</v>
      </c>
      <c r="F225" s="936" t="s">
        <v>1401</v>
      </c>
      <c r="G225" s="936" t="s">
        <v>1402</v>
      </c>
      <c r="H225" s="254"/>
      <c r="I225" s="930"/>
      <c r="J225" s="193"/>
      <c r="K225" s="219">
        <v>4</v>
      </c>
      <c r="L225" s="545">
        <v>2</v>
      </c>
      <c r="M225" s="545"/>
      <c r="N225" s="788" t="s">
        <v>92</v>
      </c>
      <c r="O225" s="272" t="s">
        <v>423</v>
      </c>
      <c r="P225" s="308">
        <f>Test_Bible!P417</f>
        <v>0</v>
      </c>
      <c r="Q225" s="308">
        <f>Test_Bible!Q417</f>
        <v>0</v>
      </c>
      <c r="R225" s="307" t="s">
        <v>861</v>
      </c>
      <c r="S225" s="114">
        <v>1</v>
      </c>
      <c r="T225" s="333">
        <v>0</v>
      </c>
      <c r="U225" s="370">
        <v>0</v>
      </c>
      <c r="V225" s="154" t="s">
        <v>232</v>
      </c>
      <c r="W225" s="8"/>
      <c r="X225" s="423"/>
      <c r="Y225" s="44"/>
      <c r="Z225" s="432"/>
      <c r="AA225" s="1044">
        <v>1</v>
      </c>
      <c r="AB225" s="42"/>
      <c r="AC225" s="42"/>
      <c r="AD225" s="42"/>
      <c r="AE225" s="527"/>
      <c r="AF225" s="984"/>
      <c r="AG225" s="984"/>
      <c r="AH225" s="500" t="s">
        <v>5</v>
      </c>
      <c r="AI225" s="834"/>
      <c r="AJ225" s="835" t="s">
        <v>1403</v>
      </c>
    </row>
    <row r="226" spans="1:36" s="7" customFormat="1" ht="63" customHeight="1">
      <c r="A226" s="1665"/>
      <c r="B226" s="1492" t="s">
        <v>1404</v>
      </c>
      <c r="D226" s="1263">
        <v>10</v>
      </c>
      <c r="E226" s="118" t="s">
        <v>1405</v>
      </c>
      <c r="F226" s="692" t="s">
        <v>1406</v>
      </c>
      <c r="G226" s="936" t="s">
        <v>1407</v>
      </c>
      <c r="H226" s="254"/>
      <c r="I226" s="930"/>
      <c r="J226" s="193"/>
      <c r="K226" s="219"/>
      <c r="L226" s="545">
        <v>2</v>
      </c>
      <c r="M226" s="545"/>
      <c r="N226" s="788" t="s">
        <v>92</v>
      </c>
      <c r="O226" s="272" t="s">
        <v>423</v>
      </c>
      <c r="P226" s="308">
        <f>Test_Bible!P418</f>
        <v>0</v>
      </c>
      <c r="Q226" s="308">
        <f>Test_Bible!Q418</f>
        <v>0</v>
      </c>
      <c r="R226" s="307" t="s">
        <v>1408</v>
      </c>
      <c r="S226" s="114">
        <v>1</v>
      </c>
      <c r="T226" s="333">
        <v>0</v>
      </c>
      <c r="U226" s="370">
        <v>0</v>
      </c>
      <c r="V226" s="154" t="s">
        <v>232</v>
      </c>
      <c r="W226" s="8"/>
      <c r="X226" s="423"/>
      <c r="Y226" s="44"/>
      <c r="Z226" s="432"/>
      <c r="AA226" s="1044">
        <v>1</v>
      </c>
      <c r="AB226" s="42"/>
      <c r="AC226" s="42"/>
      <c r="AD226" s="42"/>
      <c r="AE226" s="527"/>
      <c r="AF226" s="984"/>
      <c r="AG226" s="984"/>
      <c r="AH226" s="500" t="s">
        <v>5</v>
      </c>
      <c r="AI226" s="834"/>
      <c r="AJ226" s="835" t="s">
        <v>1403</v>
      </c>
    </row>
    <row r="227" spans="1:36" s="7" customFormat="1" ht="63" customHeight="1">
      <c r="A227" s="1665"/>
      <c r="D227" s="1263">
        <v>13</v>
      </c>
      <c r="E227" s="121" t="s">
        <v>1409</v>
      </c>
      <c r="F227" s="936" t="s">
        <v>1410</v>
      </c>
      <c r="G227" s="936" t="s">
        <v>1411</v>
      </c>
      <c r="H227" s="254"/>
      <c r="I227" s="930"/>
      <c r="J227" s="193"/>
      <c r="K227" s="219"/>
      <c r="L227" s="545">
        <v>2</v>
      </c>
      <c r="M227" s="545"/>
      <c r="N227" s="788" t="s">
        <v>92</v>
      </c>
      <c r="O227" s="272" t="s">
        <v>423</v>
      </c>
      <c r="P227" s="308">
        <f>Test_Bible!P419</f>
        <v>0</v>
      </c>
      <c r="Q227" s="308">
        <f>Test_Bible!Q419</f>
        <v>0</v>
      </c>
      <c r="R227" s="307" t="s">
        <v>879</v>
      </c>
      <c r="S227" s="114">
        <v>1</v>
      </c>
      <c r="T227" s="333">
        <v>0</v>
      </c>
      <c r="U227" s="370">
        <v>0</v>
      </c>
      <c r="V227" s="154" t="s">
        <v>232</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1412</v>
      </c>
      <c r="F228" s="936" t="s">
        <v>1413</v>
      </c>
      <c r="G228" s="936" t="s">
        <v>1414</v>
      </c>
      <c r="H228" s="254"/>
      <c r="I228" s="930"/>
      <c r="J228" s="193"/>
      <c r="K228" s="219"/>
      <c r="L228" s="545">
        <v>2</v>
      </c>
      <c r="M228" s="545"/>
      <c r="N228" s="788" t="s">
        <v>92</v>
      </c>
      <c r="O228" s="272" t="s">
        <v>423</v>
      </c>
      <c r="P228" s="308">
        <f>Test_Bible!P420</f>
        <v>0</v>
      </c>
      <c r="Q228" s="308">
        <f>Test_Bible!Q420</f>
        <v>0</v>
      </c>
      <c r="R228" s="307" t="s">
        <v>903</v>
      </c>
      <c r="S228" s="114">
        <v>1</v>
      </c>
      <c r="T228" s="333">
        <v>0</v>
      </c>
      <c r="U228" s="370">
        <v>0</v>
      </c>
      <c r="V228" s="154" t="s">
        <v>232</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1415</v>
      </c>
      <c r="F229" s="936" t="s">
        <v>1416</v>
      </c>
      <c r="G229" s="936" t="s">
        <v>1417</v>
      </c>
      <c r="H229" s="253"/>
      <c r="I229" s="929"/>
      <c r="J229" s="193"/>
      <c r="K229" s="219"/>
      <c r="L229" s="545">
        <v>2</v>
      </c>
      <c r="M229" s="545"/>
      <c r="N229" s="788" t="s">
        <v>92</v>
      </c>
      <c r="O229" s="272" t="s">
        <v>423</v>
      </c>
      <c r="P229" s="308">
        <f>Test_Bible!P421</f>
        <v>0</v>
      </c>
      <c r="Q229" s="308">
        <f>Test_Bible!Q421</f>
        <v>0</v>
      </c>
      <c r="R229" s="1706" t="s">
        <v>1418</v>
      </c>
      <c r="S229" s="114">
        <v>1</v>
      </c>
      <c r="T229" s="333">
        <v>0</v>
      </c>
      <c r="U229" s="370">
        <v>0</v>
      </c>
      <c r="V229" s="154" t="s">
        <v>232</v>
      </c>
      <c r="W229" s="8"/>
      <c r="X229" s="423"/>
      <c r="Y229" s="44"/>
      <c r="Z229" s="432"/>
      <c r="AA229" s="1044">
        <v>1</v>
      </c>
      <c r="AB229" s="42"/>
      <c r="AC229" s="42"/>
      <c r="AD229" s="42"/>
      <c r="AE229" s="527"/>
      <c r="AF229" s="984"/>
      <c r="AG229" s="984"/>
      <c r="AH229" s="983"/>
      <c r="AI229" s="834"/>
      <c r="AJ229" s="836"/>
    </row>
    <row r="230" spans="1:36" s="7" customFormat="1" ht="63" customHeight="1">
      <c r="A230" s="1666" t="s">
        <v>1294</v>
      </c>
      <c r="D230" s="1263">
        <v>11</v>
      </c>
      <c r="E230" s="121" t="s">
        <v>1419</v>
      </c>
      <c r="F230" s="936" t="s">
        <v>1420</v>
      </c>
      <c r="G230" s="936" t="s">
        <v>1421</v>
      </c>
      <c r="H230" s="253"/>
      <c r="I230" s="929"/>
      <c r="J230" s="193"/>
      <c r="K230" s="219"/>
      <c r="L230" s="544">
        <v>3</v>
      </c>
      <c r="M230" s="544"/>
      <c r="N230" s="788" t="s">
        <v>433</v>
      </c>
      <c r="O230" s="272" t="s">
        <v>434</v>
      </c>
      <c r="P230" s="307">
        <f>Test_Bible!P320</f>
        <v>0</v>
      </c>
      <c r="Q230" s="307">
        <f>Test_Bible!Q320</f>
        <v>0</v>
      </c>
      <c r="R230" s="311" t="s">
        <v>654</v>
      </c>
      <c r="S230" s="316">
        <v>1</v>
      </c>
      <c r="T230" s="317">
        <v>0</v>
      </c>
      <c r="U230" s="318">
        <v>0</v>
      </c>
      <c r="V230" s="154" t="s">
        <v>232</v>
      </c>
      <c r="W230" s="8"/>
      <c r="X230" s="423"/>
      <c r="Y230" s="44"/>
      <c r="Z230" s="432"/>
      <c r="AA230" s="1044">
        <v>1</v>
      </c>
      <c r="AB230" s="42"/>
      <c r="AC230" s="42"/>
      <c r="AD230" s="42"/>
      <c r="AE230" s="500"/>
      <c r="AF230" s="986"/>
      <c r="AG230" s="984"/>
      <c r="AH230" s="500" t="s">
        <v>5</v>
      </c>
      <c r="AI230" s="834"/>
      <c r="AJ230" s="1032" t="s">
        <v>1422</v>
      </c>
    </row>
    <row r="231" spans="1:36" s="7" customFormat="1" ht="63" customHeight="1">
      <c r="A231" s="1665"/>
      <c r="D231" s="1263">
        <v>14</v>
      </c>
      <c r="E231" s="121" t="s">
        <v>1423</v>
      </c>
      <c r="F231" s="936" t="s">
        <v>1424</v>
      </c>
      <c r="G231" s="936" t="s">
        <v>1425</v>
      </c>
      <c r="H231" s="253"/>
      <c r="I231" s="929"/>
      <c r="J231" s="193"/>
      <c r="K231" s="219"/>
      <c r="L231" s="544">
        <v>3</v>
      </c>
      <c r="M231" s="544"/>
      <c r="N231" s="788" t="s">
        <v>117</v>
      </c>
      <c r="O231" s="1517" t="s">
        <v>747</v>
      </c>
      <c r="P231" s="308">
        <f>Test_Bible!P423</f>
        <v>0</v>
      </c>
      <c r="Q231" s="308">
        <f>Test_Bible!Q423</f>
        <v>0</v>
      </c>
      <c r="R231" s="307" t="s">
        <v>893</v>
      </c>
      <c r="S231" s="114">
        <v>1</v>
      </c>
      <c r="T231" s="333">
        <v>0</v>
      </c>
      <c r="U231" s="370">
        <v>0</v>
      </c>
      <c r="V231" s="154" t="s">
        <v>232</v>
      </c>
      <c r="W231" s="8"/>
      <c r="X231" s="423"/>
      <c r="Y231" s="411"/>
      <c r="Z231" s="433"/>
      <c r="AA231" s="1044">
        <v>1</v>
      </c>
      <c r="AB231" s="42"/>
      <c r="AC231" s="42"/>
      <c r="AD231" s="42"/>
      <c r="AE231" s="527"/>
      <c r="AF231" s="984"/>
      <c r="AG231" s="984"/>
      <c r="AH231" s="837" t="s">
        <v>513</v>
      </c>
      <c r="AI231" s="834"/>
      <c r="AJ231" s="836"/>
    </row>
    <row r="232" spans="1:36" s="7" customFormat="1" ht="63" customHeight="1">
      <c r="A232" s="1665"/>
      <c r="D232" s="1263">
        <v>17</v>
      </c>
      <c r="E232" s="121" t="s">
        <v>1426</v>
      </c>
      <c r="F232" s="936" t="s">
        <v>1427</v>
      </c>
      <c r="G232" s="936" t="s">
        <v>1428</v>
      </c>
      <c r="H232" s="253"/>
      <c r="I232" s="929"/>
      <c r="J232" s="193"/>
      <c r="K232" s="219"/>
      <c r="L232" s="545">
        <v>2</v>
      </c>
      <c r="M232" s="545"/>
      <c r="N232" s="788" t="s">
        <v>117</v>
      </c>
      <c r="O232" s="1517" t="s">
        <v>747</v>
      </c>
      <c r="P232" s="308">
        <f>Test_Bible!P424</f>
        <v>0</v>
      </c>
      <c r="Q232" s="308">
        <f>Test_Bible!Q424</f>
        <v>0</v>
      </c>
      <c r="R232" s="307" t="s">
        <v>1429</v>
      </c>
      <c r="S232" s="115">
        <v>0</v>
      </c>
      <c r="T232" s="333">
        <v>0</v>
      </c>
      <c r="U232" s="297">
        <v>1</v>
      </c>
      <c r="V232" s="158" t="s">
        <v>233</v>
      </c>
      <c r="W232" s="8"/>
      <c r="X232" s="423"/>
      <c r="Y232" s="44"/>
      <c r="Z232" s="432"/>
      <c r="AA232" s="42"/>
      <c r="AB232" s="1044">
        <v>1</v>
      </c>
      <c r="AC232" s="42"/>
      <c r="AD232" s="42"/>
      <c r="AE232" s="527"/>
      <c r="AF232" s="984"/>
      <c r="AG232" s="984"/>
      <c r="AH232" s="500"/>
      <c r="AI232" s="834"/>
      <c r="AJ232" s="1032" t="s">
        <v>1430</v>
      </c>
    </row>
    <row r="233" spans="1:36" s="7" customFormat="1" ht="68" customHeight="1">
      <c r="A233" s="1666" t="s">
        <v>1294</v>
      </c>
      <c r="D233" s="1263">
        <v>18</v>
      </c>
      <c r="E233" s="121" t="s">
        <v>1431</v>
      </c>
      <c r="F233" s="936" t="s">
        <v>1432</v>
      </c>
      <c r="G233" s="936" t="s">
        <v>1433</v>
      </c>
      <c r="H233" s="253"/>
      <c r="I233" s="929"/>
      <c r="J233" s="193"/>
      <c r="K233" s="219"/>
      <c r="L233" s="545">
        <v>2</v>
      </c>
      <c r="M233" s="545"/>
      <c r="N233" s="788" t="s">
        <v>431</v>
      </c>
      <c r="O233" s="1517" t="s">
        <v>432</v>
      </c>
      <c r="P233" s="308">
        <f>Test_Bible!P425</f>
        <v>0</v>
      </c>
      <c r="Q233" s="308">
        <f>Test_Bible!Q425</f>
        <v>0</v>
      </c>
      <c r="R233" s="307" t="s">
        <v>1434</v>
      </c>
      <c r="S233" s="115">
        <v>0</v>
      </c>
      <c r="T233" s="116">
        <v>1</v>
      </c>
      <c r="U233" s="370">
        <v>0</v>
      </c>
      <c r="V233" s="158" t="s">
        <v>233</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1435</v>
      </c>
      <c r="C234" s="765" t="s">
        <v>689</v>
      </c>
      <c r="D234" s="1263">
        <v>16</v>
      </c>
      <c r="E234" s="121" t="s">
        <v>1436</v>
      </c>
      <c r="F234" s="936" t="s">
        <v>1437</v>
      </c>
      <c r="G234" s="936" t="s">
        <v>1438</v>
      </c>
      <c r="H234" s="371"/>
      <c r="I234" s="931"/>
      <c r="J234" s="193"/>
      <c r="K234" s="219"/>
      <c r="L234" s="545">
        <v>2</v>
      </c>
      <c r="M234" s="544">
        <v>3</v>
      </c>
      <c r="N234" s="792" t="s">
        <v>92</v>
      </c>
      <c r="O234" s="272" t="s">
        <v>423</v>
      </c>
      <c r="P234" s="372">
        <f>Test_Bible!P426</f>
        <v>0</v>
      </c>
      <c r="Q234" s="372">
        <f>Test_Bible!Q426</f>
        <v>0</v>
      </c>
      <c r="R234" s="311" t="s">
        <v>1439</v>
      </c>
      <c r="S234" s="373">
        <v>0</v>
      </c>
      <c r="T234" s="374">
        <v>0</v>
      </c>
      <c r="U234" s="363">
        <v>1</v>
      </c>
      <c r="V234" s="375" t="s">
        <v>234</v>
      </c>
      <c r="W234" s="8"/>
      <c r="X234" s="423"/>
      <c r="Y234" s="411"/>
      <c r="Z234" s="433"/>
      <c r="AA234" s="42"/>
      <c r="AB234" s="42"/>
      <c r="AC234" s="1044">
        <v>1</v>
      </c>
      <c r="AD234" s="42"/>
      <c r="AE234" s="527"/>
      <c r="AF234" s="984"/>
      <c r="AG234" s="984"/>
      <c r="AH234" s="837" t="s">
        <v>513</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1336</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139</v>
      </c>
      <c r="F240" s="577" t="s">
        <v>140</v>
      </c>
      <c r="G240" s="501" t="s">
        <v>140</v>
      </c>
      <c r="H240" s="478" t="s">
        <v>141</v>
      </c>
      <c r="I240" s="882"/>
      <c r="J240" s="183"/>
      <c r="K240" s="197"/>
      <c r="L240" s="195">
        <v>0</v>
      </c>
      <c r="M240" s="555"/>
      <c r="N240" s="111" t="s">
        <v>76</v>
      </c>
      <c r="O240" s="1502"/>
      <c r="P240" s="299"/>
      <c r="Q240" s="299"/>
      <c r="R240" s="299"/>
      <c r="S240" s="164" t="s">
        <v>477</v>
      </c>
      <c r="T240" s="345" t="s">
        <v>477</v>
      </c>
      <c r="U240" s="346" t="s">
        <v>477</v>
      </c>
      <c r="V240" s="153" t="s">
        <v>478</v>
      </c>
      <c r="W240" s="416"/>
      <c r="X240" s="416"/>
      <c r="AE240" s="983"/>
      <c r="AF240" s="984"/>
      <c r="AG240" s="984"/>
      <c r="AH240" s="983"/>
      <c r="AI240" s="834"/>
      <c r="AJ240" s="836"/>
    </row>
    <row r="241" spans="3:36" ht="111" customHeight="1">
      <c r="C241" s="2467" t="s">
        <v>138</v>
      </c>
      <c r="D241" s="1264">
        <v>1</v>
      </c>
      <c r="E241" s="175" t="s">
        <v>142</v>
      </c>
      <c r="F241" s="176" t="s">
        <v>1440</v>
      </c>
      <c r="G241" s="175" t="s">
        <v>1440</v>
      </c>
      <c r="H241" s="477" t="s">
        <v>144</v>
      </c>
      <c r="I241" s="932"/>
      <c r="J241" s="179"/>
      <c r="K241" s="197"/>
      <c r="L241" s="195">
        <v>0</v>
      </c>
      <c r="M241" s="195"/>
      <c r="N241" s="111" t="s">
        <v>76</v>
      </c>
      <c r="O241" s="1514"/>
      <c r="P241" s="299"/>
      <c r="Q241" s="299"/>
      <c r="R241" s="299"/>
      <c r="S241" s="164" t="s">
        <v>477</v>
      </c>
      <c r="T241" s="345" t="s">
        <v>477</v>
      </c>
      <c r="U241" s="346" t="s">
        <v>477</v>
      </c>
      <c r="V241" s="153" t="s">
        <v>478</v>
      </c>
      <c r="W241" s="416"/>
      <c r="X241" s="416"/>
      <c r="AE241" s="500" t="s">
        <v>479</v>
      </c>
      <c r="AH241" s="983"/>
      <c r="AI241" s="834"/>
      <c r="AJ241" s="836"/>
    </row>
    <row r="242" spans="3:36" ht="111" customHeight="1">
      <c r="C242" s="2458"/>
      <c r="D242" s="1264">
        <v>2</v>
      </c>
      <c r="E242" s="175" t="s">
        <v>145</v>
      </c>
      <c r="F242" s="176" t="s">
        <v>1441</v>
      </c>
      <c r="G242" s="175" t="s">
        <v>1441</v>
      </c>
      <c r="H242" s="478" t="s">
        <v>1442</v>
      </c>
      <c r="I242" s="933"/>
      <c r="J242" s="179"/>
      <c r="K242" s="197"/>
      <c r="L242" s="195">
        <v>0</v>
      </c>
      <c r="M242" s="195"/>
      <c r="N242" s="111" t="s">
        <v>76</v>
      </c>
      <c r="O242" s="1514"/>
      <c r="P242" s="299"/>
      <c r="Q242" s="299"/>
      <c r="R242" s="299"/>
      <c r="S242" s="164" t="s">
        <v>477</v>
      </c>
      <c r="T242" s="345" t="s">
        <v>477</v>
      </c>
      <c r="U242" s="346" t="s">
        <v>477</v>
      </c>
      <c r="V242" s="153" t="s">
        <v>478</v>
      </c>
      <c r="W242" s="416"/>
      <c r="X242" s="416"/>
      <c r="AE242" s="983"/>
      <c r="AF242" s="984"/>
      <c r="AG242" s="984"/>
      <c r="AH242" s="983"/>
      <c r="AI242" s="834"/>
      <c r="AJ242" s="836"/>
    </row>
    <row r="243" spans="3:36" ht="111" customHeight="1">
      <c r="C243" s="2458"/>
      <c r="D243" s="1264">
        <v>3</v>
      </c>
      <c r="E243" s="118" t="s">
        <v>148</v>
      </c>
      <c r="F243" s="97" t="s">
        <v>1443</v>
      </c>
      <c r="G243" s="118" t="s">
        <v>1443</v>
      </c>
      <c r="H243" s="479" t="s">
        <v>1444</v>
      </c>
      <c r="I243" s="934"/>
      <c r="J243" s="98" t="s">
        <v>582</v>
      </c>
      <c r="K243" s="199"/>
      <c r="L243" s="547">
        <v>0</v>
      </c>
      <c r="M243" s="547"/>
      <c r="N243" s="111" t="s">
        <v>76</v>
      </c>
      <c r="O243" s="1514"/>
      <c r="P243" s="299"/>
      <c r="Q243" s="299"/>
      <c r="R243" s="299"/>
      <c r="S243" s="164" t="s">
        <v>477</v>
      </c>
      <c r="T243" s="345" t="s">
        <v>477</v>
      </c>
      <c r="U243" s="346" t="s">
        <v>477</v>
      </c>
      <c r="V243" s="153" t="s">
        <v>478</v>
      </c>
      <c r="W243" s="416"/>
      <c r="X243" s="416"/>
      <c r="AE243" s="983"/>
      <c r="AF243" s="984"/>
      <c r="AG243" s="984"/>
      <c r="AH243" s="983"/>
      <c r="AI243" s="834"/>
      <c r="AJ243" s="836"/>
    </row>
    <row r="244" spans="3:36" ht="277" customHeight="1">
      <c r="C244" s="2458"/>
      <c r="D244" s="8">
        <v>4</v>
      </c>
      <c r="E244" s="175" t="s">
        <v>151</v>
      </c>
      <c r="F244" s="577" t="s">
        <v>1445</v>
      </c>
      <c r="G244" s="501" t="s">
        <v>1446</v>
      </c>
      <c r="H244" s="578" t="s">
        <v>153</v>
      </c>
      <c r="I244" s="578"/>
      <c r="J244" s="501"/>
      <c r="K244" s="501"/>
      <c r="L244" s="576"/>
      <c r="M244" s="576"/>
      <c r="N244" s="555" t="s">
        <v>154</v>
      </c>
      <c r="O244" s="1515"/>
      <c r="P244" s="580"/>
      <c r="Q244" s="580"/>
      <c r="R244" s="580"/>
      <c r="S244" s="962"/>
      <c r="T244" s="963"/>
      <c r="U244" s="963"/>
      <c r="V244" s="690"/>
      <c r="W244" s="416"/>
      <c r="X244" s="416"/>
      <c r="AE244" s="983"/>
      <c r="AF244" s="984"/>
      <c r="AG244" s="984"/>
      <c r="AH244" s="983"/>
      <c r="AI244" s="834"/>
      <c r="AJ244" s="836"/>
    </row>
    <row r="245" spans="3:36" ht="58" customHeight="1">
      <c r="C245" s="1224" t="s">
        <v>155</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D15:D17"/>
    <mergeCell ref="C241:C244"/>
    <mergeCell ref="A17:C17"/>
    <mergeCell ref="C213:C214"/>
    <mergeCell ref="A215:A216"/>
    <mergeCell ref="AJ74:AJ75"/>
    <mergeCell ref="AE17:AG17"/>
    <mergeCell ref="AH17:AJ17"/>
    <mergeCell ref="S17:U17"/>
    <mergeCell ref="L2:L6"/>
    <mergeCell ref="N17:O17"/>
    <mergeCell ref="L17:M17"/>
    <mergeCell ref="L9:L13"/>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4" t="str">
        <f>BIBLE!E20</f>
        <v>B00</v>
      </c>
      <c r="B3" t="str">
        <f>BIBLE!F20</f>
        <v xml:space="preserve">Identification: Qui êtes-vous ? </v>
      </c>
      <c r="D3" s="1644" t="s">
        <v>1453</v>
      </c>
      <c r="E3" s="267"/>
      <c r="P3" s="1446">
        <f>'TEST_pour PROTOTYPE'!D4</f>
        <v>0</v>
      </c>
      <c r="W3" s="500"/>
      <c r="X3" s="291"/>
    </row>
    <row r="4" spans="1:24" ht="16" customHeight="1">
      <c r="A4" s="1184"/>
      <c r="B4" s="2" t="s">
        <v>1454</v>
      </c>
      <c r="D4" s="1644">
        <v>1</v>
      </c>
      <c r="E4" s="1452" t="str">
        <f t="shared" ref="E4:E9" si="0">IF(P$3=D4,1,"x")</f>
        <v>x</v>
      </c>
      <c r="W4" s="500"/>
      <c r="X4" s="291"/>
    </row>
    <row r="5" spans="1:24" ht="16" customHeight="1">
      <c r="A5" s="1184"/>
      <c r="B5" s="2" t="s">
        <v>1455</v>
      </c>
      <c r="D5" s="1644">
        <v>2</v>
      </c>
      <c r="E5" s="1452" t="str">
        <f t="shared" si="0"/>
        <v>x</v>
      </c>
      <c r="W5" s="500"/>
      <c r="X5" s="291"/>
    </row>
    <row r="6" spans="1:24" ht="16" customHeight="1">
      <c r="A6" s="1184"/>
      <c r="B6" s="2" t="s">
        <v>1456</v>
      </c>
      <c r="D6" s="1644">
        <v>3</v>
      </c>
      <c r="E6" s="1452" t="str">
        <f t="shared" si="0"/>
        <v>x</v>
      </c>
      <c r="W6" s="500"/>
      <c r="X6" s="291"/>
    </row>
    <row r="7" spans="1:24" ht="16" customHeight="1">
      <c r="A7" s="1184"/>
      <c r="B7" s="2" t="s">
        <v>1457</v>
      </c>
      <c r="D7" s="1644">
        <v>4</v>
      </c>
      <c r="E7" s="1452" t="str">
        <f t="shared" si="0"/>
        <v>x</v>
      </c>
      <c r="W7" s="500"/>
      <c r="X7" s="291"/>
    </row>
    <row r="8" spans="1:24" ht="16" customHeight="1">
      <c r="A8" s="1184"/>
      <c r="B8" s="2" t="s">
        <v>1458</v>
      </c>
      <c r="D8" s="1644">
        <v>5</v>
      </c>
      <c r="E8" s="1452" t="str">
        <f t="shared" si="0"/>
        <v>x</v>
      </c>
      <c r="W8" s="500"/>
      <c r="X8" s="291"/>
    </row>
    <row r="9" spans="1:24" ht="16" customHeight="1">
      <c r="A9" s="1184"/>
      <c r="B9" s="2" t="s">
        <v>1459</v>
      </c>
      <c r="D9" s="1644" t="s">
        <v>1460</v>
      </c>
      <c r="E9" s="1452" t="str">
        <f t="shared" si="0"/>
        <v>x</v>
      </c>
      <c r="W9" s="500"/>
      <c r="X9" s="291"/>
    </row>
    <row r="10" spans="1:24" ht="21" customHeight="1">
      <c r="A10" s="1184"/>
      <c r="D10" s="1644"/>
      <c r="W10" s="500"/>
      <c r="X10" s="291"/>
    </row>
    <row r="11" spans="1:24">
      <c r="A11" s="1184" t="str">
        <f>BIBLE!E21</f>
        <v>B01</v>
      </c>
      <c r="B11" t="str">
        <f>IF($P$3&gt;=4,BIBLE!F21," ")</f>
        <v xml:space="preserve"> </v>
      </c>
      <c r="D11" s="1644"/>
      <c r="P11" s="1446">
        <f>'TEST_pour PROTOTYPE'!D5</f>
        <v>0</v>
      </c>
      <c r="X11" s="291" t="s">
        <v>1461</v>
      </c>
    </row>
    <row r="12" spans="1:24" ht="20" customHeight="1">
      <c r="A12" s="1184"/>
      <c r="B12" t="str">
        <f>IF($P$3&gt;=4,"Une autre mère"," ")</f>
        <v xml:space="preserve"> </v>
      </c>
      <c r="C12" s="2"/>
      <c r="D12" s="1644">
        <v>1</v>
      </c>
      <c r="E12" s="1452" t="str">
        <f>IF(P$11=D12,1,"x")</f>
        <v>x</v>
      </c>
    </row>
    <row r="13" spans="1:24" ht="18" customHeight="1">
      <c r="A13" s="1184"/>
      <c r="B13" t="str">
        <f>IF($P$3&gt;=4,"Un autre père "," ")</f>
        <v xml:space="preserve"> </v>
      </c>
      <c r="C13" s="2"/>
      <c r="D13" s="1644">
        <v>2</v>
      </c>
      <c r="E13" s="1452" t="str">
        <f>IF(P$11=D13,1,"x")</f>
        <v>x</v>
      </c>
      <c r="W13" t="s">
        <v>1462</v>
      </c>
    </row>
    <row r="14" spans="1:24" ht="18" customHeight="1">
      <c r="A14" s="1184"/>
      <c r="B14" t="str">
        <f>IF($P$3&gt;=4,"Un autre parent (non binaire)"," ")</f>
        <v xml:space="preserve"> </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f>'TEST_pour PROTOTYPE'!D6</f>
        <v>0</v>
      </c>
    </row>
    <row r="17" spans="1:16" ht="19" customHeight="1">
      <c r="A17" s="1184"/>
      <c r="B17" s="2" t="s">
        <v>1463</v>
      </c>
      <c r="D17" s="1644">
        <v>1</v>
      </c>
      <c r="E17" s="1452" t="str">
        <f>IF(P$16=D17,1,"x")</f>
        <v>x</v>
      </c>
    </row>
    <row r="18" spans="1:16" ht="19" customHeight="1">
      <c r="A18" s="1184"/>
      <c r="B18" s="2" t="s">
        <v>1464</v>
      </c>
      <c r="D18" s="1644">
        <v>2</v>
      </c>
      <c r="E18" s="1452" t="str">
        <f>IF(P$16=D18,1,"x")</f>
        <v>x</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f>'TEST_pour PROTOTYPE'!D7</f>
        <v>0</v>
      </c>
    </row>
    <row r="22" spans="1:16" ht="14" customHeight="1">
      <c r="A22" s="1184"/>
      <c r="B22" s="2" t="s">
        <v>1465</v>
      </c>
      <c r="D22" s="1644">
        <v>1</v>
      </c>
      <c r="E22" s="1452" t="str">
        <f>IF(P$21=D22,1,"x")</f>
        <v>x</v>
      </c>
    </row>
    <row r="23" spans="1:16" ht="14" customHeight="1">
      <c r="A23" s="1184"/>
      <c r="B23" s="2" t="s">
        <v>1466</v>
      </c>
      <c r="D23" s="1644">
        <v>2</v>
      </c>
      <c r="E23" s="1452" t="str">
        <f>IF(P$21=D23,1,"x")</f>
        <v>x</v>
      </c>
    </row>
    <row r="24" spans="1:16" ht="14" customHeight="1">
      <c r="A24" s="1184"/>
      <c r="B24" s="2" t="s">
        <v>1467</v>
      </c>
      <c r="D24" s="1644">
        <v>3</v>
      </c>
      <c r="E24" s="1452" t="str">
        <f>IF(P$21=D24,1,"x")</f>
        <v>x</v>
      </c>
    </row>
    <row r="25" spans="1:16" ht="14" customHeight="1">
      <c r="A25" s="1184"/>
      <c r="B25" s="2" t="s">
        <v>1468</v>
      </c>
      <c r="D25" s="1644">
        <v>4</v>
      </c>
      <c r="E25" s="1452" t="str">
        <f>IF(P$21=D25,1,"x")</f>
        <v>x</v>
      </c>
    </row>
    <row r="26" spans="1:16" ht="14" customHeight="1">
      <c r="A26" s="1184"/>
      <c r="B26" s="2" t="s">
        <v>1469</v>
      </c>
      <c r="D26" s="1644">
        <v>5</v>
      </c>
      <c r="E26" s="1452" t="str">
        <f>IF(P$21=D26,1,"x")</f>
        <v>x</v>
      </c>
    </row>
    <row r="27" spans="1:16">
      <c r="A27" s="1184" t="str">
        <f>BIBLE!E24</f>
        <v>B04</v>
      </c>
      <c r="B27" t="str">
        <f>BIBLE!F24</f>
        <v xml:space="preserve">Depuis combien de temps êtes vous séparé·e de l'autre parent (coparent) ? </v>
      </c>
      <c r="D27" s="1644"/>
      <c r="P27" s="1446">
        <f>'TEST_pour PROTOTYPE'!D8</f>
        <v>0</v>
      </c>
    </row>
    <row r="28" spans="1:16" ht="14" customHeight="1">
      <c r="A28" s="1184"/>
      <c r="B28" s="2" t="s">
        <v>1470</v>
      </c>
      <c r="D28" s="1644">
        <v>1</v>
      </c>
      <c r="E28" s="1452" t="str">
        <f>IF(P$27=D28,1,"x")</f>
        <v>x</v>
      </c>
    </row>
    <row r="29" spans="1:16" ht="14" customHeight="1">
      <c r="A29" s="1184"/>
      <c r="B29" s="2" t="s">
        <v>1471</v>
      </c>
      <c r="D29" s="1644">
        <v>2</v>
      </c>
      <c r="E29" s="1452" t="str">
        <f>IF(P$27=D29,1,"x")</f>
        <v>x</v>
      </c>
    </row>
    <row r="30" spans="1:16" ht="14" customHeight="1">
      <c r="A30" s="1184"/>
      <c r="B30" s="2" t="s">
        <v>1466</v>
      </c>
      <c r="D30" s="1644">
        <v>3</v>
      </c>
      <c r="E30" s="1452" t="str">
        <f>IF(P$27=D30,1,"x")</f>
        <v>x</v>
      </c>
      <c r="G30" s="3"/>
      <c r="I30" s="141"/>
    </row>
    <row r="31" spans="1:16" ht="14" customHeight="1">
      <c r="A31" s="1184"/>
      <c r="B31" s="2" t="s">
        <v>1467</v>
      </c>
      <c r="D31" s="1644">
        <v>4</v>
      </c>
      <c r="E31" s="1452" t="str">
        <f>IF(P$27=D31,1,"x")</f>
        <v>x</v>
      </c>
    </row>
    <row r="32" spans="1:16" ht="14" customHeight="1">
      <c r="A32" s="1184"/>
      <c r="B32" s="2" t="s">
        <v>1472</v>
      </c>
      <c r="D32" s="1644">
        <v>5</v>
      </c>
      <c r="E32" s="1452" t="str">
        <f>IF(P$27=D32,1,"x")</f>
        <v>x</v>
      </c>
    </row>
    <row r="33" spans="1:18" ht="14" customHeight="1">
      <c r="A33" s="1184"/>
      <c r="B33" s="2"/>
      <c r="D33" s="1644"/>
    </row>
    <row r="34" spans="1:18" ht="14" customHeight="1">
      <c r="A34" s="1184" t="str">
        <f>BIBLE!E25</f>
        <v>B05</v>
      </c>
      <c r="B34" s="291" t="str">
        <f>BIBLE!F25</f>
        <v>Combien d'enfants compte la fratrie ?</v>
      </c>
      <c r="D34" s="1644"/>
      <c r="P34" s="1446">
        <f>'TEST_pour PROTOTYPE'!D9</f>
        <v>0</v>
      </c>
    </row>
    <row r="35" spans="1:18" ht="14" customHeight="1">
      <c r="A35" s="1184"/>
      <c r="B35" s="2" t="s">
        <v>1473</v>
      </c>
      <c r="D35" s="1644">
        <v>1</v>
      </c>
      <c r="E35" s="1452" t="str">
        <f>IF(P$34=D35,1,"x")</f>
        <v>x</v>
      </c>
    </row>
    <row r="36" spans="1:18" ht="14" customHeight="1">
      <c r="A36" s="1184"/>
      <c r="B36" s="2" t="s">
        <v>1474</v>
      </c>
      <c r="D36" s="1644">
        <v>2</v>
      </c>
      <c r="E36" s="1452" t="str">
        <f>IF(P$34=D36,1,"x")</f>
        <v>x</v>
      </c>
    </row>
    <row r="37" spans="1:18" ht="14" customHeight="1">
      <c r="A37" s="1184"/>
      <c r="B37" s="2" t="s">
        <v>1475</v>
      </c>
      <c r="D37" s="1644">
        <v>3</v>
      </c>
      <c r="E37" s="1452" t="str">
        <f>IF(P$34=D37,1,"x")</f>
        <v>x</v>
      </c>
    </row>
    <row r="38" spans="1:18" ht="14" customHeight="1">
      <c r="A38" s="1184"/>
      <c r="B38" s="2" t="s">
        <v>1476</v>
      </c>
      <c r="D38" s="1644">
        <v>4</v>
      </c>
      <c r="E38" s="1452" t="str">
        <f>IF(P$34=D38,1,"x")</f>
        <v>x</v>
      </c>
    </row>
    <row r="39" spans="1:18" ht="14" customHeight="1" thickBot="1">
      <c r="A39" s="1184"/>
      <c r="B39" s="2"/>
      <c r="D39" s="1644"/>
    </row>
    <row r="40" spans="1:18" ht="16" customHeight="1" thickBot="1">
      <c r="A40" s="1184" t="str">
        <f>BIBLE!E26</f>
        <v>B06</v>
      </c>
      <c r="B40" t="str">
        <f>BIBLE!F26</f>
        <v>Quel âge a l'enfant qui fait l'objet de l'analyse ?</v>
      </c>
      <c r="D40" s="1644"/>
      <c r="E40" s="30">
        <f>P$40</f>
        <v>0</v>
      </c>
      <c r="P40" s="1446">
        <f>'TEST_pour PROTOTYPE'!D10</f>
        <v>0</v>
      </c>
    </row>
    <row r="41" spans="1:18" ht="15" customHeight="1">
      <c r="A41" s="1184"/>
      <c r="D41" s="1644"/>
    </row>
    <row r="42" spans="1:18">
      <c r="A42" s="1184" t="str">
        <f>BIBLE!E27</f>
        <v>B07</v>
      </c>
      <c r="B42" t="str">
        <f>BIBLE!F27</f>
        <v xml:space="preserve">Quelle est votre situation familiale actuelle ? </v>
      </c>
      <c r="D42" s="1644"/>
      <c r="P42" s="1446">
        <f>'TEST_pour PROTOTYPE'!D11</f>
        <v>0</v>
      </c>
    </row>
    <row r="43" spans="1:18" ht="15" customHeight="1">
      <c r="A43" s="1184"/>
      <c r="B43" s="2" t="s">
        <v>1477</v>
      </c>
      <c r="D43" s="1644">
        <v>1</v>
      </c>
      <c r="E43" s="1452" t="str">
        <f>IF(P$42=D43,1,"x")</f>
        <v>x</v>
      </c>
    </row>
    <row r="44" spans="1:18" ht="15" customHeight="1">
      <c r="A44" s="1184"/>
      <c r="B44" s="2" t="s">
        <v>1478</v>
      </c>
      <c r="D44" s="1644">
        <v>2</v>
      </c>
      <c r="E44" s="1452" t="str">
        <f>IF(P$42=D44,1,"x")</f>
        <v>x</v>
      </c>
    </row>
    <row r="45" spans="1:18" ht="15" customHeight="1">
      <c r="A45" s="1184"/>
      <c r="B45" s="2" t="s">
        <v>1479</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f>'TEST_pour PROTOTYPE'!D12</f>
        <v>0</v>
      </c>
    </row>
    <row r="47" spans="1:18" ht="16" customHeight="1">
      <c r="A47" s="1184"/>
      <c r="B47" s="2" t="s">
        <v>1477</v>
      </c>
      <c r="D47" s="1644">
        <v>1</v>
      </c>
      <c r="E47" s="1452" t="str">
        <f>IF(P$46=D47,1,"x")</f>
        <v>x</v>
      </c>
    </row>
    <row r="48" spans="1:18" ht="14" customHeight="1">
      <c r="A48" s="1184"/>
      <c r="B48" s="2" t="s">
        <v>1478</v>
      </c>
      <c r="D48" s="1644">
        <v>2</v>
      </c>
      <c r="E48" s="1452" t="str">
        <f>IF(P$46=D48,1,"x")</f>
        <v>x</v>
      </c>
    </row>
    <row r="49" spans="1:29" ht="14" customHeight="1">
      <c r="A49" s="1184"/>
      <c r="B49" s="2" t="s">
        <v>1479</v>
      </c>
      <c r="D49" s="1644">
        <v>3</v>
      </c>
      <c r="E49" s="1452" t="str">
        <f>IF(P$46=D49,1,"x")</f>
        <v>x</v>
      </c>
    </row>
    <row r="50" spans="1:29" ht="18" customHeight="1">
      <c r="A50" s="1184"/>
      <c r="C50" s="255" t="s">
        <v>62</v>
      </c>
      <c r="D50" s="264" t="s">
        <v>453</v>
      </c>
      <c r="E50" s="2524" t="s">
        <v>64</v>
      </c>
      <c r="F50" s="2458"/>
      <c r="G50" s="2458"/>
      <c r="H50" s="2458"/>
      <c r="I50" s="2458"/>
      <c r="J50" s="2458"/>
      <c r="K50" s="2458"/>
      <c r="L50" s="2458"/>
      <c r="M50" s="2458"/>
      <c r="N50" s="2458"/>
      <c r="O50" s="2458"/>
    </row>
    <row r="51" spans="1:29" ht="18" customHeight="1">
      <c r="A51" s="1184"/>
      <c r="C51" s="255"/>
      <c r="D51" s="264"/>
      <c r="E51" s="466" t="s">
        <v>1480</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1481</v>
      </c>
      <c r="Q52" s="60" t="s">
        <v>1482</v>
      </c>
      <c r="R52" s="60" t="s">
        <v>1483</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479</v>
      </c>
      <c r="U53" s="7" t="s">
        <v>1484</v>
      </c>
      <c r="V53" s="8"/>
      <c r="X53" s="8"/>
      <c r="Y53" s="8"/>
      <c r="Z53" s="8"/>
      <c r="AA53" s="8"/>
      <c r="AB53" s="8"/>
      <c r="AC53" s="8"/>
    </row>
    <row r="54" spans="1:29" s="7" customFormat="1" ht="23" customHeight="1">
      <c r="A54" s="1184" t="str">
        <f>BIBLE!E30</f>
        <v>B11a</v>
      </c>
      <c r="B54" s="1499" t="str">
        <f>IF(P53&gt;=$R$53,BIBLE!F30," ")</f>
        <v xml:space="preserve"> </v>
      </c>
      <c r="C54" s="257" t="s">
        <v>1485</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c r="A55" s="1184"/>
      <c r="B55" s="131"/>
      <c r="C55" s="257" t="s">
        <v>1486</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479</v>
      </c>
      <c r="U58" s="7" t="s">
        <v>1487</v>
      </c>
    </row>
    <row r="59" spans="1:29">
      <c r="A59" s="1184" t="str">
        <f t="shared" ref="A59:A65" si="1">A58</f>
        <v>B12</v>
      </c>
      <c r="C59" s="1464"/>
      <c r="D59" s="1445"/>
      <c r="E59" s="1"/>
      <c r="O59" t="s">
        <v>1488</v>
      </c>
      <c r="P59" s="1447">
        <f>MAX(P60:P65)</f>
        <v>0</v>
      </c>
      <c r="U59" s="7"/>
    </row>
    <row r="60" spans="1:29" ht="17" customHeight="1">
      <c r="A60" s="1184" t="str">
        <f t="shared" si="1"/>
        <v>B12</v>
      </c>
      <c r="B60" s="1465"/>
      <c r="C60" s="1466" t="s">
        <v>1489</v>
      </c>
      <c r="D60" s="1445">
        <v>1</v>
      </c>
      <c r="E60" s="1463">
        <f>'TEST_pour PROTOTYPE'!D17</f>
        <v>0</v>
      </c>
      <c r="P60" s="1462">
        <f t="shared" ref="P60:P65" si="2">D60*E60</f>
        <v>0</v>
      </c>
      <c r="U60" s="7"/>
    </row>
    <row r="61" spans="1:29" ht="17" customHeight="1">
      <c r="A61" s="1184" t="str">
        <f t="shared" si="1"/>
        <v>B12</v>
      </c>
      <c r="C61" s="1466" t="s">
        <v>1490</v>
      </c>
      <c r="D61" s="1445">
        <v>2</v>
      </c>
      <c r="E61" s="1463">
        <f>'TEST_pour PROTOTYPE'!D18</f>
        <v>0</v>
      </c>
      <c r="F61" s="19"/>
      <c r="G61" s="19"/>
      <c r="H61" s="19"/>
      <c r="I61" s="19"/>
      <c r="J61" s="19"/>
      <c r="K61" s="19"/>
      <c r="L61" s="19"/>
      <c r="M61" s="19"/>
      <c r="N61" s="19"/>
      <c r="O61" s="19"/>
      <c r="P61" s="1462">
        <f t="shared" si="2"/>
        <v>0</v>
      </c>
      <c r="Q61" s="6"/>
      <c r="U61" s="7"/>
    </row>
    <row r="62" spans="1:29" ht="17" customHeight="1">
      <c r="A62" s="1184" t="str">
        <f t="shared" si="1"/>
        <v>B12</v>
      </c>
      <c r="C62" s="1466" t="s">
        <v>1491</v>
      </c>
      <c r="D62" s="1445">
        <v>3</v>
      </c>
      <c r="E62" s="1463">
        <f>'TEST_pour PROTOTYPE'!D19</f>
        <v>0</v>
      </c>
      <c r="F62" s="8"/>
      <c r="G62" s="8"/>
      <c r="H62" s="8"/>
      <c r="I62" s="8"/>
      <c r="J62" s="8"/>
      <c r="K62" s="8"/>
      <c r="L62" s="8"/>
      <c r="M62" s="8"/>
      <c r="N62" s="8"/>
      <c r="O62" s="8"/>
      <c r="P62" s="1462">
        <f t="shared" si="2"/>
        <v>0</v>
      </c>
      <c r="Q62" s="6"/>
      <c r="U62" s="7"/>
    </row>
    <row r="63" spans="1:29" ht="17" customHeight="1">
      <c r="A63" s="1184" t="str">
        <f t="shared" si="1"/>
        <v>B12</v>
      </c>
      <c r="B63" s="1466"/>
      <c r="C63" s="1466" t="s">
        <v>1492</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1493</v>
      </c>
      <c r="D64" s="1445">
        <v>5</v>
      </c>
      <c r="E64" s="1463">
        <f>'TEST_pour PROTOTYPE'!D21</f>
        <v>0</v>
      </c>
      <c r="G64" s="8"/>
      <c r="H64" s="8"/>
      <c r="P64" s="1462">
        <f t="shared" si="2"/>
        <v>0</v>
      </c>
      <c r="T64" s="500" t="s">
        <v>479</v>
      </c>
      <c r="U64" s="7" t="s">
        <v>1487</v>
      </c>
    </row>
    <row r="65" spans="1:21" ht="17" customHeight="1">
      <c r="A65" s="1184" t="str">
        <f t="shared" si="1"/>
        <v>B12</v>
      </c>
      <c r="C65" s="1466" t="s">
        <v>1494</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 xml:space="preserve"> </v>
      </c>
      <c r="C68" s="1466"/>
      <c r="D68" s="1445"/>
      <c r="E68" s="8"/>
      <c r="F68" s="8"/>
      <c r="G68" s="8"/>
      <c r="H68" s="15"/>
      <c r="M68" s="8"/>
      <c r="N68" s="8"/>
      <c r="O68" t="s">
        <v>1488</v>
      </c>
      <c r="P68" s="1447">
        <f>MAX(P69:P75)</f>
        <v>0</v>
      </c>
      <c r="Q68" s="6"/>
    </row>
    <row r="69" spans="1:21" ht="17" customHeight="1">
      <c r="A69" s="1184" t="str">
        <f t="shared" ref="A69:A75" si="3">A68</f>
        <v>B12a</v>
      </c>
      <c r="C69" s="1638" t="s">
        <v>1495</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1496</v>
      </c>
      <c r="D70" s="1445">
        <v>2</v>
      </c>
      <c r="E70" s="1463">
        <f>'TEST_pour PROTOTYPE'!D24</f>
        <v>0</v>
      </c>
      <c r="F70" s="8"/>
      <c r="G70" s="8"/>
      <c r="H70" s="15"/>
      <c r="M70" s="8"/>
      <c r="N70" s="8"/>
      <c r="O70" s="8"/>
      <c r="P70" s="1462">
        <f t="shared" si="4"/>
        <v>0</v>
      </c>
      <c r="Q70" s="6"/>
    </row>
    <row r="71" spans="1:21" ht="17" customHeight="1">
      <c r="A71" s="1184" t="str">
        <f t="shared" si="3"/>
        <v>B12a</v>
      </c>
      <c r="C71" s="1638" t="s">
        <v>1497</v>
      </c>
      <c r="D71" s="1445">
        <v>3</v>
      </c>
      <c r="E71" s="1463">
        <f>'TEST_pour PROTOTYPE'!D25</f>
        <v>0</v>
      </c>
      <c r="F71" s="8"/>
      <c r="G71" s="8"/>
      <c r="H71" s="15"/>
      <c r="M71" s="8"/>
      <c r="N71" s="8"/>
      <c r="O71" s="8"/>
      <c r="P71" s="1462">
        <f t="shared" si="4"/>
        <v>0</v>
      </c>
      <c r="Q71" s="6"/>
    </row>
    <row r="72" spans="1:21" ht="17" customHeight="1">
      <c r="A72" s="1184" t="str">
        <f t="shared" si="3"/>
        <v>B12a</v>
      </c>
      <c r="C72" s="1638" t="s">
        <v>1498</v>
      </c>
      <c r="D72" s="1445">
        <v>4</v>
      </c>
      <c r="E72" s="1463">
        <f>'TEST_pour PROTOTYPE'!D26</f>
        <v>0</v>
      </c>
      <c r="F72" s="8"/>
      <c r="G72" s="8"/>
      <c r="H72" s="15"/>
      <c r="M72" s="8"/>
      <c r="N72" s="8"/>
      <c r="O72" s="8"/>
      <c r="P72" s="1462">
        <f t="shared" si="4"/>
        <v>0</v>
      </c>
      <c r="Q72" s="6"/>
    </row>
    <row r="73" spans="1:21" ht="17" customHeight="1">
      <c r="A73" s="1184" t="str">
        <f t="shared" si="3"/>
        <v>B12a</v>
      </c>
      <c r="B73" s="2"/>
      <c r="C73" s="1638" t="s">
        <v>1499</v>
      </c>
      <c r="D73" s="1445">
        <v>5</v>
      </c>
      <c r="E73" s="1463">
        <f>'TEST_pour PROTOTYPE'!D27</f>
        <v>0</v>
      </c>
      <c r="F73" s="8"/>
      <c r="G73" s="8"/>
      <c r="H73" s="15"/>
      <c r="M73" s="8"/>
      <c r="N73" s="8"/>
      <c r="O73" s="8"/>
      <c r="P73" s="1462">
        <f t="shared" si="4"/>
        <v>0</v>
      </c>
      <c r="Q73" s="6"/>
      <c r="T73" s="500"/>
      <c r="U73" t="s">
        <v>1500</v>
      </c>
    </row>
    <row r="74" spans="1:21" ht="17" customHeight="1">
      <c r="A74" s="1184" t="str">
        <f t="shared" si="3"/>
        <v>B12a</v>
      </c>
      <c r="C74" s="1638" t="s">
        <v>1501</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1502</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 </v>
      </c>
      <c r="C77" s="1409"/>
      <c r="D77" s="1641"/>
      <c r="E77" s="8"/>
      <c r="F77" s="1451"/>
      <c r="G77" s="8"/>
      <c r="H77" s="15"/>
      <c r="P77" s="1446">
        <f>'TEST_pour PROTOTYPE'!D29</f>
        <v>0</v>
      </c>
    </row>
    <row r="78" spans="1:21" ht="17" customHeight="1">
      <c r="A78" s="1184"/>
      <c r="B78" s="2"/>
      <c r="C78" s="1409" t="s">
        <v>1503</v>
      </c>
      <c r="D78" s="1641">
        <v>1</v>
      </c>
      <c r="E78" s="1452" t="str">
        <f>IF(P$77=D78,1,"x")</f>
        <v>x</v>
      </c>
      <c r="F78" s="1451"/>
      <c r="G78" s="8"/>
      <c r="H78" s="15"/>
    </row>
    <row r="79" spans="1:21" ht="17" customHeight="1">
      <c r="A79" s="1184"/>
      <c r="B79" s="2"/>
      <c r="C79" s="1409" t="s">
        <v>1504</v>
      </c>
      <c r="D79" s="1641">
        <v>2</v>
      </c>
      <c r="E79" s="1452" t="str">
        <f>IF(P$77=D79,1,"x")</f>
        <v>x</v>
      </c>
      <c r="F79" s="1451"/>
      <c r="G79" s="8"/>
      <c r="H79" s="15"/>
    </row>
    <row r="80" spans="1:21" ht="17" customHeight="1">
      <c r="A80" s="1184"/>
      <c r="B80" s="2"/>
      <c r="C80" s="1409" t="s">
        <v>1505</v>
      </c>
      <c r="D80" s="1641">
        <v>3</v>
      </c>
      <c r="E80" s="1452" t="str">
        <f>IF(P$77=D80,1,"x")</f>
        <v>x</v>
      </c>
      <c r="F80" s="1451"/>
      <c r="G80" s="8"/>
      <c r="H80" s="15"/>
    </row>
    <row r="81" spans="1:44" ht="17" customHeight="1">
      <c r="A81" s="1184"/>
      <c r="B81" s="2"/>
      <c r="C81" s="1409" t="s">
        <v>1506</v>
      </c>
      <c r="D81" s="1641">
        <v>4</v>
      </c>
      <c r="E81" s="1452" t="str">
        <f>IF(P$77=D81,1,"x")</f>
        <v>x</v>
      </c>
      <c r="F81" s="1451"/>
      <c r="G81" s="8"/>
      <c r="H81" s="15"/>
    </row>
    <row r="82" spans="1:44" ht="17" customHeight="1">
      <c r="A82" s="1184"/>
      <c r="B82" s="2"/>
      <c r="C82" s="1409" t="s">
        <v>1507</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1485</v>
      </c>
      <c r="D84" s="1641">
        <v>1</v>
      </c>
      <c r="E84" s="1452" t="str">
        <f>IF(P$84=D84,1,"x")</f>
        <v>x</v>
      </c>
      <c r="F84" s="1451"/>
      <c r="G84" s="8"/>
      <c r="H84" s="15"/>
      <c r="P84" s="1446">
        <f>'TEST_pour PROTOTYPE'!D30</f>
        <v>0</v>
      </c>
    </row>
    <row r="85" spans="1:44" ht="17" customHeight="1">
      <c r="A85" s="1184"/>
      <c r="C85" s="1468" t="s">
        <v>1486</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1508</v>
      </c>
      <c r="P87" s="1446">
        <f>SUM(P88:P92)</f>
        <v>0</v>
      </c>
    </row>
    <row r="88" spans="1:44" ht="35" customHeight="1">
      <c r="A88" s="1184" t="str">
        <f>A93</f>
        <v>B12d</v>
      </c>
      <c r="C88" s="1469" t="s">
        <v>1509</v>
      </c>
      <c r="D88" s="1445">
        <v>1</v>
      </c>
      <c r="E88" s="37">
        <f>'TEST_pour PROTOTYPE'!D31</f>
        <v>0</v>
      </c>
      <c r="F88" s="1451"/>
      <c r="G88" s="8"/>
      <c r="H88" s="15"/>
      <c r="P88" s="1462">
        <f t="shared" ref="P88:P93" si="5">D88*E88</f>
        <v>0</v>
      </c>
      <c r="AE88" s="2518" t="s">
        <v>1510</v>
      </c>
      <c r="AF88" s="2519" t="s">
        <v>1511</v>
      </c>
      <c r="AG88" s="1704"/>
      <c r="AH88" s="2525" t="s">
        <v>1512</v>
      </c>
      <c r="AI88" s="2508"/>
      <c r="AJ88" s="2526"/>
      <c r="AK88" s="2527" t="s">
        <v>1513</v>
      </c>
      <c r="AL88" s="2508"/>
      <c r="AM88" s="2508"/>
      <c r="AN88" s="2508"/>
      <c r="AO88" s="2508"/>
      <c r="AP88" s="2508"/>
      <c r="AQ88" s="2508"/>
      <c r="AR88" s="2526"/>
    </row>
    <row r="89" spans="1:44" ht="35" customHeight="1">
      <c r="A89" s="1184" t="str">
        <f>A88</f>
        <v>B12d</v>
      </c>
      <c r="C89" s="1469" t="s">
        <v>1514</v>
      </c>
      <c r="D89" s="1445">
        <v>2</v>
      </c>
      <c r="E89" s="37">
        <f>'TEST_pour PROTOTYPE'!D32</f>
        <v>0</v>
      </c>
      <c r="F89" s="1451"/>
      <c r="G89" s="8"/>
      <c r="H89" s="15"/>
      <c r="P89" s="1462">
        <f t="shared" si="5"/>
        <v>0</v>
      </c>
      <c r="AE89" s="2463"/>
      <c r="AF89" s="2463"/>
      <c r="AG89" s="1695"/>
      <c r="AH89" s="2521" t="s">
        <v>1515</v>
      </c>
      <c r="AI89" s="2520" t="s">
        <v>1516</v>
      </c>
      <c r="AJ89" s="2510" t="s">
        <v>1517</v>
      </c>
      <c r="AK89" s="2521" t="s">
        <v>467</v>
      </c>
      <c r="AL89" s="2506" t="s">
        <v>1518</v>
      </c>
      <c r="AM89" s="2506" t="s">
        <v>1519</v>
      </c>
      <c r="AN89" s="2506" t="s">
        <v>1520</v>
      </c>
      <c r="AO89" s="2506" t="s">
        <v>1521</v>
      </c>
      <c r="AP89" s="2506" t="s">
        <v>1522</v>
      </c>
      <c r="AQ89" s="2506" t="s">
        <v>1523</v>
      </c>
      <c r="AR89" s="2500" t="s">
        <v>1524</v>
      </c>
    </row>
    <row r="90" spans="1:44" ht="35" customHeight="1">
      <c r="A90" s="1184" t="str">
        <f>A89</f>
        <v>B12d</v>
      </c>
      <c r="C90" s="1469" t="s">
        <v>1525</v>
      </c>
      <c r="D90" s="1445">
        <v>3</v>
      </c>
      <c r="E90" s="37">
        <f>'TEST_pour PROTOTYPE'!D33</f>
        <v>0</v>
      </c>
      <c r="F90" s="1451"/>
      <c r="G90" s="8"/>
      <c r="H90" s="15"/>
      <c r="P90" s="1462">
        <f t="shared" si="5"/>
        <v>0</v>
      </c>
      <c r="AE90" s="2463"/>
      <c r="AF90" s="2463"/>
      <c r="AG90" s="1695"/>
      <c r="AH90" s="2522"/>
      <c r="AI90" s="2458"/>
      <c r="AJ90" s="2501"/>
      <c r="AK90" s="2522"/>
      <c r="AL90" s="2458"/>
      <c r="AM90" s="2458"/>
      <c r="AN90" s="2458"/>
      <c r="AO90" s="2458"/>
      <c r="AP90" s="2458"/>
      <c r="AQ90" s="2458"/>
      <c r="AR90" s="2501"/>
    </row>
    <row r="91" spans="1:44" ht="35" customHeight="1">
      <c r="A91" s="1184" t="str">
        <f>A90</f>
        <v>B12d</v>
      </c>
      <c r="C91" s="1469" t="s">
        <v>1526</v>
      </c>
      <c r="D91" s="1445">
        <v>4</v>
      </c>
      <c r="E91" s="37">
        <f>'TEST_pour PROTOTYPE'!D34</f>
        <v>0</v>
      </c>
      <c r="F91" s="1451"/>
      <c r="G91" s="8"/>
      <c r="H91" s="15"/>
      <c r="P91" s="1462">
        <f t="shared" si="5"/>
        <v>0</v>
      </c>
      <c r="AE91" s="2463"/>
      <c r="AF91" s="2463"/>
      <c r="AG91" s="1695"/>
      <c r="AH91" s="2522"/>
      <c r="AI91" s="2458"/>
      <c r="AJ91" s="2501"/>
      <c r="AK91" s="2522"/>
      <c r="AL91" s="2458"/>
      <c r="AM91" s="2458"/>
      <c r="AN91" s="2458"/>
      <c r="AO91" s="2458"/>
      <c r="AP91" s="2458"/>
      <c r="AQ91" s="2458"/>
      <c r="AR91" s="2501"/>
    </row>
    <row r="92" spans="1:44" ht="33" customHeight="1">
      <c r="A92" s="1184" t="str">
        <f>A91</f>
        <v>B12d</v>
      </c>
      <c r="C92" s="1469" t="s">
        <v>1527</v>
      </c>
      <c r="D92" s="1445">
        <v>5</v>
      </c>
      <c r="E92" s="37">
        <f>'TEST_pour PROTOTYPE'!D35</f>
        <v>0</v>
      </c>
      <c r="F92" s="1451"/>
      <c r="G92" s="8"/>
      <c r="H92" s="15"/>
      <c r="P92" s="1462">
        <f t="shared" si="5"/>
        <v>0</v>
      </c>
      <c r="AE92" s="2463"/>
      <c r="AF92" s="2463"/>
      <c r="AG92" s="1695"/>
      <c r="AH92" s="2522"/>
      <c r="AI92" s="2458"/>
      <c r="AJ92" s="2501"/>
      <c r="AK92" s="2522"/>
      <c r="AL92" s="2458"/>
      <c r="AM92" s="2458"/>
      <c r="AN92" s="2458"/>
      <c r="AO92" s="2458"/>
      <c r="AP92" s="2458"/>
      <c r="AQ92" s="2458"/>
      <c r="AR92" s="2501"/>
    </row>
    <row r="93" spans="1:44" ht="33" customHeight="1">
      <c r="A93" s="1184" t="str">
        <f>A87</f>
        <v>B12d</v>
      </c>
      <c r="B93" s="1660"/>
      <c r="C93" s="1470" t="s">
        <v>1528</v>
      </c>
      <c r="D93" s="1445">
        <v>0</v>
      </c>
      <c r="E93" s="37">
        <f>'TEST_pour PROTOTYPE'!D36</f>
        <v>0</v>
      </c>
      <c r="F93" s="1451"/>
      <c r="G93" s="8"/>
      <c r="H93" s="15"/>
      <c r="P93" s="1462">
        <f t="shared" si="5"/>
        <v>0</v>
      </c>
      <c r="AE93" s="2463"/>
      <c r="AF93" s="2463"/>
      <c r="AG93" s="1695"/>
      <c r="AH93" s="2522"/>
      <c r="AI93" s="2458"/>
      <c r="AJ93" s="2501"/>
      <c r="AK93" s="2522"/>
      <c r="AL93" s="2458"/>
      <c r="AM93" s="2458"/>
      <c r="AN93" s="2458"/>
      <c r="AO93" s="2458"/>
      <c r="AP93" s="2458"/>
      <c r="AQ93" s="2458"/>
      <c r="AR93" s="2501"/>
    </row>
    <row r="94" spans="1:44" ht="25" customHeight="1">
      <c r="A94" s="1184" t="str">
        <f>A92</f>
        <v>B12d</v>
      </c>
      <c r="C94" s="1542" t="s">
        <v>1529</v>
      </c>
      <c r="D94" s="1543" t="s">
        <v>1460</v>
      </c>
      <c r="E94" s="37"/>
      <c r="F94" s="8"/>
      <c r="G94" s="8"/>
      <c r="H94" s="1451"/>
      <c r="I94" s="8"/>
      <c r="J94" s="15"/>
      <c r="P94" s="1462"/>
      <c r="AE94" s="2464"/>
      <c r="AF94" s="2464"/>
      <c r="AG94" s="1696"/>
      <c r="AH94" s="2523"/>
      <c r="AI94" s="2460"/>
      <c r="AJ94" s="2502"/>
      <c r="AK94" s="2523"/>
      <c r="AL94" s="2460"/>
      <c r="AM94" s="2460"/>
      <c r="AN94" s="2460"/>
      <c r="AO94" s="2460"/>
      <c r="AP94" s="2460"/>
      <c r="AQ94" s="2460"/>
      <c r="AR94" s="2502"/>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68" t="s">
        <v>1530</v>
      </c>
      <c r="F96" s="2458"/>
      <c r="G96" s="2458"/>
      <c r="H96" s="2458"/>
      <c r="I96" s="2458"/>
      <c r="J96" s="2458"/>
      <c r="K96" s="2458"/>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6"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1534</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1"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1535</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1"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1" customHeight="1">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1536</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6"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39.5"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39" customHeight="1">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68" t="s">
        <v>1530</v>
      </c>
      <c r="F108" s="2468"/>
      <c r="G108" s="2468"/>
      <c r="H108" s="2468"/>
      <c r="I108" s="2468"/>
      <c r="J108" s="2468"/>
      <c r="K108" s="2468"/>
      <c r="X108" s="2516" t="s">
        <v>1537</v>
      </c>
      <c r="Y108" s="2468"/>
      <c r="Z108" s="2468"/>
      <c r="AA108" s="2468"/>
      <c r="AB108" s="2468"/>
      <c r="AC108" s="2468"/>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1540</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6" t="str">
        <f>BIBLE!E54</f>
        <v>PCR01b</v>
      </c>
      <c r="B115" s="103" t="str">
        <f>IF(P$112&gt;=R$112,BIBLE!F54," ")</f>
        <v xml:space="preserve"> </v>
      </c>
      <c r="C115" s="69"/>
      <c r="D115" s="1643"/>
      <c r="E115" s="20"/>
      <c r="F115" s="20"/>
      <c r="G115" s="20"/>
      <c r="H115" s="20"/>
      <c r="I115" s="20"/>
      <c r="J115" s="20"/>
      <c r="K115" s="20"/>
      <c r="L115" s="20"/>
      <c r="M115" s="20"/>
      <c r="N115" s="20"/>
      <c r="O115" s="1545"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09"/>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3"/>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04"/>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05"/>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05"/>
      <c r="B122" s="283" t="str">
        <f>IF(P112&gt;=R112,"Autre (spécifiez)","")</f>
        <v/>
      </c>
      <c r="C122" s="69"/>
      <c r="D122" s="1445" t="s">
        <v>1460</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79"/>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
      </c>
      <c r="C127" s="69"/>
      <c r="D127" s="1643"/>
      <c r="E127" s="20"/>
      <c r="F127" s="20"/>
      <c r="G127" s="20"/>
      <c r="H127" s="20"/>
      <c r="I127" s="20"/>
      <c r="J127" s="20"/>
      <c r="K127" s="20"/>
      <c r="L127" s="20"/>
      <c r="M127" s="20"/>
      <c r="N127" s="19"/>
      <c r="O127" s="1545" t="s">
        <v>1542</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
      </c>
      <c r="C133" s="69"/>
      <c r="D133" s="1445" t="s">
        <v>1460</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
      </c>
      <c r="C148" s="553"/>
      <c r="D148" s="1445" t="s">
        <v>1460</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c r="A152" s="1186" t="str">
        <f>BIBLE!E71</f>
        <v>PCR15a</v>
      </c>
      <c r="B152" s="2511" t="str">
        <f>IF(P151&gt;=R151,BIBLE!F71," ")</f>
        <v xml:space="preserve"> </v>
      </c>
      <c r="C152" s="100" t="s">
        <v>1485</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81"/>
      <c r="C153" s="100" t="s">
        <v>1486</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c r="A160" s="259"/>
      <c r="B160" s="54"/>
      <c r="C160" s="277"/>
      <c r="D160" s="269"/>
      <c r="P160" s="67"/>
      <c r="Q160" s="6"/>
      <c r="X160" s="6"/>
      <c r="Y160" s="7" t="s">
        <v>1544</v>
      </c>
      <c r="Z160" s="8" t="s">
        <v>1545</v>
      </c>
      <c r="AA160" s="8" t="s">
        <v>19</v>
      </c>
      <c r="AB160" s="8" t="s">
        <v>20</v>
      </c>
      <c r="AC160" s="8" t="s">
        <v>1546</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c r="A161" s="105"/>
      <c r="B161" s="25"/>
      <c r="C161" s="100"/>
      <c r="D161" s="266"/>
      <c r="P161" s="23"/>
      <c r="Q161" s="24"/>
      <c r="R161" s="16"/>
      <c r="S161" s="16"/>
      <c r="T161" s="16"/>
      <c r="U161" s="16"/>
      <c r="V161" s="16"/>
      <c r="W161" s="16"/>
      <c r="X161" s="2516" t="s">
        <v>1537</v>
      </c>
      <c r="Y161" s="2468"/>
      <c r="Z161" s="2468"/>
      <c r="AA161" s="2468"/>
      <c r="AB161" s="2468"/>
      <c r="AC161" s="2468"/>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101</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12" t="str">
        <f>IF(P166&gt;=R166,BIBLE!F83,"")</f>
        <v/>
      </c>
      <c r="C167" s="100" t="s">
        <v>1547</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13"/>
      <c r="C168" s="100" t="s">
        <v>1548</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1550</v>
      </c>
      <c r="BC192" s="1250"/>
      <c r="BD192" s="1250"/>
      <c r="BE192" s="1250"/>
      <c r="BF192" s="1250"/>
      <c r="BG192" s="1250"/>
      <c r="BH192" s="1250"/>
      <c r="BI192" s="1250"/>
      <c r="BJ192" s="1250"/>
      <c r="BK192" s="1250"/>
      <c r="BL192" s="1250"/>
      <c r="BM192" s="7" t="s">
        <v>1551</v>
      </c>
      <c r="BU192" s="7" t="s">
        <v>1552</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1555</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
      </c>
      <c r="C229" s="553"/>
      <c r="D229" s="1445" t="s">
        <v>1460</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
      </c>
      <c r="C231" s="100" t="s">
        <v>1485</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1486</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1541</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
      </c>
      <c r="C237" s="22"/>
      <c r="D237" s="1278"/>
      <c r="E237" s="8"/>
      <c r="F237" s="19"/>
      <c r="G237" s="19"/>
      <c r="H237" s="19"/>
      <c r="I237" s="19"/>
      <c r="J237" s="19"/>
      <c r="K237" s="19"/>
      <c r="L237" s="19"/>
      <c r="M237" s="19"/>
      <c r="N237" s="19"/>
      <c r="O237" s="1549" t="s">
        <v>1543</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
      </c>
      <c r="C242" s="22"/>
      <c r="D242" s="1445" t="s">
        <v>1460</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
      </c>
      <c r="C258" s="1279"/>
      <c r="D258" s="1445" t="s">
        <v>1460</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c r="A261" s="105"/>
      <c r="B261" s="25"/>
      <c r="C261" s="100"/>
      <c r="D261" s="1643"/>
      <c r="G261" s="135"/>
      <c r="H261" s="135"/>
      <c r="I261" s="135"/>
      <c r="J261" s="135"/>
      <c r="K261" s="7"/>
      <c r="P261" s="23"/>
      <c r="Q261" s="24"/>
      <c r="V261" s="8"/>
      <c r="X261" s="2516" t="s">
        <v>1537</v>
      </c>
      <c r="Y261" s="2517"/>
      <c r="Z261" s="2517"/>
      <c r="AA261" s="2517"/>
      <c r="AB261" s="2517"/>
      <c r="AC261" s="2517"/>
      <c r="AE261" s="473"/>
      <c r="AF261" s="38"/>
      <c r="AG261" s="38"/>
      <c r="AH261" s="460"/>
      <c r="AI261" s="460"/>
      <c r="AJ261" s="460"/>
      <c r="AK261" s="1226"/>
      <c r="AL261" s="1226"/>
      <c r="AM261" s="1226"/>
      <c r="AN261" s="1226"/>
      <c r="AO261" s="1226"/>
      <c r="AP261" s="1226"/>
      <c r="AQ261" s="1226"/>
      <c r="AR261" s="1226"/>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
      </c>
      <c r="C273" s="459"/>
      <c r="D273" s="1278"/>
      <c r="E273" s="20"/>
      <c r="F273" s="20"/>
      <c r="G273" s="20"/>
      <c r="H273" s="20"/>
      <c r="I273" s="20"/>
      <c r="J273" s="20"/>
      <c r="K273" s="52"/>
      <c r="L273" s="20"/>
      <c r="M273" s="20"/>
      <c r="N273" s="20"/>
      <c r="O273" s="1545"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
      </c>
      <c r="C274" s="2514"/>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
      </c>
      <c r="C275" s="2483"/>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c>
      <c r="C276" s="2483"/>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c>
      <c r="C277" s="2483"/>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8" t="str">
        <f>BIBLE!E174</f>
        <v>E16a</v>
      </c>
      <c r="B291" s="1669" t="str">
        <f>IF(P290&gt;=R290,BIBLE!F174,"")</f>
        <v/>
      </c>
      <c r="C291" s="459"/>
      <c r="D291" s="1278"/>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1557</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1558</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1559</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c r="A301" s="1188" t="s">
        <v>1190</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1560</v>
      </c>
    </row>
    <row r="326" spans="1:61" s="7" customFormat="1" ht="47" customHeight="1">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c r="A330" s="1188" t="str">
        <f>BIBLE!E203</f>
        <v>E35</v>
      </c>
      <c r="B330" s="133" t="str">
        <f>IF(P59&gt;=3,BIBLE!F203,"")</f>
        <v/>
      </c>
      <c r="C330" s="842" t="s">
        <v>1561</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1562</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1563</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1564</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1565</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1566</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1485</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1486</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1318</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1567</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1568</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8" t="s">
        <v>1569</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8" t="s">
        <v>1570</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1571</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1572</v>
      </c>
      <c r="B347" s="137" t="str">
        <f>IF($E$338=1,"automutilation","")</f>
        <v/>
      </c>
      <c r="C347" s="100" t="s">
        <v>1485</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1486</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c r="A349" s="1188" t="s">
        <v>1573</v>
      </c>
      <c r="B349" s="137" t="str">
        <f>IF($E$338=1,"dépression","")</f>
        <v/>
      </c>
      <c r="C349" s="100" t="s">
        <v>1485</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1486</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c r="A351" s="1188" t="s">
        <v>1574</v>
      </c>
      <c r="B351" s="137" t="str">
        <f>IF($E$338=1,"idéation suicidaire","")</f>
        <v/>
      </c>
      <c r="C351" s="100" t="s">
        <v>1485</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1486</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1575</v>
      </c>
      <c r="T353" s="1610"/>
      <c r="U353" s="1610"/>
      <c r="V353" s="1610"/>
      <c r="AE353" s="473"/>
      <c r="AF353" s="38"/>
      <c r="AG353" s="38"/>
      <c r="AH353" s="69"/>
      <c r="AI353" s="69"/>
      <c r="AJ353" s="69"/>
      <c r="AK353" s="677"/>
      <c r="AL353" s="677"/>
      <c r="AM353" s="677"/>
      <c r="AN353" s="677"/>
      <c r="AO353" s="677"/>
      <c r="AP353" s="677"/>
      <c r="AQ353" s="677"/>
      <c r="AR353" s="677"/>
    </row>
    <row r="354" spans="1:44" s="8" customFormat="1" hidden="1">
      <c r="A354" s="1188" t="s">
        <v>1576</v>
      </c>
      <c r="B354" s="137" t="str">
        <f>IF($E$338=1,"autres (veuillez spécifier)","")</f>
        <v/>
      </c>
      <c r="C354" s="100"/>
      <c r="D354" s="1643" t="s">
        <v>1460</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O355" s="8" t="s">
        <v>620</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c r="A356" s="1580" t="s">
        <v>1326</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c r="A357" s="1580" t="s">
        <v>1577</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c r="A358" s="1580" t="s">
        <v>1578</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c r="A359" s="1580" t="s">
        <v>1579</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c r="A360" s="1580" t="s">
        <v>1580</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1571</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c r="A362" s="1580" t="s">
        <v>1581</v>
      </c>
      <c r="B362" s="137" t="str">
        <f>IF(P347&lt;&gt;0,"automutilation","")</f>
        <v/>
      </c>
      <c r="C362" s="100" t="s">
        <v>1485</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1486</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c r="A364" s="1580" t="s">
        <v>1582</v>
      </c>
      <c r="B364" s="137" t="str">
        <f>IF(P349&lt;&gt;0,"dépression","")</f>
        <v/>
      </c>
      <c r="C364" s="100" t="s">
        <v>1485</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1486</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c r="A366" s="1580" t="s">
        <v>1583</v>
      </c>
      <c r="B366" s="137" t="str">
        <f>IF(P351&lt;&gt;0,"idéation suicidaire","")</f>
        <v/>
      </c>
      <c r="C366" s="100" t="s">
        <v>1485</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1486</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idden="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1584</v>
      </c>
      <c r="AE368" s="473"/>
      <c r="AF368" s="38"/>
      <c r="AG368" s="38"/>
      <c r="AH368" s="69"/>
      <c r="AI368" s="69"/>
      <c r="AJ368" s="69"/>
      <c r="AK368" s="677"/>
      <c r="AL368" s="677"/>
      <c r="AM368" s="677"/>
      <c r="AN368" s="677"/>
      <c r="AO368" s="677"/>
      <c r="AP368" s="677"/>
      <c r="AQ368" s="677"/>
      <c r="AR368" s="677"/>
    </row>
    <row r="369" spans="1:44" s="8" customFormat="1" hidden="1">
      <c r="A369" s="1188"/>
      <c r="B369" s="1552" t="str">
        <f>IF($E$338=1,"autres (veuillez spécifier)","")</f>
        <v/>
      </c>
      <c r="C369" s="1379"/>
      <c r="D369" s="1643" t="s">
        <v>1460</v>
      </c>
      <c r="E369" s="1379"/>
      <c r="F369" s="1379"/>
      <c r="G369" s="1379"/>
      <c r="H369" s="1379"/>
      <c r="I369" s="1379"/>
      <c r="J369" s="1379"/>
      <c r="K369" s="1379"/>
      <c r="L369" s="1379"/>
      <c r="M369" s="1379"/>
      <c r="N369" s="1379"/>
      <c r="O369" s="1379"/>
      <c r="P369" s="1554"/>
      <c r="Q369" s="1555"/>
      <c r="R369" s="6" t="s">
        <v>1584</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c r="A381" s="1188"/>
      <c r="B381" s="296"/>
      <c r="C381" s="497"/>
      <c r="D381" s="1643"/>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1587</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1588</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1589</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1590</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1591</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1592</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1593</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16" t="s">
        <v>1537</v>
      </c>
      <c r="Y399" s="2483"/>
      <c r="Z399" s="2483"/>
      <c r="AA399" s="2483"/>
      <c r="AB399" s="2483"/>
      <c r="AC399" s="2483"/>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15"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c r="A409" s="1189"/>
      <c r="B409" s="2513"/>
      <c r="C409" s="842" t="s">
        <v>1595</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1596</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1597</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1598</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1599</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1600</v>
      </c>
      <c r="BL413" s="17" t="s">
        <v>1601</v>
      </c>
    </row>
    <row r="414" spans="1:71" s="7" customFormat="1" ht="44" customHeight="1">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200"/>
      <c r="B430" s="2" t="s">
        <v>1605</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3" t="s">
        <v>1606</v>
      </c>
      <c r="AI430" s="2460"/>
      <c r="AJ430" s="2460"/>
      <c r="AK430" s="2460"/>
      <c r="AL430" s="2460"/>
      <c r="AM430" s="2460"/>
      <c r="AN430" s="2460"/>
      <c r="AO430" s="2460"/>
      <c r="AP430" s="2460"/>
      <c r="AQ430" s="2460"/>
      <c r="AR430" s="2460"/>
    </row>
    <row r="431" spans="1:44" s="7" customFormat="1" ht="18" customHeight="1">
      <c r="A431" s="1200"/>
      <c r="B431" s="2" t="s">
        <v>1607</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507" t="s">
        <v>1608</v>
      </c>
      <c r="AI431" s="2508"/>
      <c r="AJ431" s="2508"/>
      <c r="AK431" s="2507" t="s">
        <v>1609</v>
      </c>
      <c r="AL431" s="2508"/>
      <c r="AM431" s="2508"/>
      <c r="AN431" s="2508"/>
      <c r="AO431" s="2508"/>
      <c r="AP431" s="2508"/>
      <c r="AQ431" s="2508"/>
      <c r="AR431" s="2508"/>
    </row>
    <row r="432" spans="1:44" s="7" customFormat="1" ht="18" customHeight="1">
      <c r="A432" s="1200"/>
      <c r="B432" s="2" t="s">
        <v>1610</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c r="A433" s="1200"/>
      <c r="B433" s="2" t="s">
        <v>1611</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c r="A434" s="1200"/>
      <c r="B434" s="2" t="s">
        <v>1612</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1613</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c r="A437" s="1191"/>
      <c r="B437" s="53" t="s">
        <v>1614</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1615</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1616</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1617</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1529</v>
      </c>
      <c r="D441" s="1646">
        <v>5</v>
      </c>
      <c r="E441" s="1542"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c r="A443" s="1191"/>
      <c r="B443" s="53" t="s">
        <v>1618</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1619</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1620</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1621</v>
      </c>
      <c r="D446" s="1646">
        <v>4</v>
      </c>
      <c r="E446" s="37" t="str">
        <f t="shared" si="127"/>
        <v>x</v>
      </c>
      <c r="F446" s="267"/>
      <c r="V446" s="8"/>
      <c r="X446" s="8"/>
      <c r="Y446" s="8"/>
      <c r="Z446" s="8"/>
      <c r="AA446" s="8"/>
      <c r="AB446" s="8"/>
      <c r="AC446" s="8"/>
    </row>
    <row r="447" spans="1:44" s="7" customFormat="1">
      <c r="A447" s="1191"/>
      <c r="B447" s="53" t="s">
        <v>1622</v>
      </c>
      <c r="D447" s="1646">
        <v>5</v>
      </c>
      <c r="E447" s="37" t="str">
        <f t="shared" si="127"/>
        <v>x</v>
      </c>
      <c r="F447" s="267"/>
      <c r="V447" s="8"/>
      <c r="X447" s="8"/>
      <c r="Y447" s="8"/>
      <c r="Z447" s="8"/>
      <c r="AA447" s="8"/>
      <c r="AB447" s="8"/>
      <c r="AC447" s="8"/>
    </row>
    <row r="448" spans="1:44" s="7" customFormat="1">
      <c r="A448" s="1191"/>
      <c r="B448" s="53" t="s">
        <v>1623</v>
      </c>
      <c r="D448" s="1646">
        <v>6</v>
      </c>
      <c r="E448" s="37" t="str">
        <f t="shared" si="127"/>
        <v>x</v>
      </c>
      <c r="F448" s="267"/>
      <c r="V448" s="8"/>
      <c r="X448" s="8"/>
      <c r="Y448" s="8"/>
      <c r="Z448" s="8"/>
      <c r="AA448" s="8"/>
      <c r="AB448" s="8"/>
      <c r="AC448" s="8"/>
    </row>
    <row r="449" spans="1:44" s="7" customFormat="1" ht="23.5" customHeight="1">
      <c r="A449" s="1191"/>
      <c r="B449" s="53" t="s">
        <v>1624</v>
      </c>
      <c r="D449" s="1646">
        <v>7</v>
      </c>
      <c r="E449" s="37" t="str">
        <f t="shared" si="127"/>
        <v>x</v>
      </c>
      <c r="F449" s="267"/>
      <c r="V449" s="8"/>
      <c r="X449" s="8"/>
      <c r="Y449" s="8"/>
      <c r="Z449" s="8"/>
      <c r="AA449" s="8"/>
      <c r="AB449" s="8"/>
      <c r="AC449" s="8"/>
      <c r="AH449" s="2503" t="s">
        <v>1625</v>
      </c>
      <c r="AI449" s="2460"/>
      <c r="AJ449" s="2460"/>
      <c r="AK449" s="2460"/>
      <c r="AL449" s="2460"/>
      <c r="AM449" s="2460"/>
      <c r="AN449" s="2460"/>
      <c r="AO449" s="2460"/>
      <c r="AP449" s="2460"/>
      <c r="AQ449" s="2460"/>
      <c r="AR449" s="2460"/>
    </row>
    <row r="450" spans="1:44" s="7" customFormat="1">
      <c r="A450" s="1191"/>
      <c r="B450" s="53" t="s">
        <v>1529</v>
      </c>
      <c r="D450" s="1646">
        <v>8</v>
      </c>
      <c r="E450" s="1542" t="s">
        <v>1460</v>
      </c>
      <c r="F450" s="267"/>
      <c r="G450" s="277" t="s">
        <v>1626</v>
      </c>
      <c r="V450" s="8"/>
      <c r="X450" s="8"/>
      <c r="Y450" s="8"/>
      <c r="Z450" s="8"/>
      <c r="AA450" s="8"/>
      <c r="AB450" s="8"/>
      <c r="AC450" s="8"/>
      <c r="AH450" s="2507" t="s">
        <v>1608</v>
      </c>
      <c r="AI450" s="2508"/>
      <c r="AJ450" s="2508"/>
      <c r="AK450" s="2507" t="s">
        <v>1609</v>
      </c>
      <c r="AL450" s="2508"/>
      <c r="AM450" s="2508"/>
      <c r="AN450" s="2508"/>
      <c r="AO450" s="2508"/>
      <c r="AP450" s="2508"/>
      <c r="AQ450" s="2508"/>
      <c r="AR450" s="2508"/>
    </row>
    <row r="451" spans="1:44" s="7" customFormat="1">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3" t="s">
        <v>1627</v>
      </c>
      <c r="AI455" s="2460"/>
      <c r="AJ455" s="2460"/>
      <c r="AK455" s="2460"/>
      <c r="AL455" s="2460"/>
      <c r="AM455" s="2460"/>
      <c r="AN455" s="2460"/>
      <c r="AO455" s="2460"/>
      <c r="AP455" s="2460"/>
      <c r="AQ455" s="2460"/>
      <c r="AR455" s="2460"/>
    </row>
    <row r="456" spans="1:44" s="7" customFormat="1">
      <c r="A456" s="1191"/>
      <c r="B456" s="102" t="str">
        <f>IF(P$442=1,"Autre (veuillez préciser)","")</f>
        <v/>
      </c>
      <c r="D456" s="1646">
        <v>5</v>
      </c>
      <c r="E456" s="1542"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507" t="s">
        <v>1608</v>
      </c>
      <c r="AI456" s="2508"/>
      <c r="AJ456" s="2508"/>
      <c r="AK456" s="2507" t="s">
        <v>1609</v>
      </c>
      <c r="AL456" s="2508"/>
      <c r="AM456" s="2508"/>
      <c r="AN456" s="2508"/>
      <c r="AO456" s="2508"/>
      <c r="AP456" s="2508"/>
      <c r="AQ456" s="2508"/>
      <c r="AR456" s="2508"/>
    </row>
    <row r="457" spans="1:44" s="7" customFormat="1" ht="46.5"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1555</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c r="A458" s="2499"/>
      <c r="B458" s="54" t="s">
        <v>1628</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c r="A459" s="2458"/>
      <c r="B459" s="54" t="s">
        <v>1629</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c r="A460" s="1192"/>
      <c r="B460" s="54" t="s">
        <v>1630</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1" customHeight="1">
      <c r="A461" s="1192"/>
      <c r="B461" s="54" t="s">
        <v>1631</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1" customHeight="1">
      <c r="A462" s="1192"/>
      <c r="B462" s="54" t="s">
        <v>1632</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c r="A463" s="1192"/>
      <c r="B463" s="54" t="s">
        <v>1633</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c r="A464" s="1192"/>
      <c r="B464" s="54" t="s">
        <v>1634</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1" customHeight="1">
      <c r="A465" s="1192"/>
      <c r="B465" s="54" t="s">
        <v>1635</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c r="A466" s="2499"/>
      <c r="B466" s="54" t="s">
        <v>1636</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c r="A467" s="2458"/>
      <c r="B467" s="54" t="s">
        <v>1637</v>
      </c>
      <c r="D467" s="1374" t="s">
        <v>1460</v>
      </c>
      <c r="E467" s="270"/>
      <c r="F467" s="270"/>
      <c r="G467" s="277" t="s">
        <v>1626</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K456:AR456"/>
    <mergeCell ref="X161:AC161"/>
    <mergeCell ref="AH89:AH94"/>
    <mergeCell ref="E50:O50"/>
    <mergeCell ref="AH88:AJ88"/>
    <mergeCell ref="AH450:AJ450"/>
    <mergeCell ref="AH455:AR455"/>
    <mergeCell ref="AK88:AR88"/>
    <mergeCell ref="AO89:AO94"/>
    <mergeCell ref="X399:AC399"/>
    <mergeCell ref="E96:K96"/>
    <mergeCell ref="AK89:AK94"/>
    <mergeCell ref="C274:C277"/>
    <mergeCell ref="AL89:AL94"/>
    <mergeCell ref="B408:B409"/>
    <mergeCell ref="X261:AC261"/>
    <mergeCell ref="AH449:AR449"/>
    <mergeCell ref="AN89:AN94"/>
    <mergeCell ref="X108:AC108"/>
    <mergeCell ref="AE88:AE94"/>
    <mergeCell ref="AH431:AJ431"/>
    <mergeCell ref="AF88:AF94"/>
    <mergeCell ref="AI89:AI94"/>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F430" zoomScale="80" zoomScaleNormal="80" workbookViewId="0">
      <selection activeCell="N491" sqref="N491"/>
    </sheetView>
  </sheetViews>
  <sheetFormatPr defaultColWidth="10.6640625" defaultRowHeight="15.5"/>
  <cols>
    <col min="1" max="1" width="99.41406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1638</v>
      </c>
      <c r="D1" s="16" t="s">
        <v>1639</v>
      </c>
      <c r="E1" s="16" t="s">
        <v>1640</v>
      </c>
      <c r="F1" s="16" t="s">
        <v>1641</v>
      </c>
      <c r="G1" s="16" t="s">
        <v>1642</v>
      </c>
      <c r="J1" s="16"/>
    </row>
    <row r="2" spans="1:13" ht="139" customHeight="1">
      <c r="A2" s="13" t="s">
        <v>1643</v>
      </c>
      <c r="B2" s="13" t="s">
        <v>1644</v>
      </c>
      <c r="G2" s="1484"/>
    </row>
    <row r="3" spans="1:13">
      <c r="C3" t="s">
        <v>1645</v>
      </c>
      <c r="D3" s="5" t="s">
        <v>1646</v>
      </c>
      <c r="E3" s="5" t="s">
        <v>1647</v>
      </c>
      <c r="F3" t="s">
        <v>1648</v>
      </c>
      <c r="G3" s="5" t="s">
        <v>1649</v>
      </c>
      <c r="H3" s="2474" t="s">
        <v>1650</v>
      </c>
      <c r="I3" s="2474"/>
      <c r="J3" s="2474"/>
      <c r="K3" s="2474"/>
      <c r="L3" s="2474"/>
      <c r="M3" s="2474"/>
    </row>
    <row r="4" spans="1:13">
      <c r="A4" t="s">
        <v>1651</v>
      </c>
      <c r="B4" t="str">
        <f>IF(Test_Bible!B3&lt;&gt;"","O","N")</f>
        <v>O</v>
      </c>
      <c r="C4" t="str">
        <f>BIBLE!E20</f>
        <v>B00</v>
      </c>
      <c r="F4" s="1453"/>
      <c r="G4" s="1454"/>
      <c r="H4" s="1454"/>
      <c r="I4" s="1454"/>
      <c r="J4" s="1454"/>
      <c r="K4" s="1454"/>
      <c r="L4" s="1454"/>
      <c r="M4" s="1454"/>
    </row>
    <row r="5" spans="1:13">
      <c r="A5" t="s">
        <v>1652</v>
      </c>
      <c r="B5" t="str">
        <f>IF(Test_Bible!B11&lt;&gt;" ","O","N")</f>
        <v>N</v>
      </c>
      <c r="C5" t="str">
        <f>BIBLE!E21</f>
        <v>B01</v>
      </c>
      <c r="F5" s="1453"/>
      <c r="G5" s="1454"/>
      <c r="H5" s="1454"/>
      <c r="I5" s="1454"/>
      <c r="J5" s="1454"/>
      <c r="K5" s="1454"/>
      <c r="L5" s="1454"/>
      <c r="M5" s="1454"/>
    </row>
    <row r="6" spans="1:13">
      <c r="A6" t="s">
        <v>1653</v>
      </c>
      <c r="B6" t="str">
        <f>IF(Test_Bible!B16&lt;&gt;"","O","N")</f>
        <v>O</v>
      </c>
      <c r="C6" t="str">
        <f>BIBLE!E22</f>
        <v>B02</v>
      </c>
      <c r="F6" s="1453"/>
      <c r="G6" s="1454"/>
      <c r="H6" s="1454"/>
      <c r="I6" s="1454"/>
      <c r="J6" s="1454"/>
      <c r="K6" s="1454"/>
      <c r="L6" s="1454"/>
      <c r="M6" s="1454"/>
    </row>
    <row r="7" spans="1:13">
      <c r="A7" t="s">
        <v>1651</v>
      </c>
      <c r="B7" t="str">
        <f>IF(Test_Bible!B21&lt;&gt;"","O","N")</f>
        <v>O</v>
      </c>
      <c r="C7" t="str">
        <f>BIBLE!E23</f>
        <v>B03</v>
      </c>
      <c r="F7" s="1453"/>
      <c r="G7" s="1454"/>
      <c r="H7" s="1454"/>
      <c r="I7" s="1454"/>
      <c r="J7" s="1454"/>
      <c r="K7" s="1454"/>
      <c r="L7" s="1454"/>
      <c r="M7" s="1454"/>
    </row>
    <row r="8" spans="1:13">
      <c r="A8" t="s">
        <v>1651</v>
      </c>
      <c r="B8" t="str">
        <f>IF(Test_Bible!B27&lt;&gt;"","O","N")</f>
        <v>O</v>
      </c>
      <c r="C8" t="str">
        <f>BIBLE!E24</f>
        <v>B04</v>
      </c>
      <c r="F8" s="1453"/>
      <c r="G8" s="1454"/>
      <c r="H8" s="1454"/>
      <c r="I8" s="1454"/>
      <c r="J8" s="1454"/>
      <c r="K8" s="1454"/>
      <c r="L8" s="1454"/>
      <c r="M8" s="1454"/>
    </row>
    <row r="9" spans="1:13">
      <c r="A9" t="s">
        <v>1654</v>
      </c>
      <c r="B9" t="str">
        <f>IF(Test_Bible!B34&lt;&gt;"","O","N")</f>
        <v>O</v>
      </c>
      <c r="C9" t="str">
        <f>BIBLE!E25</f>
        <v>B05</v>
      </c>
      <c r="F9" s="1453"/>
      <c r="G9" s="1454"/>
      <c r="H9" s="1454"/>
      <c r="I9" s="1454"/>
      <c r="J9" s="1454"/>
      <c r="K9" s="1454"/>
      <c r="L9" s="1454"/>
      <c r="M9" s="1454"/>
    </row>
    <row r="10" spans="1:13">
      <c r="A10" t="s">
        <v>1655</v>
      </c>
      <c r="B10" t="str">
        <f>IF(Test_Bible!B40&lt;&gt;"","O","N")</f>
        <v>O</v>
      </c>
      <c r="C10" t="str">
        <f>BIBLE!E26</f>
        <v>B06</v>
      </c>
      <c r="F10" s="1453"/>
      <c r="G10" s="1454"/>
      <c r="H10" s="1454"/>
      <c r="I10" s="1454"/>
      <c r="J10" s="1454"/>
      <c r="K10" s="1454"/>
      <c r="L10" s="1454"/>
      <c r="M10" s="1454"/>
    </row>
    <row r="11" spans="1:13">
      <c r="A11" t="s">
        <v>1652</v>
      </c>
      <c r="B11" t="str">
        <f>IF(Test_Bible!B42&lt;&gt;"","O","N")</f>
        <v>O</v>
      </c>
      <c r="C11" t="str">
        <f>BIBLE!E27</f>
        <v>B07</v>
      </c>
      <c r="F11" s="1453"/>
      <c r="G11" s="1454"/>
      <c r="H11" s="1454"/>
      <c r="I11" s="1454"/>
      <c r="J11" s="1454"/>
      <c r="K11" s="1454"/>
      <c r="L11" s="1454"/>
      <c r="M11" s="1454"/>
    </row>
    <row r="12" spans="1:13">
      <c r="A12" t="s">
        <v>1652</v>
      </c>
      <c r="B12" t="str">
        <f>IF(Test_Bible!B46&lt;&gt;"","O","N")</f>
        <v>O</v>
      </c>
      <c r="C12" t="str">
        <f>BIBLE!E28</f>
        <v>B08</v>
      </c>
      <c r="F12" s="1453"/>
      <c r="G12" s="1454"/>
      <c r="H12" s="1454"/>
      <c r="I12" s="1454"/>
      <c r="J12" s="1454"/>
      <c r="K12" s="1454"/>
      <c r="L12" s="1454"/>
      <c r="M12" s="1454"/>
    </row>
    <row r="13" spans="1:13">
      <c r="A13" t="s">
        <v>1656</v>
      </c>
      <c r="B13" t="str">
        <f>IF(Test_Bible!B53&lt;&gt;"","O","N")</f>
        <v>O</v>
      </c>
      <c r="C13" t="str">
        <f>BIBLE!E29</f>
        <v>B11</v>
      </c>
      <c r="D13" s="90"/>
      <c r="E13" s="90">
        <f>Test_Bible!Q53</f>
        <v>0</v>
      </c>
      <c r="F13" s="1453"/>
      <c r="G13" s="1454"/>
      <c r="H13" s="1454"/>
      <c r="I13" s="1454"/>
      <c r="J13" s="1454"/>
      <c r="K13" s="1454"/>
      <c r="L13" s="1454"/>
      <c r="M13" s="1454"/>
    </row>
    <row r="14" spans="1:13">
      <c r="A14" t="s">
        <v>1657</v>
      </c>
      <c r="B14" t="str">
        <f>IF(Test_Bible!B54&lt;&gt;" ","O","N")</f>
        <v>N</v>
      </c>
      <c r="C14" t="str">
        <f>BIBLE!E30</f>
        <v>B11a</v>
      </c>
      <c r="D14" s="90"/>
      <c r="F14" s="1453"/>
      <c r="G14" s="1454"/>
      <c r="H14" s="1454"/>
      <c r="I14" s="1454"/>
      <c r="J14" s="1454"/>
      <c r="K14" s="1454"/>
      <c r="L14" s="1454"/>
      <c r="M14" s="1454"/>
    </row>
    <row r="15" spans="1:13">
      <c r="A15" t="s">
        <v>1656</v>
      </c>
      <c r="B15" t="str">
        <f>IF(Test_Bible!B56&lt;&gt;" ","O","N")</f>
        <v>N</v>
      </c>
      <c r="C15" t="str">
        <f>BIBLE!E31</f>
        <v>B11a1</v>
      </c>
      <c r="D15" s="90"/>
      <c r="E15" s="90">
        <f>Test_Bible!Q56</f>
        <v>0</v>
      </c>
      <c r="F15" s="1453"/>
      <c r="G15" s="1454"/>
      <c r="H15" s="1454"/>
      <c r="I15" s="1454"/>
      <c r="J15" s="1454"/>
      <c r="K15" s="1454"/>
      <c r="L15" s="1454"/>
      <c r="M15" s="1454"/>
    </row>
    <row r="16" spans="1:13">
      <c r="A16" t="s">
        <v>1656</v>
      </c>
      <c r="B16" t="str">
        <f>IF(Test_Bible!B57&lt;&gt;" ","O","N")</f>
        <v>N</v>
      </c>
      <c r="C16" t="str">
        <f>BIBLE!E32</f>
        <v>B11b</v>
      </c>
      <c r="D16" s="90"/>
      <c r="E16" s="90">
        <f>Test_Bible!Q57</f>
        <v>0</v>
      </c>
      <c r="F16" s="1453"/>
      <c r="G16" s="1454"/>
      <c r="H16" s="1454"/>
      <c r="I16" s="1454"/>
      <c r="J16" s="1454"/>
      <c r="K16" s="1454"/>
      <c r="L16" s="1454"/>
      <c r="M16" s="1454"/>
    </row>
    <row r="17" spans="1:13">
      <c r="A17" t="s">
        <v>1657</v>
      </c>
      <c r="B17" t="str">
        <f>IF(Test_Bible!B58&lt;&gt;" ","O","N")</f>
        <v>O</v>
      </c>
      <c r="C17" s="45" t="str">
        <f>BIBLE!E33</f>
        <v>B12</v>
      </c>
      <c r="D17" s="90"/>
      <c r="E17" s="5">
        <f>Test_Bible!P59</f>
        <v>0</v>
      </c>
      <c r="F17" s="1453"/>
      <c r="G17" s="1454"/>
      <c r="H17" s="1454"/>
      <c r="I17" s="1454"/>
      <c r="J17" s="1454"/>
      <c r="K17" s="1454"/>
      <c r="L17" s="1454"/>
      <c r="M17" s="1454"/>
    </row>
    <row r="18" spans="1:13">
      <c r="A18" t="s">
        <v>1657</v>
      </c>
      <c r="B18" t="str">
        <f t="shared" ref="B18:C22" si="0">B17</f>
        <v>O</v>
      </c>
      <c r="C18" s="45" t="str">
        <f t="shared" si="0"/>
        <v>B12</v>
      </c>
      <c r="D18" s="90"/>
      <c r="F18" s="1453"/>
      <c r="G18" s="1454"/>
      <c r="H18" s="1454"/>
      <c r="I18" s="1454"/>
      <c r="J18" s="1454"/>
      <c r="K18" s="1454"/>
      <c r="L18" s="1454"/>
      <c r="M18" s="1454"/>
    </row>
    <row r="19" spans="1:13">
      <c r="A19" t="s">
        <v>1657</v>
      </c>
      <c r="B19" t="str">
        <f t="shared" si="0"/>
        <v>O</v>
      </c>
      <c r="C19" s="45" t="str">
        <f t="shared" si="0"/>
        <v>B12</v>
      </c>
      <c r="D19" s="90"/>
      <c r="F19" s="1453"/>
      <c r="G19" s="1454"/>
      <c r="H19" s="1454"/>
      <c r="I19" s="1454"/>
      <c r="J19" s="1454"/>
      <c r="K19" s="1454"/>
      <c r="L19" s="1454"/>
      <c r="M19" s="1454"/>
    </row>
    <row r="20" spans="1:13">
      <c r="A20" t="s">
        <v>1657</v>
      </c>
      <c r="B20" t="str">
        <f t="shared" si="0"/>
        <v>O</v>
      </c>
      <c r="C20" s="45" t="str">
        <f t="shared" si="0"/>
        <v>B12</v>
      </c>
      <c r="D20" s="90"/>
      <c r="F20" s="1453"/>
      <c r="G20" s="1454"/>
      <c r="H20" s="1454"/>
      <c r="I20" s="1454"/>
      <c r="J20" s="1454"/>
      <c r="K20" s="1454"/>
      <c r="L20" s="1454"/>
      <c r="M20" s="1454"/>
    </row>
    <row r="21" spans="1:13">
      <c r="A21" t="s">
        <v>1657</v>
      </c>
      <c r="B21" t="str">
        <f t="shared" si="0"/>
        <v>O</v>
      </c>
      <c r="C21" s="45" t="str">
        <f t="shared" si="0"/>
        <v>B12</v>
      </c>
      <c r="D21" s="90"/>
      <c r="F21" s="1453"/>
      <c r="G21" s="1454"/>
      <c r="H21" s="1454"/>
      <c r="I21" s="1454"/>
      <c r="J21" s="1454"/>
      <c r="K21" s="1454"/>
      <c r="L21" s="1454"/>
      <c r="M21" s="1454"/>
    </row>
    <row r="22" spans="1:13">
      <c r="A22" t="s">
        <v>1657</v>
      </c>
      <c r="B22" t="str">
        <f t="shared" si="0"/>
        <v>O</v>
      </c>
      <c r="C22" s="45" t="str">
        <f t="shared" si="0"/>
        <v>B12</v>
      </c>
      <c r="D22" s="90"/>
      <c r="F22" s="1453"/>
      <c r="G22" s="1454"/>
      <c r="H22" s="1454"/>
      <c r="I22" s="1454"/>
      <c r="J22" s="1454"/>
      <c r="K22" s="1454"/>
      <c r="L22" s="1454"/>
      <c r="M22" s="1454"/>
    </row>
    <row r="23" spans="1:13">
      <c r="A23" t="s">
        <v>1657</v>
      </c>
      <c r="B23" t="str">
        <f>IF(Test_Bible!B68&lt;&gt;" ","O","N")</f>
        <v>N</v>
      </c>
      <c r="C23" s="45" t="str">
        <f>BIBLE!E34</f>
        <v>B12a</v>
      </c>
      <c r="D23" s="90"/>
      <c r="E23" s="5">
        <f>Test_Bible!P68</f>
        <v>0</v>
      </c>
      <c r="F23" s="1453"/>
      <c r="G23" s="1454"/>
      <c r="H23" s="1454"/>
      <c r="I23" s="1454"/>
      <c r="J23" s="1454"/>
      <c r="K23" s="1454"/>
      <c r="L23" s="1454"/>
      <c r="M23" s="1454"/>
    </row>
    <row r="24" spans="1:13">
      <c r="A24" t="s">
        <v>1657</v>
      </c>
      <c r="B24" t="str">
        <f t="shared" ref="B24:C28" si="1">B23</f>
        <v>N</v>
      </c>
      <c r="C24" s="45" t="str">
        <f t="shared" si="1"/>
        <v>B12a</v>
      </c>
      <c r="D24" s="90"/>
      <c r="F24" s="1453"/>
      <c r="G24" s="1454"/>
      <c r="H24" s="1454"/>
      <c r="I24" s="1454"/>
      <c r="J24" s="1454"/>
      <c r="K24" s="1454"/>
      <c r="L24" s="1454"/>
      <c r="M24" s="1454"/>
    </row>
    <row r="25" spans="1:13">
      <c r="A25" t="s">
        <v>1657</v>
      </c>
      <c r="B25" t="str">
        <f t="shared" si="1"/>
        <v>N</v>
      </c>
      <c r="C25" s="45" t="str">
        <f t="shared" si="1"/>
        <v>B12a</v>
      </c>
      <c r="D25" s="90"/>
      <c r="F25" s="1453"/>
      <c r="G25" s="1454"/>
      <c r="H25" s="1454"/>
      <c r="I25" s="1454"/>
      <c r="J25" s="1454"/>
      <c r="K25" s="1454"/>
      <c r="L25" s="1454"/>
      <c r="M25" s="1454"/>
    </row>
    <row r="26" spans="1:13">
      <c r="A26" t="s">
        <v>1657</v>
      </c>
      <c r="B26" t="str">
        <f t="shared" si="1"/>
        <v>N</v>
      </c>
      <c r="C26" s="45" t="str">
        <f t="shared" si="1"/>
        <v>B12a</v>
      </c>
      <c r="D26" s="90"/>
      <c r="F26" s="1453"/>
      <c r="G26" s="1454"/>
      <c r="H26" s="1454"/>
      <c r="I26" s="1454"/>
      <c r="J26" s="1454"/>
      <c r="K26" s="1454"/>
      <c r="L26" s="1454"/>
      <c r="M26" s="1454"/>
    </row>
    <row r="27" spans="1:13">
      <c r="A27" t="s">
        <v>1657</v>
      </c>
      <c r="B27" t="str">
        <f t="shared" si="1"/>
        <v>N</v>
      </c>
      <c r="C27" s="45" t="str">
        <f t="shared" si="1"/>
        <v>B12a</v>
      </c>
      <c r="D27" s="90"/>
      <c r="F27" s="1453"/>
      <c r="G27" s="1454"/>
      <c r="H27" s="1454"/>
      <c r="I27" s="1454"/>
      <c r="J27" s="1454"/>
      <c r="K27" s="1454"/>
      <c r="L27" s="1454"/>
      <c r="M27" s="1454"/>
    </row>
    <row r="28" spans="1:13">
      <c r="A28" t="s">
        <v>1657</v>
      </c>
      <c r="B28" t="str">
        <f t="shared" si="1"/>
        <v>N</v>
      </c>
      <c r="C28" s="45" t="str">
        <f t="shared" si="1"/>
        <v>B12a</v>
      </c>
      <c r="D28" s="90"/>
      <c r="F28" s="1453"/>
      <c r="G28" s="1454"/>
      <c r="H28" s="1454"/>
      <c r="I28" s="1454"/>
      <c r="J28" s="1454"/>
      <c r="K28" s="1454"/>
      <c r="L28" s="1454"/>
      <c r="M28" s="1454"/>
    </row>
    <row r="29" spans="1:13">
      <c r="A29" t="s">
        <v>1651</v>
      </c>
      <c r="B29" t="str">
        <f>IF(Test_Bible!B77&lt;&gt;" ","O","N")</f>
        <v>N</v>
      </c>
      <c r="C29" t="str">
        <f>BIBLE!E35</f>
        <v>B12b</v>
      </c>
      <c r="F29" s="1453"/>
      <c r="G29" s="1454"/>
      <c r="H29" s="1454"/>
      <c r="I29" s="1454"/>
      <c r="J29" s="1454"/>
      <c r="K29" s="1454"/>
      <c r="L29" s="1454"/>
      <c r="M29" s="1454"/>
    </row>
    <row r="30" spans="1:13">
      <c r="A30" t="s">
        <v>1657</v>
      </c>
      <c r="B30" t="str">
        <f>IF(Test_Bible!B84&lt;&gt;" ","O","N")</f>
        <v>N</v>
      </c>
      <c r="C30" t="str">
        <f>BIBLE!E36</f>
        <v>B12c</v>
      </c>
      <c r="F30" s="1453"/>
      <c r="G30" s="1454"/>
      <c r="H30" s="1454"/>
      <c r="I30" s="1454"/>
      <c r="J30" s="1454"/>
      <c r="K30" s="1454"/>
      <c r="L30" s="1454"/>
      <c r="M30" s="1454"/>
    </row>
    <row r="31" spans="1:13">
      <c r="A31" t="s">
        <v>1658</v>
      </c>
      <c r="B31" t="str">
        <f>IF(Test_Bible!B87&lt;&gt;" ","O","N")</f>
        <v>N</v>
      </c>
      <c r="C31" s="45" t="str">
        <f>BIBLE!E37</f>
        <v>B12d</v>
      </c>
      <c r="E31" s="5">
        <f>Test_Bible!P87</f>
        <v>0</v>
      </c>
      <c r="F31" s="1453"/>
      <c r="G31" s="1454"/>
      <c r="H31" s="1454"/>
      <c r="I31" s="1454"/>
      <c r="J31" s="1454"/>
      <c r="K31" s="1454"/>
      <c r="L31" s="1454"/>
      <c r="M31" s="1454"/>
    </row>
    <row r="32" spans="1:13">
      <c r="A32" t="s">
        <v>1657</v>
      </c>
      <c r="B32" t="str">
        <f t="shared" ref="B32:C36" si="2">B31</f>
        <v>N</v>
      </c>
      <c r="C32" s="45" t="str">
        <f t="shared" si="2"/>
        <v>B12d</v>
      </c>
      <c r="F32" s="1453"/>
      <c r="G32" s="1454"/>
      <c r="H32" s="1454"/>
      <c r="I32" s="1454"/>
      <c r="J32" s="1454"/>
      <c r="K32" s="1454"/>
      <c r="L32" s="1454"/>
      <c r="M32" s="1454"/>
    </row>
    <row r="33" spans="1:13">
      <c r="A33" t="s">
        <v>1657</v>
      </c>
      <c r="B33" t="str">
        <f t="shared" si="2"/>
        <v>N</v>
      </c>
      <c r="C33" s="45" t="str">
        <f t="shared" si="2"/>
        <v>B12d</v>
      </c>
      <c r="F33" s="1453"/>
      <c r="G33" s="1454"/>
      <c r="H33" s="1454"/>
      <c r="I33" s="1454"/>
      <c r="J33" s="1454"/>
      <c r="K33" s="1454"/>
      <c r="L33" s="1454"/>
      <c r="M33" s="1454"/>
    </row>
    <row r="34" spans="1:13">
      <c r="A34" t="s">
        <v>1657</v>
      </c>
      <c r="B34" t="str">
        <f t="shared" si="2"/>
        <v>N</v>
      </c>
      <c r="C34" s="45" t="str">
        <f t="shared" si="2"/>
        <v>B12d</v>
      </c>
      <c r="F34" s="1453"/>
      <c r="G34" s="1454"/>
      <c r="H34" s="1454"/>
      <c r="I34" s="1454"/>
      <c r="J34" s="1454"/>
      <c r="K34" s="1454"/>
      <c r="L34" s="1454"/>
      <c r="M34" s="1454"/>
    </row>
    <row r="35" spans="1:13">
      <c r="A35" t="s">
        <v>1657</v>
      </c>
      <c r="B35" t="str">
        <f t="shared" si="2"/>
        <v>N</v>
      </c>
      <c r="C35" s="45" t="str">
        <f t="shared" si="2"/>
        <v>B12d</v>
      </c>
      <c r="F35" s="1453"/>
      <c r="G35" s="1454"/>
      <c r="H35" s="1454"/>
      <c r="I35" s="1454"/>
      <c r="J35" s="1454"/>
      <c r="K35" s="1454"/>
      <c r="L35" s="1454"/>
      <c r="M35" s="1454"/>
    </row>
    <row r="36" spans="1:13">
      <c r="A36" t="s">
        <v>1657</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1659</v>
      </c>
      <c r="G38" s="1456"/>
      <c r="H38" s="1456"/>
      <c r="I38" s="1456"/>
      <c r="J38" s="1456"/>
      <c r="K38" s="1456"/>
      <c r="L38" s="1456"/>
      <c r="M38" s="1456"/>
    </row>
    <row r="49" spans="1:13">
      <c r="A49" t="s">
        <v>597</v>
      </c>
      <c r="B49" t="str">
        <f>IF(Test_Bible!B98&lt;&gt;"","O","N")</f>
        <v>O</v>
      </c>
      <c r="C49" t="str">
        <f>BIBLE!E40</f>
        <v>H01</v>
      </c>
      <c r="D49" s="90"/>
      <c r="E49" s="90">
        <f>Test_Bible!Q98</f>
        <v>0</v>
      </c>
      <c r="F49" s="1453"/>
      <c r="G49" s="1454"/>
      <c r="H49" s="1454"/>
      <c r="I49" s="1454"/>
      <c r="J49" s="1454"/>
      <c r="K49" s="1454"/>
      <c r="L49" s="1454"/>
      <c r="M49" s="1454"/>
    </row>
    <row r="50" spans="1:13">
      <c r="A50" t="s">
        <v>597</v>
      </c>
      <c r="B50" t="str">
        <f>IF(Test_Bible!B99&lt;&gt;"","O","N")</f>
        <v>O</v>
      </c>
      <c r="C50" t="str">
        <f>BIBLE!E41</f>
        <v>H02</v>
      </c>
      <c r="D50" s="90"/>
      <c r="E50" s="90">
        <f>Test_Bible!Q99</f>
        <v>0</v>
      </c>
      <c r="F50" s="1453"/>
      <c r="G50" s="1454"/>
      <c r="H50" s="1454"/>
      <c r="I50" s="1454"/>
      <c r="J50" s="1454"/>
      <c r="K50" s="1454"/>
      <c r="L50" s="1454"/>
      <c r="M50" s="1454"/>
    </row>
    <row r="51" spans="1:13">
      <c r="A51" t="s">
        <v>597</v>
      </c>
      <c r="B51" t="str">
        <f>IF(Test_Bible!B100&lt;&gt;"","O","N")</f>
        <v>O</v>
      </c>
      <c r="C51" t="str">
        <f>BIBLE!E42</f>
        <v>H04</v>
      </c>
      <c r="D51" s="90"/>
      <c r="E51" s="90">
        <f>Test_Bible!Q100</f>
        <v>0</v>
      </c>
      <c r="F51" s="1453"/>
      <c r="G51" s="1454"/>
      <c r="H51" s="1454"/>
      <c r="I51" s="1454"/>
      <c r="J51" s="1454"/>
      <c r="K51" s="1454"/>
      <c r="L51" s="1454"/>
      <c r="M51" s="1454"/>
    </row>
    <row r="52" spans="1:13">
      <c r="A52" t="s">
        <v>597</v>
      </c>
      <c r="B52" t="str">
        <f>IF(Test_Bible!B101&lt;&gt;" ","O","N")</f>
        <v>N</v>
      </c>
      <c r="C52" t="str">
        <f>BIBLE!E43</f>
        <v>H04a</v>
      </c>
      <c r="D52" s="90"/>
      <c r="E52" s="90">
        <f>Test_Bible!Q101</f>
        <v>0</v>
      </c>
      <c r="F52" s="1453"/>
      <c r="G52" s="1454"/>
      <c r="H52" s="1454"/>
      <c r="I52" s="1454"/>
      <c r="J52" s="1454"/>
      <c r="K52" s="1454"/>
      <c r="L52" s="1454"/>
      <c r="M52" s="1454"/>
    </row>
    <row r="53" spans="1:13">
      <c r="A53" t="s">
        <v>597</v>
      </c>
      <c r="B53" t="str">
        <f>IF(Test_Bible!B102&lt;&gt;" ","O","N")</f>
        <v>N</v>
      </c>
      <c r="C53" t="str">
        <f>BIBLE!E44</f>
        <v>H04a1</v>
      </c>
      <c r="D53" s="90"/>
      <c r="E53" s="90">
        <f>Test_Bible!Q102</f>
        <v>0</v>
      </c>
      <c r="F53" s="1453"/>
      <c r="G53" s="1454"/>
      <c r="H53" s="1454"/>
      <c r="I53" s="1454"/>
      <c r="J53" s="1454"/>
      <c r="K53" s="1454"/>
      <c r="L53" s="1454"/>
      <c r="M53" s="1454"/>
    </row>
    <row r="54" spans="1:13">
      <c r="A54" t="s">
        <v>1656</v>
      </c>
      <c r="B54" t="str">
        <f>IF(Test_Bible!B104&lt;&gt;"","O","N")</f>
        <v>O</v>
      </c>
      <c r="C54" t="str">
        <f>BIBLE!E45</f>
        <v>H05</v>
      </c>
      <c r="D54" s="90"/>
      <c r="E54" s="90">
        <f>Test_Bible!Q104</f>
        <v>0</v>
      </c>
      <c r="F54" s="1453"/>
      <c r="G54" s="1454"/>
      <c r="H54" s="1454"/>
      <c r="I54" s="1454"/>
      <c r="J54" s="1454"/>
      <c r="K54" s="1454"/>
      <c r="L54" s="1454"/>
      <c r="M54" s="1454"/>
    </row>
    <row r="55" spans="1:13">
      <c r="A55" t="s">
        <v>1656</v>
      </c>
      <c r="B55" t="str">
        <f>IF(Test_Bible!B105&lt;&gt;" ","O","N")</f>
        <v>N</v>
      </c>
      <c r="C55" t="str">
        <f>BIBLE!E46</f>
        <v>H05a</v>
      </c>
      <c r="D55" s="90"/>
      <c r="E55" s="90">
        <f>Test_Bible!Q105</f>
        <v>0</v>
      </c>
      <c r="F55" s="1453"/>
      <c r="G55" s="1454"/>
      <c r="H55" s="1454"/>
      <c r="I55" s="1454"/>
      <c r="J55" s="1454"/>
      <c r="K55" s="1454"/>
      <c r="L55" s="1454"/>
      <c r="M55" s="1454"/>
    </row>
    <row r="56" spans="1:13">
      <c r="A56" t="s">
        <v>1656</v>
      </c>
      <c r="B56" t="str">
        <f>IF(Test_Bible!B106&lt;&gt;"","O","N")</f>
        <v>O</v>
      </c>
      <c r="C56" t="str">
        <f>BIBLE!E47</f>
        <v>H06</v>
      </c>
      <c r="D56" s="90"/>
      <c r="E56" s="90">
        <f>Test_Bible!Q106</f>
        <v>0</v>
      </c>
      <c r="F56" s="1453"/>
      <c r="G56" s="1454"/>
      <c r="H56" s="1454"/>
      <c r="I56" s="1454"/>
      <c r="J56" s="1454"/>
      <c r="K56" s="1454"/>
      <c r="L56" s="1454"/>
      <c r="M56" s="1454"/>
    </row>
    <row r="57" spans="1:13">
      <c r="A57" t="s">
        <v>1656</v>
      </c>
      <c r="B57" t="str">
        <f>IF(Test_Bible!B107&lt;&gt;" ","O","N")</f>
        <v>N</v>
      </c>
      <c r="C57" t="str">
        <f>BIBLE!E48</f>
        <v>H06a</v>
      </c>
      <c r="D57" s="90"/>
      <c r="E57" s="90">
        <f>Test_Bible!Q107</f>
        <v>0</v>
      </c>
      <c r="F57" s="1453"/>
      <c r="G57" s="1454"/>
      <c r="H57" s="1454"/>
      <c r="I57" s="1454"/>
      <c r="J57" s="1454"/>
      <c r="K57" s="1454"/>
      <c r="L57" s="1454"/>
      <c r="M57" s="1454"/>
    </row>
    <row r="58" spans="1:13">
      <c r="F58" s="1455" t="s">
        <v>1659</v>
      </c>
      <c r="G58" s="1456"/>
      <c r="H58" s="1456"/>
      <c r="I58" s="1456"/>
      <c r="J58" s="1456"/>
      <c r="K58" s="1456"/>
      <c r="L58" s="1456"/>
      <c r="M58" s="1456"/>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 customHeight="1">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c r="A339" t="s">
        <v>1651</v>
      </c>
      <c r="B339" t="str">
        <f>IF(Test_Bible!B387&lt;&gt;"","O","N")</f>
        <v>N</v>
      </c>
      <c r="C339" t="str">
        <f>BIBLE!E213</f>
        <v>PCR20</v>
      </c>
      <c r="F339" s="1453"/>
      <c r="G339" s="1454"/>
      <c r="H339" s="1454"/>
      <c r="I339" s="1454"/>
      <c r="J339" s="1454"/>
      <c r="K339" s="1454"/>
      <c r="L339" s="1454"/>
      <c r="M339" s="1454"/>
    </row>
    <row r="340" spans="1:13">
      <c r="A340" t="s">
        <v>1654</v>
      </c>
      <c r="B340" t="str">
        <f>IF(Test_Bible!B394&lt;&gt;"","O","N")</f>
        <v>N</v>
      </c>
      <c r="C340" t="str">
        <f>BIBLE!E214</f>
        <v>PCR21</v>
      </c>
      <c r="F340" s="1453"/>
      <c r="G340" s="1454"/>
      <c r="H340" s="1454"/>
      <c r="I340" s="1454"/>
      <c r="J340" s="1454"/>
      <c r="K340" s="1454"/>
      <c r="L340" s="1454"/>
      <c r="M340" s="1454"/>
    </row>
    <row r="341" spans="1:13">
      <c r="C341" s="1480"/>
      <c r="D341" s="1481"/>
      <c r="E341" s="1481"/>
      <c r="F341" s="1480" t="s">
        <v>1659</v>
      </c>
      <c r="G341" s="1481"/>
      <c r="H341" s="1481"/>
      <c r="I341" s="1481"/>
      <c r="J341" s="1481"/>
      <c r="K341" s="1481"/>
      <c r="L341" s="1481"/>
      <c r="M341" s="1481"/>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 customHeight="1">
      <c r="B416" s="731" t="s">
        <v>1662</v>
      </c>
      <c r="C416" s="88"/>
      <c r="D416" s="587"/>
      <c r="E416" s="587"/>
      <c r="F416" s="88"/>
      <c r="G416" s="1670" t="s">
        <v>1663</v>
      </c>
      <c r="H416" s="587"/>
      <c r="I416" s="587"/>
      <c r="J416" s="587"/>
      <c r="K416" s="587"/>
      <c r="L416" s="587"/>
      <c r="M416" s="587"/>
      <c r="N416" s="587"/>
      <c r="O416" s="2545" t="s">
        <v>1664</v>
      </c>
      <c r="P416" s="2458"/>
      <c r="Q416" s="2458"/>
      <c r="R416" s="2458"/>
      <c r="S416" s="2458"/>
      <c r="T416" s="2458"/>
      <c r="U416" s="2458"/>
      <c r="V416" s="2458"/>
      <c r="W416" s="2458"/>
      <c r="X416" s="2458"/>
      <c r="Y416" s="2458"/>
      <c r="Z416" s="2458"/>
      <c r="AA416" s="2458"/>
      <c r="AB416" s="2458"/>
      <c r="AC416" s="2458"/>
      <c r="AD416" s="2458"/>
    </row>
    <row r="417" spans="2:46" ht="22" customHeight="1">
      <c r="B417" s="2541" t="s">
        <v>1665</v>
      </c>
      <c r="C417" s="2458"/>
      <c r="D417" s="2474"/>
      <c r="E417" s="2474"/>
      <c r="F417" s="2458"/>
      <c r="G417" s="2474"/>
      <c r="H417" s="2474"/>
      <c r="I417" s="2145"/>
      <c r="J417" s="2145"/>
      <c r="K417" s="2544" t="s">
        <v>1666</v>
      </c>
      <c r="L417" s="2474"/>
      <c r="M417" s="2474"/>
      <c r="N417" s="2458"/>
      <c r="O417" s="2458"/>
      <c r="P417" s="2458"/>
      <c r="Q417" s="2458"/>
      <c r="R417" s="5"/>
      <c r="S417" s="5"/>
      <c r="T417" s="5"/>
      <c r="U417" s="5"/>
      <c r="V417" s="5"/>
      <c r="W417" s="5"/>
      <c r="X417" s="5"/>
      <c r="Y417" s="5"/>
      <c r="Z417" s="5"/>
      <c r="AA417" s="5"/>
    </row>
    <row r="418" spans="2:46" ht="44" customHeight="1">
      <c r="B418" s="1748" t="s">
        <v>1667</v>
      </c>
      <c r="G418" s="1721"/>
      <c r="O418" s="5"/>
      <c r="P418" s="5"/>
      <c r="Q418" s="5"/>
      <c r="R418" s="5"/>
      <c r="S418" s="5"/>
      <c r="T418" s="5"/>
      <c r="U418" s="5"/>
      <c r="V418" s="5"/>
      <c r="W418" s="5"/>
      <c r="X418" s="5"/>
      <c r="Y418" s="5"/>
      <c r="Z418" s="5"/>
      <c r="AA418" s="5"/>
    </row>
    <row r="419" spans="2:46" ht="22" customHeight="1">
      <c r="B419" s="407" t="s">
        <v>1668</v>
      </c>
      <c r="F419" s="1680" t="s">
        <v>1669</v>
      </c>
      <c r="O419" s="5"/>
      <c r="P419" s="5"/>
      <c r="Q419" s="5"/>
      <c r="R419" s="5"/>
      <c r="S419" s="5"/>
      <c r="T419" s="5"/>
      <c r="U419" s="5"/>
      <c r="V419" s="5"/>
      <c r="W419" s="5"/>
      <c r="X419" s="5"/>
      <c r="Y419" s="5"/>
      <c r="Z419" s="5"/>
      <c r="AA419" s="5"/>
    </row>
    <row r="420" spans="2:46" ht="22" customHeight="1">
      <c r="B420" t="s">
        <v>1670</v>
      </c>
      <c r="G420" s="1680"/>
      <c r="J420" s="291" t="s">
        <v>1671</v>
      </c>
      <c r="O420" s="5"/>
      <c r="P420" s="5"/>
      <c r="Q420" s="5"/>
      <c r="R420" s="5"/>
      <c r="S420" s="5"/>
      <c r="T420" s="5"/>
      <c r="U420" s="5"/>
      <c r="V420" s="5"/>
      <c r="W420" s="5"/>
      <c r="X420" s="5"/>
      <c r="Y420" s="5"/>
      <c r="Z420" s="5"/>
      <c r="AA420" s="5"/>
    </row>
    <row r="421" spans="2:46" ht="22" customHeight="1">
      <c r="G421" s="1680"/>
      <c r="O421" s="5"/>
      <c r="P421" s="5"/>
      <c r="Q421" s="5"/>
      <c r="R421" s="1799" t="s">
        <v>1672</v>
      </c>
      <c r="S421" s="5"/>
      <c r="T421" s="5"/>
      <c r="U421" s="5"/>
      <c r="V421" s="5"/>
      <c r="W421" s="5"/>
      <c r="X421" s="5"/>
      <c r="Y421" s="5"/>
      <c r="Z421" s="5"/>
      <c r="AA421" s="5"/>
    </row>
    <row r="423" spans="2:46" ht="29" customHeight="1">
      <c r="B423" s="5"/>
      <c r="C423" s="5"/>
      <c r="E423" s="2543" t="s">
        <v>62</v>
      </c>
      <c r="F423" s="2458"/>
      <c r="G423" s="2474"/>
      <c r="O423" s="5"/>
      <c r="P423" s="5"/>
      <c r="Q423" s="5"/>
      <c r="R423" s="5"/>
      <c r="S423" s="5"/>
      <c r="T423" s="2542" t="s">
        <v>1673</v>
      </c>
      <c r="U423" s="2458"/>
      <c r="V423" s="2458"/>
      <c r="W423" s="2458"/>
      <c r="X423" s="2458"/>
      <c r="Y423" s="1772"/>
      <c r="Z423" s="2528" t="s">
        <v>1674</v>
      </c>
      <c r="AA423" s="2458"/>
      <c r="AB423" s="2458"/>
      <c r="AC423" s="2458"/>
      <c r="AD423" s="2458"/>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4"/>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700" t="s">
        <v>1686</v>
      </c>
      <c r="U427" s="700" t="s">
        <v>1687</v>
      </c>
      <c r="V427" s="700"/>
      <c r="W427" s="700"/>
      <c r="X427" s="700"/>
      <c r="Y427" s="5"/>
      <c r="Z427" s="90">
        <v>0</v>
      </c>
      <c r="AA427" s="90">
        <f>$F427</f>
        <v>4</v>
      </c>
      <c r="AB427" s="90">
        <f>AA427+AA$424*($I427-$F427)</f>
        <v>6.5</v>
      </c>
      <c r="AC427" s="90">
        <f>$AB427+AB$424*($I427-$F427)</f>
        <v>10.3</v>
      </c>
      <c r="AD427" s="1757" t="s">
        <v>1688</v>
      </c>
    </row>
    <row r="428" spans="2:46" ht="60" customHeight="1">
      <c r="C428" s="2" t="s">
        <v>1689</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700"/>
      <c r="U428" s="700"/>
      <c r="V428" s="700"/>
      <c r="W428" s="700"/>
      <c r="X428" s="700"/>
      <c r="Y428" s="5"/>
      <c r="Z428" s="90">
        <v>0</v>
      </c>
      <c r="AA428" s="90">
        <f>$F428</f>
        <v>0</v>
      </c>
      <c r="AB428" s="90">
        <f>AA428+AA$424*($I428-$F428)</f>
        <v>0</v>
      </c>
      <c r="AC428" s="90">
        <f>$AB428+AB$424*($I428-$F428)</f>
        <v>0</v>
      </c>
      <c r="AD428" s="1757" t="s">
        <v>1688</v>
      </c>
    </row>
    <row r="429" spans="2:46" ht="60" customHeight="1">
      <c r="C429" s="2" t="s">
        <v>1690</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700"/>
      <c r="U429" s="700"/>
      <c r="V429" s="5"/>
      <c r="W429" s="5"/>
      <c r="X429" s="5"/>
      <c r="Y429" s="5"/>
      <c r="Z429" s="90">
        <v>0</v>
      </c>
      <c r="AA429" s="90">
        <f>$F429</f>
        <v>14</v>
      </c>
      <c r="AB429" s="90">
        <f>AA429+AA$424*($I429-$F429)</f>
        <v>15.5</v>
      </c>
      <c r="AC429" s="90">
        <f>$AB429+AB$424*($I429-$F429)</f>
        <v>17.78</v>
      </c>
      <c r="AD429" s="1757" t="s">
        <v>1688</v>
      </c>
    </row>
    <row r="430" spans="2:46" ht="35" customHeight="1">
      <c r="C430" s="2"/>
      <c r="D430" s="90"/>
      <c r="F430" s="5"/>
      <c r="G430" s="90"/>
      <c r="H430" s="90"/>
      <c r="N430" s="5"/>
      <c r="O430" s="5"/>
      <c r="P430" s="5"/>
      <c r="Q430" s="5"/>
      <c r="R430" s="5"/>
      <c r="S430" s="2133">
        <f>'Indice VC'!I30</f>
        <v>0</v>
      </c>
      <c r="T430" s="291" t="str">
        <f>'Indice VC'!J30</f>
        <v/>
      </c>
      <c r="U430" s="5"/>
      <c r="V430" s="5"/>
      <c r="W430" s="5"/>
      <c r="X430" s="5"/>
      <c r="Y430" s="5"/>
      <c r="Z430" s="90"/>
      <c r="AA430" s="90"/>
      <c r="AB430" s="90"/>
      <c r="AC430" s="90"/>
    </row>
    <row r="431" spans="2:46" ht="22" customHeight="1">
      <c r="B431" s="600"/>
      <c r="D431" s="1" t="s">
        <v>1679</v>
      </c>
      <c r="G431" s="1723"/>
      <c r="N431" s="5"/>
      <c r="O431" s="5"/>
      <c r="P431" s="5"/>
      <c r="Q431" s="5"/>
      <c r="R431" s="5"/>
      <c r="S431" s="2133">
        <f>'Indice VC'!I31</f>
        <v>0</v>
      </c>
      <c r="T431" s="291" t="str">
        <f>'Indice VC'!J31</f>
        <v/>
      </c>
      <c r="U431" s="5"/>
      <c r="V431" s="5"/>
      <c r="W431" s="5"/>
      <c r="X431" s="5"/>
      <c r="Y431" s="5"/>
      <c r="Z431" s="5"/>
      <c r="AA431" s="90"/>
      <c r="AO431" s="3"/>
      <c r="AP431" s="3"/>
      <c r="AQ431" s="3"/>
      <c r="AR431" s="3"/>
      <c r="AS431" s="3"/>
      <c r="AT431" s="3"/>
    </row>
    <row r="432" spans="2:46" ht="22" customHeight="1">
      <c r="B432" s="600"/>
      <c r="D432" s="1757" t="s">
        <v>1688</v>
      </c>
      <c r="G432" s="1723"/>
      <c r="N432" s="5"/>
      <c r="O432" s="5"/>
      <c r="P432" s="5"/>
      <c r="Q432" s="5"/>
      <c r="R432" s="5"/>
      <c r="S432" s="2133"/>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85"/>
      <c r="B434" s="34" t="str">
        <f>'Contexte | CSS'!D1</f>
        <v>Votre contexte familial présente-t-il un risque de conflit parental ?</v>
      </c>
      <c r="I434" s="1680" t="s">
        <v>1691</v>
      </c>
      <c r="M434" s="3"/>
      <c r="O434" s="5"/>
      <c r="P434" s="5"/>
      <c r="Q434" s="5"/>
      <c r="R434" s="5"/>
      <c r="S434" s="5"/>
      <c r="T434" s="5"/>
      <c r="U434" s="5"/>
      <c r="V434" s="5"/>
      <c r="W434" s="5"/>
      <c r="X434" s="5"/>
      <c r="Y434" s="5"/>
      <c r="Z434" s="5"/>
      <c r="AA434" s="5"/>
    </row>
    <row r="435" spans="1:32" ht="21" customHeight="1">
      <c r="A435" s="2458"/>
      <c r="B435" s="1745"/>
      <c r="E435" s="1758"/>
      <c r="O435" s="5"/>
      <c r="P435" s="5"/>
      <c r="Q435" s="5"/>
      <c r="R435" s="5"/>
      <c r="S435" s="5"/>
      <c r="T435" s="5"/>
      <c r="U435" s="2530"/>
      <c r="V435" s="2458"/>
      <c r="W435" s="2458"/>
      <c r="X435" s="2458"/>
      <c r="Y435" s="2458"/>
      <c r="Z435" s="1926"/>
      <c r="AA435" s="2474"/>
      <c r="AB435" s="2458"/>
      <c r="AC435" s="2458"/>
      <c r="AD435" s="2458"/>
      <c r="AE435" s="2458"/>
    </row>
    <row r="436" spans="1:32" ht="17" customHeight="1">
      <c r="A436" s="2458"/>
      <c r="B436" s="2537"/>
      <c r="C436" s="2458"/>
      <c r="D436" s="3"/>
      <c r="E436" s="3"/>
      <c r="F436" s="3"/>
      <c r="G436" s="3"/>
      <c r="J436" s="1759" t="s">
        <v>1692</v>
      </c>
      <c r="O436" s="5"/>
      <c r="P436" s="5"/>
      <c r="Q436" s="5"/>
      <c r="R436" s="5"/>
      <c r="S436" s="5"/>
      <c r="T436" s="5"/>
      <c r="U436" s="1926"/>
      <c r="V436" s="1926"/>
      <c r="W436" s="1926"/>
      <c r="X436" s="1926"/>
      <c r="Y436" s="1926"/>
      <c r="Z436" s="1926"/>
      <c r="AA436" s="5"/>
      <c r="AB436" s="66"/>
      <c r="AC436" s="66"/>
      <c r="AD436" s="66"/>
      <c r="AE436" s="5"/>
      <c r="AF436" s="5"/>
    </row>
    <row r="437" spans="1:32">
      <c r="A437" s="2458"/>
      <c r="B437" s="5"/>
      <c r="C437" s="824" t="s">
        <v>10</v>
      </c>
      <c r="D437" s="1757"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7">
        <f>'Contexte | CSS'!H37</f>
        <v>0</v>
      </c>
      <c r="D438" s="1359"/>
      <c r="G438" s="5" t="s">
        <v>1698</v>
      </c>
      <c r="H438" s="5">
        <f>'Contexte | CSS'!$AK11</f>
        <v>0</v>
      </c>
      <c r="I438" s="5">
        <f>'Contexte | CSS'!$AL11</f>
        <v>17</v>
      </c>
      <c r="N438" s="5"/>
      <c r="O438" s="5"/>
      <c r="P438" s="5"/>
      <c r="Q438" s="5"/>
      <c r="R438" s="2058"/>
      <c r="S438" s="2058"/>
      <c r="T438" s="2058"/>
      <c r="U438" s="2058"/>
      <c r="V438" s="2058"/>
      <c r="W438" s="1925"/>
      <c r="X438" s="2058"/>
      <c r="Y438" s="1925"/>
      <c r="Z438" s="2058"/>
      <c r="AA438" s="2058"/>
      <c r="AB438" s="2058"/>
      <c r="AC438" s="1925"/>
      <c r="AD438" s="1925"/>
      <c r="AE438" s="1925"/>
      <c r="AF438" s="1925"/>
    </row>
    <row r="439" spans="1:32">
      <c r="C439" s="4" t="str">
        <f>'Contexte | CSS'!H38</f>
        <v>Risque absent</v>
      </c>
      <c r="F439" s="5"/>
      <c r="G439" s="5" t="s">
        <v>1544</v>
      </c>
      <c r="H439" s="5">
        <f>'Contexte | CSS'!$AK12</f>
        <v>18</v>
      </c>
      <c r="I439" s="5">
        <f>'Contexte | CSS'!$AL12</f>
        <v>52</v>
      </c>
      <c r="N439" s="5"/>
      <c r="O439" s="5"/>
      <c r="P439" s="5"/>
      <c r="Q439" s="5"/>
      <c r="R439" s="2058"/>
      <c r="S439" s="1925"/>
      <c r="T439" s="1925"/>
      <c r="U439" s="2058"/>
      <c r="V439" s="2058"/>
      <c r="W439" s="2058"/>
      <c r="X439" s="2058"/>
      <c r="Y439" s="2357"/>
      <c r="Z439" s="2357"/>
      <c r="AA439" s="2357"/>
      <c r="AB439" s="2357"/>
      <c r="AC439" s="2357"/>
      <c r="AD439" s="2357"/>
      <c r="AE439" s="2357"/>
      <c r="AF439" s="2058"/>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4" t="s">
        <v>1701</v>
      </c>
      <c r="H448" s="253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74"/>
      <c r="J448" s="2474"/>
      <c r="K448" s="2474"/>
      <c r="L448" s="2474"/>
      <c r="M448" s="2474"/>
      <c r="N448" s="2458"/>
      <c r="AA448" s="5"/>
      <c r="AB448" s="5"/>
      <c r="AC448" s="5"/>
      <c r="AD448" s="5"/>
      <c r="AE448" s="5"/>
      <c r="AF448" s="5"/>
    </row>
    <row r="449" spans="1:46" ht="22" customHeight="1">
      <c r="B449" s="600"/>
      <c r="G449" s="1723"/>
      <c r="N449" s="5"/>
      <c r="O449" s="5"/>
      <c r="P449" s="5"/>
      <c r="Q449" s="5"/>
      <c r="R449" s="5"/>
      <c r="S449" s="2133"/>
      <c r="T449" s="291"/>
      <c r="U449" s="5"/>
      <c r="V449" s="5"/>
      <c r="W449" s="5"/>
      <c r="X449" s="5"/>
      <c r="Y449" s="5"/>
      <c r="Z449" s="5"/>
      <c r="AA449" s="90"/>
      <c r="AO449" s="3"/>
      <c r="AP449" s="3"/>
      <c r="AQ449" s="3"/>
      <c r="AR449" s="3"/>
      <c r="AS449" s="3"/>
      <c r="AT449" s="3"/>
    </row>
    <row r="450" spans="1:46" ht="52" customHeight="1">
      <c r="A450" s="2548"/>
      <c r="B450" s="2265" t="str">
        <f>'Cpts miroirs des parents'!D5</f>
        <v>Est-ce que les coparents tendent vers une saine coparentalité ?</v>
      </c>
      <c r="C450" s="5"/>
      <c r="G450" s="1680" t="s">
        <v>1702</v>
      </c>
      <c r="L450" s="1742"/>
      <c r="M450" s="291"/>
      <c r="Q450" s="5"/>
      <c r="R450" s="5"/>
      <c r="T450" s="5"/>
      <c r="U450" s="5"/>
      <c r="V450" s="5"/>
      <c r="W450" s="5"/>
      <c r="X450" s="5"/>
      <c r="Y450" s="5"/>
      <c r="Z450" s="5"/>
      <c r="AA450" s="5"/>
      <c r="AO450" s="2146"/>
      <c r="AP450" s="2146"/>
      <c r="AQ450" s="2146"/>
      <c r="AR450" s="2146"/>
      <c r="AS450" s="2146"/>
      <c r="AT450" s="2146"/>
    </row>
    <row r="451" spans="1:46" ht="21" customHeight="1">
      <c r="A451" s="2458"/>
      <c r="C451" s="5"/>
      <c r="F451" s="1680"/>
      <c r="H451" s="1769" t="s">
        <v>1703</v>
      </c>
      <c r="L451" s="291"/>
      <c r="Q451" s="5"/>
      <c r="S451" s="5"/>
      <c r="T451" s="49"/>
      <c r="U451" s="49"/>
      <c r="V451" s="49"/>
      <c r="W451" s="49"/>
      <c r="X451" s="49"/>
      <c r="Y451" s="49"/>
      <c r="Z451" s="2474"/>
      <c r="AA451" s="2458"/>
      <c r="AB451" s="2458"/>
      <c r="AC451" s="2458"/>
      <c r="AD451" s="2458"/>
      <c r="AE451" s="2458"/>
      <c r="AO451" s="2146"/>
      <c r="AP451" s="2146"/>
      <c r="AQ451" s="2146"/>
      <c r="AR451" s="2146"/>
      <c r="AS451" s="2146"/>
      <c r="AT451" s="2146"/>
    </row>
    <row r="452" spans="1:46" ht="21" customHeight="1">
      <c r="A452" s="2458"/>
      <c r="C452" s="5"/>
      <c r="F452" s="1359"/>
      <c r="P452" s="2465"/>
      <c r="Q452" s="2458"/>
      <c r="R452" s="2458"/>
      <c r="S452" s="13"/>
      <c r="T452" s="3"/>
      <c r="U452" s="2535"/>
      <c r="V452" s="2458"/>
      <c r="X452" s="3"/>
      <c r="Y452" s="3"/>
      <c r="Z452" s="2535"/>
      <c r="AA452" s="2458"/>
      <c r="AB452" s="2535"/>
      <c r="AC452" s="2458"/>
      <c r="AD452" s="2535"/>
      <c r="AE452" s="2458"/>
      <c r="AJ452" s="291" t="s">
        <v>1704</v>
      </c>
    </row>
    <row r="453" spans="1:46" ht="17" customHeight="1">
      <c r="A453" s="2458"/>
      <c r="C453" s="587"/>
      <c r="D453" s="1253" t="s">
        <v>1705</v>
      </c>
      <c r="E453" s="1682" t="s">
        <v>91</v>
      </c>
      <c r="F453" s="5"/>
      <c r="H453" s="1771"/>
      <c r="I453" s="1770"/>
      <c r="P453" s="2458"/>
      <c r="Q453" s="2458"/>
      <c r="R453" s="2458"/>
      <c r="S453" s="700"/>
      <c r="T453" s="730"/>
      <c r="U453" s="2538"/>
      <c r="V453" s="2538"/>
      <c r="X453" s="2146"/>
      <c r="Y453" s="2146"/>
      <c r="Z453" s="5"/>
      <c r="AA453" s="5"/>
      <c r="AB453" s="5"/>
      <c r="AC453" s="2358"/>
      <c r="AD453" s="5"/>
      <c r="AE453" s="2358"/>
    </row>
    <row r="454" spans="1:46" ht="17" customHeight="1">
      <c r="A454" s="2293"/>
      <c r="C454" s="587"/>
      <c r="D454" s="1253"/>
      <c r="E454" s="1682"/>
      <c r="F454" s="5"/>
      <c r="H454" s="1771"/>
      <c r="I454" s="1770"/>
      <c r="Q454" s="5"/>
      <c r="R454" s="2147"/>
      <c r="S454" s="13"/>
      <c r="T454" s="700"/>
      <c r="U454" s="2458"/>
      <c r="V454" s="2458"/>
      <c r="X454" s="2146"/>
      <c r="Y454" s="2146"/>
      <c r="Z454" s="5"/>
      <c r="AA454" s="5"/>
      <c r="AB454" s="5"/>
      <c r="AC454" s="2358"/>
      <c r="AD454" s="5"/>
      <c r="AE454" s="2358"/>
    </row>
    <row r="455" spans="1:46" ht="27" customHeight="1">
      <c r="A455" s="2482"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1706</v>
      </c>
      <c r="H455" s="1374"/>
      <c r="Q455" s="5"/>
      <c r="R455" s="2"/>
      <c r="T455" s="5"/>
      <c r="U455" s="5"/>
      <c r="V455" s="5"/>
      <c r="X455" s="5"/>
      <c r="Y455" s="5"/>
      <c r="Z455" s="291"/>
      <c r="AB455" s="90"/>
      <c r="AC455" s="90"/>
      <c r="AD455" s="1757"/>
      <c r="AE455" s="1757"/>
    </row>
    <row r="456" spans="1:46" ht="27" customHeight="1">
      <c r="A456" s="2458"/>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c r="A457" s="2458"/>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c r="A458" s="245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c r="A459" s="2458"/>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c r="A460" s="2458"/>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c r="A461" s="2458"/>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c r="A462" s="2458"/>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4" t="s">
        <v>1701</v>
      </c>
      <c r="H463" s="248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74"/>
      <c r="J463" s="2474"/>
      <c r="K463" s="2474"/>
      <c r="L463" s="2474"/>
      <c r="M463" s="2474"/>
      <c r="Q463" s="5"/>
      <c r="R463" s="2147"/>
      <c r="S463" s="5"/>
      <c r="T463" s="5"/>
      <c r="U463" s="5"/>
      <c r="V463" s="5"/>
      <c r="X463" s="5"/>
      <c r="Y463" s="5"/>
    </row>
    <row r="464" spans="1:46" ht="27" customHeight="1">
      <c r="A464" s="2482">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1706</v>
      </c>
      <c r="K464" s="90"/>
      <c r="Q464" s="5"/>
      <c r="R464" s="2"/>
      <c r="T464" s="5"/>
      <c r="U464" s="5"/>
      <c r="V464" s="5"/>
      <c r="X464" s="5"/>
      <c r="Y464" s="5"/>
      <c r="AA464" s="5"/>
    </row>
    <row r="465" spans="1:42" ht="27" customHeight="1">
      <c r="A465" s="2458"/>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58"/>
    </row>
    <row r="466" spans="1:42" ht="27" customHeight="1">
      <c r="A466" s="2458"/>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c r="A467" s="2458"/>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c r="A468" s="2458"/>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c r="A469" s="2458"/>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2" t="s">
        <v>1707</v>
      </c>
    </row>
    <row r="470" spans="1:42" ht="27" customHeight="1">
      <c r="A470" s="89"/>
      <c r="C470" s="2"/>
      <c r="F470" s="291"/>
      <c r="G470" s="1723"/>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4" t="s">
        <v>1701</v>
      </c>
      <c r="H473" s="2465"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74"/>
      <c r="J473" s="2474"/>
      <c r="K473" s="2474"/>
      <c r="L473" s="2474"/>
      <c r="M473" s="2474"/>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2"/>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8"/>
      <c r="AL476" s="2273">
        <f>'Cpts préjudiciables parents'!G15</f>
        <v>0</v>
      </c>
      <c r="AM476" s="55"/>
    </row>
    <row r="477" spans="1:42" ht="21" customHeight="1">
      <c r="A477" s="245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8"/>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9"/>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52" t="s">
        <v>1708</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3" t="s">
        <v>1609</v>
      </c>
      <c r="D483" s="2350" t="s">
        <v>1709</v>
      </c>
      <c r="E483" s="4"/>
      <c r="F483" s="5"/>
      <c r="N483" t="s">
        <v>1710</v>
      </c>
      <c r="T483" s="2530"/>
      <c r="U483" s="2458"/>
      <c r="V483" s="2458"/>
      <c r="W483" s="2458"/>
      <c r="X483" s="2458"/>
      <c r="Y483" s="1926"/>
      <c r="AL483" s="2273">
        <f>'Cpts préjudiciables parents'!G22</f>
        <v>0</v>
      </c>
      <c r="AM483" s="55"/>
    </row>
    <row r="484" spans="3:42" ht="21" customHeight="1">
      <c r="C484" s="2271"/>
      <c r="E484" s="1743"/>
      <c r="F484" s="5"/>
      <c r="T484" s="1926"/>
      <c r="U484" s="1926"/>
      <c r="V484" s="1926"/>
      <c r="W484" s="1926"/>
      <c r="X484" s="1926"/>
      <c r="Y484" s="1926"/>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9"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8"/>
      <c r="D486" s="1757"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8"/>
      <c r="D487" s="1757" t="str">
        <f>IF(AP471="à inclure",AN471,"")</f>
        <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71"/>
      <c r="D488" s="1757" t="str">
        <f>IF(AP472="à inclure",AN472,"")</f>
        <v/>
      </c>
      <c r="E488" s="90"/>
      <c r="N488" s="55" t="str">
        <f>'Cpts préjudiciables parents'!R22</f>
        <v>Interférence temps et/ou communication</v>
      </c>
      <c r="O488" s="55">
        <f>'Cpts préjudiciables parents'!S22</f>
        <v>0</v>
      </c>
      <c r="AL488" s="2273">
        <f>'Cpts préjudiciables parents'!G27</f>
        <v>0</v>
      </c>
      <c r="AM488" s="55"/>
    </row>
    <row r="489" spans="3:42">
      <c r="C489" s="2550" t="str">
        <f>'Cpts préjudiciables parents'!B16</f>
        <v>Chantage affectif, manipulation</v>
      </c>
      <c r="D489" s="2351"/>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8"/>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8"/>
      <c r="D491" s="1757"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8"/>
      <c r="D492" s="1757"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49" t="str">
        <f>'Cpts préjudiciables parents'!B23</f>
        <v>Dénigrement</v>
      </c>
      <c r="D493" s="2352"/>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8"/>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40" t="str">
        <f>'Cpts préjudiciables parents'!B28</f>
        <v>Interférence temps et/ou communication</v>
      </c>
      <c r="D497" s="2352"/>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8"/>
      <c r="D498" s="1757" t="str">
        <f>IF(AP489="à inclure",AN489,"")</f>
        <v/>
      </c>
      <c r="F498" s="5"/>
      <c r="AL498" s="2273">
        <f>'Cpts préjudiciables parents'!G37</f>
        <v>0</v>
      </c>
      <c r="AM498" s="55"/>
    </row>
    <row r="499" spans="3:42">
      <c r="C499" s="2458"/>
      <c r="D499" s="1757" t="str">
        <f>IF(AP490="à inclure",AN490,"")</f>
        <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8"/>
      <c r="D500" s="1757"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46" t="str">
        <f>'Cpts préjudiciables parents'!B38</f>
        <v>Interférence lien affectif ou symbolique</v>
      </c>
      <c r="D501" s="2352"/>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8"/>
      <c r="D503" s="1757"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8"/>
      <c r="D504" s="1757" t="str">
        <f>IF(AP501="à inclure",AN501,"")</f>
        <v/>
      </c>
      <c r="E504" s="2"/>
      <c r="F504" s="5"/>
      <c r="AL504" s="2273">
        <f>'Cpts préjudiciables parents'!G43</f>
        <v>0</v>
      </c>
      <c r="AM504" s="55"/>
    </row>
    <row r="505" spans="3:42">
      <c r="C505" s="2353" t="str">
        <f>'Cpts préjudiciables parents'!$B$44</f>
        <v>Parentification</v>
      </c>
      <c r="D505" s="2352"/>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4"/>
      <c r="D506" s="1757"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5"/>
      <c r="D507" s="1757"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9"/>
      <c r="D508" s="1757"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51" t="str">
        <f>'Cpts préjudiciables parents'!B49</f>
        <v>Rôle actif de l'enfant</v>
      </c>
      <c r="D509" s="2352"/>
      <c r="E509" s="2"/>
      <c r="F509" s="5"/>
      <c r="AL509" s="2273">
        <f>'Cpts préjudiciables parents'!G48</f>
        <v>0</v>
      </c>
      <c r="AM509" s="55"/>
    </row>
    <row r="510" spans="3:42">
      <c r="C510" s="245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8"/>
      <c r="D512" s="1757"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8"/>
      <c r="D513" s="1757"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7"/>
      <c r="E514" s="2"/>
      <c r="F514" s="5"/>
      <c r="AL514" s="2273">
        <f>'Cpts préjudiciables parents'!G53</f>
        <v>0</v>
      </c>
    </row>
    <row r="515" spans="1:42" ht="143" customHeight="1">
      <c r="B515" s="2264" t="s">
        <v>1701</v>
      </c>
      <c r="C515" s="253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74"/>
      <c r="E515" s="2474"/>
      <c r="F515" s="2458"/>
      <c r="G515" s="2474"/>
      <c r="H515" s="2474"/>
      <c r="I515" s="2474"/>
      <c r="J515" s="2474"/>
      <c r="K515" s="2474"/>
      <c r="L515" s="2474"/>
    </row>
    <row r="516" spans="1:42">
      <c r="E516" s="2"/>
      <c r="F516" s="5"/>
    </row>
    <row r="517" spans="1:42" ht="13" customHeight="1">
      <c r="E517" s="2"/>
      <c r="F517" s="5"/>
    </row>
    <row r="518" spans="1:42">
      <c r="C518" s="291"/>
      <c r="D518" s="2"/>
      <c r="E518" s="2"/>
      <c r="F518" s="5"/>
    </row>
    <row r="519" spans="1:42" ht="21" customHeight="1">
      <c r="A519" s="2485"/>
      <c r="B519" s="2266" t="s">
        <v>1711</v>
      </c>
      <c r="G519" s="1680"/>
      <c r="H519" s="2"/>
      <c r="R519" s="5"/>
      <c r="S519" s="5"/>
      <c r="T519" s="5"/>
      <c r="U519" s="2530"/>
      <c r="V519" s="2458"/>
      <c r="W519" s="2458"/>
      <c r="X519" s="2458"/>
      <c r="Y519" s="2458"/>
      <c r="Z519" s="1926"/>
      <c r="AA519" s="2474"/>
      <c r="AB519" s="2458"/>
      <c r="AC519" s="2458"/>
      <c r="AD519" s="2458"/>
      <c r="AE519" s="2458"/>
    </row>
    <row r="520" spans="1:42" ht="21" customHeight="1">
      <c r="A520" s="2458"/>
      <c r="B520" s="1745"/>
      <c r="G520" s="1680"/>
      <c r="R520" s="5"/>
      <c r="S520" s="5"/>
      <c r="T520" s="5"/>
      <c r="U520" s="1926"/>
      <c r="V520" s="1926"/>
      <c r="W520" s="1926"/>
      <c r="X520" s="1926"/>
      <c r="Y520" s="1926"/>
      <c r="Z520" s="1926"/>
      <c r="AA520" s="5"/>
      <c r="AB520" s="66"/>
      <c r="AC520" s="66"/>
      <c r="AD520" s="66"/>
      <c r="AE520" s="5"/>
      <c r="AF520" s="5"/>
    </row>
    <row r="521" spans="1:42" ht="18.5" customHeight="1">
      <c r="A521" s="2458"/>
      <c r="B521" s="1745"/>
      <c r="F521" s="1759"/>
      <c r="G521" s="1680" t="s">
        <v>1691</v>
      </c>
      <c r="H521" s="1758"/>
      <c r="I521" s="1723"/>
      <c r="U521" s="1"/>
      <c r="V521" s="1"/>
      <c r="W521" s="1"/>
      <c r="X521" s="1"/>
      <c r="Y521" s="1"/>
      <c r="Z521" s="1"/>
      <c r="AA521" s="1"/>
      <c r="AB521" s="1"/>
      <c r="AC521" s="1"/>
      <c r="AD521" s="1"/>
      <c r="AE521" s="1"/>
      <c r="AF521" s="1"/>
    </row>
    <row r="522" spans="1:42" ht="18.5" customHeight="1">
      <c r="A522" s="2458"/>
      <c r="C522" s="407"/>
      <c r="L522" s="1746"/>
      <c r="M522" s="1359"/>
      <c r="R522" s="2058"/>
      <c r="S522" s="2058"/>
      <c r="T522" s="2058"/>
      <c r="U522" s="2058"/>
      <c r="V522" s="2058"/>
      <c r="W522" s="2058"/>
      <c r="X522" s="2058"/>
      <c r="Y522" s="2058"/>
      <c r="Z522" s="2058"/>
      <c r="AA522" s="2058"/>
      <c r="AB522" s="2058"/>
      <c r="AC522" s="1925"/>
      <c r="AD522" s="1925"/>
      <c r="AE522" s="1925"/>
      <c r="AF522" s="1925"/>
    </row>
    <row r="523" spans="1:42">
      <c r="C523" s="824" t="s">
        <v>10</v>
      </c>
      <c r="D523" s="57"/>
      <c r="E523" s="3"/>
      <c r="F523" s="3"/>
      <c r="G523" s="3"/>
      <c r="H523" s="3"/>
      <c r="J523" s="2"/>
      <c r="K523" s="1743"/>
      <c r="R523" s="2058"/>
      <c r="S523" s="1925"/>
      <c r="T523" s="1925"/>
      <c r="U523" s="2058"/>
      <c r="V523" s="2058"/>
      <c r="W523" s="2058"/>
      <c r="X523" s="2058"/>
      <c r="Y523" s="2357"/>
      <c r="Z523" s="2357"/>
      <c r="AA523" s="2357"/>
      <c r="AB523" s="2357"/>
      <c r="AC523" s="2357"/>
      <c r="AD523" s="2357"/>
      <c r="AE523" s="2357"/>
      <c r="AF523" s="2058"/>
    </row>
    <row r="524" spans="1:42">
      <c r="C524" s="1747">
        <f>'Indice D''exclusion'!H37</f>
        <v>0</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80"/>
    </row>
    <row r="538" spans="1:31" ht="44" customHeight="1">
      <c r="C538" s="2"/>
      <c r="E538" s="2264" t="s">
        <v>1701</v>
      </c>
      <c r="F538" s="2536"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74"/>
      <c r="H538" s="2474"/>
      <c r="I538" s="2474"/>
      <c r="J538" s="2474"/>
      <c r="K538" s="2474"/>
      <c r="N538" s="5"/>
      <c r="O538" s="5"/>
      <c r="P538" s="5"/>
      <c r="Q538" s="5"/>
      <c r="R538" s="5"/>
      <c r="S538" s="2"/>
      <c r="T538" s="5"/>
      <c r="U538" s="5"/>
      <c r="V538" s="5"/>
      <c r="W538" s="5"/>
      <c r="X538" s="5"/>
      <c r="Y538" s="2259"/>
      <c r="Z538" s="5"/>
      <c r="AA538" s="5"/>
    </row>
    <row r="539" spans="1:31" ht="30" customHeight="1">
      <c r="G539" s="291"/>
      <c r="S539" s="2"/>
    </row>
    <row r="540" spans="1:31" ht="21" customHeight="1">
      <c r="A540" s="2548"/>
      <c r="B540" s="2292" t="s">
        <v>1714</v>
      </c>
    </row>
    <row r="541" spans="1:31" ht="23" customHeight="1">
      <c r="A541" s="2458"/>
      <c r="B541" s="1745"/>
      <c r="G541" s="1680"/>
      <c r="I541" s="1680" t="s">
        <v>1715</v>
      </c>
      <c r="J541" s="1759"/>
    </row>
    <row r="542" spans="1:31" ht="24" customHeight="1">
      <c r="A542" s="2458"/>
      <c r="C542" s="589" t="s">
        <v>10</v>
      </c>
      <c r="D542" s="2535" t="s">
        <v>1716</v>
      </c>
      <c r="E542" s="2474"/>
      <c r="F542" s="2458"/>
      <c r="G542" s="2474"/>
      <c r="H542" s="2474"/>
      <c r="I542" s="2474"/>
      <c r="J542" s="1754"/>
      <c r="T542" s="5"/>
      <c r="U542" s="2530"/>
      <c r="V542" s="2458"/>
      <c r="W542" s="2458"/>
      <c r="X542" s="2458"/>
      <c r="Y542" s="2458"/>
      <c r="Z542" s="1926"/>
      <c r="AA542" s="2474"/>
      <c r="AB542" s="2458"/>
      <c r="AC542" s="2458"/>
      <c r="AD542" s="2458"/>
      <c r="AE542" s="2458"/>
    </row>
    <row r="543" spans="1:31" ht="29" customHeight="1">
      <c r="A543" s="2458"/>
      <c r="C543" s="589"/>
      <c r="D543" s="700" t="s">
        <v>1675</v>
      </c>
      <c r="E543" s="700" t="s">
        <v>1676</v>
      </c>
      <c r="F543" s="5"/>
      <c r="H543" s="5" t="s">
        <v>1488</v>
      </c>
      <c r="J543" s="11"/>
      <c r="T543" s="5"/>
      <c r="U543" s="1926"/>
      <c r="V543" s="1926"/>
      <c r="W543" s="1926"/>
      <c r="X543" s="1926"/>
      <c r="Y543" s="1926"/>
      <c r="Z543" s="1926"/>
      <c r="AA543" s="5"/>
      <c r="AB543" s="66"/>
      <c r="AC543" s="66"/>
      <c r="AD543" s="66"/>
      <c r="AE543" s="5"/>
    </row>
    <row r="544" spans="1:31" ht="24" customHeight="1">
      <c r="C544" s="1672"/>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47"/>
      <c r="B545" t="s">
        <v>1717</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8"/>
      <c r="B546" s="407"/>
    </row>
    <row r="547" spans="1:30" ht="72" customHeight="1">
      <c r="G547" s="1680"/>
      <c r="J547" s="25"/>
      <c r="K547" s="25"/>
    </row>
    <row r="548" spans="1:30" ht="39" customHeight="1">
      <c r="G548" s="1680"/>
      <c r="J548" s="25"/>
      <c r="K548" s="25"/>
    </row>
    <row r="549" spans="1:30" ht="39" customHeight="1">
      <c r="E549" s="2264" t="s">
        <v>1701</v>
      </c>
      <c r="F549" s="2533" t="str">
        <f>'Contribution NC'!C10</f>
        <v>Ce baromètre indique si le nouveau ou la nouvelle conjointe du coparent prend un rôle qui a un impact sur la dynamique et conséquement sur l'enfant.</v>
      </c>
      <c r="G549" s="2474"/>
      <c r="H549" s="2474"/>
      <c r="I549" s="2474"/>
      <c r="J549" s="2474"/>
      <c r="K549" s="25"/>
    </row>
    <row r="550" spans="1:30" ht="28" customHeight="1">
      <c r="G550" s="1680"/>
    </row>
    <row r="552" spans="1:30" ht="23.5" customHeight="1">
      <c r="B552" s="1748" t="s">
        <v>1718</v>
      </c>
      <c r="T552" s="2530"/>
      <c r="U552" s="2458"/>
      <c r="V552" s="2458"/>
      <c r="W552" s="2458"/>
      <c r="X552" s="2458"/>
    </row>
    <row r="553" spans="1:30" ht="21" customHeight="1">
      <c r="B553" s="1716"/>
      <c r="G553" s="291"/>
    </row>
    <row r="554" spans="1:30" ht="18.5" customHeight="1">
      <c r="B554" s="1744" t="s">
        <v>1719</v>
      </c>
      <c r="F554" s="1680" t="s">
        <v>1720</v>
      </c>
      <c r="G554" s="1680"/>
    </row>
    <row r="555" spans="1:30" ht="31" customHeight="1">
      <c r="E555" s="1758"/>
      <c r="F555" s="1759" t="s">
        <v>1721</v>
      </c>
      <c r="G555" s="1760"/>
      <c r="H555" s="1758"/>
      <c r="I555" s="1758"/>
    </row>
    <row r="556" spans="1:30" ht="31" customHeight="1">
      <c r="G556" s="1680"/>
    </row>
    <row r="557" spans="1:30" ht="31" customHeight="1">
      <c r="C557" s="1681" t="s">
        <v>10</v>
      </c>
      <c r="D557" s="2535" t="s">
        <v>1716</v>
      </c>
      <c r="E557" s="2474"/>
      <c r="F557" s="2458"/>
      <c r="G557" s="2474"/>
      <c r="H557" s="2474"/>
      <c r="I557" s="2474"/>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8.5" customHeight="1">
      <c r="E565" s="2264" t="s">
        <v>1701</v>
      </c>
      <c r="F565" s="2291" t="s">
        <v>1723</v>
      </c>
      <c r="G565" s="1765"/>
    </row>
    <row r="566" spans="2:40" ht="65" customHeight="1">
      <c r="B566" s="407" t="s">
        <v>1724</v>
      </c>
      <c r="J566" s="1680" t="s">
        <v>1725</v>
      </c>
      <c r="T566" s="1926"/>
      <c r="U566" s="1926"/>
      <c r="V566" s="1926"/>
      <c r="W566" s="1926"/>
    </row>
    <row r="567" spans="2:40">
      <c r="B567" s="1745"/>
      <c r="G567" s="1680"/>
    </row>
    <row r="568" spans="2:40">
      <c r="G568" s="1753"/>
    </row>
    <row r="569" spans="2:40" ht="21" customHeight="1">
      <c r="AI569" s="1772"/>
      <c r="AJ569" s="2432" t="str">
        <f>'Modèle Calcul A-R + Sommaire'!BC8</f>
        <v>Devant les comportements aliénants du PF, l'enfant répond :</v>
      </c>
      <c r="AK569" t="s">
        <v>1726</v>
      </c>
      <c r="AL569" s="5" t="s">
        <v>1727</v>
      </c>
      <c r="AM569" t="s">
        <v>1728</v>
      </c>
      <c r="AN569" t="s">
        <v>1729</v>
      </c>
    </row>
    <row r="570" spans="2:40">
      <c r="C570" s="5"/>
      <c r="E570" s="5" t="s">
        <v>1730</v>
      </c>
      <c r="F570" t="s">
        <v>1726</v>
      </c>
      <c r="G570" s="1680"/>
      <c r="H570" s="5" t="s">
        <v>1728</v>
      </c>
      <c r="I570" s="5" t="s">
        <v>1729</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1731</v>
      </c>
      <c r="E571" s="5">
        <v>21</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53" t="s">
        <v>1732</v>
      </c>
      <c r="E572" s="8">
        <v>26</v>
      </c>
      <c r="G572" s="1803"/>
      <c r="H572" s="1803"/>
      <c r="I572" s="1803"/>
      <c r="J572" s="2114"/>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1733</v>
      </c>
      <c r="E573" s="5">
        <v>27</v>
      </c>
      <c r="G573" s="13"/>
      <c r="H573" s="13"/>
      <c r="I573" s="13"/>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1734</v>
      </c>
      <c r="E574" s="5">
        <v>32</v>
      </c>
      <c r="G574" s="291"/>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 t="s">
        <v>1735</v>
      </c>
      <c r="E575" s="5">
        <v>50</v>
      </c>
      <c r="G575" s="291"/>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1736</v>
      </c>
      <c r="G576" s="291"/>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1737</v>
      </c>
      <c r="G577" s="291"/>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1738</v>
      </c>
      <c r="G578" s="291"/>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1739</v>
      </c>
      <c r="G579" s="291"/>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1740</v>
      </c>
      <c r="G580" s="291"/>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1741</v>
      </c>
      <c r="G581" s="291"/>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1742</v>
      </c>
      <c r="G582" s="291"/>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91"/>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 t="s">
        <v>1743</v>
      </c>
      <c r="G584" s="291"/>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1744</v>
      </c>
      <c r="G585" s="291"/>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1745</v>
      </c>
      <c r="G586" s="291"/>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1746</v>
      </c>
      <c r="G587" s="291"/>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1747</v>
      </c>
      <c r="G588" s="291"/>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5" customHeight="1">
      <c r="D589" s="2" t="s">
        <v>1748</v>
      </c>
      <c r="G589" s="291"/>
      <c r="L589" s="2264"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 t="s">
        <v>1749</v>
      </c>
      <c r="J590" s="2261"/>
      <c r="K590" s="2261"/>
      <c r="L590" s="2261"/>
      <c r="O590" s="2261"/>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1750</v>
      </c>
      <c r="G591" s="291"/>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1751</v>
      </c>
      <c r="G592" s="291"/>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1752</v>
      </c>
      <c r="G593" s="291"/>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1753</v>
      </c>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 t="s">
        <v>1754</v>
      </c>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1755</v>
      </c>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1756</v>
      </c>
      <c r="S597" s="2"/>
      <c r="AH597">
        <v>28</v>
      </c>
      <c r="AI597" s="1679" t="str">
        <f>'Modèle Calcul A-R + Sommaire'!AY37</f>
        <v>Manque d'ambivalence</v>
      </c>
      <c r="AJ597" s="587" t="str">
        <f>IF('Modèle Calcul A-R + Sommaire'!BF37&lt;&gt;"",'Modèle Calcul A-R + Sommaire'!BE37,"")</f>
        <v/>
      </c>
    </row>
    <row r="598" spans="2:40">
      <c r="C598" s="5"/>
      <c r="D598" s="2" t="s">
        <v>1757</v>
      </c>
      <c r="S598" s="2"/>
      <c r="AH598">
        <v>29</v>
      </c>
      <c r="AI598" s="1679" t="str">
        <f>'Modèle Calcul A-R + Sommaire'!AY38</f>
        <v>Propos d'adulte</v>
      </c>
      <c r="AJ598" s="587" t="str">
        <f>IF('Modèle Calcul A-R + Sommaire'!BF38&lt;&gt;"",'Modèle Calcul A-R + Sommaire'!BE38,"")</f>
        <v/>
      </c>
    </row>
    <row r="599" spans="2:40">
      <c r="C599" s="5"/>
      <c r="D599" s="2" t="s">
        <v>1758</v>
      </c>
      <c r="S599" s="2"/>
      <c r="AH599">
        <v>30</v>
      </c>
      <c r="AI599" s="1679" t="str">
        <f>'Modèle Calcul A-R + Sommaire'!AY39</f>
        <v>Changement des ses valeurs</v>
      </c>
      <c r="AJ599" s="587" t="str">
        <f>IF('Modèle Calcul A-R + Sommaire'!BF39&lt;&gt;"",'Modèle Calcul A-R + Sommaire'!BE39,"")</f>
        <v/>
      </c>
    </row>
    <row r="600" spans="2:40">
      <c r="C600" s="5"/>
      <c r="D600" s="2" t="s">
        <v>1759</v>
      </c>
      <c r="S600" s="2"/>
      <c r="AI600" s="291"/>
      <c r="AJ600" s="5"/>
    </row>
    <row r="601" spans="2:40">
      <c r="C601" s="5"/>
      <c r="D601" s="2"/>
      <c r="S601" s="2"/>
      <c r="AI601" s="291"/>
      <c r="AJ601" s="90">
        <f>'Modèle Calcul A-R + Sommaire'!AY41</f>
        <v>0</v>
      </c>
    </row>
    <row r="602" spans="2:40" ht="34" customHeight="1">
      <c r="C602" s="2531" t="s">
        <v>1760</v>
      </c>
      <c r="D602" s="2474"/>
      <c r="E602" s="2474"/>
      <c r="L602" s="726"/>
      <c r="M602" s="726"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6" t="s">
        <v>1763</v>
      </c>
      <c r="F604" s="1680" t="s">
        <v>1764</v>
      </c>
      <c r="L604" s="2258"/>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4"/>
      <c r="F605" s="1761" t="s">
        <v>1765</v>
      </c>
    </row>
    <row r="606" spans="2:40" ht="18.5" customHeight="1">
      <c r="B606" s="1744"/>
      <c r="F606" s="1680"/>
    </row>
    <row r="607" spans="2:40" ht="18.5" customHeight="1">
      <c r="B607" s="1744"/>
      <c r="G607" s="1758"/>
      <c r="H607" s="1758"/>
      <c r="I607" s="5" t="s">
        <v>1766</v>
      </c>
      <c r="J607" s="1758"/>
    </row>
    <row r="608" spans="2:40" ht="26" customHeight="1">
      <c r="G608" s="291"/>
    </row>
    <row r="609" spans="2:18" ht="27" customHeight="1">
      <c r="G609" s="291"/>
    </row>
    <row r="610" spans="2:18" ht="24" customHeight="1">
      <c r="C610" s="5"/>
      <c r="D610" s="1253" t="s">
        <v>1767</v>
      </c>
      <c r="E610" s="1253" t="s">
        <v>1768</v>
      </c>
      <c r="F610" s="1253" t="s">
        <v>1769</v>
      </c>
    </row>
    <row r="611" spans="2:18" ht="24" customHeight="1">
      <c r="C611" s="2" t="s">
        <v>1770</v>
      </c>
      <c r="D611" s="1671">
        <f>Diff!J63</f>
        <v>0</v>
      </c>
      <c r="E611" s="1671" t="str">
        <f>Diff!K63</f>
        <v>Ne peut statuer</v>
      </c>
      <c r="F611" s="1679" t="str">
        <f>Diff!AJ54</f>
        <v>Il n'est pas possible de statuer puisque l'historique est absent</v>
      </c>
    </row>
    <row r="612" spans="2:18" ht="24" customHeight="1">
      <c r="C612" s="2" t="s">
        <v>1771</v>
      </c>
      <c r="D612" s="1671">
        <f>Diff!J40</f>
        <v>0</v>
      </c>
      <c r="E612" s="1671" t="str">
        <f>Diff!AI56</f>
        <v>Ne peut statuer</v>
      </c>
      <c r="F612" s="1679" t="str">
        <f>Diff!AJ56</f>
        <v>Il n'est pas possible de statuer puisque l'historique est absent</v>
      </c>
    </row>
    <row r="613" spans="2:18" ht="24" customHeight="1">
      <c r="C613" s="2" t="s">
        <v>1772</v>
      </c>
      <c r="D613" s="1671">
        <f>Diff!J19</f>
        <v>0</v>
      </c>
      <c r="E613" s="1671" t="str">
        <f>Diff!K19</f>
        <v>Ne peut statuer</v>
      </c>
      <c r="F613" s="1679" t="str">
        <f>Diff!AJ57</f>
        <v>Il n'est pas possible de statuer puisque l'historique est absent</v>
      </c>
    </row>
    <row r="614" spans="2:18" ht="24" customHeight="1">
      <c r="C614" s="2" t="s">
        <v>1773</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1774</v>
      </c>
    </row>
    <row r="620" spans="2:18">
      <c r="C620" s="291"/>
      <c r="D620" s="2"/>
      <c r="E620" s="2"/>
      <c r="F620" s="5"/>
    </row>
    <row r="621" spans="2:18">
      <c r="C621" s="291"/>
      <c r="D621" s="2"/>
      <c r="E621" s="2"/>
      <c r="F621" s="5"/>
    </row>
    <row r="622" spans="2:18" ht="18.5" customHeight="1">
      <c r="C622" s="291"/>
      <c r="D622" s="2264"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4" t="s">
        <v>1776</v>
      </c>
      <c r="C626" s="5"/>
      <c r="F626" s="1680"/>
      <c r="G626" s="1680"/>
    </row>
    <row r="627" spans="2:18">
      <c r="B627" s="1750"/>
      <c r="C627" s="5"/>
      <c r="F627" s="1680" t="s">
        <v>1777</v>
      </c>
      <c r="G627" s="1680"/>
    </row>
    <row r="628" spans="2:18" ht="33" customHeight="1">
      <c r="B628" s="5"/>
      <c r="C628" s="730" t="s">
        <v>1778</v>
      </c>
      <c r="D628" s="1253" t="s">
        <v>1768</v>
      </c>
      <c r="E628" s="1253"/>
      <c r="F628" s="82" t="s">
        <v>423</v>
      </c>
      <c r="G628" s="1680"/>
      <c r="L628" s="291" t="s">
        <v>1779</v>
      </c>
    </row>
    <row r="629" spans="2:18" ht="20" customHeight="1">
      <c r="B629" s="2" t="str">
        <f>'Santé et Attitude de l''enfant'!C14</f>
        <v/>
      </c>
      <c r="C629" s="90">
        <f>'Santé et Attitude de l''enfant'!D14</f>
        <v>0</v>
      </c>
      <c r="D629" s="90">
        <f>'Santé et Attitude de l''enfant'!F14</f>
        <v>0</v>
      </c>
      <c r="E629" s="1767">
        <v>0</v>
      </c>
      <c r="F629" t="s">
        <v>1780</v>
      </c>
      <c r="G629" s="1680"/>
    </row>
    <row r="630" spans="2:18" ht="20" customHeight="1">
      <c r="B630" s="2" t="str">
        <f>'Santé et Attitude de l''enfant'!C15</f>
        <v/>
      </c>
      <c r="C630" s="90">
        <f>'Santé et Attitude de l''enfant'!D15</f>
        <v>0</v>
      </c>
      <c r="D630" s="90">
        <f>'Santé et Attitude de l''enfant'!F15</f>
        <v>0</v>
      </c>
      <c r="E630" s="1767">
        <v>1</v>
      </c>
      <c r="F630" t="s">
        <v>1781</v>
      </c>
      <c r="G630" s="291"/>
      <c r="K630" s="2" t="s">
        <v>1782</v>
      </c>
      <c r="L630" s="1766"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7">
        <v>2</v>
      </c>
      <c r="F631" t="s">
        <v>1783</v>
      </c>
      <c r="G631" s="291"/>
      <c r="K631" s="2"/>
    </row>
    <row r="632" spans="2:18" ht="20" customHeight="1">
      <c r="B632" s="2" t="str">
        <f>'Santé et Attitude de l''enfant'!C17</f>
        <v/>
      </c>
      <c r="C632" s="90">
        <f>'Santé et Attitude de l''enfant'!D17</f>
        <v>0</v>
      </c>
      <c r="D632" s="90">
        <f>'Santé et Attitude de l''enfant'!F17</f>
        <v>0</v>
      </c>
      <c r="E632" s="1767">
        <v>4</v>
      </c>
      <c r="F632" t="s">
        <v>1784</v>
      </c>
      <c r="G632" s="1680"/>
      <c r="K632" s="2" t="s">
        <v>1785</v>
      </c>
      <c r="L632" s="1766"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7">
        <v>7</v>
      </c>
      <c r="F633" t="s">
        <v>1786</v>
      </c>
      <c r="G633" s="1680"/>
      <c r="K633" s="2"/>
    </row>
    <row r="634" spans="2:18" ht="20" customHeight="1">
      <c r="B634" s="2534" t="s">
        <v>1787</v>
      </c>
      <c r="C634" s="2458"/>
      <c r="D634" s="2474"/>
      <c r="E634" s="1768">
        <v>10</v>
      </c>
      <c r="F634" t="s">
        <v>1788</v>
      </c>
      <c r="G634" s="291"/>
      <c r="K634" s="2" t="s">
        <v>1789</v>
      </c>
      <c r="L634" s="1766" t="str">
        <f>IF(OR('Santé et Attitude de l''enfant'!D23=1,'Santé et Attitude de l''enfant'!E23=1),1,"")</f>
        <v/>
      </c>
    </row>
    <row r="635" spans="2:18" ht="20" customHeight="1">
      <c r="B635" s="2458"/>
      <c r="C635" s="2458"/>
      <c r="D635" s="2474"/>
      <c r="G635" s="291"/>
    </row>
    <row r="636" spans="2:18" ht="20" customHeight="1">
      <c r="B636" s="2458"/>
      <c r="C636" s="2458"/>
      <c r="D636" s="2474"/>
      <c r="G636" s="291"/>
    </row>
    <row r="637" spans="2:18">
      <c r="B637" s="2458"/>
      <c r="C637" s="2458"/>
      <c r="D637" s="2474"/>
      <c r="G637" s="291"/>
    </row>
    <row r="638" spans="2:18">
      <c r="G638" s="291"/>
    </row>
    <row r="639" spans="2:18">
      <c r="F639" s="2532" t="s">
        <v>1790</v>
      </c>
      <c r="G639" s="2474"/>
      <c r="H639" s="2474"/>
      <c r="I639" s="2474"/>
      <c r="J639" s="2474"/>
      <c r="K639" s="2474"/>
      <c r="L639" s="2474"/>
    </row>
    <row r="640" spans="2:18" ht="30" customHeight="1">
      <c r="D640" s="2264" t="s">
        <v>1701</v>
      </c>
      <c r="E640" s="80" t="str">
        <f>'Santé et Attitude de l''enfant'!C6</f>
        <v>Ce baromètre révèle si la santé psychologique de l'enfant a changé depuis la séparation et si oui, quels en sont les symptômes.</v>
      </c>
      <c r="F640" s="1925"/>
      <c r="G640" s="1925"/>
      <c r="H640" s="1925"/>
      <c r="I640" s="1925"/>
      <c r="J640" s="1925"/>
      <c r="K640" s="1925"/>
      <c r="L640" s="1925"/>
    </row>
    <row r="641" spans="1:27" ht="30" customHeight="1">
      <c r="F641" s="1925"/>
      <c r="G641" s="1925"/>
      <c r="H641" s="1925"/>
      <c r="I641" s="1925"/>
      <c r="J641" s="1925"/>
      <c r="K641" s="1925"/>
      <c r="L641" s="1925"/>
    </row>
    <row r="642" spans="1:27" ht="23.5" customHeight="1">
      <c r="B642" s="288"/>
      <c r="G642" s="291"/>
      <c r="M642" s="3"/>
      <c r="N642" s="3"/>
      <c r="O642" s="3"/>
      <c r="P642" s="3"/>
      <c r="Q642" s="3"/>
      <c r="R642" s="3"/>
      <c r="T642" s="49"/>
      <c r="U642" s="49"/>
      <c r="V642" s="49"/>
      <c r="W642" s="49"/>
      <c r="X642" s="49"/>
      <c r="Y642" s="1926"/>
    </row>
    <row r="643" spans="1:27" ht="38" customHeight="1">
      <c r="B643" s="407" t="s">
        <v>1791</v>
      </c>
      <c r="C643" s="5"/>
      <c r="F643" s="1680"/>
      <c r="P643" s="5"/>
      <c r="Q643" s="5"/>
      <c r="T643" s="1926"/>
      <c r="U643" s="1926"/>
      <c r="V643" s="1926"/>
      <c r="W643" s="1926"/>
      <c r="X643" s="1926"/>
      <c r="Y643" s="1926"/>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1792</v>
      </c>
      <c r="I646" s="2" t="s">
        <v>1793</v>
      </c>
      <c r="R646" s="25"/>
      <c r="S646" s="8"/>
      <c r="T646" s="7"/>
      <c r="U646" s="7"/>
      <c r="V646" s="7"/>
      <c r="W646" s="826"/>
      <c r="X646" s="826"/>
      <c r="Y646" s="826"/>
    </row>
    <row r="647" spans="1:27" ht="22" customHeight="1">
      <c r="A647" s="2"/>
      <c r="B647" s="2"/>
      <c r="C647" s="8"/>
      <c r="F647" t="s">
        <v>1794</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82"/>
      <c r="R649" s="25"/>
      <c r="S649" s="8"/>
      <c r="T649" s="826"/>
      <c r="U649" s="826"/>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4"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1722</v>
      </c>
      <c r="G661" s="1680"/>
    </row>
    <row r="662" spans="2:10" ht="18.5" customHeight="1">
      <c r="B662" s="407" t="s">
        <v>1796</v>
      </c>
      <c r="F662" s="1680" t="s">
        <v>1797</v>
      </c>
    </row>
    <row r="663" spans="2:10">
      <c r="B663" s="1745"/>
      <c r="G663" s="1680"/>
    </row>
    <row r="664" spans="2:10">
      <c r="B664" s="1745"/>
      <c r="E664" s="1758"/>
      <c r="F664" s="1759" t="s">
        <v>1798</v>
      </c>
      <c r="G664" s="1760"/>
      <c r="H664" s="1758"/>
      <c r="I664" s="1758"/>
    </row>
    <row r="666" spans="2:10">
      <c r="C666" s="5"/>
      <c r="D666" s="1751"/>
      <c r="F666" s="5" t="s">
        <v>1799</v>
      </c>
      <c r="J666" s="5" t="s">
        <v>1800</v>
      </c>
    </row>
    <row r="667" spans="2:10" ht="22" customHeight="1">
      <c r="C667" s="1755"/>
      <c r="D667" s="587" t="s">
        <v>1801</v>
      </c>
      <c r="F667" t="s">
        <v>1802</v>
      </c>
    </row>
    <row r="668" spans="2:10" ht="21" customHeight="1">
      <c r="B668" t="s">
        <v>1799</v>
      </c>
      <c r="C668" s="1756" t="s">
        <v>1515</v>
      </c>
      <c r="D668" s="2290" t="e">
        <f>'Analyse Catégories_CEV'!B11</f>
        <v>#DIV/0!</v>
      </c>
      <c r="G668" s="1680"/>
    </row>
    <row r="669" spans="2:10" ht="21" customHeight="1">
      <c r="C669" s="1756" t="s">
        <v>1803</v>
      </c>
      <c r="D669" s="2290" t="e">
        <f>'Analyse Catégories_CEV'!B12</f>
        <v>#DIV/0!</v>
      </c>
      <c r="G669" s="291"/>
    </row>
    <row r="670" spans="2:10" ht="21" customHeight="1">
      <c r="C670" s="1756" t="s">
        <v>1517</v>
      </c>
      <c r="D670" s="2290"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5"/>
      <c r="D674" s="587" t="s">
        <v>1801</v>
      </c>
      <c r="G674" s="291"/>
    </row>
    <row r="675" spans="1:10" ht="21" customHeight="1">
      <c r="C675" s="1756" t="s">
        <v>1515</v>
      </c>
      <c r="D675" s="2290" t="e">
        <f>'Analyse Catégories_CEV'!C11</f>
        <v>#DIV/0!</v>
      </c>
      <c r="G675" s="291"/>
    </row>
    <row r="676" spans="1:10" ht="21" customHeight="1">
      <c r="C676" s="1756" t="s">
        <v>1803</v>
      </c>
      <c r="D676" s="2290" t="e">
        <f>'Analyse Catégories_CEV'!C12</f>
        <v>#DIV/0!</v>
      </c>
      <c r="G676" s="291"/>
    </row>
    <row r="677" spans="1:10" ht="21" customHeight="1">
      <c r="C677" s="1756" t="s">
        <v>1517</v>
      </c>
      <c r="D677" s="2290" t="e">
        <f>'Analyse Catégories_CEV'!C13</f>
        <v>#DIV/0!</v>
      </c>
      <c r="G677" s="291"/>
    </row>
    <row r="678" spans="1:10">
      <c r="G678" s="291"/>
    </row>
    <row r="682" spans="1:10" ht="51" customHeight="1">
      <c r="D682" s="2264" t="s">
        <v>1701</v>
      </c>
      <c r="E682" s="2529"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8"/>
      <c r="G682" s="2474"/>
      <c r="H682" s="2474"/>
      <c r="I682" s="2474"/>
      <c r="J682" s="2474"/>
    </row>
    <row r="686" spans="1:10">
      <c r="A686" s="57"/>
      <c r="D686" s="2"/>
      <c r="F686" s="5"/>
    </row>
    <row r="687" spans="1:10">
      <c r="A687" s="57"/>
      <c r="B687" s="57"/>
    </row>
    <row r="696" spans="7:7">
      <c r="G696" s="1680"/>
    </row>
  </sheetData>
  <mergeCells count="50">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 ref="AB452:AC452"/>
    <mergeCell ref="U452:V452"/>
    <mergeCell ref="AA542:AE542"/>
    <mergeCell ref="AA519:AE519"/>
    <mergeCell ref="P452:R45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0"/>
  <sheetViews>
    <sheetView tabSelected="1" zoomScale="66" zoomScaleNormal="66" workbookViewId="0">
      <selection activeCell="B407" sqref="B407"/>
    </sheetView>
  </sheetViews>
  <sheetFormatPr defaultColWidth="10.6640625" defaultRowHeight="15.5"/>
  <cols>
    <col min="1" max="1" width="99.4140625" bestFit="1" customWidth="1"/>
    <col min="2" max="2" width="104.5" style="13" customWidth="1"/>
    <col min="3" max="3" width="10.58203125" bestFit="1" customWidth="1"/>
    <col min="4" max="4" width="43" style="2453" customWidth="1"/>
    <col min="5" max="5" width="10.83203125" style="291" customWidth="1"/>
  </cols>
  <sheetData>
    <row r="1" spans="1:5">
      <c r="A1" t="s">
        <v>1804</v>
      </c>
    </row>
    <row r="3" spans="1:5" ht="21" customHeight="1">
      <c r="B3" s="2409" t="s">
        <v>1805</v>
      </c>
      <c r="C3" t="str">
        <f>IF($B$402,D3,"")</f>
        <v>section-title</v>
      </c>
      <c r="D3" s="2453" t="s">
        <v>1806</v>
      </c>
      <c r="E3" s="2455" t="str">
        <f>B3</f>
        <v>Quel est le contexte de coparentalité de la famille?</v>
      </c>
    </row>
    <row r="4" spans="1:5" ht="23" customHeight="1">
      <c r="A4" s="407"/>
      <c r="C4">
        <f t="shared" ref="C4:C62" si="0">IF($B$402,D4,"")</f>
        <v>0</v>
      </c>
      <c r="E4" s="2455"/>
    </row>
    <row r="5" spans="1:5" ht="44" customHeight="1">
      <c r="A5" s="2374" t="s">
        <v>1807</v>
      </c>
      <c r="B5" s="2226" t="str">
        <f>'Contexte | CSS'!D1</f>
        <v>Votre contexte familial présente-t-il un risque de conflit parental ?</v>
      </c>
      <c r="C5" t="str">
        <f t="shared" si="0"/>
        <v>subsection-title</v>
      </c>
      <c r="D5" s="2453" t="s">
        <v>1808</v>
      </c>
      <c r="E5" s="2455" t="str">
        <f>B5</f>
        <v>Votre contexte familial présente-t-il un risque de conflit parental ?</v>
      </c>
    </row>
    <row r="6" spans="1:5" ht="75" customHeight="1">
      <c r="A6" s="2301" t="s">
        <v>1809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53" t="s">
        <v>1810</v>
      </c>
      <c r="E6" s="2455"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301"/>
      <c r="B7" s="826"/>
      <c r="C7" t="str">
        <f t="shared" si="0"/>
        <v>barometer</v>
      </c>
      <c r="D7" s="2453" t="s">
        <v>1811</v>
      </c>
      <c r="E7" s="2455" t="s">
        <v>1812</v>
      </c>
    </row>
    <row r="8" spans="1:5" ht="66" customHeight="1">
      <c r="A8" s="826" t="s">
        <v>1813</v>
      </c>
      <c r="B8" s="826" t="str">
        <f>HLOOKUP(1,'Contexte | CSS'!S10:X41,3)</f>
        <v>L’analyse des réponses obtenues aux questionnaires révèle un &lt;strong&gt; risque élevé &lt;/strong&gt; de conflit entre vous et votre coparent.</v>
      </c>
      <c r="C8" t="str">
        <f t="shared" si="0"/>
        <v>analysis</v>
      </c>
      <c r="D8" s="2453" t="s">
        <v>1814</v>
      </c>
      <c r="E8" s="2455" t="str">
        <f>B8</f>
        <v>L’analyse des réponses obtenues aux questionnaires révèle un &lt;strong&gt; risque élevé &lt;/strong&gt; de conflit entre vous et votre coparent.</v>
      </c>
    </row>
    <row r="9" spans="1:5" ht="26" customHeight="1">
      <c r="A9" s="68" t="s">
        <v>1815</v>
      </c>
      <c r="B9" s="826"/>
      <c r="C9">
        <f t="shared" si="0"/>
        <v>0</v>
      </c>
      <c r="E9" s="2455"/>
    </row>
    <row r="10" spans="1:5" ht="16" customHeight="1">
      <c r="A10" s="88" t="s">
        <v>1816</v>
      </c>
      <c r="B10" s="13" t="str">
        <f>IF('Contexte | CSS'!P20&lt;&gt;"",'Contexte | CSS'!P20,"")</f>
        <v>Un climat de tension rend l'exercice de la coparentalité difficile.</v>
      </c>
      <c r="C10" t="str">
        <f t="shared" si="0"/>
        <v>theme</v>
      </c>
      <c r="D10" s="2453" t="s">
        <v>1817</v>
      </c>
      <c r="E10" s="2455" t="str">
        <f t="shared" ref="E10:E16" si="1">B10</f>
        <v>Un climat de tension rend l'exercice de la coparentalité difficile.</v>
      </c>
    </row>
    <row r="11" spans="1:5" ht="27" customHeight="1">
      <c r="A11" s="765" t="s">
        <v>1818</v>
      </c>
      <c r="B11" s="13" t="str">
        <f>IF('Contexte | CSS'!P26&lt;&gt;"",'Contexte | CSS'!P26,"")</f>
        <v>L'analyse révèle un non-respect de la valeur parentale et du temps parental de l'un ou les deux parents.</v>
      </c>
      <c r="C11" t="str">
        <f t="shared" si="0"/>
        <v>theme</v>
      </c>
      <c r="D11" s="2453" t="s">
        <v>1817</v>
      </c>
      <c r="E11" s="2455" t="str">
        <f t="shared" si="1"/>
        <v>L'analyse révèle un non-respect de la valeur parentale et du temps parental de l'un ou les deux parents.</v>
      </c>
    </row>
    <row r="12" spans="1:5" ht="32" customHeight="1">
      <c r="A12" s="765" t="s">
        <v>1819</v>
      </c>
      <c r="B12" s="13" t="str">
        <f>IF('Contexte | CSS'!P32&lt;&gt;"",'Contexte | CSS'!P32,"")</f>
        <v>L'implication et l'influence du nouveau ou de la nouvelle conjoint·e seraient à la base de certaines tensions et seraient en partie responsables des difficultés rencontrés dans l'exercice de la coparentalité.</v>
      </c>
      <c r="C12" t="str">
        <f t="shared" si="0"/>
        <v>theme</v>
      </c>
      <c r="D12" s="2453" t="s">
        <v>1817</v>
      </c>
      <c r="E12" s="2455" t="str">
        <f t="shared" si="1"/>
        <v>L'implication et l'influence du nouveau ou de la nouvelle conjoint·e seraient à la base de certaines tensions et seraient en partie responsables des difficultés rencontrés dans l'exercice de la coparentalité.</v>
      </c>
    </row>
    <row r="13" spans="1:5" ht="86" customHeight="1">
      <c r="A13" s="765" t="s">
        <v>1820</v>
      </c>
      <c r="B13" s="25" t="str">
        <f>IF('Contexte | CSS'!P35&lt;&gt;"",'Contexte | CSS'!P35,"")</f>
        <v/>
      </c>
      <c r="C13" t="str">
        <f t="shared" si="0"/>
        <v>theme</v>
      </c>
      <c r="D13" s="2453" t="s">
        <v>1817</v>
      </c>
      <c r="E13" s="2455" t="str">
        <f t="shared" si="1"/>
        <v/>
      </c>
    </row>
    <row r="14" spans="1:5" ht="71" customHeight="1">
      <c r="A14" s="765" t="s">
        <v>1821</v>
      </c>
      <c r="B14" s="25" t="str">
        <f>IF('Contexte | CSS'!P40&lt;&gt;"",'Contexte | CSS'!P40,"")</f>
        <v/>
      </c>
      <c r="C14" t="str">
        <f t="shared" si="0"/>
        <v>theme</v>
      </c>
      <c r="D14" s="2453" t="s">
        <v>1817</v>
      </c>
      <c r="E14" s="2455" t="str">
        <f t="shared" si="1"/>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53" t="s">
        <v>1823</v>
      </c>
      <c r="E15" s="2455" t="str">
        <f t="shared" si="1"/>
        <v>Les comportements suivants méritent une attention particulière, car ils sont susceptibles d'affecter le développement et le bien-être psychologique de l'enfant :</v>
      </c>
    </row>
    <row r="16" spans="1:5" ht="23" customHeight="1">
      <c r="A16" s="36"/>
      <c r="B16" s="13" t="s">
        <v>1824</v>
      </c>
      <c r="C16">
        <f t="shared" si="0"/>
        <v>0</v>
      </c>
      <c r="E16" s="2455" t="str">
        <f t="shared" si="1"/>
        <v>Drapeaux jaunes 🟡</v>
      </c>
    </row>
    <row r="17" spans="1:5" ht="23" customHeight="1">
      <c r="A17" s="45" t="s">
        <v>1825</v>
      </c>
      <c r="B17" s="2410"/>
      <c r="C17">
        <f t="shared" si="0"/>
        <v>0</v>
      </c>
      <c r="E17" s="2455"/>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4" t="s">
        <v>1827</v>
      </c>
      <c r="E18" s="2455" t="str">
        <f t="shared" ref="E18:E65"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72" t="s">
        <v>1828</v>
      </c>
      <c r="B19" s="13" t="str">
        <f>IF('Contexte | CSS'!Q13&lt;&gt;"",'Contexte | CSS'!Q13,"")</f>
        <v/>
      </c>
      <c r="C19" t="str">
        <f t="shared" si="0"/>
        <v>yellow_flag</v>
      </c>
      <c r="D19" s="2454" t="s">
        <v>1827</v>
      </c>
      <c r="E19" s="2455" t="str">
        <f t="shared" si="2"/>
        <v/>
      </c>
    </row>
    <row r="20" spans="1:5">
      <c r="A20" s="2372" t="s">
        <v>1828</v>
      </c>
      <c r="B20" s="13" t="str">
        <f>IF('Contexte | CSS'!Q14&lt;&gt;"",'Contexte | CSS'!Q14,"")</f>
        <v/>
      </c>
      <c r="C20" t="str">
        <f t="shared" si="0"/>
        <v>yellow_flag</v>
      </c>
      <c r="D20" s="2454" t="s">
        <v>1827</v>
      </c>
      <c r="E20" s="2455" t="str">
        <f t="shared" si="2"/>
        <v/>
      </c>
    </row>
    <row r="21" spans="1:5">
      <c r="A21" s="45" t="s">
        <v>1828</v>
      </c>
      <c r="B21" s="13" t="str">
        <f>IF('Contexte | CSS'!Q15&lt;&gt;"",'Contexte | CSS'!Q15,"")</f>
        <v/>
      </c>
      <c r="C21" t="str">
        <f t="shared" si="0"/>
        <v>yellow_flag</v>
      </c>
      <c r="D21" s="2454" t="s">
        <v>1827</v>
      </c>
      <c r="E21" s="2455" t="str">
        <f t="shared" si="2"/>
        <v/>
      </c>
    </row>
    <row r="22" spans="1:5">
      <c r="A22" s="45" t="s">
        <v>1828</v>
      </c>
      <c r="B22" s="13" t="str">
        <f>IF('Contexte | CSS'!Q16&lt;&gt;"",'Contexte | CSS'!Q16,"")</f>
        <v/>
      </c>
      <c r="C22" t="str">
        <f t="shared" si="0"/>
        <v>yellow_flag</v>
      </c>
      <c r="D22" s="2454" t="s">
        <v>1827</v>
      </c>
      <c r="E22" s="2455" t="str">
        <f t="shared" si="2"/>
        <v/>
      </c>
    </row>
    <row r="23" spans="1:5">
      <c r="A23" s="45" t="s">
        <v>1828</v>
      </c>
      <c r="B23" s="13" t="str">
        <f>IF('Contexte | CSS'!Q17&lt;&gt;"",'Contexte | CSS'!Q17,"")</f>
        <v/>
      </c>
      <c r="C23" t="str">
        <f t="shared" si="0"/>
        <v>yellow_flag</v>
      </c>
      <c r="D23" s="2454" t="s">
        <v>1827</v>
      </c>
      <c r="E23" s="2455" t="str">
        <f t="shared" si="2"/>
        <v/>
      </c>
    </row>
    <row r="24" spans="1:5" ht="31" customHeight="1">
      <c r="A24" s="45" t="s">
        <v>1828</v>
      </c>
      <c r="B24" s="13" t="str">
        <f>IF('Contexte | CSS'!Q18&lt;&gt;"",'Contexte | CSS'!Q18,"")</f>
        <v/>
      </c>
      <c r="C24" t="str">
        <f t="shared" si="0"/>
        <v>yellow_flag</v>
      </c>
      <c r="D24" s="2454" t="s">
        <v>1827</v>
      </c>
      <c r="E24" s="2455" t="str">
        <f t="shared" si="2"/>
        <v/>
      </c>
    </row>
    <row r="25" spans="1:5">
      <c r="A25" s="45" t="s">
        <v>1828</v>
      </c>
      <c r="B25" s="13" t="str">
        <f>IF('Contexte | CSS'!Q19&lt;&gt;"",'Contexte | CSS'!Q19,"")</f>
        <v/>
      </c>
      <c r="C25" t="str">
        <f t="shared" si="0"/>
        <v>yellow_flag</v>
      </c>
      <c r="D25" s="2454" t="s">
        <v>1827</v>
      </c>
      <c r="E25" s="2455" t="str">
        <f t="shared" si="2"/>
        <v/>
      </c>
    </row>
    <row r="26" spans="1:5">
      <c r="A26" s="45" t="s">
        <v>1818</v>
      </c>
      <c r="B26" s="13">
        <f>IF('Contexte | CSS'!Q26&lt;&gt;"",'Contexte | CSS'!Q26,"")</f>
        <v>0</v>
      </c>
      <c r="C26" t="str">
        <f t="shared" si="0"/>
        <v>yellow_flag</v>
      </c>
      <c r="D26" s="2454" t="s">
        <v>1827</v>
      </c>
      <c r="E26" s="2455">
        <f t="shared" si="2"/>
        <v>0</v>
      </c>
    </row>
    <row r="27" spans="1:5" ht="17" customHeight="1">
      <c r="A27" s="2372" t="s">
        <v>1829</v>
      </c>
      <c r="B27" s="13" t="str">
        <f>IF('Contexte | CSS'!Q21&lt;&gt;"",'Contexte | CSS'!Q21,"")</f>
        <v xml:space="preserve"> </v>
      </c>
      <c r="C27" t="str">
        <f t="shared" si="0"/>
        <v>yellow_flag</v>
      </c>
      <c r="D27" s="2454" t="s">
        <v>1827</v>
      </c>
      <c r="E27" s="2455" t="str">
        <f t="shared" si="2"/>
        <v xml:space="preserve"> </v>
      </c>
    </row>
    <row r="28" spans="1:5">
      <c r="A28" s="2372" t="s">
        <v>1829</v>
      </c>
      <c r="B28" s="13" t="str">
        <f>IF('Contexte | CSS'!Q22&lt;&gt;"",'Contexte | CSS'!Q22,"")</f>
        <v xml:space="preserve"> </v>
      </c>
      <c r="C28" t="str">
        <f t="shared" si="0"/>
        <v>yellow_flag</v>
      </c>
      <c r="D28" s="2454" t="s">
        <v>1827</v>
      </c>
      <c r="E28" s="2455" t="str">
        <f t="shared" si="2"/>
        <v xml:space="preserve"> </v>
      </c>
    </row>
    <row r="29" spans="1:5">
      <c r="A29" s="45" t="s">
        <v>1829</v>
      </c>
      <c r="B29" s="13" t="str">
        <f>IF('Contexte | CSS'!Q23&lt;&gt;"",'Contexte | CSS'!Q23,"")</f>
        <v xml:space="preserve"> </v>
      </c>
      <c r="C29" t="str">
        <f t="shared" si="0"/>
        <v>yellow_flag</v>
      </c>
      <c r="D29" s="2454" t="s">
        <v>1827</v>
      </c>
      <c r="E29" s="2455" t="str">
        <f t="shared" si="2"/>
        <v xml:space="preserve"> </v>
      </c>
    </row>
    <row r="30" spans="1:5">
      <c r="A30" s="45" t="s">
        <v>1829</v>
      </c>
      <c r="B30" s="13" t="str">
        <f>IF('Contexte | CSS'!Q24&lt;&gt;"",'Contexte | CSS'!Q24,"")</f>
        <v xml:space="preserve"> </v>
      </c>
      <c r="C30" t="str">
        <f t="shared" si="0"/>
        <v>yellow_flag</v>
      </c>
      <c r="D30" s="2454" t="s">
        <v>1827</v>
      </c>
      <c r="E30" s="2455" t="str">
        <f t="shared" si="2"/>
        <v xml:space="preserve"> </v>
      </c>
    </row>
    <row r="31" spans="1:5">
      <c r="A31" s="45" t="s">
        <v>1829</v>
      </c>
      <c r="B31" s="13" t="str">
        <f>IF('Contexte | CSS'!Q25&lt;&gt;"",'Contexte | CSS'!Q25,"")</f>
        <v xml:space="preserve"> </v>
      </c>
      <c r="C31" t="str">
        <f t="shared" si="0"/>
        <v>yellow_flag</v>
      </c>
      <c r="D31" s="2454" t="s">
        <v>1827</v>
      </c>
      <c r="E31" s="2455" t="str">
        <f t="shared" si="2"/>
        <v xml:space="preserve"> </v>
      </c>
    </row>
    <row r="32" spans="1:5">
      <c r="A32" s="45" t="s">
        <v>1819</v>
      </c>
      <c r="B32" s="13">
        <f>IF('Contexte | CSS'!Q32&lt;&gt;"",'Contexte | CSS'!Q32,"")</f>
        <v>0</v>
      </c>
      <c r="C32" t="str">
        <f t="shared" si="0"/>
        <v>yellow_flag</v>
      </c>
      <c r="D32" s="2454" t="s">
        <v>1827</v>
      </c>
      <c r="E32" s="2455">
        <f t="shared" si="2"/>
        <v>0</v>
      </c>
    </row>
    <row r="33" spans="1:5">
      <c r="A33" s="2367" t="s">
        <v>1830</v>
      </c>
      <c r="B33" s="13" t="str">
        <f>IF('Contexte | CSS'!Q28&lt;&gt;"",'Contexte | CSS'!Q28,"")</f>
        <v xml:space="preserve"> </v>
      </c>
      <c r="C33" t="str">
        <f t="shared" si="0"/>
        <v>yellow_flag</v>
      </c>
      <c r="D33" s="2454" t="s">
        <v>1827</v>
      </c>
      <c r="E33" s="2455" t="str">
        <f t="shared" si="2"/>
        <v xml:space="preserve"> </v>
      </c>
    </row>
    <row r="34" spans="1:5">
      <c r="A34" s="45" t="s">
        <v>1830</v>
      </c>
      <c r="B34" s="13" t="str">
        <f>IF('Contexte | CSS'!Q29&lt;&gt;"",'Contexte | CSS'!Q29,"")</f>
        <v xml:space="preserve"> </v>
      </c>
      <c r="C34" t="str">
        <f t="shared" si="0"/>
        <v>yellow_flag</v>
      </c>
      <c r="D34" s="2454" t="s">
        <v>1827</v>
      </c>
      <c r="E34" s="2455" t="str">
        <f t="shared" si="2"/>
        <v xml:space="preserve"> </v>
      </c>
    </row>
    <row r="35" spans="1:5">
      <c r="A35" s="45" t="s">
        <v>1830</v>
      </c>
      <c r="B35" s="13" t="str">
        <f>IF('Contexte | CSS'!Q30&lt;&gt;"",'Contexte | CSS'!Q30,"")</f>
        <v xml:space="preserve"> </v>
      </c>
      <c r="C35" t="str">
        <f t="shared" si="0"/>
        <v>yellow_flag</v>
      </c>
      <c r="D35" s="2454" t="s">
        <v>1827</v>
      </c>
      <c r="E35" s="2455" t="str">
        <f t="shared" si="2"/>
        <v xml:space="preserve"> </v>
      </c>
    </row>
    <row r="36" spans="1:5">
      <c r="A36" s="45" t="s">
        <v>1830</v>
      </c>
      <c r="B36" s="13" t="str">
        <f>IF('Contexte | CSS'!Q31&lt;&gt;"",'Contexte | CSS'!Q31,"")</f>
        <v xml:space="preserve"> </v>
      </c>
      <c r="C36" t="str">
        <f t="shared" si="0"/>
        <v>yellow_flag</v>
      </c>
      <c r="D36" s="2454" t="s">
        <v>1827</v>
      </c>
      <c r="E36" s="2455" t="str">
        <f t="shared" si="2"/>
        <v xml:space="preserve"> </v>
      </c>
    </row>
    <row r="37" spans="1:5" ht="31" customHeight="1">
      <c r="A37" s="2198"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54" t="s">
        <v>1827</v>
      </c>
      <c r="E37" s="2455" t="str">
        <f t="shared" si="2"/>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 t="shared" si="0"/>
        <v>yellow_flag</v>
      </c>
      <c r="D38" s="2454" t="s">
        <v>1827</v>
      </c>
      <c r="E38" s="2455" t="str">
        <f t="shared" si="2"/>
        <v/>
      </c>
    </row>
    <row r="39" spans="1:5" s="36" customFormat="1" ht="23.5" customHeight="1">
      <c r="A39" s="1222" t="s">
        <v>1825</v>
      </c>
      <c r="B39" s="13" t="s">
        <v>1833</v>
      </c>
      <c r="C39">
        <f t="shared" si="0"/>
        <v>0</v>
      </c>
      <c r="D39" s="2454"/>
      <c r="E39" s="2455" t="str">
        <f t="shared" si="2"/>
        <v>Drapeaux rouges 🔴</v>
      </c>
    </row>
    <row r="40" spans="1:5">
      <c r="A40" s="1222"/>
      <c r="B40" s="2410"/>
      <c r="C40">
        <f t="shared" si="0"/>
        <v>0</v>
      </c>
      <c r="D40" s="2454"/>
      <c r="E40" s="2455">
        <f t="shared" si="2"/>
        <v>0</v>
      </c>
    </row>
    <row r="41" spans="1:5">
      <c r="A41" s="2368" t="s">
        <v>1826</v>
      </c>
      <c r="B41" s="13">
        <f>IF('Contexte | CSS'!R20&lt;&gt;"",'Contexte | CSS'!R20,"")</f>
        <v>0</v>
      </c>
      <c r="C41" t="str">
        <f t="shared" si="0"/>
        <v>red_flag</v>
      </c>
      <c r="D41" s="2454" t="s">
        <v>1834</v>
      </c>
      <c r="E41" s="2455">
        <f t="shared" si="2"/>
        <v>0</v>
      </c>
    </row>
    <row r="42" spans="1:5">
      <c r="A42" s="2371" t="s">
        <v>1828</v>
      </c>
      <c r="B42" s="13" t="str">
        <f>IF('Contexte | CSS'!R13&lt;&gt;"",'Contexte | CSS'!R13,"")</f>
        <v xml:space="preserve"> </v>
      </c>
      <c r="C42" t="str">
        <f t="shared" si="0"/>
        <v>red_flag</v>
      </c>
      <c r="D42" s="2454" t="s">
        <v>1834</v>
      </c>
      <c r="E42" s="2455" t="str">
        <f t="shared" si="2"/>
        <v xml:space="preserve"> </v>
      </c>
    </row>
    <row r="43" spans="1:5">
      <c r="A43" s="2371" t="s">
        <v>1828</v>
      </c>
      <c r="B43" s="13" t="str">
        <f>IF('Contexte | CSS'!R14&lt;&gt;"",'Contexte | CSS'!R14,"")</f>
        <v xml:space="preserve"> </v>
      </c>
      <c r="C43" t="str">
        <f t="shared" si="0"/>
        <v>red_flag</v>
      </c>
      <c r="D43" s="2454" t="s">
        <v>1834</v>
      </c>
      <c r="E43" s="2455" t="str">
        <f t="shared" si="2"/>
        <v xml:space="preserve"> </v>
      </c>
    </row>
    <row r="44" spans="1:5">
      <c r="A44" s="2371" t="s">
        <v>1828</v>
      </c>
      <c r="B44" s="13" t="str">
        <f>IF('Contexte | CSS'!R15&lt;&gt;"",'Contexte | CSS'!R15,"")</f>
        <v xml:space="preserve"> </v>
      </c>
      <c r="C44" t="str">
        <f t="shared" si="0"/>
        <v>red_flag</v>
      </c>
      <c r="D44" s="2454" t="s">
        <v>1834</v>
      </c>
      <c r="E44" s="2455" t="str">
        <f t="shared" si="2"/>
        <v xml:space="preserve"> </v>
      </c>
    </row>
    <row r="45" spans="1:5">
      <c r="A45" s="2371" t="s">
        <v>1828</v>
      </c>
      <c r="B45" s="13">
        <f>IF('Contexte | CSS'!R16&lt;&gt;"",'Contexte | CSS'!R16,"")</f>
        <v>0</v>
      </c>
      <c r="C45" t="str">
        <f t="shared" si="0"/>
        <v>red_flag</v>
      </c>
      <c r="D45" s="2454" t="s">
        <v>1834</v>
      </c>
      <c r="E45" s="2455">
        <f t="shared" si="2"/>
        <v>0</v>
      </c>
    </row>
    <row r="46" spans="1:5">
      <c r="A46" s="2371" t="s">
        <v>1828</v>
      </c>
      <c r="B46" s="13">
        <f>IF('Contexte | CSS'!R17&lt;&gt;"",'Contexte | CSS'!R17,"")</f>
        <v>0</v>
      </c>
      <c r="C46" t="str">
        <f t="shared" si="0"/>
        <v>red_flag</v>
      </c>
      <c r="D46" s="2454" t="s">
        <v>1834</v>
      </c>
      <c r="E46" s="2455">
        <f t="shared" si="2"/>
        <v>0</v>
      </c>
    </row>
    <row r="47" spans="1:5">
      <c r="A47" s="2371" t="s">
        <v>1828</v>
      </c>
      <c r="B47" s="13">
        <f>IF('Contexte | CSS'!R18&lt;&gt;"",'Contexte | CSS'!R18,"")</f>
        <v>0</v>
      </c>
      <c r="C47" t="str">
        <f t="shared" si="0"/>
        <v>red_flag</v>
      </c>
      <c r="D47" s="2454" t="s">
        <v>1834</v>
      </c>
      <c r="E47" s="2455">
        <f t="shared" si="2"/>
        <v>0</v>
      </c>
    </row>
    <row r="48" spans="1:5">
      <c r="A48" s="2371" t="s">
        <v>1828</v>
      </c>
      <c r="B48" s="13">
        <f>IF('Contexte | CSS'!R19&lt;&gt;"",'Contexte | CSS'!R19,"")</f>
        <v>0</v>
      </c>
      <c r="C48" t="str">
        <f t="shared" si="0"/>
        <v>red_flag</v>
      </c>
      <c r="D48" s="2454" t="s">
        <v>1834</v>
      </c>
      <c r="E48" s="2455">
        <f t="shared" si="2"/>
        <v>0</v>
      </c>
    </row>
    <row r="49" spans="1:5">
      <c r="A49" s="1222" t="s">
        <v>1818</v>
      </c>
      <c r="B49" s="13">
        <f>IF('Contexte | CSS'!R26&lt;&gt;"",'Contexte | CSS'!R26,"")</f>
        <v>0</v>
      </c>
      <c r="C49" t="str">
        <f t="shared" si="0"/>
        <v>red_flag</v>
      </c>
      <c r="D49" s="2454" t="s">
        <v>1834</v>
      </c>
      <c r="E49" s="2455">
        <f t="shared" si="2"/>
        <v>0</v>
      </c>
    </row>
    <row r="50" spans="1:5">
      <c r="A50" s="2371" t="s">
        <v>1829</v>
      </c>
      <c r="B50" s="13">
        <f>IF('Contexte | CSS'!R21&lt;&gt;"",'Contexte | CSS'!R21,"")</f>
        <v>0</v>
      </c>
      <c r="C50" t="str">
        <f t="shared" si="0"/>
        <v>red_flag</v>
      </c>
      <c r="D50" s="2454" t="s">
        <v>1834</v>
      </c>
      <c r="E50" s="2455">
        <f t="shared" si="2"/>
        <v>0</v>
      </c>
    </row>
    <row r="51" spans="1:5">
      <c r="A51" s="2371" t="s">
        <v>1829</v>
      </c>
      <c r="B51" s="13">
        <f>IF('Contexte | CSS'!R22&lt;&gt;"",'Contexte | CSS'!R22,"")</f>
        <v>0</v>
      </c>
      <c r="C51" t="str">
        <f t="shared" si="0"/>
        <v>red_flag</v>
      </c>
      <c r="D51" s="2454" t="s">
        <v>1834</v>
      </c>
      <c r="E51" s="2455">
        <f t="shared" si="2"/>
        <v>0</v>
      </c>
    </row>
    <row r="52" spans="1:5">
      <c r="A52" s="2371" t="s">
        <v>1829</v>
      </c>
      <c r="B52" s="13">
        <f>IF('Contexte | CSS'!R23&lt;&gt;"",'Contexte | CSS'!R23,"")</f>
        <v>0</v>
      </c>
      <c r="C52" t="str">
        <f t="shared" si="0"/>
        <v>red_flag</v>
      </c>
      <c r="D52" s="2454" t="s">
        <v>1834</v>
      </c>
      <c r="E52" s="2455">
        <f t="shared" si="2"/>
        <v>0</v>
      </c>
    </row>
    <row r="53" spans="1:5">
      <c r="A53" s="2371" t="s">
        <v>1829</v>
      </c>
      <c r="B53" s="13">
        <f>IF('Contexte | CSS'!R24&lt;&gt;"",'Contexte | CSS'!R24,"")</f>
        <v>0</v>
      </c>
      <c r="C53" t="str">
        <f t="shared" si="0"/>
        <v>red_flag</v>
      </c>
      <c r="D53" s="2454" t="s">
        <v>1834</v>
      </c>
      <c r="E53" s="2455">
        <f t="shared" si="2"/>
        <v>0</v>
      </c>
    </row>
    <row r="54" spans="1:5">
      <c r="A54" s="2371" t="s">
        <v>1829</v>
      </c>
      <c r="B54" s="13">
        <f>IF('Contexte | CSS'!R25&lt;&gt;"",'Contexte | CSS'!R25,"")</f>
        <v>0</v>
      </c>
      <c r="C54" t="str">
        <f t="shared" si="0"/>
        <v>red_flag</v>
      </c>
      <c r="D54" s="2454" t="s">
        <v>1834</v>
      </c>
      <c r="E54" s="2455">
        <f t="shared" si="2"/>
        <v>0</v>
      </c>
    </row>
    <row r="55" spans="1:5">
      <c r="A55" s="1222" t="s">
        <v>1819</v>
      </c>
      <c r="B55" s="13">
        <f>IF('Contexte | CSS'!R32&lt;&gt;"",'Contexte | CSS'!R32,"")</f>
        <v>0</v>
      </c>
      <c r="C55" t="str">
        <f t="shared" si="0"/>
        <v>red_flag</v>
      </c>
      <c r="D55" s="2454" t="s">
        <v>1834</v>
      </c>
      <c r="E55" s="2455">
        <f t="shared" si="2"/>
        <v>0</v>
      </c>
    </row>
    <row r="56" spans="1:5">
      <c r="A56" s="2371" t="s">
        <v>1830</v>
      </c>
      <c r="B56" s="13">
        <f>IF('Contexte | CSS'!R28&lt;&gt;"",'Contexte | CSS'!R28,"")</f>
        <v>0</v>
      </c>
      <c r="C56" t="str">
        <f t="shared" si="0"/>
        <v>red_flag</v>
      </c>
      <c r="D56" s="2454" t="s">
        <v>1834</v>
      </c>
      <c r="E56" s="2455">
        <f t="shared" si="2"/>
        <v>0</v>
      </c>
    </row>
    <row r="57" spans="1:5">
      <c r="A57" s="2371" t="s">
        <v>1830</v>
      </c>
      <c r="B57" s="13">
        <f>IF('Contexte | CSS'!R29&lt;&gt;"",'Contexte | CSS'!R29,"")</f>
        <v>0</v>
      </c>
      <c r="C57" t="str">
        <f t="shared" si="0"/>
        <v>red_flag</v>
      </c>
      <c r="D57" s="2454" t="s">
        <v>1834</v>
      </c>
      <c r="E57" s="2455">
        <f t="shared" si="2"/>
        <v>0</v>
      </c>
    </row>
    <row r="58" spans="1:5">
      <c r="A58" s="2371" t="s">
        <v>1830</v>
      </c>
      <c r="B58" s="13">
        <f>IF('Contexte | CSS'!R30&lt;&gt;"",'Contexte | CSS'!R30,"")</f>
        <v>0</v>
      </c>
      <c r="C58" t="str">
        <f t="shared" si="0"/>
        <v>red_flag</v>
      </c>
      <c r="D58" s="2454" t="s">
        <v>1834</v>
      </c>
      <c r="E58" s="2455">
        <f t="shared" si="2"/>
        <v>0</v>
      </c>
    </row>
    <row r="59" spans="1:5">
      <c r="A59" s="2371" t="s">
        <v>1830</v>
      </c>
      <c r="B59" s="13">
        <f>IF('Contexte | CSS'!R31&lt;&gt;"",'Contexte | CSS'!R31,"")</f>
        <v>0</v>
      </c>
      <c r="C59" t="str">
        <f t="shared" si="0"/>
        <v>red_flag</v>
      </c>
      <c r="D59" s="2454" t="s">
        <v>1834</v>
      </c>
      <c r="E59" s="2455">
        <f t="shared" si="2"/>
        <v>0</v>
      </c>
    </row>
    <row r="60" spans="1:5">
      <c r="A60" s="2369" t="s">
        <v>1831</v>
      </c>
      <c r="B60" s="13">
        <f>IF('Contexte | CSS'!R33&lt;&gt;"",'Contexte | CSS'!R33,"")</f>
        <v>0</v>
      </c>
      <c r="C60" t="str">
        <f t="shared" si="0"/>
        <v>red_flag</v>
      </c>
      <c r="D60" s="2454" t="s">
        <v>1834</v>
      </c>
      <c r="E60" s="2455">
        <f t="shared" si="2"/>
        <v>0</v>
      </c>
    </row>
    <row r="61" spans="1:5">
      <c r="A61" s="2369" t="s">
        <v>1832</v>
      </c>
      <c r="B61" s="13" t="str">
        <f>IF('Contexte | CSS'!R34&lt;&gt;"",'Contexte | CSS'!R34,"")</f>
        <v/>
      </c>
      <c r="C61" t="str">
        <f t="shared" si="0"/>
        <v>red_flag</v>
      </c>
      <c r="D61" s="2454" t="s">
        <v>1834</v>
      </c>
      <c r="E61" s="2455" t="str">
        <f t="shared" si="2"/>
        <v/>
      </c>
    </row>
    <row r="62" spans="1:5" ht="48" customHeight="1">
      <c r="A62" t="s">
        <v>1835</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t="str">
        <f t="shared" si="0"/>
        <v>ressources</v>
      </c>
      <c r="D62" s="2454" t="s">
        <v>1836</v>
      </c>
      <c r="E62" s="2455"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21" customHeight="1">
      <c r="E63" s="2455">
        <f t="shared" si="2"/>
        <v>0</v>
      </c>
    </row>
    <row r="64" spans="1:5" ht="29" customHeight="1">
      <c r="A64" s="2374" t="s">
        <v>1837</v>
      </c>
      <c r="B64" s="2226" t="str">
        <f>'Cpts miroirs des parents'!D5</f>
        <v>Est-ce que les coparents tendent vers une saine coparentalité ?</v>
      </c>
      <c r="C64" t="str">
        <f>IF($B$403,D64,"")</f>
        <v>subsection-title</v>
      </c>
      <c r="D64" s="2454" t="s">
        <v>1808</v>
      </c>
      <c r="E64" s="2455" t="str">
        <f t="shared" si="2"/>
        <v>Est-ce que les coparents tendent vers une saine coparentalité ?</v>
      </c>
    </row>
    <row r="65" spans="1:5" ht="93" customHeight="1">
      <c r="A65" s="2301" t="s">
        <v>1809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54" t="s">
        <v>1810</v>
      </c>
      <c r="E65" s="2455"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c r="C66" t="str">
        <f t="shared" si="3"/>
        <v>barometer</v>
      </c>
      <c r="D66" s="2454" t="s">
        <v>1811</v>
      </c>
      <c r="E66" s="2455" t="s">
        <v>1838</v>
      </c>
    </row>
    <row r="67" spans="1:5" ht="98" customHeight="1">
      <c r="A67" s="25" t="s">
        <v>1813</v>
      </c>
      <c r="B67" s="826" t="str">
        <f>HLOOKUP(1,'Cpts miroirs des parents'!V14:W18,5)</f>
        <v>Les réponses obtenues aux différents questionnaires indiquent que la coparentalité est exercée de manière égalitaire et harmonieuse.</v>
      </c>
      <c r="C67" t="str">
        <f t="shared" si="3"/>
        <v>analysis</v>
      </c>
      <c r="D67" s="2454" t="s">
        <v>1814</v>
      </c>
      <c r="E67" s="2455" t="str">
        <f>B67</f>
        <v>Les réponses obtenues aux différents questionnaires indiquent que la coparentalité est exercée de manière égalitaire et harmonieuse.</v>
      </c>
    </row>
    <row r="68" spans="1:5" ht="19" customHeight="1">
      <c r="A68" s="2366" t="s">
        <v>1839</v>
      </c>
      <c r="B68" s="25"/>
      <c r="C68">
        <f t="shared" si="3"/>
        <v>0</v>
      </c>
      <c r="E68" s="2455">
        <f t="shared" ref="E68:E84" si="4">B68</f>
        <v>0</v>
      </c>
    </row>
    <row r="69" spans="1:5">
      <c r="A69" s="88" t="s">
        <v>1816</v>
      </c>
      <c r="B69" s="13" t="str">
        <f>IF('Cpts miroirs des parents'!S19&lt;&gt;"",'Cpts miroirs des parents'!S19,"")</f>
        <v/>
      </c>
      <c r="C69" t="str">
        <f t="shared" si="3"/>
        <v>theme</v>
      </c>
      <c r="D69" s="2454" t="s">
        <v>1817</v>
      </c>
      <c r="E69" s="2455" t="str">
        <f t="shared" si="4"/>
        <v/>
      </c>
    </row>
    <row r="70" spans="1:5">
      <c r="A70" s="765" t="s">
        <v>1818</v>
      </c>
      <c r="B70" s="13" t="str">
        <f>IF('Cpts miroirs des parents'!S20&lt;&gt;"",'Cpts miroirs des parents'!S20,"")</f>
        <v/>
      </c>
      <c r="C70" t="str">
        <f t="shared" si="3"/>
        <v>theme</v>
      </c>
      <c r="D70" s="2454" t="s">
        <v>1817</v>
      </c>
      <c r="E70" s="2455" t="str">
        <f t="shared" si="4"/>
        <v/>
      </c>
    </row>
    <row r="71" spans="1:5" ht="31" customHeight="1">
      <c r="A71" s="765" t="s">
        <v>1819</v>
      </c>
      <c r="B71" s="13" t="str">
        <f>IF('Cpts miroirs des parents'!S21&lt;&gt;"",'Cpts miroirs des parents'!S21,"")</f>
        <v/>
      </c>
      <c r="C71" t="str">
        <f t="shared" si="3"/>
        <v>theme</v>
      </c>
      <c r="D71" s="2454" t="s">
        <v>1817</v>
      </c>
      <c r="E71" s="2455" t="str">
        <f t="shared" si="4"/>
        <v/>
      </c>
    </row>
    <row r="72" spans="1:5">
      <c r="A72" s="765" t="s">
        <v>1840</v>
      </c>
      <c r="B72" s="13" t="str">
        <f>IF('Cpts miroirs des parents'!S22&lt;&gt;"",'Cpts miroirs des parents'!S22,"")</f>
        <v/>
      </c>
      <c r="C72" t="str">
        <f t="shared" si="3"/>
        <v>theme</v>
      </c>
      <c r="D72" s="2454" t="s">
        <v>1817</v>
      </c>
      <c r="E72" s="2455" t="str">
        <f t="shared" si="4"/>
        <v/>
      </c>
    </row>
    <row r="73" spans="1:5">
      <c r="A73" s="765" t="s">
        <v>1841</v>
      </c>
      <c r="B73" s="13" t="str">
        <f>IF('Cpts miroirs des parents'!S23&lt;&gt;"",'Cpts miroirs des parents'!S23,"")</f>
        <v/>
      </c>
      <c r="C73" t="str">
        <f t="shared" si="3"/>
        <v>theme</v>
      </c>
      <c r="D73" s="2454" t="s">
        <v>1817</v>
      </c>
      <c r="E73" s="2455" t="str">
        <f t="shared" si="4"/>
        <v/>
      </c>
    </row>
    <row r="74" spans="1:5">
      <c r="A74" s="765" t="s">
        <v>1842</v>
      </c>
      <c r="B74" s="13" t="str">
        <f>IF('Cpts miroirs des parents'!S24&lt;&gt;"",'Cpts miroirs des parents'!S24,"")</f>
        <v/>
      </c>
      <c r="C74" t="str">
        <f t="shared" si="3"/>
        <v>theme</v>
      </c>
      <c r="D74" s="2454" t="s">
        <v>1817</v>
      </c>
      <c r="E74" s="2455" t="str">
        <f t="shared" si="4"/>
        <v/>
      </c>
    </row>
    <row r="75" spans="1:5">
      <c r="A75" s="765" t="s">
        <v>1843</v>
      </c>
      <c r="B75" s="13" t="str">
        <f>IF('Cpts miroirs des parents'!S25&lt;&gt;"",'Cpts miroirs des parents'!S25,"")</f>
        <v/>
      </c>
      <c r="C75" t="str">
        <f t="shared" si="3"/>
        <v>theme</v>
      </c>
      <c r="D75" s="2454" t="s">
        <v>1817</v>
      </c>
      <c r="E75" s="2455" t="str">
        <f t="shared" si="4"/>
        <v/>
      </c>
    </row>
    <row r="76" spans="1:5">
      <c r="A76" s="765" t="s">
        <v>1844</v>
      </c>
      <c r="B76" s="13" t="str">
        <f>IF('Cpts miroirs des parents'!S26&lt;&gt;"",'Cpts miroirs des parents'!S26,"")</f>
        <v/>
      </c>
      <c r="C76" t="str">
        <f t="shared" si="3"/>
        <v>theme</v>
      </c>
      <c r="D76" s="2454" t="s">
        <v>1817</v>
      </c>
      <c r="E76" s="2455" t="str">
        <f t="shared" si="4"/>
        <v/>
      </c>
    </row>
    <row r="77" spans="1:5" ht="41" customHeight="1">
      <c r="A77" s="765" t="s">
        <v>1821</v>
      </c>
      <c r="B77" s="13" t="str">
        <f>IF('Cpts miroirs des parents'!S27&lt;&gt;"",'Cpts miroirs des parents'!S27,"")</f>
        <v/>
      </c>
      <c r="C77" t="str">
        <f t="shared" si="3"/>
        <v>theme</v>
      </c>
      <c r="D77" s="2454" t="s">
        <v>1817</v>
      </c>
      <c r="E77" s="2455" t="str">
        <f t="shared" si="4"/>
        <v/>
      </c>
    </row>
    <row r="78" spans="1:5" ht="23.5" customHeight="1">
      <c r="A78" s="36" t="s">
        <v>1822</v>
      </c>
      <c r="B78" s="13">
        <f>'Cpts miroirs des parents'!X18</f>
        <v>0</v>
      </c>
      <c r="C78" t="str">
        <f t="shared" si="3"/>
        <v>flag_introduction</v>
      </c>
      <c r="D78" s="2454" t="s">
        <v>1823</v>
      </c>
      <c r="E78" s="2455">
        <f t="shared" si="4"/>
        <v>0</v>
      </c>
    </row>
    <row r="79" spans="1:5">
      <c r="A79" s="45" t="s">
        <v>1825</v>
      </c>
      <c r="B79" s="13" t="s">
        <v>1824</v>
      </c>
      <c r="C79">
        <f t="shared" si="3"/>
        <v>0</v>
      </c>
      <c r="E79" s="2455" t="str">
        <f t="shared" si="4"/>
        <v>Drapeaux jaunes 🟡</v>
      </c>
    </row>
    <row r="80" spans="1:5">
      <c r="A80" s="45" t="s">
        <v>1845</v>
      </c>
      <c r="B80" s="13" t="str">
        <f>IF('Cpts miroirs des parents'!T27&lt;&gt;"",'Cpts miroirs des parents'!T27,"")</f>
        <v/>
      </c>
      <c r="C80" t="str">
        <f t="shared" si="3"/>
        <v>yellow_flag</v>
      </c>
      <c r="D80" s="2454" t="s">
        <v>1827</v>
      </c>
      <c r="E80" s="2455" t="str">
        <f t="shared" si="4"/>
        <v/>
      </c>
    </row>
    <row r="81" spans="1:5">
      <c r="A81" s="1222" t="s">
        <v>1825</v>
      </c>
      <c r="B81" s="13" t="s">
        <v>1833</v>
      </c>
      <c r="C81">
        <f t="shared" si="3"/>
        <v>0</v>
      </c>
      <c r="E81" s="2455" t="str">
        <f t="shared" si="4"/>
        <v>Drapeaux rouges 🔴</v>
      </c>
    </row>
    <row r="82" spans="1:5">
      <c r="A82" s="1222" t="s">
        <v>1845</v>
      </c>
      <c r="B82" s="13" t="str">
        <f>IF('Cpts miroirs des parents'!U27&lt;&gt;"",'Cpts miroirs des parents'!U27,"")</f>
        <v/>
      </c>
      <c r="C82" t="str">
        <f t="shared" si="3"/>
        <v>red_flag</v>
      </c>
      <c r="D82" s="2454" t="s">
        <v>1834</v>
      </c>
      <c r="E82" s="2455" t="str">
        <f t="shared" si="4"/>
        <v/>
      </c>
    </row>
    <row r="83" spans="1:5">
      <c r="C83">
        <f t="shared" si="3"/>
        <v>0</v>
      </c>
      <c r="E83" s="2455">
        <f t="shared" si="4"/>
        <v>0</v>
      </c>
    </row>
    <row r="84" spans="1:5" ht="62" customHeight="1">
      <c r="A84" t="s">
        <v>1835</v>
      </c>
      <c r="B84" s="13">
        <f>HLOOKUP(1,'Cpts miroirs des parents'!V14:W28,15)</f>
        <v>0</v>
      </c>
      <c r="C84" t="str">
        <f t="shared" si="3"/>
        <v>ressources</v>
      </c>
      <c r="D84" s="2453" t="s">
        <v>1836</v>
      </c>
      <c r="E84" s="2455">
        <f t="shared" si="4"/>
        <v>0</v>
      </c>
    </row>
    <row r="85" spans="1:5">
      <c r="E85" s="2456"/>
    </row>
    <row r="86" spans="1:5" ht="28" customHeight="1">
      <c r="A86" s="2374" t="s">
        <v>1846</v>
      </c>
      <c r="B86" s="2226" t="str">
        <f>'Cpts miroirs des parents'!D11</f>
        <v>Est-ce que votre contexte de coparentalité tend à sécuriser ou à insécuriser votre enfant ?</v>
      </c>
      <c r="C86" t="str">
        <f>IF($B$404,D86,"")</f>
        <v>subsection-title</v>
      </c>
      <c r="D86" s="2453" t="s">
        <v>1808</v>
      </c>
      <c r="E86" s="2455" t="str">
        <f>B86</f>
        <v>Est-ce que votre contexte de coparentalité tend à sécuriser ou à insécuriser votre enfant ?</v>
      </c>
    </row>
    <row r="87" spans="1:5" s="7" customFormat="1" ht="93" customHeight="1">
      <c r="A87" s="2264" t="s">
        <v>1809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56"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53" t="s">
        <v>1811</v>
      </c>
      <c r="E88" s="2455" t="s">
        <v>1847</v>
      </c>
    </row>
    <row r="89" spans="1:5" ht="57" customHeight="1">
      <c r="A89" s="25" t="s">
        <v>1813</v>
      </c>
      <c r="B89" s="25" t="str">
        <f>HLOOKUP(1,'Cpts miroirs des parents'!V30:W31,2)</f>
        <v xml:space="preserve">Les réponses obtenues aux différents questionnaires indiquent que votre enfant évolue dans une dynamique de coparentalité saine et favorable à son développement. </v>
      </c>
      <c r="C89" t="str">
        <f t="shared" si="5"/>
        <v>analysis</v>
      </c>
      <c r="D89" s="2453" t="s">
        <v>1814</v>
      </c>
      <c r="E89" s="2456" t="str">
        <f>B89</f>
        <v xml:space="preserve">Les réponses obtenues aux différents questionnaires indiquent que votre enfant évolue dans une dynamique de coparentalité saine et favorable à son développement. </v>
      </c>
    </row>
    <row r="90" spans="1:5" ht="19" customHeight="1">
      <c r="A90" s="2366" t="s">
        <v>1839</v>
      </c>
      <c r="B90" s="25"/>
      <c r="C90">
        <f t="shared" si="5"/>
        <v>0</v>
      </c>
      <c r="E90" s="2456"/>
    </row>
    <row r="91" spans="1:5">
      <c r="A91" s="88" t="s">
        <v>1816</v>
      </c>
      <c r="B91" s="13" t="str">
        <f>IF('Cpts miroirs des parents'!S32&lt;&gt;"",'Cpts miroirs des parents'!S32,"")</f>
        <v/>
      </c>
      <c r="C91" t="str">
        <f t="shared" si="5"/>
        <v>theme</v>
      </c>
      <c r="D91" s="2453" t="s">
        <v>1817</v>
      </c>
      <c r="E91" s="2456" t="str">
        <f t="shared" ref="E91:E104" si="6">B91</f>
        <v/>
      </c>
    </row>
    <row r="92" spans="1:5" ht="31" customHeight="1">
      <c r="A92" s="765" t="s">
        <v>1818</v>
      </c>
      <c r="B92" s="13" t="str">
        <f>IF('Cpts miroirs des parents'!S33&lt;&gt;"",'Cpts miroirs des parents'!S33,"")</f>
        <v/>
      </c>
      <c r="C92" t="str">
        <f t="shared" si="5"/>
        <v>theme</v>
      </c>
      <c r="D92" s="2453" t="s">
        <v>1817</v>
      </c>
      <c r="E92" s="2456" t="str">
        <f t="shared" si="6"/>
        <v/>
      </c>
    </row>
    <row r="93" spans="1:5" ht="31" customHeight="1">
      <c r="A93" s="765" t="s">
        <v>1819</v>
      </c>
      <c r="B93" s="13" t="str">
        <f>IF('Cpts miroirs des parents'!S34&lt;&gt;"",'Cpts miroirs des parents'!S34,"")</f>
        <v/>
      </c>
      <c r="C93" t="str">
        <f t="shared" si="5"/>
        <v>theme</v>
      </c>
      <c r="D93" s="2453" t="s">
        <v>1817</v>
      </c>
      <c r="E93" s="2456" t="str">
        <f t="shared" si="6"/>
        <v/>
      </c>
    </row>
    <row r="94" spans="1:5">
      <c r="A94" s="765" t="s">
        <v>1840</v>
      </c>
      <c r="B94" s="13" t="str">
        <f>IF('Cpts miroirs des parents'!S35&lt;&gt;"",'Cpts miroirs des parents'!S35,"")</f>
        <v/>
      </c>
      <c r="C94" t="str">
        <f t="shared" si="5"/>
        <v>theme</v>
      </c>
      <c r="D94" s="2453" t="s">
        <v>1817</v>
      </c>
      <c r="E94" s="2456" t="str">
        <f t="shared" si="6"/>
        <v/>
      </c>
    </row>
    <row r="95" spans="1:5">
      <c r="A95" s="765" t="s">
        <v>1841</v>
      </c>
      <c r="B95" s="13" t="str">
        <f>IF('Cpts miroirs des parents'!S36&lt;&gt;"",'Cpts miroirs des parents'!S36,"")</f>
        <v/>
      </c>
      <c r="C95" t="str">
        <f t="shared" si="5"/>
        <v>theme</v>
      </c>
      <c r="D95" s="2453" t="s">
        <v>1817</v>
      </c>
      <c r="E95" s="2456" t="str">
        <f t="shared" si="6"/>
        <v/>
      </c>
    </row>
    <row r="96" spans="1:5">
      <c r="A96" s="765" t="s">
        <v>1842</v>
      </c>
      <c r="B96" s="13" t="str">
        <f>IF('Cpts miroirs des parents'!S37&lt;&gt;"",'Cpts miroirs des parents'!S37,"")</f>
        <v/>
      </c>
      <c r="C96" t="str">
        <f t="shared" si="5"/>
        <v>theme</v>
      </c>
      <c r="D96" s="2453" t="s">
        <v>1817</v>
      </c>
      <c r="E96" s="2456" t="str">
        <f t="shared" si="6"/>
        <v/>
      </c>
    </row>
    <row r="97" spans="1:5" ht="49" customHeight="1">
      <c r="A97" s="765" t="s">
        <v>1821</v>
      </c>
      <c r="B97" s="13" t="str">
        <f>IF('Cpts miroirs des parents'!S38&lt;&gt;"",'Cpts miroirs des parents'!S38,"")</f>
        <v/>
      </c>
      <c r="C97" t="str">
        <f t="shared" si="5"/>
        <v>theme</v>
      </c>
      <c r="D97" s="2453" t="s">
        <v>1817</v>
      </c>
      <c r="E97" s="2456" t="str">
        <f t="shared" si="6"/>
        <v/>
      </c>
    </row>
    <row r="98" spans="1:5" ht="23.5" customHeight="1">
      <c r="A98" s="36" t="s">
        <v>1822</v>
      </c>
      <c r="C98" t="str">
        <f t="shared" si="5"/>
        <v>flag_introduction</v>
      </c>
      <c r="D98" s="2453" t="s">
        <v>1823</v>
      </c>
      <c r="E98" s="2456">
        <f t="shared" si="6"/>
        <v>0</v>
      </c>
    </row>
    <row r="99" spans="1:5">
      <c r="A99" s="45" t="s">
        <v>1825</v>
      </c>
      <c r="B99" s="13" t="s">
        <v>1824</v>
      </c>
      <c r="C99">
        <f t="shared" si="5"/>
        <v>0</v>
      </c>
      <c r="E99" s="2456" t="str">
        <f t="shared" si="6"/>
        <v>Drapeaux jaunes 🟡</v>
      </c>
    </row>
    <row r="100" spans="1:5" ht="77.5" customHeight="1">
      <c r="A100" s="2198" t="s">
        <v>1845</v>
      </c>
      <c r="B100" s="13" t="str">
        <f>IF('Cpts miroirs des parents'!T38&lt;&gt;"",'Cpts miroirs des parents'!T38,"")</f>
        <v/>
      </c>
      <c r="C100" t="str">
        <f t="shared" si="5"/>
        <v>yellow_flag</v>
      </c>
      <c r="D100" s="2453" t="s">
        <v>1827</v>
      </c>
      <c r="E100" s="2456" t="str">
        <f t="shared" si="6"/>
        <v/>
      </c>
    </row>
    <row r="101" spans="1:5">
      <c r="A101" s="2369" t="s">
        <v>1825</v>
      </c>
      <c r="B101" s="13" t="s">
        <v>1833</v>
      </c>
      <c r="C101">
        <f t="shared" si="5"/>
        <v>0</v>
      </c>
      <c r="E101" s="2456" t="str">
        <f t="shared" si="6"/>
        <v>Drapeaux rouges 🔴</v>
      </c>
    </row>
    <row r="102" spans="1:5" ht="34" customHeight="1">
      <c r="A102" s="2369" t="s">
        <v>1845</v>
      </c>
      <c r="B102" s="13" t="str">
        <f>IF('Cpts miroirs des parents'!U38&lt;&gt;"",'Cpts miroirs des parents'!U38,"")</f>
        <v/>
      </c>
      <c r="C102" t="str">
        <f t="shared" si="5"/>
        <v>red_flag</v>
      </c>
      <c r="D102" s="2453" t="s">
        <v>1834</v>
      </c>
      <c r="E102" s="2456" t="str">
        <f t="shared" si="6"/>
        <v/>
      </c>
    </row>
    <row r="103" spans="1:5">
      <c r="C103">
        <f t="shared" si="5"/>
        <v>0</v>
      </c>
      <c r="E103" s="2456">
        <f t="shared" si="6"/>
        <v>0</v>
      </c>
    </row>
    <row r="104" spans="1:5" ht="62" customHeight="1">
      <c r="A104" t="s">
        <v>1835</v>
      </c>
      <c r="B104" s="13">
        <f>HLOOKUP(1,'Cpts miroirs des parents'!V30:W39,10)</f>
        <v>0</v>
      </c>
      <c r="C104" t="str">
        <f t="shared" si="5"/>
        <v>ressources</v>
      </c>
      <c r="D104" s="2453" t="s">
        <v>1836</v>
      </c>
      <c r="E104" s="2456">
        <f t="shared" si="6"/>
        <v>0</v>
      </c>
    </row>
    <row r="105" spans="1:5">
      <c r="E105" s="2455"/>
    </row>
    <row r="106" spans="1:5" ht="21" customHeight="1">
      <c r="A106" t="s">
        <v>1804</v>
      </c>
      <c r="B106" s="2409" t="s">
        <v>1848</v>
      </c>
      <c r="C106" t="str">
        <f>IF($B$405,D106,"")</f>
        <v>section-title</v>
      </c>
      <c r="D106" s="2453" t="s">
        <v>1806</v>
      </c>
      <c r="E106" s="2456" t="str">
        <f>B106</f>
        <v>Quelle est la dynamique familiale à laquelle l'enfant est exposé ?</v>
      </c>
    </row>
    <row r="107" spans="1:5">
      <c r="C107">
        <f t="shared" ref="C107:C170" si="7">IF($B$405,D107,"")</f>
        <v>0</v>
      </c>
      <c r="E107" s="2455"/>
    </row>
    <row r="108" spans="1:5" ht="21" customHeight="1">
      <c r="A108" s="2374" t="s">
        <v>1849</v>
      </c>
      <c r="B108" s="2226" t="str">
        <f>'Cpts préjudiciables parents'!C2</f>
        <v xml:space="preserve">À quels comportements préjudiciables votre enfant-il exposé ? </v>
      </c>
      <c r="C108" t="str">
        <f t="shared" si="7"/>
        <v>subsection-title</v>
      </c>
      <c r="D108" s="2453" t="s">
        <v>1808</v>
      </c>
      <c r="E108" s="2456" t="str">
        <f>B108</f>
        <v xml:space="preserve">À quels comportements préjudiciables votre enfant-il exposé ? </v>
      </c>
    </row>
    <row r="109" spans="1:5" ht="97" customHeight="1">
      <c r="A109" s="2264" t="s">
        <v>1809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about-barometer</v>
      </c>
      <c r="D109" s="2453" t="s">
        <v>1810</v>
      </c>
      <c r="E109" s="2455"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barometer</v>
      </c>
      <c r="D110" s="2453" t="s">
        <v>1811</v>
      </c>
      <c r="E110" s="2456"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analysis</v>
      </c>
      <c r="D111" s="2453" t="s">
        <v>1814</v>
      </c>
      <c r="E111" s="2455"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6" t="s">
        <v>1839</v>
      </c>
      <c r="C112">
        <f t="shared" si="7"/>
        <v>0</v>
      </c>
      <c r="E112" s="2455">
        <f t="shared" si="8"/>
        <v>0</v>
      </c>
    </row>
    <row r="113" spans="1:5" ht="31" customHeight="1">
      <c r="A113" s="2366" t="s">
        <v>1851</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theme</v>
      </c>
      <c r="D113" s="2453" t="s">
        <v>1817</v>
      </c>
      <c r="E113" s="2455" t="str">
        <f t="shared" si="8"/>
        <v>Altération ou dévoiement de la réalité : Lorsque certains faits sont dénaturés, que la réalité est déformée ou présentée à l’avantage d’un parent au détriment de l’autre. &lt;br/&gt;</v>
      </c>
    </row>
    <row r="114" spans="1:5" ht="31">
      <c r="A114" s="2366"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7"/>
        <v>theme</v>
      </c>
      <c r="D114" s="2453" t="s">
        <v>1817</v>
      </c>
      <c r="E114" s="2455" t="str">
        <f t="shared" si="8"/>
        <v>Chantage affectif, manipulation : Lorsque le comportement d’un parent induit directement ou indirectement et de manière volontaire ou involontaire un conflit de loyauté chez l’enfant. &lt;br/&gt;</v>
      </c>
    </row>
    <row r="115" spans="1:5" ht="31">
      <c r="A115" s="2366" t="s">
        <v>1853</v>
      </c>
      <c r="B115" s="13" t="str">
        <f>IF('Cpts préjudiciables parents'!H27&lt;&gt;"",'Cpts préjudiciables parents'!H27,"")</f>
        <v>Dénigrement : Lorsque la valeur ou l'autorié morale ou parentale de l’autre parent est diminuée ou discréditée aux yeux de l’enfant. &lt;br/&gt;</v>
      </c>
      <c r="C115" t="str">
        <f t="shared" si="7"/>
        <v>theme</v>
      </c>
      <c r="D115" s="2453" t="s">
        <v>1817</v>
      </c>
      <c r="E115" s="2455" t="str">
        <f t="shared" si="8"/>
        <v>Dénigrement : Lorsque la valeur ou l'autorié morale ou parentale de l’autre parent est diminuée ou discréditée aux yeux de l’enfant. &lt;br/&gt;</v>
      </c>
    </row>
    <row r="116" spans="1:5" ht="31" customHeight="1">
      <c r="A116" s="2366" t="s">
        <v>1854</v>
      </c>
      <c r="B116" s="13" t="str">
        <f>IF('Cpts préjudiciables parents'!H37&lt;&gt;"",'Cpts préjudiciables parents'!H37,"")</f>
        <v>Interférence temps ou communication : Lorsqu’un parent s’impose directement ou indirectement durant le temps parental de l’autre parent. &lt;br/&gt;</v>
      </c>
      <c r="C116" t="str">
        <f t="shared" si="7"/>
        <v>theme</v>
      </c>
      <c r="D116" s="2453" t="s">
        <v>1817</v>
      </c>
      <c r="E116" s="2455" t="str">
        <f t="shared" si="8"/>
        <v>Interférence temps ou communication : Lorsqu’un parent s’impose directement ou indirectement durant le temps parental de l’autre parent. &lt;br/&gt;</v>
      </c>
    </row>
    <row r="117" spans="1:5" ht="46.5">
      <c r="A117" s="2366"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7"/>
        <v>theme</v>
      </c>
      <c r="D117" s="2453" t="s">
        <v>1817</v>
      </c>
      <c r="E117" s="2455" t="str">
        <f t="shared" si="8"/>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6"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7"/>
        <v>theme</v>
      </c>
      <c r="D118" s="2453" t="s">
        <v>1817</v>
      </c>
      <c r="E118" s="2455" t="str">
        <f t="shared" si="8"/>
        <v>Parentification : Lorsque les rôles parent-enfant sont inversé et où l’enfant est appelé à accueillir des responsabilités d’adultes ou à être responsable du bien-être de son parent. &lt;br/&gt;</v>
      </c>
    </row>
    <row r="119" spans="1:5" ht="46.5" customHeight="1">
      <c r="A119" s="2366"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theme</v>
      </c>
      <c r="D119" s="2453" t="s">
        <v>1817</v>
      </c>
      <c r="E119" s="2455"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5" t="s">
        <v>1821</v>
      </c>
      <c r="B120" s="13">
        <f>IF('Cpts préjudiciables parents'!H55&lt;&gt;"",'Cpts préjudiciables parents'!H55,"")</f>
        <v>0</v>
      </c>
      <c r="C120" t="str">
        <f t="shared" si="7"/>
        <v>theme</v>
      </c>
      <c r="D120" s="2453" t="s">
        <v>1817</v>
      </c>
      <c r="E120" s="2455">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flag_introduction</v>
      </c>
      <c r="D121" s="2453" t="s">
        <v>1823</v>
      </c>
      <c r="E121" s="2455" t="str">
        <f t="shared" si="8"/>
        <v>Les comportements suivants méritent une attention particulière, car ils sont susceptibles d'affecter le bien-être psychologique et le développement de votre enfant : &lt;br/&gt;</v>
      </c>
    </row>
    <row r="122" spans="1:5" ht="23.5" customHeight="1">
      <c r="A122" s="36"/>
      <c r="B122" s="13" t="s">
        <v>1824</v>
      </c>
      <c r="C122">
        <f t="shared" si="7"/>
        <v>0</v>
      </c>
      <c r="E122" s="2455" t="str">
        <f t="shared" si="8"/>
        <v>Drapeaux jaunes 🟡</v>
      </c>
    </row>
    <row r="123" spans="1:5">
      <c r="A123" t="s">
        <v>1825</v>
      </c>
      <c r="B123" s="13" t="str">
        <f>IF('Cpts miroirs des parents'!T63&lt;&gt;"",'Cpts miroirs des parents'!T63,"")</f>
        <v/>
      </c>
      <c r="C123">
        <f t="shared" si="7"/>
        <v>0</v>
      </c>
      <c r="E123" s="2455" t="str">
        <f t="shared" si="8"/>
        <v/>
      </c>
    </row>
    <row r="124" spans="1:5" ht="46.5" customHeight="1">
      <c r="A124" s="692" t="s">
        <v>1858</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yellow_flag</v>
      </c>
      <c r="D124" s="2453" t="s">
        <v>1827</v>
      </c>
      <c r="E124" s="2455"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yellow_flag</v>
      </c>
      <c r="D125" s="2453" t="s">
        <v>1827</v>
      </c>
      <c r="E125" s="2455" t="str">
        <f t="shared" si="8"/>
        <v/>
      </c>
    </row>
    <row r="126" spans="1:5">
      <c r="A126" s="45" t="s">
        <v>1859</v>
      </c>
      <c r="C126" t="str">
        <f t="shared" si="7"/>
        <v>yellow_flag</v>
      </c>
      <c r="D126" s="2453" t="s">
        <v>1827</v>
      </c>
      <c r="E126" s="2455">
        <f t="shared" si="8"/>
        <v>0</v>
      </c>
    </row>
    <row r="127" spans="1:5">
      <c r="A127" s="45" t="s">
        <v>1859</v>
      </c>
      <c r="B127" s="13" t="str">
        <f>IF('Cpts préjudiciables parents'!I10&lt;&gt;"",'Cpts préjudiciables parents'!I10,"")</f>
        <v/>
      </c>
      <c r="C127" t="str">
        <f t="shared" si="7"/>
        <v>yellow_flag</v>
      </c>
      <c r="D127" s="2453" t="s">
        <v>1827</v>
      </c>
      <c r="E127" s="2455" t="str">
        <f t="shared" si="8"/>
        <v/>
      </c>
    </row>
    <row r="128" spans="1:5">
      <c r="A128" s="45" t="s">
        <v>1859</v>
      </c>
      <c r="B128" s="13" t="str">
        <f>IF('Cpts préjudiciables parents'!I12&lt;&gt;"",'Cpts préjudiciables parents'!I12,"")</f>
        <v/>
      </c>
      <c r="C128" t="str">
        <f t="shared" si="7"/>
        <v>yellow_flag</v>
      </c>
      <c r="D128" s="2453" t="s">
        <v>1827</v>
      </c>
      <c r="E128" s="2455" t="str">
        <f t="shared" si="8"/>
        <v/>
      </c>
    </row>
    <row r="129" spans="1:5">
      <c r="A129" s="45" t="s">
        <v>1859</v>
      </c>
      <c r="B129" s="13" t="str">
        <f>IF('Cpts préjudiciables parents'!I13&lt;&gt;"",'Cpts préjudiciables parents'!I13,"")</f>
        <v/>
      </c>
      <c r="C129" t="str">
        <f t="shared" si="7"/>
        <v>yellow_flag</v>
      </c>
      <c r="D129" s="2453" t="s">
        <v>1827</v>
      </c>
      <c r="E129" s="2455" t="str">
        <f t="shared" si="8"/>
        <v/>
      </c>
    </row>
    <row r="130" spans="1:5">
      <c r="A130" s="45" t="s">
        <v>1859</v>
      </c>
      <c r="B130" s="13" t="str">
        <f>IF('Cpts préjudiciables parents'!I14&lt;&gt;"",'Cpts préjudiciables parents'!I14,"")</f>
        <v/>
      </c>
      <c r="C130" t="str">
        <f t="shared" si="7"/>
        <v>yellow_flag</v>
      </c>
      <c r="D130" s="2453" t="s">
        <v>1827</v>
      </c>
      <c r="E130" s="2455" t="str">
        <f t="shared" si="8"/>
        <v/>
      </c>
    </row>
    <row r="131" spans="1:5" ht="46.5">
      <c r="A131" s="692"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7"/>
        <v>yellow_flag</v>
      </c>
      <c r="D131" s="2453" t="s">
        <v>1827</v>
      </c>
      <c r="E131" s="2455" t="str">
        <f t="shared" si="8"/>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 t="shared" si="7"/>
        <v>yellow_flag</v>
      </c>
      <c r="D132" s="2453" t="s">
        <v>1827</v>
      </c>
      <c r="E132" s="2455" t="str">
        <f t="shared" si="8"/>
        <v/>
      </c>
    </row>
    <row r="133" spans="1:5">
      <c r="A133" s="45" t="s">
        <v>1860</v>
      </c>
      <c r="B133" s="13" t="str">
        <f>IF('Cpts préjudiciables parents'!I17&lt;&gt;"",'Cpts préjudiciables parents'!I17,"")</f>
        <v/>
      </c>
      <c r="C133" t="str">
        <f t="shared" si="7"/>
        <v>yellow_flag</v>
      </c>
      <c r="D133" s="2453" t="s">
        <v>1827</v>
      </c>
      <c r="E133" s="2455" t="str">
        <f t="shared" si="8"/>
        <v/>
      </c>
    </row>
    <row r="134" spans="1:5">
      <c r="A134" s="45" t="s">
        <v>1860</v>
      </c>
      <c r="B134" s="13" t="str">
        <f>IF('Cpts préjudiciables parents'!I18&lt;&gt;"",'Cpts préjudiciables parents'!I18,"")</f>
        <v/>
      </c>
      <c r="C134" t="str">
        <f t="shared" si="7"/>
        <v>yellow_flag</v>
      </c>
      <c r="D134" s="2453" t="s">
        <v>1827</v>
      </c>
      <c r="E134" s="2455" t="str">
        <f t="shared" si="8"/>
        <v/>
      </c>
    </row>
    <row r="135" spans="1:5">
      <c r="A135" s="45" t="s">
        <v>1860</v>
      </c>
      <c r="B135" s="13" t="str">
        <f>IF('Cpts préjudiciables parents'!I19&lt;&gt;"",'Cpts préjudiciables parents'!I19,"")</f>
        <v/>
      </c>
      <c r="C135" t="str">
        <f t="shared" si="7"/>
        <v>yellow_flag</v>
      </c>
      <c r="D135" s="2453" t="s">
        <v>1827</v>
      </c>
      <c r="E135" s="2455" t="str">
        <f t="shared" si="8"/>
        <v/>
      </c>
    </row>
    <row r="136" spans="1:5">
      <c r="A136" s="45" t="s">
        <v>1860</v>
      </c>
      <c r="B136" s="13" t="str">
        <f>IF('Cpts préjudiciables parents'!I20&lt;&gt;"",'Cpts préjudiciables parents'!I20,"")</f>
        <v/>
      </c>
      <c r="C136" t="str">
        <f t="shared" si="7"/>
        <v>yellow_flag</v>
      </c>
      <c r="D136" s="2453" t="s">
        <v>1827</v>
      </c>
      <c r="E136" s="2455" t="str">
        <f t="shared" si="8"/>
        <v/>
      </c>
    </row>
    <row r="137" spans="1:5">
      <c r="A137" s="45" t="s">
        <v>1860</v>
      </c>
      <c r="B137" s="13" t="str">
        <f>IF('Cpts préjudiciables parents'!I21&lt;&gt;"",'Cpts préjudiciables parents'!I21,"")</f>
        <v/>
      </c>
      <c r="C137" t="str">
        <f t="shared" si="7"/>
        <v>yellow_flag</v>
      </c>
      <c r="D137" s="2453" t="s">
        <v>1827</v>
      </c>
      <c r="E137" s="2455" t="str">
        <f t="shared" si="8"/>
        <v/>
      </c>
    </row>
    <row r="138" spans="1:5">
      <c r="A138" s="692" t="s">
        <v>1853</v>
      </c>
      <c r="B138" s="13" t="str">
        <f>IF('Cpts préjudiciables parents'!I27&lt;&gt;"",'Cpts préjudiciables parents'!I27,"")</f>
        <v xml:space="preserve">Cette section entière mérite un drapeau jaune soulevant les principes rencontrés dans les comportements de la section. </v>
      </c>
      <c r="C138" t="str">
        <f t="shared" si="7"/>
        <v>yellow_flag</v>
      </c>
      <c r="D138" s="2453" t="s">
        <v>1827</v>
      </c>
      <c r="E138" s="2455" t="str">
        <f t="shared" si="8"/>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 t="shared" si="7"/>
        <v>yellow_flag</v>
      </c>
      <c r="D139" s="2453" t="s">
        <v>1827</v>
      </c>
      <c r="E139" s="2455" t="str">
        <f t="shared" si="8"/>
        <v/>
      </c>
    </row>
    <row r="140" spans="1:5">
      <c r="A140" s="45" t="s">
        <v>1861</v>
      </c>
      <c r="B140" s="13" t="str">
        <f>IF('Cpts préjudiciables parents'!I24&lt;&gt;"",'Cpts préjudiciables parents'!I24,"")</f>
        <v/>
      </c>
      <c r="C140" t="str">
        <f t="shared" si="7"/>
        <v>yellow_flag</v>
      </c>
      <c r="D140" s="2453" t="s">
        <v>1827</v>
      </c>
      <c r="E140" s="2455" t="str">
        <f t="shared" si="8"/>
        <v/>
      </c>
    </row>
    <row r="141" spans="1:5">
      <c r="A141" s="45" t="s">
        <v>1861</v>
      </c>
      <c r="B141" s="13" t="str">
        <f>IF('Cpts préjudiciables parents'!I25&lt;&gt;"",'Cpts préjudiciables parents'!I25,"")</f>
        <v/>
      </c>
      <c r="C141" t="str">
        <f t="shared" si="7"/>
        <v>yellow_flag</v>
      </c>
      <c r="D141" s="2453" t="s">
        <v>1827</v>
      </c>
      <c r="E141" s="2455" t="str">
        <f t="shared" si="8"/>
        <v/>
      </c>
    </row>
    <row r="142" spans="1:5">
      <c r="A142" s="45" t="s">
        <v>1861</v>
      </c>
      <c r="B142" s="13" t="str">
        <f>IF('Cpts préjudiciables parents'!I26&lt;&gt;"",'Cpts préjudiciables parents'!I26,"")</f>
        <v/>
      </c>
      <c r="C142" t="str">
        <f t="shared" si="7"/>
        <v>yellow_flag</v>
      </c>
      <c r="D142" s="2453" t="s">
        <v>1827</v>
      </c>
      <c r="E142" s="2455" t="str">
        <f t="shared" si="8"/>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yellow_flag</v>
      </c>
      <c r="D143" s="2453" t="s">
        <v>1827</v>
      </c>
      <c r="E143" s="2455"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 t="shared" si="7"/>
        <v>yellow_flag</v>
      </c>
      <c r="D144" s="2453" t="s">
        <v>1827</v>
      </c>
      <c r="E144" s="2455" t="str">
        <f t="shared" si="9"/>
        <v/>
      </c>
    </row>
    <row r="145" spans="1:5">
      <c r="A145" s="45" t="s">
        <v>1862</v>
      </c>
      <c r="B145" s="13" t="str">
        <f>IF('Cpts préjudiciables parents'!I29&lt;&gt;"",'Cpts préjudiciables parents'!I29,"")</f>
        <v/>
      </c>
      <c r="C145" t="str">
        <f t="shared" si="7"/>
        <v>yellow_flag</v>
      </c>
      <c r="D145" s="2453" t="s">
        <v>1827</v>
      </c>
      <c r="E145" s="2455" t="str">
        <f t="shared" si="9"/>
        <v/>
      </c>
    </row>
    <row r="146" spans="1:5">
      <c r="A146" s="45" t="s">
        <v>1862</v>
      </c>
      <c r="B146" s="13" t="str">
        <f>IF('Cpts préjudiciables parents'!I30&lt;&gt;"",'Cpts préjudiciables parents'!I30,"")</f>
        <v/>
      </c>
      <c r="C146" t="str">
        <f t="shared" si="7"/>
        <v>yellow_flag</v>
      </c>
      <c r="D146" s="2453" t="s">
        <v>1827</v>
      </c>
      <c r="E146" s="2455" t="str">
        <f t="shared" si="9"/>
        <v/>
      </c>
    </row>
    <row r="147" spans="1:5">
      <c r="A147" s="45" t="s">
        <v>1862</v>
      </c>
      <c r="B147" s="13" t="str">
        <f>IF('Cpts préjudiciables parents'!I31&lt;&gt;"",'Cpts préjudiciables parents'!I31,"")</f>
        <v/>
      </c>
      <c r="C147" t="str">
        <f t="shared" si="7"/>
        <v>yellow_flag</v>
      </c>
      <c r="D147" s="2453" t="s">
        <v>1827</v>
      </c>
      <c r="E147" s="2455" t="str">
        <f t="shared" si="9"/>
        <v/>
      </c>
    </row>
    <row r="148" spans="1:5">
      <c r="A148" s="45" t="s">
        <v>1862</v>
      </c>
      <c r="B148" s="13" t="str">
        <f>IF('Cpts préjudiciables parents'!I32&lt;&gt;"",'Cpts préjudiciables parents'!I32,"")</f>
        <v/>
      </c>
      <c r="C148" t="str">
        <f t="shared" si="7"/>
        <v>yellow_flag</v>
      </c>
      <c r="D148" s="2453" t="s">
        <v>1827</v>
      </c>
      <c r="E148" s="2455" t="str">
        <f t="shared" si="9"/>
        <v/>
      </c>
    </row>
    <row r="149" spans="1:5">
      <c r="A149" s="45" t="s">
        <v>1862</v>
      </c>
      <c r="B149" s="13" t="str">
        <f>IF('Cpts préjudiciables parents'!I33&lt;&gt;"",'Cpts préjudiciables parents'!I33,"")</f>
        <v/>
      </c>
      <c r="C149" t="str">
        <f t="shared" si="7"/>
        <v>yellow_flag</v>
      </c>
      <c r="D149" s="2453" t="s">
        <v>1827</v>
      </c>
      <c r="E149" s="2455" t="str">
        <f t="shared" si="9"/>
        <v/>
      </c>
    </row>
    <row r="150" spans="1:5">
      <c r="A150" s="45" t="s">
        <v>1862</v>
      </c>
      <c r="B150" s="13" t="str">
        <f>IF('Cpts préjudiciables parents'!I34&lt;&gt;"",'Cpts préjudiciables parents'!I34,"")</f>
        <v/>
      </c>
      <c r="C150" t="str">
        <f t="shared" si="7"/>
        <v>yellow_flag</v>
      </c>
      <c r="D150" s="2453" t="s">
        <v>1827</v>
      </c>
      <c r="E150" s="2455" t="str">
        <f t="shared" si="9"/>
        <v/>
      </c>
    </row>
    <row r="151" spans="1:5">
      <c r="A151" s="45" t="s">
        <v>1862</v>
      </c>
      <c r="B151" s="13" t="str">
        <f>IF('Cpts préjudiciables parents'!I35&lt;&gt;"",'Cpts préjudiciables parents'!I35,"")</f>
        <v/>
      </c>
      <c r="C151" t="str">
        <f t="shared" si="7"/>
        <v>yellow_flag</v>
      </c>
      <c r="D151" s="2453" t="s">
        <v>1827</v>
      </c>
      <c r="E151" s="2455" t="str">
        <f t="shared" si="9"/>
        <v/>
      </c>
    </row>
    <row r="152" spans="1:5">
      <c r="A152" s="45" t="s">
        <v>1862</v>
      </c>
      <c r="B152" s="13" t="str">
        <f>IF('Cpts préjudiciables parents'!I36&lt;&gt;"",'Cpts préjudiciables parents'!I36,"")</f>
        <v/>
      </c>
      <c r="C152" t="str">
        <f t="shared" si="7"/>
        <v>yellow_flag</v>
      </c>
      <c r="D152" s="2453" t="s">
        <v>1827</v>
      </c>
      <c r="E152" s="2455" t="str">
        <f t="shared" si="9"/>
        <v/>
      </c>
    </row>
    <row r="153" spans="1:5">
      <c r="A153" s="692" t="s">
        <v>1855</v>
      </c>
      <c r="B153" s="13">
        <f>IF('Cpts préjudiciables parents'!I43&lt;&gt;"",'Cpts préjudiciables parents'!I43,"")</f>
        <v>0</v>
      </c>
      <c r="C153" t="str">
        <f t="shared" si="7"/>
        <v>yellow_flag</v>
      </c>
      <c r="D153" s="2453" t="s">
        <v>1827</v>
      </c>
      <c r="E153" s="2455">
        <f t="shared" si="9"/>
        <v>0</v>
      </c>
    </row>
    <row r="154" spans="1:5">
      <c r="A154" s="45" t="s">
        <v>1863</v>
      </c>
      <c r="B154" s="13" t="str">
        <f>IF('Cpts préjudiciables parents'!I38&lt;&gt;"",'Cpts préjudiciables parents'!I38,"")</f>
        <v/>
      </c>
      <c r="C154" t="str">
        <f t="shared" si="7"/>
        <v>yellow_flag</v>
      </c>
      <c r="D154" s="2453" t="s">
        <v>1827</v>
      </c>
      <c r="E154" s="2455" t="str">
        <f t="shared" si="9"/>
        <v/>
      </c>
    </row>
    <row r="155" spans="1:5">
      <c r="A155" s="45" t="s">
        <v>1863</v>
      </c>
      <c r="B155" s="13" t="str">
        <f>IF('Cpts préjudiciables parents'!I39&lt;&gt;"",'Cpts préjudiciables parents'!I39,"")</f>
        <v/>
      </c>
      <c r="C155" t="str">
        <f t="shared" si="7"/>
        <v>yellow_flag</v>
      </c>
      <c r="D155" s="2453" t="s">
        <v>1827</v>
      </c>
      <c r="E155" s="2455" t="str">
        <f t="shared" si="9"/>
        <v/>
      </c>
    </row>
    <row r="156" spans="1:5">
      <c r="A156" s="45" t="s">
        <v>1863</v>
      </c>
      <c r="B156" s="13" t="str">
        <f>IF('Cpts préjudiciables parents'!I40&lt;&gt;"",'Cpts préjudiciables parents'!I40,"")</f>
        <v/>
      </c>
      <c r="C156" t="str">
        <f t="shared" si="7"/>
        <v>yellow_flag</v>
      </c>
      <c r="D156" s="2453" t="s">
        <v>1827</v>
      </c>
      <c r="E156" s="2455" t="str">
        <f t="shared" si="9"/>
        <v/>
      </c>
    </row>
    <row r="157" spans="1:5">
      <c r="A157" s="45" t="s">
        <v>1863</v>
      </c>
      <c r="B157" s="13" t="str">
        <f>IF('Cpts préjudiciables parents'!I41&lt;&gt;"",'Cpts préjudiciables parents'!I41,"")</f>
        <v/>
      </c>
      <c r="C157" t="str">
        <f t="shared" si="7"/>
        <v>yellow_flag</v>
      </c>
      <c r="D157" s="2453" t="s">
        <v>1827</v>
      </c>
      <c r="E157" s="2455" t="str">
        <f t="shared" si="9"/>
        <v/>
      </c>
    </row>
    <row r="158" spans="1:5">
      <c r="A158" s="45" t="s">
        <v>1863</v>
      </c>
      <c r="B158" s="13" t="str">
        <f>IF('Cpts préjudiciables parents'!I42&lt;&gt;"",'Cpts préjudiciables parents'!I42,"")</f>
        <v/>
      </c>
      <c r="C158" t="str">
        <f t="shared" si="7"/>
        <v>yellow_flag</v>
      </c>
      <c r="D158" s="2453" t="s">
        <v>1827</v>
      </c>
      <c r="E158" s="2455" t="str">
        <f t="shared" si="9"/>
        <v/>
      </c>
    </row>
    <row r="159" spans="1:5" ht="77.5">
      <c r="A159" s="692"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7"/>
        <v>yellow_flag</v>
      </c>
      <c r="D159" s="2453" t="s">
        <v>1827</v>
      </c>
      <c r="E159" s="2455" t="str">
        <f t="shared" si="9"/>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 t="shared" si="7"/>
        <v>yellow_flag</v>
      </c>
      <c r="D160" s="2453" t="s">
        <v>1827</v>
      </c>
      <c r="E160" s="2455" t="str">
        <f t="shared" si="9"/>
        <v/>
      </c>
    </row>
    <row r="161" spans="1:5">
      <c r="A161" s="45" t="s">
        <v>1864</v>
      </c>
      <c r="B161" s="13" t="str">
        <f>IF('Cpts préjudiciables parents'!I45&lt;&gt;"",'Cpts préjudiciables parents'!I45,"")</f>
        <v/>
      </c>
      <c r="C161" t="str">
        <f t="shared" si="7"/>
        <v>yellow_flag</v>
      </c>
      <c r="D161" s="2453" t="s">
        <v>1827</v>
      </c>
      <c r="E161" s="2455" t="str">
        <f t="shared" si="9"/>
        <v/>
      </c>
    </row>
    <row r="162" spans="1:5">
      <c r="A162" s="45" t="s">
        <v>1864</v>
      </c>
      <c r="B162" s="13" t="str">
        <f>IF('Cpts préjudiciables parents'!I46&lt;&gt;"",'Cpts préjudiciables parents'!I46,"")</f>
        <v/>
      </c>
      <c r="C162" t="str">
        <f t="shared" si="7"/>
        <v>yellow_flag</v>
      </c>
      <c r="D162" s="2453" t="s">
        <v>1827</v>
      </c>
      <c r="E162" s="2455" t="str">
        <f t="shared" si="9"/>
        <v/>
      </c>
    </row>
    <row r="163" spans="1:5">
      <c r="A163" s="45" t="s">
        <v>1864</v>
      </c>
      <c r="B163" s="13" t="str">
        <f>IF('Cpts préjudiciables parents'!I47&lt;&gt;"",'Cpts préjudiciables parents'!I47,"")</f>
        <v/>
      </c>
      <c r="C163" t="str">
        <f t="shared" si="7"/>
        <v>yellow_flag</v>
      </c>
      <c r="D163" s="2453" t="s">
        <v>1827</v>
      </c>
      <c r="E163" s="2455" t="str">
        <f t="shared" si="9"/>
        <v/>
      </c>
    </row>
    <row r="164" spans="1:5">
      <c r="A164" s="692" t="s">
        <v>1857</v>
      </c>
      <c r="B164" s="13">
        <f>IF('Cpts préjudiciables parents'!I53&lt;&gt;"",'Cpts préjudiciables parents'!I53,"")</f>
        <v>0</v>
      </c>
      <c r="C164" t="str">
        <f t="shared" si="7"/>
        <v>yellow_flag</v>
      </c>
      <c r="D164" s="2453" t="s">
        <v>1827</v>
      </c>
      <c r="E164" s="2455">
        <f t="shared" si="9"/>
        <v>0</v>
      </c>
    </row>
    <row r="165" spans="1:5">
      <c r="A165" s="45" t="s">
        <v>1865</v>
      </c>
      <c r="B165" s="13" t="str">
        <f>IF('Cpts préjudiciables parents'!I49&lt;&gt;"",'Cpts préjudiciables parents'!I49,"")</f>
        <v/>
      </c>
      <c r="C165" t="str">
        <f t="shared" si="7"/>
        <v>yellow_flag</v>
      </c>
      <c r="D165" s="2453" t="s">
        <v>1827</v>
      </c>
      <c r="E165" s="2455" t="str">
        <f t="shared" si="9"/>
        <v/>
      </c>
    </row>
    <row r="166" spans="1:5">
      <c r="A166" s="45" t="s">
        <v>1865</v>
      </c>
      <c r="B166" s="13" t="str">
        <f>IF('Cpts préjudiciables parents'!I50&lt;&gt;"",'Cpts préjudiciables parents'!I50,"")</f>
        <v/>
      </c>
      <c r="C166" t="str">
        <f t="shared" si="7"/>
        <v>yellow_flag</v>
      </c>
      <c r="D166" s="2453" t="s">
        <v>1827</v>
      </c>
      <c r="E166" s="2455" t="str">
        <f t="shared" si="9"/>
        <v/>
      </c>
    </row>
    <row r="167" spans="1:5">
      <c r="A167" s="45" t="s">
        <v>1865</v>
      </c>
      <c r="B167" s="13" t="str">
        <f>IF('Cpts préjudiciables parents'!I51&lt;&gt;"",'Cpts préjudiciables parents'!I51,"")</f>
        <v/>
      </c>
      <c r="C167" t="str">
        <f t="shared" si="7"/>
        <v>yellow_flag</v>
      </c>
      <c r="D167" s="2453" t="s">
        <v>1827</v>
      </c>
      <c r="E167" s="2455" t="str">
        <f t="shared" si="9"/>
        <v/>
      </c>
    </row>
    <row r="168" spans="1:5">
      <c r="A168" s="45" t="s">
        <v>1865</v>
      </c>
      <c r="B168" s="13" t="str">
        <f>IF('Cpts préjudiciables parents'!I52&lt;&gt;"",'Cpts préjudiciables parents'!I52,"")</f>
        <v/>
      </c>
      <c r="C168" t="str">
        <f t="shared" si="7"/>
        <v>yellow_flag</v>
      </c>
      <c r="D168" s="2453" t="s">
        <v>1827</v>
      </c>
      <c r="E168" s="2455" t="str">
        <f t="shared" si="9"/>
        <v/>
      </c>
    </row>
    <row r="169" spans="1:5">
      <c r="B169" s="13" t="s">
        <v>1833</v>
      </c>
      <c r="C169">
        <f t="shared" si="7"/>
        <v>0</v>
      </c>
      <c r="E169" s="2455" t="str">
        <f t="shared" si="9"/>
        <v>Drapeaux rouges 🔴</v>
      </c>
    </row>
    <row r="170" spans="1:5">
      <c r="A170" t="s">
        <v>1825</v>
      </c>
      <c r="B170" s="13" t="str">
        <f>IF('Cpts miroirs des parents'!U84&lt;&gt;"",'Cpts miroirs des parents'!U84,"")</f>
        <v/>
      </c>
      <c r="C170">
        <f t="shared" si="7"/>
        <v>0</v>
      </c>
      <c r="E170" s="2455" t="str">
        <f t="shared" si="9"/>
        <v/>
      </c>
    </row>
    <row r="171" spans="1:5">
      <c r="A171" s="1222" t="s">
        <v>1858</v>
      </c>
      <c r="B171" s="13">
        <f>IF('Cpts préjudiciables parents'!J15&lt;&gt;"",'Cpts préjudiciables parents'!J15,"")</f>
        <v>0</v>
      </c>
      <c r="C171" t="str">
        <f t="shared" ref="C171:C217" si="10">IF($B$405,D171,"")</f>
        <v>red_flag</v>
      </c>
      <c r="D171" s="2453" t="s">
        <v>1834</v>
      </c>
      <c r="E171" s="2455">
        <f t="shared" si="9"/>
        <v>0</v>
      </c>
    </row>
    <row r="172" spans="1:5">
      <c r="A172" s="1222" t="s">
        <v>1859</v>
      </c>
      <c r="B172" s="13" t="str">
        <f>IF('Cpts préjudiciables parents'!J9&lt;&gt;"",'Cpts préjudiciables parents'!J9,"")</f>
        <v/>
      </c>
      <c r="C172" t="str">
        <f t="shared" si="10"/>
        <v>red_flag</v>
      </c>
      <c r="D172" s="2453" t="s">
        <v>1834</v>
      </c>
      <c r="E172" s="2455" t="str">
        <f t="shared" si="9"/>
        <v/>
      </c>
    </row>
    <row r="173" spans="1:5">
      <c r="A173" s="1222" t="s">
        <v>1859</v>
      </c>
      <c r="B173" s="13" t="str">
        <f>IF('Cpts préjudiciables parents'!J10&lt;&gt;"",'Cpts préjudiciables parents'!J10,"")</f>
        <v/>
      </c>
      <c r="C173" t="str">
        <f t="shared" si="10"/>
        <v>red_flag</v>
      </c>
      <c r="D173" s="2453" t="s">
        <v>1834</v>
      </c>
      <c r="E173" s="2455" t="str">
        <f t="shared" si="9"/>
        <v/>
      </c>
    </row>
    <row r="174" spans="1:5">
      <c r="A174" s="1222" t="s">
        <v>1859</v>
      </c>
      <c r="B174" s="13" t="str">
        <f>IF('Cpts préjudiciables parents'!J11&lt;&gt;"",'Cpts préjudiciables parents'!J11,"")</f>
        <v/>
      </c>
      <c r="C174" t="str">
        <f t="shared" si="10"/>
        <v>red_flag</v>
      </c>
      <c r="D174" s="2453" t="s">
        <v>1834</v>
      </c>
      <c r="E174" s="2455" t="str">
        <f t="shared" si="9"/>
        <v/>
      </c>
    </row>
    <row r="175" spans="1:5">
      <c r="A175" s="1222" t="s">
        <v>1859</v>
      </c>
      <c r="B175" s="13" t="str">
        <f>IF('Cpts préjudiciables parents'!J12&lt;&gt;"",'Cpts préjudiciables parents'!J12,"")</f>
        <v/>
      </c>
      <c r="C175" t="str">
        <f t="shared" si="10"/>
        <v>red_flag</v>
      </c>
      <c r="D175" s="2453" t="s">
        <v>1834</v>
      </c>
      <c r="E175" s="2455" t="str">
        <f t="shared" ref="E175:E206" si="11">B175</f>
        <v/>
      </c>
    </row>
    <row r="176" spans="1:5">
      <c r="A176" s="1222" t="s">
        <v>1859</v>
      </c>
      <c r="B176" s="13" t="str">
        <f>IF('Cpts préjudiciables parents'!J13&lt;&gt;"",'Cpts préjudiciables parents'!J13,"")</f>
        <v/>
      </c>
      <c r="C176" t="str">
        <f t="shared" si="10"/>
        <v>red_flag</v>
      </c>
      <c r="D176" s="2453" t="s">
        <v>1834</v>
      </c>
      <c r="E176" s="2455" t="str">
        <f t="shared" si="11"/>
        <v/>
      </c>
    </row>
    <row r="177" spans="1:5">
      <c r="A177" s="1222" t="s">
        <v>1859</v>
      </c>
      <c r="B177" s="13" t="str">
        <f>IF('Cpts préjudiciables parents'!J14&lt;&gt;"",'Cpts préjudiciables parents'!J14,"")</f>
        <v/>
      </c>
      <c r="C177" t="str">
        <f t="shared" si="10"/>
        <v>red_flag</v>
      </c>
      <c r="D177" s="2453" t="s">
        <v>1834</v>
      </c>
      <c r="E177" s="2455" t="str">
        <f t="shared" si="11"/>
        <v/>
      </c>
    </row>
    <row r="178" spans="1:5">
      <c r="A178" s="1222" t="s">
        <v>1852</v>
      </c>
      <c r="B178" s="13">
        <f>IF('Cpts préjudiciables parents'!J22&lt;&gt;"",'Cpts préjudiciables parents'!J22,"")</f>
        <v>0</v>
      </c>
      <c r="C178" t="str">
        <f t="shared" si="10"/>
        <v>red_flag</v>
      </c>
      <c r="D178" s="2453" t="s">
        <v>1834</v>
      </c>
      <c r="E178" s="2455">
        <f t="shared" si="11"/>
        <v>0</v>
      </c>
    </row>
    <row r="179" spans="1:5">
      <c r="A179" s="1222" t="s">
        <v>1860</v>
      </c>
      <c r="B179" s="13" t="str">
        <f>IF('Cpts préjudiciables parents'!J16&lt;&gt;"",'Cpts préjudiciables parents'!J16,"")</f>
        <v/>
      </c>
      <c r="C179" t="str">
        <f t="shared" si="10"/>
        <v>red_flag</v>
      </c>
      <c r="D179" s="2453" t="s">
        <v>1834</v>
      </c>
      <c r="E179" s="2455" t="str">
        <f t="shared" si="11"/>
        <v/>
      </c>
    </row>
    <row r="180" spans="1:5">
      <c r="A180" s="1222" t="s">
        <v>1860</v>
      </c>
      <c r="B180" s="13" t="str">
        <f>IF('Cpts préjudiciables parents'!J17&lt;&gt;"",'Cpts préjudiciables parents'!J17,"")</f>
        <v/>
      </c>
      <c r="C180" t="str">
        <f t="shared" si="10"/>
        <v>red_flag</v>
      </c>
      <c r="D180" s="2453" t="s">
        <v>1834</v>
      </c>
      <c r="E180" s="2455" t="str">
        <f t="shared" si="11"/>
        <v/>
      </c>
    </row>
    <row r="181" spans="1:5">
      <c r="A181" s="1222" t="s">
        <v>1860</v>
      </c>
      <c r="B181" s="13" t="str">
        <f>IF('Cpts préjudiciables parents'!J18&lt;&gt;"",'Cpts préjudiciables parents'!J18,"")</f>
        <v/>
      </c>
      <c r="C181" t="str">
        <f t="shared" si="10"/>
        <v>red_flag</v>
      </c>
      <c r="D181" s="2453" t="s">
        <v>1834</v>
      </c>
      <c r="E181" s="2455" t="str">
        <f t="shared" si="11"/>
        <v/>
      </c>
    </row>
    <row r="182" spans="1:5">
      <c r="A182" s="1222" t="s">
        <v>1860</v>
      </c>
      <c r="B182" s="13" t="str">
        <f>IF('Cpts préjudiciables parents'!J19&lt;&gt;"",'Cpts préjudiciables parents'!J19,"")</f>
        <v/>
      </c>
      <c r="C182" t="str">
        <f t="shared" si="10"/>
        <v>red_flag</v>
      </c>
      <c r="D182" s="2453" t="s">
        <v>1834</v>
      </c>
      <c r="E182" s="2455" t="str">
        <f t="shared" si="11"/>
        <v/>
      </c>
    </row>
    <row r="183" spans="1:5">
      <c r="A183" s="1222" t="s">
        <v>1860</v>
      </c>
      <c r="B183" s="13" t="str">
        <f>IF('Cpts préjudiciables parents'!J20&lt;&gt;"",'Cpts préjudiciables parents'!J20,"")</f>
        <v/>
      </c>
      <c r="C183" t="str">
        <f t="shared" si="10"/>
        <v>red_flag</v>
      </c>
      <c r="D183" s="2453" t="s">
        <v>1834</v>
      </c>
      <c r="E183" s="2455" t="str">
        <f t="shared" si="11"/>
        <v/>
      </c>
    </row>
    <row r="184" spans="1:5">
      <c r="A184" s="1222" t="s">
        <v>1860</v>
      </c>
      <c r="B184" s="13" t="str">
        <f>IF('Cpts préjudiciables parents'!J21&lt;&gt;"",'Cpts préjudiciables parents'!J21,"")</f>
        <v/>
      </c>
      <c r="C184" t="str">
        <f t="shared" si="10"/>
        <v>red_flag</v>
      </c>
      <c r="D184" s="2453" t="s">
        <v>1834</v>
      </c>
      <c r="E184" s="2455" t="str">
        <f t="shared" si="11"/>
        <v/>
      </c>
    </row>
    <row r="185" spans="1:5">
      <c r="A185" s="1222" t="s">
        <v>1853</v>
      </c>
      <c r="B185" s="13">
        <f>IF('Cpts préjudiciables parents'!J27&lt;&gt;"",'Cpts préjudiciables parents'!J27,"")</f>
        <v>0</v>
      </c>
      <c r="C185" t="str">
        <f t="shared" si="10"/>
        <v>red_flag</v>
      </c>
      <c r="D185" s="2453" t="s">
        <v>1834</v>
      </c>
      <c r="E185" s="2455">
        <f t="shared" si="11"/>
        <v>0</v>
      </c>
    </row>
    <row r="186" spans="1:5">
      <c r="A186" s="1222" t="s">
        <v>1861</v>
      </c>
      <c r="B186" s="13" t="str">
        <f>IF('Cpts préjudiciables parents'!J23&lt;&gt;"",'Cpts préjudiciables parents'!J23,"")</f>
        <v/>
      </c>
      <c r="C186" t="str">
        <f t="shared" si="10"/>
        <v>red_flag</v>
      </c>
      <c r="D186" s="2453" t="s">
        <v>1834</v>
      </c>
      <c r="E186" s="2455" t="str">
        <f t="shared" si="11"/>
        <v/>
      </c>
    </row>
    <row r="187" spans="1:5">
      <c r="A187" s="1222" t="s">
        <v>1861</v>
      </c>
      <c r="B187" s="13" t="str">
        <f>IF('Cpts préjudiciables parents'!J24&lt;&gt;"",'Cpts préjudiciables parents'!J24,"")</f>
        <v/>
      </c>
      <c r="C187" t="str">
        <f t="shared" si="10"/>
        <v>red_flag</v>
      </c>
      <c r="D187" s="2453" t="s">
        <v>1834</v>
      </c>
      <c r="E187" s="2455" t="str">
        <f t="shared" si="11"/>
        <v/>
      </c>
    </row>
    <row r="188" spans="1:5">
      <c r="A188" s="1222" t="s">
        <v>1861</v>
      </c>
      <c r="B188" s="13" t="str">
        <f>IF('Cpts préjudiciables parents'!J25&lt;&gt;"",'Cpts préjudiciables parents'!J25,"")</f>
        <v/>
      </c>
      <c r="C188" t="str">
        <f t="shared" si="10"/>
        <v>red_flag</v>
      </c>
      <c r="D188" s="2453" t="s">
        <v>1834</v>
      </c>
      <c r="E188" s="2455" t="str">
        <f t="shared" si="11"/>
        <v/>
      </c>
    </row>
    <row r="189" spans="1:5">
      <c r="A189" s="1222" t="s">
        <v>1861</v>
      </c>
      <c r="B189" s="13" t="str">
        <f>IF('Cpts préjudiciables parents'!J26&lt;&gt;"",'Cpts préjudiciables parents'!J26,"")</f>
        <v/>
      </c>
      <c r="C189" t="str">
        <f t="shared" si="10"/>
        <v>red_flag</v>
      </c>
      <c r="D189" s="2453" t="s">
        <v>1834</v>
      </c>
      <c r="E189" s="2455" t="str">
        <f t="shared" si="11"/>
        <v/>
      </c>
    </row>
    <row r="190" spans="1:5">
      <c r="A190" s="1222" t="s">
        <v>1854</v>
      </c>
      <c r="B190" s="13">
        <f>IF('Cpts préjudiciables parents'!J37&lt;&gt;"",'Cpts préjudiciables parents'!J37,"")</f>
        <v>0</v>
      </c>
      <c r="C190" t="str">
        <f t="shared" si="10"/>
        <v>red_flag</v>
      </c>
      <c r="D190" s="2453" t="s">
        <v>1834</v>
      </c>
      <c r="E190" s="2455">
        <f t="shared" si="11"/>
        <v>0</v>
      </c>
    </row>
    <row r="191" spans="1:5">
      <c r="A191" s="1222" t="s">
        <v>1862</v>
      </c>
      <c r="B191" s="13" t="str">
        <f>IF('Cpts préjudiciables parents'!J28&lt;&gt;"",'Cpts préjudiciables parents'!J28,"")</f>
        <v/>
      </c>
      <c r="C191" t="str">
        <f t="shared" si="10"/>
        <v>red_flag</v>
      </c>
      <c r="D191" s="2453" t="s">
        <v>1834</v>
      </c>
      <c r="E191" s="2455" t="str">
        <f t="shared" si="11"/>
        <v/>
      </c>
    </row>
    <row r="192" spans="1:5">
      <c r="A192" s="1222" t="s">
        <v>1862</v>
      </c>
      <c r="B192" s="13" t="str">
        <f>IF('Cpts préjudiciables parents'!J29&lt;&gt;"",'Cpts préjudiciables parents'!J29,"")</f>
        <v/>
      </c>
      <c r="C192" t="str">
        <f t="shared" si="10"/>
        <v>red_flag</v>
      </c>
      <c r="D192" s="2453" t="s">
        <v>1834</v>
      </c>
      <c r="E192" s="2455" t="str">
        <f t="shared" si="11"/>
        <v/>
      </c>
    </row>
    <row r="193" spans="1:5">
      <c r="A193" s="1222" t="s">
        <v>1862</v>
      </c>
      <c r="B193" s="13" t="str">
        <f>IF('Cpts préjudiciables parents'!J30&lt;&gt;"",'Cpts préjudiciables parents'!J30,"")</f>
        <v/>
      </c>
      <c r="C193" t="str">
        <f t="shared" si="10"/>
        <v>red_flag</v>
      </c>
      <c r="D193" s="2453" t="s">
        <v>1834</v>
      </c>
      <c r="E193" s="2455" t="str">
        <f t="shared" si="11"/>
        <v/>
      </c>
    </row>
    <row r="194" spans="1:5">
      <c r="A194" s="1222" t="s">
        <v>1862</v>
      </c>
      <c r="B194" s="13" t="str">
        <f>IF('Cpts préjudiciables parents'!J31&lt;&gt;"",'Cpts préjudiciables parents'!J31,"")</f>
        <v/>
      </c>
      <c r="C194" t="str">
        <f t="shared" si="10"/>
        <v>red_flag</v>
      </c>
      <c r="D194" s="2453" t="s">
        <v>1834</v>
      </c>
      <c r="E194" s="2455" t="str">
        <f t="shared" si="11"/>
        <v/>
      </c>
    </row>
    <row r="195" spans="1:5">
      <c r="A195" s="1222" t="s">
        <v>1862</v>
      </c>
      <c r="B195" s="13" t="str">
        <f>IF('Cpts préjudiciables parents'!J32&lt;&gt;"",'Cpts préjudiciables parents'!J32,"")</f>
        <v/>
      </c>
      <c r="C195" t="str">
        <f t="shared" si="10"/>
        <v>red_flag</v>
      </c>
      <c r="D195" s="2453" t="s">
        <v>1834</v>
      </c>
      <c r="E195" s="2455" t="str">
        <f t="shared" si="11"/>
        <v/>
      </c>
    </row>
    <row r="196" spans="1:5" ht="46.5" customHeight="1">
      <c r="A196" s="1222" t="s">
        <v>1862</v>
      </c>
      <c r="B196" s="826" t="str">
        <f>IF('Cpts préjudiciables parents'!J33&lt;&gt;"",'Cpts préjudiciables parents'!J33,"")</f>
        <v/>
      </c>
      <c r="C196" t="str">
        <f t="shared" si="10"/>
        <v>red_flag</v>
      </c>
      <c r="D196" s="2453" t="s">
        <v>1834</v>
      </c>
      <c r="E196" s="2455" t="str">
        <f t="shared" si="11"/>
        <v/>
      </c>
    </row>
    <row r="197" spans="1:5">
      <c r="A197" s="1222" t="s">
        <v>1862</v>
      </c>
      <c r="B197" s="13" t="str">
        <f>IF('Cpts préjudiciables parents'!J34&lt;&gt;"",'Cpts préjudiciables parents'!J34,"")</f>
        <v/>
      </c>
      <c r="C197" t="str">
        <f t="shared" si="10"/>
        <v>red_flag</v>
      </c>
      <c r="D197" s="2453" t="s">
        <v>1834</v>
      </c>
      <c r="E197" s="2455" t="str">
        <f t="shared" si="11"/>
        <v/>
      </c>
    </row>
    <row r="198" spans="1:5">
      <c r="A198" s="1222" t="s">
        <v>1862</v>
      </c>
      <c r="B198" s="13" t="str">
        <f>IF('Cpts préjudiciables parents'!J35&lt;&gt;"",'Cpts préjudiciables parents'!J35,"")</f>
        <v/>
      </c>
      <c r="C198" t="str">
        <f t="shared" si="10"/>
        <v>red_flag</v>
      </c>
      <c r="D198" s="2453" t="s">
        <v>1834</v>
      </c>
      <c r="E198" s="2455" t="str">
        <f t="shared" si="11"/>
        <v/>
      </c>
    </row>
    <row r="199" spans="1:5">
      <c r="A199" s="1222" t="s">
        <v>1862</v>
      </c>
      <c r="B199" s="13" t="str">
        <f>IF('Cpts préjudiciables parents'!J36&lt;&gt;"",'Cpts préjudiciables parents'!J36,"")</f>
        <v/>
      </c>
      <c r="C199" t="str">
        <f t="shared" si="10"/>
        <v>red_flag</v>
      </c>
      <c r="D199" s="2453" t="s">
        <v>1834</v>
      </c>
      <c r="E199" s="2455" t="str">
        <f t="shared" si="11"/>
        <v/>
      </c>
    </row>
    <row r="200" spans="1:5">
      <c r="A200" s="1222" t="s">
        <v>1855</v>
      </c>
      <c r="B200" s="13">
        <f>IF('Cpts préjudiciables parents'!J43&lt;&gt;"",'Cpts préjudiciables parents'!J43,"")</f>
        <v>0</v>
      </c>
      <c r="C200" t="str">
        <f t="shared" si="10"/>
        <v>red_flag</v>
      </c>
      <c r="D200" s="2453" t="s">
        <v>1834</v>
      </c>
      <c r="E200" s="2455">
        <f t="shared" si="11"/>
        <v>0</v>
      </c>
    </row>
    <row r="201" spans="1:5">
      <c r="A201" s="1222" t="s">
        <v>1863</v>
      </c>
      <c r="B201" s="13" t="str">
        <f>IF('Cpts préjudiciables parents'!J38&lt;&gt;"",'Cpts préjudiciables parents'!J38,"")</f>
        <v/>
      </c>
      <c r="C201" t="str">
        <f t="shared" si="10"/>
        <v>red_flag</v>
      </c>
      <c r="D201" s="2453" t="s">
        <v>1834</v>
      </c>
      <c r="E201" s="2455" t="str">
        <f t="shared" si="11"/>
        <v/>
      </c>
    </row>
    <row r="202" spans="1:5">
      <c r="A202" s="1222" t="s">
        <v>1863</v>
      </c>
      <c r="B202" s="13" t="str">
        <f>IF('Cpts préjudiciables parents'!J39&lt;&gt;"",'Cpts préjudiciables parents'!J39,"")</f>
        <v/>
      </c>
      <c r="C202" t="str">
        <f t="shared" si="10"/>
        <v>red_flag</v>
      </c>
      <c r="D202" s="2453" t="s">
        <v>1834</v>
      </c>
      <c r="E202" s="2455" t="str">
        <f t="shared" si="11"/>
        <v/>
      </c>
    </row>
    <row r="203" spans="1:5">
      <c r="A203" s="1222" t="s">
        <v>1863</v>
      </c>
      <c r="B203" s="13" t="str">
        <f>IF('Cpts préjudiciables parents'!J40&lt;&gt;"",'Cpts préjudiciables parents'!J40,"")</f>
        <v/>
      </c>
      <c r="C203" t="str">
        <f t="shared" si="10"/>
        <v>red_flag</v>
      </c>
      <c r="D203" s="2453" t="s">
        <v>1834</v>
      </c>
      <c r="E203" s="2455" t="str">
        <f t="shared" si="11"/>
        <v/>
      </c>
    </row>
    <row r="204" spans="1:5" ht="19" customHeight="1">
      <c r="A204" s="1222" t="s">
        <v>1863</v>
      </c>
      <c r="B204" s="13" t="str">
        <f>IF('Cpts préjudiciables parents'!J41&lt;&gt;"",'Cpts préjudiciables parents'!J41,"")</f>
        <v/>
      </c>
      <c r="C204" t="str">
        <f t="shared" si="10"/>
        <v>red_flag</v>
      </c>
      <c r="D204" s="2453" t="s">
        <v>1834</v>
      </c>
      <c r="E204" s="2455" t="str">
        <f t="shared" si="11"/>
        <v/>
      </c>
    </row>
    <row r="205" spans="1:5">
      <c r="A205" s="1222" t="s">
        <v>1863</v>
      </c>
      <c r="B205" s="13" t="str">
        <f>IF('Cpts préjudiciables parents'!J42&lt;&gt;"",'Cpts préjudiciables parents'!J42,"")</f>
        <v/>
      </c>
      <c r="C205" t="str">
        <f t="shared" si="10"/>
        <v>red_flag</v>
      </c>
      <c r="D205" s="2453" t="s">
        <v>1834</v>
      </c>
      <c r="E205" s="2455" t="str">
        <f t="shared" si="11"/>
        <v/>
      </c>
    </row>
    <row r="206" spans="1:5">
      <c r="A206" s="1222" t="s">
        <v>1856</v>
      </c>
      <c r="B206" s="13">
        <f>IF('Cpts préjudiciables parents'!J48&lt;&gt;"",'Cpts préjudiciables parents'!J48,"")</f>
        <v>0</v>
      </c>
      <c r="C206" t="str">
        <f t="shared" si="10"/>
        <v>red_flag</v>
      </c>
      <c r="D206" s="2453" t="s">
        <v>1834</v>
      </c>
      <c r="E206" s="2455">
        <f t="shared" si="11"/>
        <v>0</v>
      </c>
    </row>
    <row r="207" spans="1:5">
      <c r="A207" s="1222" t="s">
        <v>1864</v>
      </c>
      <c r="B207" s="13" t="str">
        <f>IF('Cpts préjudiciables parents'!J44&lt;&gt;"",'Cpts préjudiciables parents'!J44,"")</f>
        <v/>
      </c>
      <c r="C207" t="str">
        <f t="shared" si="10"/>
        <v>red_flag</v>
      </c>
      <c r="D207" s="2453" t="s">
        <v>1834</v>
      </c>
      <c r="E207" s="2455" t="str">
        <f t="shared" ref="E207:E217" si="12">B207</f>
        <v/>
      </c>
    </row>
    <row r="208" spans="1:5">
      <c r="A208" s="1222" t="s">
        <v>1864</v>
      </c>
      <c r="B208" s="13" t="str">
        <f>IF('Cpts préjudiciables parents'!J45&lt;&gt;"",'Cpts préjudiciables parents'!J45,"")</f>
        <v/>
      </c>
      <c r="C208" t="str">
        <f t="shared" si="10"/>
        <v>red_flag</v>
      </c>
      <c r="D208" s="2453" t="s">
        <v>1834</v>
      </c>
      <c r="E208" s="2455" t="str">
        <f t="shared" si="12"/>
        <v/>
      </c>
    </row>
    <row r="209" spans="1:5">
      <c r="A209" s="1222" t="s">
        <v>1864</v>
      </c>
      <c r="B209" s="13" t="str">
        <f>IF('Cpts préjudiciables parents'!J46&lt;&gt;"",'Cpts préjudiciables parents'!J46,"")</f>
        <v/>
      </c>
      <c r="C209" t="str">
        <f t="shared" si="10"/>
        <v>red_flag</v>
      </c>
      <c r="D209" s="2453" t="s">
        <v>1834</v>
      </c>
      <c r="E209" s="2455" t="str">
        <f t="shared" si="12"/>
        <v/>
      </c>
    </row>
    <row r="210" spans="1:5">
      <c r="A210" s="1222" t="s">
        <v>1864</v>
      </c>
      <c r="B210" s="13" t="str">
        <f>IF('Cpts préjudiciables parents'!J47&lt;&gt;"",'Cpts préjudiciables parents'!J47,"")</f>
        <v/>
      </c>
      <c r="C210" t="str">
        <f t="shared" si="10"/>
        <v>red_flag</v>
      </c>
      <c r="D210" s="2453" t="s">
        <v>1834</v>
      </c>
      <c r="E210" s="2455" t="str">
        <f t="shared" si="12"/>
        <v/>
      </c>
    </row>
    <row r="211" spans="1:5">
      <c r="A211" s="1222" t="s">
        <v>1857</v>
      </c>
      <c r="B211" s="13">
        <f>IF('Cpts préjudiciables parents'!J53&lt;&gt;"",'Cpts préjudiciables parents'!J53,"")</f>
        <v>0</v>
      </c>
      <c r="C211" t="str">
        <f t="shared" si="10"/>
        <v>red_flag</v>
      </c>
      <c r="D211" s="2453" t="s">
        <v>1834</v>
      </c>
      <c r="E211" s="2455">
        <f t="shared" si="12"/>
        <v>0</v>
      </c>
    </row>
    <row r="212" spans="1:5">
      <c r="A212" s="1222" t="s">
        <v>1865</v>
      </c>
      <c r="B212" s="13" t="str">
        <f>IF('Cpts préjudiciables parents'!J49&lt;&gt;"",'Cpts préjudiciables parents'!J549,"")</f>
        <v/>
      </c>
      <c r="C212" t="str">
        <f t="shared" si="10"/>
        <v>red_flag</v>
      </c>
      <c r="D212" s="2453" t="s">
        <v>1834</v>
      </c>
      <c r="E212" s="2455" t="str">
        <f t="shared" si="12"/>
        <v/>
      </c>
    </row>
    <row r="213" spans="1:5">
      <c r="A213" s="1222" t="s">
        <v>1865</v>
      </c>
      <c r="B213" s="13" t="str">
        <f>IF('Cpts préjudiciables parents'!J50&lt;&gt;"",'Cpts préjudiciables parents'!J550,"")</f>
        <v/>
      </c>
      <c r="C213" t="str">
        <f t="shared" si="10"/>
        <v>red_flag</v>
      </c>
      <c r="D213" s="2453" t="s">
        <v>1834</v>
      </c>
      <c r="E213" s="2455" t="str">
        <f t="shared" si="12"/>
        <v/>
      </c>
    </row>
    <row r="214" spans="1:5">
      <c r="A214" s="1222" t="s">
        <v>1865</v>
      </c>
      <c r="B214" s="13" t="str">
        <f>IF('Cpts préjudiciables parents'!J51&lt;&gt;"",'Cpts préjudiciables parents'!J551,"")</f>
        <v/>
      </c>
      <c r="C214" t="str">
        <f t="shared" si="10"/>
        <v>red_flag</v>
      </c>
      <c r="D214" s="2453" t="s">
        <v>1834</v>
      </c>
      <c r="E214" s="2455" t="str">
        <f t="shared" si="12"/>
        <v/>
      </c>
    </row>
    <row r="215" spans="1:5">
      <c r="A215" s="1222" t="s">
        <v>1865</v>
      </c>
      <c r="B215" s="13" t="str">
        <f>IF('Cpts préjudiciables parents'!J52&lt;&gt;"",'Cpts préjudiciables parents'!J552,"")</f>
        <v/>
      </c>
      <c r="C215" t="str">
        <f t="shared" si="10"/>
        <v>red_flag</v>
      </c>
      <c r="D215" s="2453" t="s">
        <v>1834</v>
      </c>
      <c r="E215" s="2455" t="str">
        <f t="shared" si="12"/>
        <v/>
      </c>
    </row>
    <row r="216" spans="1:5">
      <c r="C216">
        <f t="shared" si="10"/>
        <v>0</v>
      </c>
      <c r="E216" s="2455">
        <f t="shared" si="12"/>
        <v>0</v>
      </c>
    </row>
    <row r="217" spans="1:5" ht="62" customHeight="1">
      <c r="A217" t="s">
        <v>1835</v>
      </c>
      <c r="B217" s="2372"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ressources</v>
      </c>
      <c r="D217" s="2453" t="s">
        <v>1836</v>
      </c>
      <c r="E217" s="2455"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5"/>
    </row>
    <row r="219" spans="1:5" ht="21" customHeight="1">
      <c r="A219" s="2374" t="s">
        <v>1866</v>
      </c>
      <c r="B219" s="2226" t="str">
        <f>'Indice D''exclusion'!D1</f>
        <v xml:space="preserve">L’autre parent adopte-t-il ou elle des comportements trahissant un désir d’exclusion parentale ? </v>
      </c>
      <c r="C219" t="str">
        <f>IF($B$406,D219,"")</f>
        <v>subsection-title</v>
      </c>
      <c r="D219" s="2453" t="s">
        <v>1808</v>
      </c>
      <c r="E219" s="2455" t="str">
        <f>B219</f>
        <v xml:space="preserve">L’autre parent adopte-t-il ou elle des comportements trahissant un désir d’exclusion parentale ? </v>
      </c>
    </row>
    <row r="220" spans="1:5" ht="88" customHeight="1">
      <c r="A220" s="2264"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about-barometer</v>
      </c>
      <c r="D220" s="2453" t="s">
        <v>1810</v>
      </c>
      <c r="E220" s="2455"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 t="shared" si="13"/>
        <v>barometer</v>
      </c>
      <c r="D221" s="2453" t="s">
        <v>1811</v>
      </c>
      <c r="E221" s="2455" t="s">
        <v>1868</v>
      </c>
    </row>
    <row r="222" spans="1:5" ht="57" customHeight="1">
      <c r="A222" s="25" t="s">
        <v>1813</v>
      </c>
      <c r="B222" s="25" t="str">
        <f>HLOOKUP(1,'Indice D''exclusion'!$S$11:$T$42,2)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t="str">
        <f t="shared" si="13"/>
        <v>analysis</v>
      </c>
      <c r="D222" s="2453" t="s">
        <v>1814</v>
      </c>
      <c r="E222" s="2455" t="str">
        <f t="shared" ref="E222:E253" si="14">B222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c r="A223" s="2366" t="s">
        <v>1839</v>
      </c>
      <c r="B223" s="13" t="str">
        <f>IF('Cpts miroirs des parents'!S92&lt;&gt;"",'Cpts miroirs des parents'!S92,"")</f>
        <v/>
      </c>
      <c r="C223">
        <f t="shared" si="13"/>
        <v>0</v>
      </c>
      <c r="E223" s="2455" t="str">
        <f t="shared" si="14"/>
        <v/>
      </c>
    </row>
    <row r="224" spans="1:5" ht="31" customHeight="1">
      <c r="A224" s="2366" t="s">
        <v>1816</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C224" t="str">
        <f t="shared" si="13"/>
        <v>theme</v>
      </c>
      <c r="D224" s="2453" t="s">
        <v>1817</v>
      </c>
      <c r="E224" s="2455" t="str">
        <f t="shared" si="14"/>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31">
      <c r="A225" s="2366" t="s">
        <v>1818</v>
      </c>
      <c r="B225" s="13" t="str">
        <f>IF('Indice D''exclusion'!P21&lt;&gt;"",'Indice D''exclusion'!P21,"")</f>
        <v xml:space="preserve">L'autre parent laisse entendre à votre enfant qu'il ou elle représente la vraie famille.Ce qui pourrait créer de l'anxiété ou de la confusion chez votre enfant. </v>
      </c>
      <c r="C225" t="str">
        <f t="shared" si="13"/>
        <v>theme</v>
      </c>
      <c r="D225" s="2453" t="s">
        <v>1817</v>
      </c>
      <c r="E225" s="2455" t="str">
        <f t="shared" si="14"/>
        <v xml:space="preserve">L'autre parent laisse entendre à votre enfant qu'il ou elle représente la vraie famille.Ce qui pourrait créer de l'anxiété ou de la confusion chez votre enfant. </v>
      </c>
    </row>
    <row r="226" spans="1:5" ht="46.5" customHeight="1">
      <c r="A226" s="2366" t="s">
        <v>1819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 t="shared" si="13"/>
        <v>theme</v>
      </c>
      <c r="D226" s="2453" t="s">
        <v>1817</v>
      </c>
      <c r="E226" s="2455" t="str">
        <f t="shared" si="14"/>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46.5">
      <c r="A227" s="2366" t="s">
        <v>1840</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C227" t="str">
        <f t="shared" si="13"/>
        <v>theme</v>
      </c>
      <c r="D227" s="2453" t="s">
        <v>1817</v>
      </c>
      <c r="E227" s="2455" t="str">
        <f t="shared" si="14"/>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46.5">
      <c r="A228" s="2366" t="s">
        <v>1841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C228" t="str">
        <f t="shared" si="13"/>
        <v>theme</v>
      </c>
      <c r="D228" s="2453" t="s">
        <v>1817</v>
      </c>
      <c r="E228" s="2455" t="str">
        <f t="shared" si="14"/>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1821</v>
      </c>
      <c r="B229" s="13">
        <f>IF('Indice D''exclusion'!P41&lt;&gt;"",'Indice D''exclusion'!P41,"")</f>
        <v>0</v>
      </c>
      <c r="C229" t="str">
        <f t="shared" si="13"/>
        <v>theme</v>
      </c>
      <c r="D229" s="2453" t="s">
        <v>1817</v>
      </c>
      <c r="E229" s="2455">
        <f t="shared" si="14"/>
        <v>0</v>
      </c>
    </row>
    <row r="230" spans="1:5" ht="23.5" customHeight="1">
      <c r="A230" s="36" t="s">
        <v>1822</v>
      </c>
      <c r="C230" t="str">
        <f t="shared" si="13"/>
        <v>flag_introduction</v>
      </c>
      <c r="D230" s="2453" t="s">
        <v>1823</v>
      </c>
      <c r="E230" s="2455">
        <f t="shared" si="14"/>
        <v>0</v>
      </c>
    </row>
    <row r="231" spans="1:5">
      <c r="A231" s="45" t="s">
        <v>1825</v>
      </c>
      <c r="B231" s="13" t="s">
        <v>1824</v>
      </c>
      <c r="C231">
        <f t="shared" si="13"/>
        <v>0</v>
      </c>
      <c r="E231" s="2455" t="str">
        <f t="shared" si="14"/>
        <v>Drapeaux jaunes 🟡</v>
      </c>
    </row>
    <row r="232" spans="1:5">
      <c r="A232" s="45" t="s">
        <v>1869</v>
      </c>
      <c r="B232" s="13">
        <f>IF('Indice D''exclusion'!Q17&lt;&gt;"",'Indice D''exclusion'!Q17,"")</f>
        <v>0</v>
      </c>
      <c r="C232" t="str">
        <f t="shared" si="13"/>
        <v>yellow_flag</v>
      </c>
      <c r="D232" s="2453" t="s">
        <v>1827</v>
      </c>
      <c r="E232" s="2455">
        <f t="shared" si="14"/>
        <v>0</v>
      </c>
    </row>
    <row r="233" spans="1:5">
      <c r="A233" s="45" t="s">
        <v>1859</v>
      </c>
      <c r="B233" s="13" t="str">
        <f>IF('Indice D''exclusion'!Q13&lt;&gt;"",'Indice D''exclusion'!Q13,"")</f>
        <v xml:space="preserve"> </v>
      </c>
      <c r="C233" t="str">
        <f t="shared" si="13"/>
        <v>yellow_flag</v>
      </c>
      <c r="D233" s="2453" t="s">
        <v>1827</v>
      </c>
      <c r="E233" s="2455" t="str">
        <f t="shared" si="14"/>
        <v xml:space="preserve"> </v>
      </c>
    </row>
    <row r="234" spans="1:5">
      <c r="A234" s="45" t="s">
        <v>1859</v>
      </c>
      <c r="B234" s="13" t="str">
        <f>IF('Indice D''exclusion'!Q14&lt;&gt;"",'Indice D''exclusion'!Q14,"")</f>
        <v xml:space="preserve"> </v>
      </c>
      <c r="C234" t="str">
        <f t="shared" si="13"/>
        <v>yellow_flag</v>
      </c>
      <c r="D234" s="2453" t="s">
        <v>1827</v>
      </c>
      <c r="E234" s="2455" t="str">
        <f t="shared" si="14"/>
        <v xml:space="preserve"> </v>
      </c>
    </row>
    <row r="235" spans="1:5">
      <c r="A235" s="45" t="s">
        <v>1859</v>
      </c>
      <c r="B235" s="13" t="str">
        <f>IF('Indice D''exclusion'!Q15&lt;&gt;"",'Indice D''exclusion'!Q15,"")</f>
        <v xml:space="preserve"> </v>
      </c>
      <c r="C235" t="str">
        <f t="shared" si="13"/>
        <v>yellow_flag</v>
      </c>
      <c r="D235" s="2453" t="s">
        <v>1827</v>
      </c>
      <c r="E235" s="2455" t="str">
        <f t="shared" si="14"/>
        <v xml:space="preserve"> </v>
      </c>
    </row>
    <row r="236" spans="1:5">
      <c r="A236" s="45" t="s">
        <v>1859</v>
      </c>
      <c r="B236" s="13" t="str">
        <f>IF('Indice D''exclusion'!Q16&lt;&gt;"",'Indice D''exclusion'!Q16,"")</f>
        <v xml:space="preserve"> </v>
      </c>
      <c r="C236" t="str">
        <f t="shared" si="13"/>
        <v>yellow_flag</v>
      </c>
      <c r="D236" s="2453" t="s">
        <v>1827</v>
      </c>
      <c r="E236" s="2455" t="str">
        <f t="shared" si="14"/>
        <v xml:space="preserve"> </v>
      </c>
    </row>
    <row r="237" spans="1:5">
      <c r="A237" s="45" t="s">
        <v>1870</v>
      </c>
      <c r="B237" s="13">
        <f>IF('Indice D''exclusion'!Q21&lt;&gt;"",'Indice D''exclusion'!Q21,"")</f>
        <v>0</v>
      </c>
      <c r="C237" t="str">
        <f t="shared" si="13"/>
        <v>yellow_flag</v>
      </c>
      <c r="D237" s="2453" t="s">
        <v>1827</v>
      </c>
      <c r="E237" s="2455">
        <f t="shared" si="14"/>
        <v>0</v>
      </c>
    </row>
    <row r="238" spans="1:5">
      <c r="A238" s="45" t="s">
        <v>1860</v>
      </c>
      <c r="B238" s="13" t="str">
        <f>IF('Indice D''exclusion'!Q18&lt;&gt;"",'Indice D''exclusion'!Q18,"")</f>
        <v xml:space="preserve"> </v>
      </c>
      <c r="C238" t="str">
        <f t="shared" si="13"/>
        <v>yellow_flag</v>
      </c>
      <c r="D238" s="2453" t="s">
        <v>1827</v>
      </c>
      <c r="E238" s="2455" t="str">
        <f t="shared" si="14"/>
        <v xml:space="preserve"> </v>
      </c>
    </row>
    <row r="239" spans="1:5">
      <c r="A239" s="45" t="s">
        <v>1860</v>
      </c>
      <c r="B239" s="13" t="str">
        <f>IF('Indice D''exclusion'!Q19&lt;&gt;"",'Indice D''exclusion'!Q19,"")</f>
        <v xml:space="preserve"> </v>
      </c>
      <c r="C239" t="str">
        <f t="shared" si="13"/>
        <v>yellow_flag</v>
      </c>
      <c r="D239" s="2453" t="s">
        <v>1827</v>
      </c>
      <c r="E239" s="2455" t="str">
        <f t="shared" si="14"/>
        <v xml:space="preserve"> </v>
      </c>
    </row>
    <row r="240" spans="1:5">
      <c r="A240" s="45" t="s">
        <v>1860</v>
      </c>
      <c r="B240" s="13" t="str">
        <f>IF('Indice D''exclusion'!Q20&lt;&gt;"",'Indice D''exclusion'!Q20,"")</f>
        <v xml:space="preserve"> </v>
      </c>
      <c r="C240" t="str">
        <f t="shared" si="13"/>
        <v>yellow_flag</v>
      </c>
      <c r="D240" s="2453" t="s">
        <v>1827</v>
      </c>
      <c r="E240" s="2455" t="str">
        <f t="shared" si="14"/>
        <v xml:space="preserve"> </v>
      </c>
    </row>
    <row r="241" spans="1:5">
      <c r="A241" s="45" t="s">
        <v>1871</v>
      </c>
      <c r="B241" s="13">
        <f>IF('Indice D''exclusion'!Q26&lt;&gt;"",'Indice D''exclusion'!Q26,"")</f>
        <v>0</v>
      </c>
      <c r="C241" t="str">
        <f t="shared" si="13"/>
        <v>yellow_flag</v>
      </c>
      <c r="D241" s="2453" t="s">
        <v>1827</v>
      </c>
      <c r="E241" s="2455">
        <f t="shared" si="14"/>
        <v>0</v>
      </c>
    </row>
    <row r="242" spans="1:5">
      <c r="A242" s="45" t="s">
        <v>1861</v>
      </c>
      <c r="B242" s="13" t="str">
        <f>IF('Indice D''exclusion'!Q22&lt;&gt;"",'Indice D''exclusion'!Q22,"")</f>
        <v xml:space="preserve"> </v>
      </c>
      <c r="C242" t="str">
        <f t="shared" si="13"/>
        <v>yellow_flag</v>
      </c>
      <c r="D242" s="2453" t="s">
        <v>1827</v>
      </c>
      <c r="E242" s="2455" t="str">
        <f t="shared" si="14"/>
        <v xml:space="preserve"> </v>
      </c>
    </row>
    <row r="243" spans="1:5">
      <c r="A243" s="45" t="s">
        <v>1861</v>
      </c>
      <c r="B243" s="13" t="str">
        <f>IF('Indice D''exclusion'!Q23&lt;&gt;"",'Indice D''exclusion'!Q23,"")</f>
        <v xml:space="preserve"> </v>
      </c>
      <c r="C243" t="str">
        <f t="shared" si="13"/>
        <v>yellow_flag</v>
      </c>
      <c r="D243" s="2453" t="s">
        <v>1827</v>
      </c>
      <c r="E243" s="2455" t="str">
        <f t="shared" si="14"/>
        <v xml:space="preserve"> </v>
      </c>
    </row>
    <row r="244" spans="1:5">
      <c r="A244" s="45" t="s">
        <v>1861</v>
      </c>
      <c r="B244" s="13" t="str">
        <f>IF('Indice D''exclusion'!Q24&lt;&gt;"",'Indice D''exclusion'!Q24,"")</f>
        <v xml:space="preserve"> </v>
      </c>
      <c r="C244" t="str">
        <f t="shared" si="13"/>
        <v>yellow_flag</v>
      </c>
      <c r="D244" s="2453" t="s">
        <v>1827</v>
      </c>
      <c r="E244" s="2455" t="str">
        <f t="shared" si="14"/>
        <v xml:space="preserve"> </v>
      </c>
    </row>
    <row r="245" spans="1:5">
      <c r="A245" s="45" t="s">
        <v>1861</v>
      </c>
      <c r="B245" s="13" t="str">
        <f>IF('Indice D''exclusion'!Q25&lt;&gt;"",'Indice D''exclusion'!Q25,"")</f>
        <v xml:space="preserve"> </v>
      </c>
      <c r="C245" t="str">
        <f t="shared" si="13"/>
        <v>yellow_flag</v>
      </c>
      <c r="D245" s="2453" t="s">
        <v>1827</v>
      </c>
      <c r="E245" s="2455" t="str">
        <f t="shared" si="14"/>
        <v xml:space="preserve"> </v>
      </c>
    </row>
    <row r="246" spans="1:5">
      <c r="A246" s="45" t="s">
        <v>1872</v>
      </c>
      <c r="B246" s="13" t="str">
        <f>IF('Indice D''exclusion'!Q234&lt;&gt;"",'Indice D''exclusion'!Q34,"")</f>
        <v/>
      </c>
      <c r="C246" t="str">
        <f t="shared" si="13"/>
        <v>yellow_flag</v>
      </c>
      <c r="D246" s="2453" t="s">
        <v>1827</v>
      </c>
      <c r="E246" s="2455" t="str">
        <f t="shared" si="14"/>
        <v/>
      </c>
    </row>
    <row r="247" spans="1:5">
      <c r="A247" s="45" t="s">
        <v>1862</v>
      </c>
      <c r="B247" s="13" t="str">
        <f>IF('Indice D''exclusion'!Q31&lt;&gt;"",'Indice D''exclusion'!Q31,"")</f>
        <v xml:space="preserve"> </v>
      </c>
      <c r="C247" t="str">
        <f t="shared" si="13"/>
        <v>yellow_flag</v>
      </c>
      <c r="D247" s="2453" t="s">
        <v>1827</v>
      </c>
      <c r="E247" s="2455" t="str">
        <f t="shared" si="14"/>
        <v xml:space="preserve"> </v>
      </c>
    </row>
    <row r="248" spans="1:5">
      <c r="A248" s="45" t="s">
        <v>1862</v>
      </c>
      <c r="B248" s="13" t="str">
        <f>IF('Indice D''exclusion'!Q32&lt;&gt;"",'Indice D''exclusion'!Q32,"")</f>
        <v xml:space="preserve"> </v>
      </c>
      <c r="C248" t="str">
        <f t="shared" si="13"/>
        <v>yellow_flag</v>
      </c>
      <c r="D248" s="2453" t="s">
        <v>1827</v>
      </c>
      <c r="E248" s="2455" t="str">
        <f t="shared" si="14"/>
        <v xml:space="preserve"> </v>
      </c>
    </row>
    <row r="249" spans="1:5">
      <c r="A249" s="45" t="s">
        <v>1862</v>
      </c>
      <c r="B249" s="13" t="str">
        <f>IF('Indice D''exclusion'!Q33&lt;&gt;"",'Indice D''exclusion'!Q33,"")</f>
        <v xml:space="preserve"> </v>
      </c>
      <c r="C249" t="str">
        <f t="shared" si="13"/>
        <v>yellow_flag</v>
      </c>
      <c r="D249" s="2453" t="s">
        <v>1827</v>
      </c>
      <c r="E249" s="2455" t="str">
        <f t="shared" si="14"/>
        <v xml:space="preserve"> </v>
      </c>
    </row>
    <row r="250" spans="1:5">
      <c r="A250" s="45" t="s">
        <v>1873</v>
      </c>
      <c r="B250" s="13" t="str">
        <f>IF('Indice D''exclusion'!Q35&lt;&gt;"",'Indice D''exclusion'!Q35,"")</f>
        <v/>
      </c>
      <c r="C250" t="str">
        <f t="shared" si="13"/>
        <v>yellow_flag</v>
      </c>
      <c r="D250" s="2453" t="s">
        <v>1827</v>
      </c>
      <c r="E250" s="2455" t="str">
        <f t="shared" si="14"/>
        <v/>
      </c>
    </row>
    <row r="251" spans="1:5">
      <c r="A251" s="45" t="s">
        <v>1874</v>
      </c>
      <c r="B251" s="13" t="str">
        <f>IF('Indice D''exclusion'!Q36&lt;&gt;"",'Indice D''exclusion'!Q36,"")</f>
        <v/>
      </c>
      <c r="C251" t="str">
        <f t="shared" si="13"/>
        <v>yellow_flag</v>
      </c>
      <c r="D251" s="2453" t="s">
        <v>1827</v>
      </c>
      <c r="E251" s="2455" t="str">
        <f t="shared" si="14"/>
        <v/>
      </c>
    </row>
    <row r="252" spans="1:5">
      <c r="B252" s="13" t="s">
        <v>1833</v>
      </c>
      <c r="C252">
        <f t="shared" si="13"/>
        <v>0</v>
      </c>
      <c r="E252" s="2455" t="str">
        <f t="shared" si="14"/>
        <v>Drapeaux rouges 🔴</v>
      </c>
    </row>
    <row r="253" spans="1:5">
      <c r="A253" s="1222" t="s">
        <v>1825</v>
      </c>
      <c r="C253">
        <f t="shared" si="13"/>
        <v>0</v>
      </c>
      <c r="E253" s="2455">
        <f t="shared" si="14"/>
        <v>0</v>
      </c>
    </row>
    <row r="254" spans="1:5">
      <c r="A254" s="1222" t="s">
        <v>1869</v>
      </c>
      <c r="B254" s="13">
        <f>IF('Indice D''exclusion'!R17&lt;&gt;"",'Indice D''exclusion'!R17,"")</f>
        <v>0</v>
      </c>
      <c r="C254" t="str">
        <f t="shared" si="13"/>
        <v>red_flag</v>
      </c>
      <c r="D254" s="2453" t="s">
        <v>1834</v>
      </c>
      <c r="E254" s="2455">
        <f t="shared" ref="E254:E275" si="15">B254</f>
        <v>0</v>
      </c>
    </row>
    <row r="255" spans="1:5">
      <c r="A255" s="1222" t="s">
        <v>1859</v>
      </c>
      <c r="B255" s="13">
        <f>IF('Indice D''exclusion'!R13&lt;&gt;"",'Indice D''exclusion'!R13,"")</f>
        <v>0</v>
      </c>
      <c r="C255" t="str">
        <f t="shared" si="13"/>
        <v>red_flag</v>
      </c>
      <c r="D255" s="2453" t="s">
        <v>1834</v>
      </c>
      <c r="E255" s="2455">
        <f t="shared" si="15"/>
        <v>0</v>
      </c>
    </row>
    <row r="256" spans="1:5" ht="46.5" customHeight="1">
      <c r="A256" s="1222" t="s">
        <v>1859</v>
      </c>
      <c r="B256" s="13" t="str">
        <f>IF('Indice D''exclusion'!R14&lt;&gt;"",'Indice D''exclusion'!R14,"")</f>
        <v xml:space="preserve"> </v>
      </c>
      <c r="C256" t="str">
        <f t="shared" si="13"/>
        <v>red_flag</v>
      </c>
      <c r="D256" s="2453" t="s">
        <v>1834</v>
      </c>
      <c r="E256" s="2455" t="str">
        <f t="shared" si="15"/>
        <v xml:space="preserve"> </v>
      </c>
    </row>
    <row r="257" spans="1:5">
      <c r="A257" s="1222" t="s">
        <v>1859</v>
      </c>
      <c r="B257" s="13" t="str">
        <f>IF('Indice D''exclusion'!R15&lt;&gt;"",'Indice D''exclusion'!R15,"")</f>
        <v xml:space="preserve"> </v>
      </c>
      <c r="C257" t="str">
        <f t="shared" si="13"/>
        <v>red_flag</v>
      </c>
      <c r="D257" s="2453" t="s">
        <v>1834</v>
      </c>
      <c r="E257" s="2455" t="str">
        <f t="shared" si="15"/>
        <v xml:space="preserve"> </v>
      </c>
    </row>
    <row r="258" spans="1:5" ht="155" customHeight="1">
      <c r="A258" s="1222" t="s">
        <v>1859</v>
      </c>
      <c r="B258" s="13" t="str">
        <f>IF('Indice D''exclusion'!R16&lt;&gt;"",'Indice D''exclusion'!R16,"")</f>
        <v xml:space="preserve"> </v>
      </c>
      <c r="C258" t="str">
        <f t="shared" si="13"/>
        <v>red_flag</v>
      </c>
      <c r="D258" s="2453" t="s">
        <v>1834</v>
      </c>
      <c r="E258" s="2455" t="str">
        <f t="shared" si="15"/>
        <v xml:space="preserve"> </v>
      </c>
    </row>
    <row r="259" spans="1:5">
      <c r="A259" s="1222" t="s">
        <v>1870</v>
      </c>
      <c r="B259" s="13">
        <f>IF('Indice D''exclusion'!R21&lt;&gt;"",'Indice D''exclusion'!R21,"")</f>
        <v>0</v>
      </c>
      <c r="C259" t="str">
        <f t="shared" si="13"/>
        <v>red_flag</v>
      </c>
      <c r="D259" s="2453" t="s">
        <v>1834</v>
      </c>
      <c r="E259" s="2455">
        <f t="shared" si="15"/>
        <v>0</v>
      </c>
    </row>
    <row r="260" spans="1:5">
      <c r="A260" s="1222" t="s">
        <v>1860</v>
      </c>
      <c r="B260" s="13">
        <f>IF('Indice D''exclusion'!R18&lt;&gt;"",'Indice D''exclusion'!R18,"")</f>
        <v>0</v>
      </c>
      <c r="C260" t="str">
        <f t="shared" si="13"/>
        <v>red_flag</v>
      </c>
      <c r="D260" s="2453" t="s">
        <v>1834</v>
      </c>
      <c r="E260" s="2455">
        <f t="shared" si="15"/>
        <v>0</v>
      </c>
    </row>
    <row r="261" spans="1:5" ht="31">
      <c r="A261" s="1222" t="s">
        <v>1860</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C261" t="str">
        <f t="shared" si="13"/>
        <v>red_flag</v>
      </c>
      <c r="D261" s="2453" t="s">
        <v>1834</v>
      </c>
      <c r="E261" s="2455" t="str">
        <f t="shared" si="15"/>
        <v xml:space="preserve">ATTN : comportement aliénant. Diificile pour l'enfant d'entendre (indirectement) que vous ne représentez pas la vraie familille. Affectera l'esprit et le sentiment de sécurité affective de l'enfant. </v>
      </c>
    </row>
    <row r="262" spans="1:5">
      <c r="A262" s="1222" t="s">
        <v>1860</v>
      </c>
      <c r="B262" s="13">
        <f>IF('Indice D''exclusion'!R20&lt;&gt;"",'Indice D''exclusion'!R20,"")</f>
        <v>0</v>
      </c>
      <c r="C262" t="str">
        <f t="shared" si="13"/>
        <v>red_flag</v>
      </c>
      <c r="D262" s="2453" t="s">
        <v>1834</v>
      </c>
      <c r="E262" s="2455">
        <f t="shared" si="15"/>
        <v>0</v>
      </c>
    </row>
    <row r="263" spans="1:5">
      <c r="A263" s="1222" t="s">
        <v>1871</v>
      </c>
      <c r="B263" s="13">
        <f>IF('Indice D''exclusion'!R26&lt;&gt;"",'Indice D''exclusion'!R26,"")</f>
        <v>0</v>
      </c>
      <c r="C263" t="str">
        <f t="shared" si="13"/>
        <v>red_flag</v>
      </c>
      <c r="D263" s="2453" t="s">
        <v>1834</v>
      </c>
      <c r="E263" s="2455">
        <f t="shared" si="15"/>
        <v>0</v>
      </c>
    </row>
    <row r="264" spans="1:5">
      <c r="A264" s="1222" t="s">
        <v>1861</v>
      </c>
      <c r="B264" s="13" t="str">
        <f>IF('Indice D''exclusion'!R22&lt;&gt;"",'Indice D''exclusion'!R22,"")</f>
        <v xml:space="preserve"> </v>
      </c>
      <c r="C264" t="str">
        <f t="shared" si="13"/>
        <v>red_flag</v>
      </c>
      <c r="D264" s="2453" t="s">
        <v>1834</v>
      </c>
      <c r="E264" s="2455" t="str">
        <f t="shared" si="15"/>
        <v xml:space="preserve"> </v>
      </c>
    </row>
    <row r="265" spans="1:5">
      <c r="A265" s="1222" t="s">
        <v>1861</v>
      </c>
      <c r="B265" s="13" t="str">
        <f>IF('Indice D''exclusion'!R23&lt;&gt;"",'Indice D''exclusion'!R23,"")</f>
        <v xml:space="preserve"> </v>
      </c>
      <c r="C265" t="str">
        <f t="shared" si="13"/>
        <v>red_flag</v>
      </c>
      <c r="D265" s="2453" t="s">
        <v>1834</v>
      </c>
      <c r="E265" s="2455" t="str">
        <f t="shared" si="15"/>
        <v xml:space="preserve"> </v>
      </c>
    </row>
    <row r="266" spans="1:5">
      <c r="A266" s="1222" t="s">
        <v>1861</v>
      </c>
      <c r="B266" s="13" t="str">
        <f>IF('Indice D''exclusion'!R24&lt;&gt;"",'Indice D''exclusion'!R24,"")</f>
        <v xml:space="preserve"> </v>
      </c>
      <c r="C266" t="str">
        <f t="shared" si="13"/>
        <v>red_flag</v>
      </c>
      <c r="D266" s="2453" t="s">
        <v>1834</v>
      </c>
      <c r="E266" s="2455" t="str">
        <f t="shared" si="15"/>
        <v xml:space="preserve"> </v>
      </c>
    </row>
    <row r="267" spans="1:5">
      <c r="A267" s="1222" t="s">
        <v>1861</v>
      </c>
      <c r="B267" s="13" t="str">
        <f>IF('Indice D''exclusion'!R25&lt;&gt;"",'Indice D''exclusion'!R25,"")</f>
        <v xml:space="preserve"> </v>
      </c>
      <c r="C267" t="str">
        <f t="shared" si="13"/>
        <v>red_flag</v>
      </c>
      <c r="D267" s="2453" t="s">
        <v>1834</v>
      </c>
      <c r="E267" s="2455" t="str">
        <f t="shared" si="15"/>
        <v xml:space="preserve"> </v>
      </c>
    </row>
    <row r="268" spans="1:5">
      <c r="A268" s="1222" t="s">
        <v>1872</v>
      </c>
      <c r="B268" s="13">
        <f>IF('Indice D''exclusion'!R30&lt;&gt;"",'Indice D''exclusion'!R30,"")</f>
        <v>0</v>
      </c>
      <c r="C268" t="str">
        <f t="shared" si="13"/>
        <v>red_flag</v>
      </c>
      <c r="D268" s="2453" t="s">
        <v>1834</v>
      </c>
      <c r="E268" s="2455">
        <f t="shared" si="15"/>
        <v>0</v>
      </c>
    </row>
    <row r="269" spans="1:5">
      <c r="A269" s="1222" t="s">
        <v>1862</v>
      </c>
      <c r="B269" s="13" t="str">
        <f>IF('Indice D''exclusion'!R27&lt;&gt;"",'Indice D''exclusion'!R27,"")</f>
        <v xml:space="preserve"> </v>
      </c>
      <c r="C269" t="str">
        <f t="shared" si="13"/>
        <v>red_flag</v>
      </c>
      <c r="D269" s="2453" t="s">
        <v>1834</v>
      </c>
      <c r="E269" s="2455" t="str">
        <f t="shared" si="15"/>
        <v xml:space="preserve"> </v>
      </c>
    </row>
    <row r="270" spans="1:5">
      <c r="A270" s="1222" t="s">
        <v>1862</v>
      </c>
      <c r="B270" s="13" t="str">
        <f>IF('Indice D''exclusion'!R28&lt;&gt;"",'Indice D''exclusion'!R28,"")</f>
        <v xml:space="preserve"> </v>
      </c>
      <c r="C270" t="str">
        <f t="shared" si="13"/>
        <v>red_flag</v>
      </c>
      <c r="D270" s="2453" t="s">
        <v>1834</v>
      </c>
      <c r="E270" s="2455" t="str">
        <f t="shared" si="15"/>
        <v xml:space="preserve"> </v>
      </c>
    </row>
    <row r="271" spans="1:5">
      <c r="A271" s="1222" t="s">
        <v>1862</v>
      </c>
      <c r="B271" s="13" t="str">
        <f>IF('Indice D''exclusion'!R29&lt;&gt;"",'Indice D''exclusion'!R29,"")</f>
        <v xml:space="preserve"> </v>
      </c>
      <c r="C271" t="str">
        <f t="shared" si="13"/>
        <v>red_flag</v>
      </c>
      <c r="D271" s="2453" t="s">
        <v>1834</v>
      </c>
      <c r="E271" s="2455" t="str">
        <f t="shared" si="15"/>
        <v xml:space="preserve"> </v>
      </c>
    </row>
    <row r="272" spans="1:5">
      <c r="A272" s="1222" t="s">
        <v>1873</v>
      </c>
      <c r="B272" s="13" t="str">
        <f>IF('Indice D''exclusion'!R35&lt;&gt;"",'Indice D''exclusion'!R35,"")</f>
        <v/>
      </c>
      <c r="C272" t="str">
        <f t="shared" si="13"/>
        <v>red_flag</v>
      </c>
      <c r="D272" s="2453" t="s">
        <v>1834</v>
      </c>
      <c r="E272" s="2455" t="str">
        <f t="shared" si="15"/>
        <v/>
      </c>
    </row>
    <row r="273" spans="1:5" ht="46.5" customHeight="1">
      <c r="A273" s="1222" t="s">
        <v>1874</v>
      </c>
      <c r="B273" s="13" t="str">
        <f>IF('Indice D''exclusion'!R36&lt;&gt;"",'Indice D''exclusion'!R36,"")</f>
        <v/>
      </c>
      <c r="C273" t="str">
        <f t="shared" si="13"/>
        <v>red_flag</v>
      </c>
      <c r="D273" s="2453" t="s">
        <v>1834</v>
      </c>
      <c r="E273" s="2455" t="str">
        <f t="shared" si="15"/>
        <v/>
      </c>
    </row>
    <row r="274" spans="1:5">
      <c r="C274">
        <f t="shared" si="13"/>
        <v>0</v>
      </c>
      <c r="E274" s="2455">
        <f t="shared" si="15"/>
        <v>0</v>
      </c>
    </row>
    <row r="275" spans="1:5" ht="46.5" customHeight="1">
      <c r="A275" t="s">
        <v>1835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 t="shared" si="13"/>
        <v>ressources</v>
      </c>
      <c r="D275" s="2453" t="s">
        <v>1836</v>
      </c>
      <c r="E275" s="2455" t="str">
        <f t="shared" si="15"/>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E276" s="2455"/>
    </row>
    <row r="277" spans="1:5" ht="37.5" customHeight="1">
      <c r="A277" s="2375" t="s">
        <v>1875</v>
      </c>
      <c r="B277" s="2226" t="str">
        <f>'Contribution NC'!C2</f>
        <v xml:space="preserve">Quelle est la contribution du nouveau ou de la nouvelle conjoint·e dans la dynamique conflictuelle de coparentalité ? </v>
      </c>
      <c r="C277" t="str">
        <f>IF($B$407,D277,"")</f>
        <v>subsection-title</v>
      </c>
      <c r="D277" s="2453" t="s">
        <v>1808</v>
      </c>
      <c r="E277" s="2455" t="str">
        <f>B277</f>
        <v xml:space="preserve">Quelle est la contribution du nouveau ou de la nouvelle conjoint·e dans la dynamique conflictuelle de coparentalité ? </v>
      </c>
    </row>
    <row r="278" spans="1:5" ht="41" customHeight="1">
      <c r="A278" s="2264" t="s">
        <v>1809</v>
      </c>
      <c r="B278" s="25" t="str">
        <f>'Contribution NC'!C10</f>
        <v>Ce baromètre indique si le nouveau ou la nouvelle conjointe du coparent prend un rôle qui a un impact sur la dynamique et conséquement sur l'enfant.</v>
      </c>
      <c r="C278" t="str">
        <f t="shared" ref="C278:C341" si="16">IF($B$407,D278,"")</f>
        <v>about-barometer</v>
      </c>
      <c r="D278" s="61" t="s">
        <v>1810</v>
      </c>
      <c r="E278" s="2455" t="str">
        <f>B278</f>
        <v>Ce baromètre indique si le nouveau ou la nouvelle conjointe du coparent prend un rôle qui a un impact sur la dynamique et conséquement sur l'enfant.</v>
      </c>
    </row>
    <row r="279" spans="1:5">
      <c r="C279" t="str">
        <f t="shared" si="16"/>
        <v>barometer</v>
      </c>
      <c r="D279" s="2453" t="s">
        <v>1811</v>
      </c>
      <c r="E279" s="2455" t="s">
        <v>1876</v>
      </c>
    </row>
    <row r="280" spans="1:5" ht="57" customHeight="1">
      <c r="A280" s="25" t="s">
        <v>1813</v>
      </c>
      <c r="B280" s="586" t="str">
        <f>'Contribution NC'!I14</f>
        <v>L’analyse des réponses obtenues aux questionnaires révèle une &lt;strong&gt;  implication saine  &lt;strong&gt; de la part du nouveau ou de la nouvelle conjoint·e (NC) dans la dynamique familiale. &lt;br/&gt;</v>
      </c>
      <c r="C280" t="str">
        <f t="shared" si="16"/>
        <v>analysis</v>
      </c>
      <c r="D280" s="2453" t="s">
        <v>1814</v>
      </c>
      <c r="E280" s="2455" t="str">
        <f t="shared" ref="E280:E311" si="17">B280</f>
        <v>L’analyse des réponses obtenues aux questionnaires révèle une &lt;strong&gt;  implication saine  &lt;strong&gt; de la part du nouveau ou de la nouvelle conjoint·e (NC) dans la dynamique familiale. &lt;br/&gt;</v>
      </c>
    </row>
    <row r="281" spans="1:5" ht="41" customHeight="1">
      <c r="A281" s="2366" t="s">
        <v>1839</v>
      </c>
      <c r="C281">
        <f t="shared" si="16"/>
        <v>0</v>
      </c>
      <c r="E281" s="2455">
        <f t="shared" si="17"/>
        <v>0</v>
      </c>
    </row>
    <row r="282" spans="1:5">
      <c r="A282" s="2366" t="s">
        <v>1816</v>
      </c>
      <c r="B282" s="13" t="e">
        <f>IF('Contribution NC'!I17&lt;&gt;"",'Contribution NC'!I17,"")</f>
        <v>#N/A</v>
      </c>
      <c r="C282" t="str">
        <f t="shared" si="16"/>
        <v>theme</v>
      </c>
      <c r="D282" s="2453" t="s">
        <v>1817</v>
      </c>
      <c r="E282" s="2455" t="e">
        <f t="shared" si="17"/>
        <v>#N/A</v>
      </c>
    </row>
    <row r="283" spans="1:5">
      <c r="A283" s="2366" t="s">
        <v>1818</v>
      </c>
      <c r="B283" s="13" t="e">
        <f>IF('Contribution NC'!I19&lt;&gt;"",'Contribution NC'!I19,"")</f>
        <v>#N/A</v>
      </c>
      <c r="C283" t="str">
        <f t="shared" si="16"/>
        <v>theme</v>
      </c>
      <c r="D283" s="2453" t="s">
        <v>1817</v>
      </c>
      <c r="E283" s="2455" t="e">
        <f t="shared" si="17"/>
        <v>#N/A</v>
      </c>
    </row>
    <row r="284" spans="1:5">
      <c r="A284" s="2366" t="s">
        <v>1819</v>
      </c>
      <c r="B284" s="13" t="e">
        <f>IF('Contribution NC'!I21&lt;&gt;"",'Contribution NC'!I21,"")</f>
        <v>#N/A</v>
      </c>
      <c r="C284" t="str">
        <f t="shared" si="16"/>
        <v>theme</v>
      </c>
      <c r="D284" s="2453" t="s">
        <v>1817</v>
      </c>
      <c r="E284" s="2455" t="e">
        <f t="shared" si="17"/>
        <v>#N/A</v>
      </c>
    </row>
    <row r="285" spans="1:5">
      <c r="A285" s="2366" t="s">
        <v>1840</v>
      </c>
      <c r="B285" s="13" t="e">
        <f>IF('Contribution NC'!I25&lt;&gt;"",'Contribution NC'!I25,"")</f>
        <v>#N/A</v>
      </c>
      <c r="C285" t="str">
        <f t="shared" si="16"/>
        <v>theme</v>
      </c>
      <c r="D285" s="2453" t="s">
        <v>1817</v>
      </c>
      <c r="E285" s="2455" t="e">
        <f t="shared" si="17"/>
        <v>#N/A</v>
      </c>
    </row>
    <row r="286" spans="1:5" ht="31" customHeight="1">
      <c r="A286" s="2366" t="s">
        <v>1841</v>
      </c>
      <c r="B286" s="13" t="e">
        <f>IF('Contribution NC'!I33&lt;&gt;"",'Contribution NC'!I33,"")</f>
        <v>#N/A</v>
      </c>
      <c r="C286" t="str">
        <f t="shared" si="16"/>
        <v>theme</v>
      </c>
      <c r="D286" s="2453" t="s">
        <v>1817</v>
      </c>
      <c r="E286" s="2455" t="e">
        <f t="shared" si="17"/>
        <v>#N/A</v>
      </c>
    </row>
    <row r="287" spans="1:5" ht="31" customHeight="1">
      <c r="A287" s="2366" t="s">
        <v>1842</v>
      </c>
      <c r="B287" s="13" t="e">
        <f>IF('Contribution NC'!I36&lt;&gt;"",'Contribution NC'!I36,"")</f>
        <v>#N/A</v>
      </c>
      <c r="C287" t="str">
        <f t="shared" si="16"/>
        <v>theme</v>
      </c>
      <c r="D287" s="2453" t="s">
        <v>1817</v>
      </c>
      <c r="E287" s="2455" t="e">
        <f t="shared" si="17"/>
        <v>#N/A</v>
      </c>
    </row>
    <row r="288" spans="1:5">
      <c r="A288" s="2366" t="s">
        <v>1843</v>
      </c>
      <c r="B288" s="13" t="e">
        <f>IF('Contribution NC'!I38&lt;&gt;"",'Contribution NC'!I38,"")</f>
        <v>#N/A</v>
      </c>
      <c r="C288" t="str">
        <f t="shared" si="16"/>
        <v>theme</v>
      </c>
      <c r="D288" s="2453" t="s">
        <v>1817</v>
      </c>
      <c r="E288" s="2455" t="e">
        <f t="shared" si="17"/>
        <v>#N/A</v>
      </c>
    </row>
    <row r="289" spans="1:5" ht="39" customHeight="1">
      <c r="A289" s="765" t="s">
        <v>1821</v>
      </c>
      <c r="B289" s="13" t="e">
        <f>'Contribution NC'!I41</f>
        <v>#N/A</v>
      </c>
      <c r="C289" t="str">
        <f t="shared" si="16"/>
        <v>theme</v>
      </c>
      <c r="D289" s="2453" t="s">
        <v>1817</v>
      </c>
      <c r="E289" s="2455" t="e">
        <f t="shared" si="17"/>
        <v>#N/A</v>
      </c>
    </row>
    <row r="290" spans="1:5" ht="23.5" customHeight="1">
      <c r="A290" s="36" t="s">
        <v>1822</v>
      </c>
      <c r="C290" t="str">
        <f t="shared" si="16"/>
        <v>flag_introduction</v>
      </c>
      <c r="D290" s="2453" t="s">
        <v>1823</v>
      </c>
      <c r="E290" s="2455">
        <f t="shared" si="17"/>
        <v>0</v>
      </c>
    </row>
    <row r="291" spans="1:5" ht="23.5" customHeight="1">
      <c r="A291" s="36"/>
      <c r="B291" s="13" t="s">
        <v>1824</v>
      </c>
      <c r="C291">
        <f t="shared" si="16"/>
        <v>0</v>
      </c>
      <c r="E291" s="2455" t="str">
        <f t="shared" si="17"/>
        <v>Drapeaux jaunes 🟡</v>
      </c>
    </row>
    <row r="292" spans="1:5">
      <c r="A292" s="45" t="s">
        <v>1825</v>
      </c>
      <c r="B292" s="13" t="str">
        <f>IF('Cpts miroirs des parents'!T121&lt;&gt;"",'Cpts miroirs des parents'!T121,"")</f>
        <v/>
      </c>
      <c r="C292" t="str">
        <f t="shared" si="16"/>
        <v>yellow_flag</v>
      </c>
      <c r="D292" s="2453" t="s">
        <v>1827</v>
      </c>
      <c r="E292" s="2455" t="str">
        <f t="shared" si="17"/>
        <v/>
      </c>
    </row>
    <row r="293" spans="1:5">
      <c r="A293" s="45" t="s">
        <v>1816</v>
      </c>
      <c r="B293" s="13" t="e">
        <f>IF('Contribution NC'!J17&lt;&gt;"",'Contribution NC'!J17,"")</f>
        <v>#N/A</v>
      </c>
      <c r="C293" t="str">
        <f t="shared" si="16"/>
        <v>yellow_flag</v>
      </c>
      <c r="D293" s="2453" t="s">
        <v>1827</v>
      </c>
      <c r="E293" s="2455" t="e">
        <f t="shared" si="17"/>
        <v>#N/A</v>
      </c>
    </row>
    <row r="294" spans="1:5">
      <c r="A294" s="45" t="s">
        <v>1859</v>
      </c>
      <c r="B294" s="13" t="e">
        <f>IF('Contribution NC'!J15&lt;&gt;"",'Contribution NC'!J15,"")</f>
        <v>#N/A</v>
      </c>
      <c r="C294" t="str">
        <f t="shared" si="16"/>
        <v>yellow_flag</v>
      </c>
      <c r="D294" s="2453" t="s">
        <v>1827</v>
      </c>
      <c r="E294" s="2455" t="e">
        <f t="shared" si="17"/>
        <v>#N/A</v>
      </c>
    </row>
    <row r="295" spans="1:5">
      <c r="A295" s="45" t="s">
        <v>1859</v>
      </c>
      <c r="B295" s="13" t="e">
        <f>IF('Contribution NC'!J16&lt;&gt;"",'Contribution NC'!J16,"")</f>
        <v>#N/A</v>
      </c>
      <c r="C295" t="str">
        <f t="shared" si="16"/>
        <v>yellow_flag</v>
      </c>
      <c r="D295" s="2453" t="s">
        <v>1827</v>
      </c>
      <c r="E295" s="2455" t="e">
        <f t="shared" si="17"/>
        <v>#N/A</v>
      </c>
    </row>
    <row r="296" spans="1:5">
      <c r="A296" s="45" t="s">
        <v>1818</v>
      </c>
      <c r="B296" s="13" t="e">
        <f>IF('Contribution NC'!J19&lt;&gt;"",'Contribution NC'!J19,"")</f>
        <v>#N/A</v>
      </c>
      <c r="C296" t="str">
        <f t="shared" si="16"/>
        <v>yellow_flag</v>
      </c>
      <c r="D296" s="2453" t="s">
        <v>1827</v>
      </c>
      <c r="E296" s="2455" t="e">
        <f t="shared" si="17"/>
        <v>#N/A</v>
      </c>
    </row>
    <row r="297" spans="1:5">
      <c r="A297" s="45" t="s">
        <v>1860</v>
      </c>
      <c r="B297" s="13" t="e">
        <f>IF('Contribution NC'!J18&lt;&gt;"",'Contribution NC'!J18,"")</f>
        <v>#N/A</v>
      </c>
      <c r="C297" t="str">
        <f t="shared" si="16"/>
        <v>yellow_flag</v>
      </c>
      <c r="D297" s="2453" t="s">
        <v>1827</v>
      </c>
      <c r="E297" s="2455" t="e">
        <f t="shared" si="17"/>
        <v>#N/A</v>
      </c>
    </row>
    <row r="298" spans="1:5">
      <c r="A298" s="45" t="s">
        <v>1819</v>
      </c>
      <c r="B298" s="13" t="e">
        <f>IF('Contribution NC'!J21&lt;&gt;"",'Contribution NC'!J21,"")</f>
        <v>#N/A</v>
      </c>
      <c r="C298" t="str">
        <f t="shared" si="16"/>
        <v>yellow_flag</v>
      </c>
      <c r="D298" s="2453" t="s">
        <v>1827</v>
      </c>
      <c r="E298" s="2455" t="e">
        <f t="shared" si="17"/>
        <v>#N/A</v>
      </c>
    </row>
    <row r="299" spans="1:5">
      <c r="A299" s="45" t="s">
        <v>1861</v>
      </c>
      <c r="B299" s="13" t="e">
        <f>IF('Contribution NC'!J20&lt;&gt;"",'Contribution NC'!J20,"")</f>
        <v>#N/A</v>
      </c>
      <c r="C299" t="str">
        <f t="shared" si="16"/>
        <v>yellow_flag</v>
      </c>
      <c r="D299" s="2453" t="s">
        <v>1827</v>
      </c>
      <c r="E299" s="2455" t="e">
        <f t="shared" si="17"/>
        <v>#N/A</v>
      </c>
    </row>
    <row r="300" spans="1:5">
      <c r="A300" s="45" t="s">
        <v>1840</v>
      </c>
      <c r="B300" s="13" t="e">
        <f>IF('Contribution NC'!J25&lt;&gt;"",'Contribution NC'!J25,"")</f>
        <v>#N/A</v>
      </c>
      <c r="C300" t="str">
        <f t="shared" si="16"/>
        <v>yellow_flag</v>
      </c>
      <c r="D300" s="2453" t="s">
        <v>1827</v>
      </c>
      <c r="E300" s="2455" t="e">
        <f t="shared" si="17"/>
        <v>#N/A</v>
      </c>
    </row>
    <row r="301" spans="1:5">
      <c r="A301" s="45" t="s">
        <v>1862</v>
      </c>
      <c r="B301" s="13" t="e">
        <f>IF('Contribution NC'!J22&lt;&gt;"",'Contribution NC'!J22,"")</f>
        <v>#N/A</v>
      </c>
      <c r="C301" t="str">
        <f t="shared" si="16"/>
        <v>yellow_flag</v>
      </c>
      <c r="D301" s="2453" t="s">
        <v>1827</v>
      </c>
      <c r="E301" s="2455" t="e">
        <f t="shared" si="17"/>
        <v>#N/A</v>
      </c>
    </row>
    <row r="302" spans="1:5">
      <c r="A302" s="45" t="s">
        <v>1862</v>
      </c>
      <c r="B302" s="13" t="e">
        <f>IF('Contribution NC'!J23&lt;&gt;"",'Contribution NC'!J23,"")</f>
        <v>#N/A</v>
      </c>
      <c r="C302" t="str">
        <f t="shared" si="16"/>
        <v>yellow_flag</v>
      </c>
      <c r="D302" s="2453" t="s">
        <v>1827</v>
      </c>
      <c r="E302" s="2455" t="e">
        <f t="shared" si="17"/>
        <v>#N/A</v>
      </c>
    </row>
    <row r="303" spans="1:5">
      <c r="A303" s="45" t="s">
        <v>1862</v>
      </c>
      <c r="B303" s="13" t="e">
        <f>IF('Contribution NC'!J24&lt;&gt;"",'Contribution NC'!J24,"")</f>
        <v>#N/A</v>
      </c>
      <c r="C303" t="str">
        <f t="shared" si="16"/>
        <v>yellow_flag</v>
      </c>
      <c r="D303" s="2453" t="s">
        <v>1827</v>
      </c>
      <c r="E303" s="2455" t="e">
        <f t="shared" si="17"/>
        <v>#N/A</v>
      </c>
    </row>
    <row r="304" spans="1:5">
      <c r="A304" s="45" t="s">
        <v>1841</v>
      </c>
      <c r="B304" s="13" t="e">
        <f>IF('Contribution NC'!J33&lt;&gt;"",'Contribution NC'!J33,"")</f>
        <v>#N/A</v>
      </c>
      <c r="C304" t="str">
        <f t="shared" si="16"/>
        <v>yellow_flag</v>
      </c>
      <c r="D304" s="2453" t="s">
        <v>1827</v>
      </c>
      <c r="E304" s="2455" t="e">
        <f t="shared" si="17"/>
        <v>#N/A</v>
      </c>
    </row>
    <row r="305" spans="1:5">
      <c r="A305" s="45" t="s">
        <v>1863</v>
      </c>
      <c r="B305" s="13" t="e">
        <f>IF('Contribution NC'!J26&lt;&gt;"",'Contribution NC'!J26,"")</f>
        <v>#N/A</v>
      </c>
      <c r="C305" t="str">
        <f t="shared" si="16"/>
        <v>yellow_flag</v>
      </c>
      <c r="D305" s="2453" t="s">
        <v>1827</v>
      </c>
      <c r="E305" s="2455" t="e">
        <f t="shared" si="17"/>
        <v>#N/A</v>
      </c>
    </row>
    <row r="306" spans="1:5">
      <c r="A306" s="45" t="s">
        <v>1863</v>
      </c>
      <c r="B306" s="13" t="e">
        <f>IF('Contribution NC'!J27&lt;&gt;"",'Contribution NC'!J27,"")</f>
        <v>#N/A</v>
      </c>
      <c r="C306" t="str">
        <f t="shared" si="16"/>
        <v>yellow_flag</v>
      </c>
      <c r="D306" s="2453" t="s">
        <v>1827</v>
      </c>
      <c r="E306" s="2455" t="e">
        <f t="shared" si="17"/>
        <v>#N/A</v>
      </c>
    </row>
    <row r="307" spans="1:5">
      <c r="A307" s="45" t="s">
        <v>1863</v>
      </c>
      <c r="B307" s="13" t="e">
        <f>IF('Contribution NC'!J28&lt;&gt;"",'Contribution NC'!J28,"")</f>
        <v>#N/A</v>
      </c>
      <c r="C307" t="str">
        <f t="shared" si="16"/>
        <v>yellow_flag</v>
      </c>
      <c r="D307" s="2453" t="s">
        <v>1827</v>
      </c>
      <c r="E307" s="2455" t="e">
        <f t="shared" si="17"/>
        <v>#N/A</v>
      </c>
    </row>
    <row r="308" spans="1:5">
      <c r="A308" s="45" t="s">
        <v>1863</v>
      </c>
      <c r="B308" s="13" t="e">
        <f>IF('Contribution NC'!J29&lt;&gt;"",'Contribution NC'!J29,"")</f>
        <v>#N/A</v>
      </c>
      <c r="C308" t="str">
        <f t="shared" si="16"/>
        <v>yellow_flag</v>
      </c>
      <c r="D308" s="2453" t="s">
        <v>1827</v>
      </c>
      <c r="E308" s="2455" t="e">
        <f t="shared" si="17"/>
        <v>#N/A</v>
      </c>
    </row>
    <row r="309" spans="1:5">
      <c r="A309" s="45" t="s">
        <v>1863</v>
      </c>
      <c r="B309" s="13" t="e">
        <f>IF('Contribution NC'!J30&lt;&gt;"",'Contribution NC'!J30,"")</f>
        <v>#N/A</v>
      </c>
      <c r="C309" t="str">
        <f t="shared" si="16"/>
        <v>yellow_flag</v>
      </c>
      <c r="D309" s="2453" t="s">
        <v>1827</v>
      </c>
      <c r="E309" s="2455" t="e">
        <f t="shared" si="17"/>
        <v>#N/A</v>
      </c>
    </row>
    <row r="310" spans="1:5">
      <c r="A310" s="45" t="s">
        <v>1863</v>
      </c>
      <c r="B310" s="13" t="e">
        <f>IF('Contribution NC'!J31&lt;&gt;"",'Contribution NC'!J31,"")</f>
        <v>#N/A</v>
      </c>
      <c r="C310" t="str">
        <f t="shared" si="16"/>
        <v>yellow_flag</v>
      </c>
      <c r="D310" s="2453" t="s">
        <v>1827</v>
      </c>
      <c r="E310" s="2455" t="e">
        <f t="shared" si="17"/>
        <v>#N/A</v>
      </c>
    </row>
    <row r="311" spans="1:5">
      <c r="A311" s="45" t="s">
        <v>1863</v>
      </c>
      <c r="B311" s="13" t="e">
        <f>IF('Contribution NC'!J32&lt;&gt;"",'Contribution NC'!J32,"")</f>
        <v>#N/A</v>
      </c>
      <c r="C311" t="str">
        <f t="shared" si="16"/>
        <v>yellow_flag</v>
      </c>
      <c r="D311" s="2453" t="s">
        <v>1827</v>
      </c>
      <c r="E311" s="2455" t="e">
        <f t="shared" si="17"/>
        <v>#N/A</v>
      </c>
    </row>
    <row r="312" spans="1:5">
      <c r="A312" s="45" t="s">
        <v>1842</v>
      </c>
      <c r="B312" s="13" t="e">
        <f>IF('Contribution NC'!J36&lt;&gt;"",'Contribution NC'!J36,"")</f>
        <v>#N/A</v>
      </c>
      <c r="C312" t="str">
        <f t="shared" si="16"/>
        <v>yellow_flag</v>
      </c>
      <c r="D312" s="2453" t="s">
        <v>1827</v>
      </c>
      <c r="E312" s="2455" t="e">
        <f t="shared" ref="E312:E344" si="18">B312</f>
        <v>#N/A</v>
      </c>
    </row>
    <row r="313" spans="1:5">
      <c r="A313" s="45" t="s">
        <v>1864</v>
      </c>
      <c r="B313" s="13" t="e">
        <f>IF('Contribution NC'!J34&lt;&gt;"",'Contribution NC'!J34,"")</f>
        <v>#N/A</v>
      </c>
      <c r="C313" t="str">
        <f t="shared" si="16"/>
        <v>yellow_flag</v>
      </c>
      <c r="D313" s="2453" t="s">
        <v>1827</v>
      </c>
      <c r="E313" s="2455" t="e">
        <f t="shared" si="18"/>
        <v>#N/A</v>
      </c>
    </row>
    <row r="314" spans="1:5">
      <c r="A314" s="45" t="s">
        <v>1864</v>
      </c>
      <c r="B314" s="13" t="e">
        <f>IF('Contribution NC'!J35&lt;&gt;"",'Contribution NC'!J35,"")</f>
        <v>#N/A</v>
      </c>
      <c r="C314" t="str">
        <f t="shared" si="16"/>
        <v>yellow_flag</v>
      </c>
      <c r="D314" s="2453" t="s">
        <v>1827</v>
      </c>
      <c r="E314" s="2455" t="e">
        <f t="shared" si="18"/>
        <v>#N/A</v>
      </c>
    </row>
    <row r="315" spans="1:5">
      <c r="A315" s="45" t="s">
        <v>1843</v>
      </c>
      <c r="B315" s="13" t="e">
        <f>IF('Contribution NC'!J38&lt;&gt;"",'Contribution NC'!J38,"")</f>
        <v>#N/A</v>
      </c>
      <c r="C315" t="str">
        <f t="shared" si="16"/>
        <v>yellow_flag</v>
      </c>
      <c r="D315" s="2453" t="s">
        <v>1827</v>
      </c>
      <c r="E315" s="2455" t="e">
        <f t="shared" si="18"/>
        <v>#N/A</v>
      </c>
    </row>
    <row r="316" spans="1:5">
      <c r="A316" s="45" t="s">
        <v>1865</v>
      </c>
      <c r="B316" s="13" t="e">
        <f>IF('Contribution NC'!J37&lt;&gt;"",'Contribution NC'!J37,"")</f>
        <v>#N/A</v>
      </c>
      <c r="C316" t="str">
        <f t="shared" si="16"/>
        <v>yellow_flag</v>
      </c>
      <c r="D316" s="2453" t="s">
        <v>1827</v>
      </c>
      <c r="E316" s="2455" t="e">
        <f t="shared" si="18"/>
        <v>#N/A</v>
      </c>
    </row>
    <row r="317" spans="1:5">
      <c r="B317" s="13" t="s">
        <v>1833</v>
      </c>
      <c r="C317">
        <f t="shared" si="16"/>
        <v>0</v>
      </c>
      <c r="E317" s="2455" t="str">
        <f t="shared" si="18"/>
        <v>Drapeaux rouges 🔴</v>
      </c>
    </row>
    <row r="318" spans="1:5">
      <c r="A318" s="1222" t="s">
        <v>1825</v>
      </c>
      <c r="B318" s="13" t="str">
        <f>IF('Cpts miroirs des parents'!U142&lt;&gt;"",'Cpts miroirs des parents'!U142,"")</f>
        <v/>
      </c>
      <c r="C318" t="str">
        <f t="shared" si="16"/>
        <v>red_flag</v>
      </c>
      <c r="D318" s="2453" t="s">
        <v>1834</v>
      </c>
      <c r="E318" s="2455" t="str">
        <f t="shared" si="18"/>
        <v/>
      </c>
    </row>
    <row r="319" spans="1:5">
      <c r="A319" s="1222" t="s">
        <v>1816</v>
      </c>
      <c r="B319" s="13" t="e">
        <f>IF('Contribution NC'!K17&lt;&gt;"",'Contribution NC'!K17,"")</f>
        <v>#N/A</v>
      </c>
      <c r="C319" t="str">
        <f t="shared" si="16"/>
        <v>red_flag</v>
      </c>
      <c r="D319" s="2453" t="s">
        <v>1834</v>
      </c>
      <c r="E319" s="2455" t="e">
        <f t="shared" si="18"/>
        <v>#N/A</v>
      </c>
    </row>
    <row r="320" spans="1:5">
      <c r="A320" s="1222" t="s">
        <v>1859</v>
      </c>
      <c r="B320" s="13" t="e">
        <f>IF('Contribution NC'!J15&lt;&gt;"",'Contribution NC'!J15,"")</f>
        <v>#N/A</v>
      </c>
      <c r="C320" t="str">
        <f t="shared" si="16"/>
        <v>red_flag</v>
      </c>
      <c r="D320" s="2453" t="s">
        <v>1834</v>
      </c>
      <c r="E320" s="2455" t="e">
        <f t="shared" si="18"/>
        <v>#N/A</v>
      </c>
    </row>
    <row r="321" spans="1:5">
      <c r="A321" s="1222" t="s">
        <v>1859</v>
      </c>
      <c r="B321" s="13" t="e">
        <f>IF('Contribution NC'!J16&lt;&gt;"",'Contribution NC'!J16,"")</f>
        <v>#N/A</v>
      </c>
      <c r="C321" t="str">
        <f t="shared" si="16"/>
        <v>red_flag</v>
      </c>
      <c r="D321" s="2453" t="s">
        <v>1834</v>
      </c>
      <c r="E321" s="2455" t="e">
        <f t="shared" si="18"/>
        <v>#N/A</v>
      </c>
    </row>
    <row r="322" spans="1:5">
      <c r="A322" s="1222" t="s">
        <v>1818</v>
      </c>
      <c r="B322" s="13" t="e">
        <f>IF('Contribution NC'!J19&lt;&gt;"",'Contribution NC'!J19,"")</f>
        <v>#N/A</v>
      </c>
      <c r="C322" t="str">
        <f t="shared" si="16"/>
        <v>red_flag</v>
      </c>
      <c r="D322" s="2453" t="s">
        <v>1834</v>
      </c>
      <c r="E322" s="2455" t="e">
        <f t="shared" si="18"/>
        <v>#N/A</v>
      </c>
    </row>
    <row r="323" spans="1:5">
      <c r="A323" s="1222" t="s">
        <v>1860</v>
      </c>
      <c r="B323" s="13" t="e">
        <f>IF('Contribution NC'!J18&lt;&gt;"",'Contribution NC'!J18,"")</f>
        <v>#N/A</v>
      </c>
      <c r="C323" t="str">
        <f t="shared" si="16"/>
        <v>red_flag</v>
      </c>
      <c r="D323" s="2453" t="s">
        <v>1834</v>
      </c>
      <c r="E323" s="2455" t="e">
        <f t="shared" si="18"/>
        <v>#N/A</v>
      </c>
    </row>
    <row r="324" spans="1:5">
      <c r="A324" s="1222" t="s">
        <v>1819</v>
      </c>
      <c r="B324" s="13" t="e">
        <f>IF('Contribution NC'!J21&lt;&gt;"",'Contribution NC'!J21,"")</f>
        <v>#N/A</v>
      </c>
      <c r="C324" t="str">
        <f t="shared" si="16"/>
        <v>red_flag</v>
      </c>
      <c r="D324" s="2453" t="s">
        <v>1834</v>
      </c>
      <c r="E324" s="2455" t="e">
        <f t="shared" si="18"/>
        <v>#N/A</v>
      </c>
    </row>
    <row r="325" spans="1:5">
      <c r="A325" s="1222" t="s">
        <v>1861</v>
      </c>
      <c r="B325" s="13" t="e">
        <f>IF('Contribution NC'!J20&lt;&gt;"",'Contribution NC'!J20,"")</f>
        <v>#N/A</v>
      </c>
      <c r="C325" t="str">
        <f t="shared" si="16"/>
        <v>red_flag</v>
      </c>
      <c r="D325" s="2453" t="s">
        <v>1834</v>
      </c>
      <c r="E325" s="2455" t="e">
        <f t="shared" si="18"/>
        <v>#N/A</v>
      </c>
    </row>
    <row r="326" spans="1:5">
      <c r="A326" s="1222" t="s">
        <v>1840</v>
      </c>
      <c r="B326" s="13" t="e">
        <f>IF('Contribution NC'!J25&lt;&gt;"",'Contribution NC'!J25,"")</f>
        <v>#N/A</v>
      </c>
      <c r="C326" t="str">
        <f t="shared" si="16"/>
        <v>red_flag</v>
      </c>
      <c r="D326" s="2453" t="s">
        <v>1834</v>
      </c>
      <c r="E326" s="2455" t="e">
        <f t="shared" si="18"/>
        <v>#N/A</v>
      </c>
    </row>
    <row r="327" spans="1:5">
      <c r="A327" s="1222" t="s">
        <v>1862</v>
      </c>
      <c r="B327" s="13" t="e">
        <f>IF('Contribution NC'!J22&lt;&gt;"",'Contribution NC'!J22,"")</f>
        <v>#N/A</v>
      </c>
      <c r="C327" t="str">
        <f t="shared" si="16"/>
        <v>red_flag</v>
      </c>
      <c r="D327" s="2453" t="s">
        <v>1834</v>
      </c>
      <c r="E327" s="2455" t="e">
        <f t="shared" si="18"/>
        <v>#N/A</v>
      </c>
    </row>
    <row r="328" spans="1:5">
      <c r="A328" s="1222" t="s">
        <v>1862</v>
      </c>
      <c r="B328" s="13" t="e">
        <f>IF('Contribution NC'!J23&lt;&gt;"",'Contribution NC'!J23,"")</f>
        <v>#N/A</v>
      </c>
      <c r="C328" t="str">
        <f t="shared" si="16"/>
        <v>red_flag</v>
      </c>
      <c r="D328" s="2453" t="s">
        <v>1834</v>
      </c>
      <c r="E328" s="2455" t="e">
        <f t="shared" si="18"/>
        <v>#N/A</v>
      </c>
    </row>
    <row r="329" spans="1:5">
      <c r="A329" s="1222" t="s">
        <v>1862</v>
      </c>
      <c r="B329" s="13" t="e">
        <f>IF('Contribution NC'!J24&lt;&gt;"",'Contribution NC'!J24,"")</f>
        <v>#N/A</v>
      </c>
      <c r="C329" t="str">
        <f t="shared" si="16"/>
        <v>red_flag</v>
      </c>
      <c r="D329" s="2453" t="s">
        <v>1834</v>
      </c>
      <c r="E329" s="2455" t="e">
        <f t="shared" si="18"/>
        <v>#N/A</v>
      </c>
    </row>
    <row r="330" spans="1:5">
      <c r="A330" s="1222" t="s">
        <v>1841</v>
      </c>
      <c r="B330" s="13" t="e">
        <f>IF('Contribution NC'!J33&lt;&gt;"",'Contribution NC'!J33,"")</f>
        <v>#N/A</v>
      </c>
      <c r="C330" t="str">
        <f t="shared" si="16"/>
        <v>red_flag</v>
      </c>
      <c r="D330" s="2453" t="s">
        <v>1834</v>
      </c>
      <c r="E330" s="2455" t="e">
        <f t="shared" si="18"/>
        <v>#N/A</v>
      </c>
    </row>
    <row r="331" spans="1:5">
      <c r="A331" s="1222" t="s">
        <v>1863</v>
      </c>
      <c r="B331" s="13" t="e">
        <f>IF('Contribution NC'!J26&lt;&gt;"",'Contribution NC'!J26,"")</f>
        <v>#N/A</v>
      </c>
      <c r="C331" t="str">
        <f t="shared" si="16"/>
        <v>red_flag</v>
      </c>
      <c r="D331" s="2453" t="s">
        <v>1834</v>
      </c>
      <c r="E331" s="2455" t="e">
        <f t="shared" si="18"/>
        <v>#N/A</v>
      </c>
    </row>
    <row r="332" spans="1:5">
      <c r="A332" s="1222" t="s">
        <v>1863</v>
      </c>
      <c r="B332" s="13" t="e">
        <f>IF('Contribution NC'!J27&lt;&gt;"",'Contribution NC'!J27,"")</f>
        <v>#N/A</v>
      </c>
      <c r="C332" t="str">
        <f t="shared" si="16"/>
        <v>red_flag</v>
      </c>
      <c r="D332" s="2453" t="s">
        <v>1834</v>
      </c>
      <c r="E332" s="2455" t="e">
        <f t="shared" si="18"/>
        <v>#N/A</v>
      </c>
    </row>
    <row r="333" spans="1:5">
      <c r="A333" s="1222" t="s">
        <v>1863</v>
      </c>
      <c r="B333" s="13" t="e">
        <f>IF('Contribution NC'!J28&lt;&gt;"",'Contribution NC'!J28,"")</f>
        <v>#N/A</v>
      </c>
      <c r="C333" t="str">
        <f t="shared" si="16"/>
        <v>red_flag</v>
      </c>
      <c r="D333" s="2453" t="s">
        <v>1834</v>
      </c>
      <c r="E333" s="2455" t="e">
        <f t="shared" si="18"/>
        <v>#N/A</v>
      </c>
    </row>
    <row r="334" spans="1:5">
      <c r="A334" s="1222" t="s">
        <v>1863</v>
      </c>
      <c r="B334" s="13" t="e">
        <f>IF('Contribution NC'!J29&lt;&gt;"",'Contribution NC'!J29,"")</f>
        <v>#N/A</v>
      </c>
      <c r="C334" t="str">
        <f t="shared" si="16"/>
        <v>red_flag</v>
      </c>
      <c r="D334" s="2453" t="s">
        <v>1834</v>
      </c>
      <c r="E334" s="2455" t="e">
        <f t="shared" si="18"/>
        <v>#N/A</v>
      </c>
    </row>
    <row r="335" spans="1:5">
      <c r="A335" s="1222" t="s">
        <v>1863</v>
      </c>
      <c r="B335" s="13" t="e">
        <f>IF('Contribution NC'!J30&lt;&gt;"",'Contribution NC'!J30,"")</f>
        <v>#N/A</v>
      </c>
      <c r="C335" t="str">
        <f t="shared" si="16"/>
        <v>red_flag</v>
      </c>
      <c r="D335" s="2453" t="s">
        <v>1834</v>
      </c>
      <c r="E335" s="2455" t="e">
        <f t="shared" si="18"/>
        <v>#N/A</v>
      </c>
    </row>
    <row r="336" spans="1:5">
      <c r="A336" s="1222" t="s">
        <v>1863</v>
      </c>
      <c r="B336" s="13" t="e">
        <f>IF('Contribution NC'!J31&lt;&gt;"",'Contribution NC'!J31,"")</f>
        <v>#N/A</v>
      </c>
      <c r="C336" t="str">
        <f t="shared" si="16"/>
        <v>red_flag</v>
      </c>
      <c r="D336" s="2453" t="s">
        <v>1834</v>
      </c>
      <c r="E336" s="2455" t="e">
        <f t="shared" si="18"/>
        <v>#N/A</v>
      </c>
    </row>
    <row r="337" spans="1:5">
      <c r="A337" s="1222" t="s">
        <v>1863</v>
      </c>
      <c r="B337" s="13" t="e">
        <f>IF('Contribution NC'!J32&lt;&gt;"",'Contribution NC'!J32,"")</f>
        <v>#N/A</v>
      </c>
      <c r="C337" t="str">
        <f t="shared" si="16"/>
        <v>red_flag</v>
      </c>
      <c r="D337" s="2453" t="s">
        <v>1834</v>
      </c>
      <c r="E337" s="2455" t="e">
        <f t="shared" si="18"/>
        <v>#N/A</v>
      </c>
    </row>
    <row r="338" spans="1:5">
      <c r="A338" s="1222" t="s">
        <v>1842</v>
      </c>
      <c r="B338" s="13" t="e">
        <f>IF('Contribution NC'!J36&lt;&gt;"",'Contribution NC'!J36,"")</f>
        <v>#N/A</v>
      </c>
      <c r="C338" t="str">
        <f t="shared" si="16"/>
        <v>red_flag</v>
      </c>
      <c r="D338" s="2453" t="s">
        <v>1834</v>
      </c>
      <c r="E338" s="2455" t="e">
        <f t="shared" si="18"/>
        <v>#N/A</v>
      </c>
    </row>
    <row r="339" spans="1:5">
      <c r="A339" s="1222" t="s">
        <v>1864</v>
      </c>
      <c r="B339" s="13" t="e">
        <f>IF('Contribution NC'!J34&lt;&gt;"",'Contribution NC'!J34,"")</f>
        <v>#N/A</v>
      </c>
      <c r="C339" t="str">
        <f t="shared" si="16"/>
        <v>red_flag</v>
      </c>
      <c r="D339" s="2453" t="s">
        <v>1834</v>
      </c>
      <c r="E339" s="2455" t="e">
        <f t="shared" si="18"/>
        <v>#N/A</v>
      </c>
    </row>
    <row r="340" spans="1:5">
      <c r="A340" s="1222" t="s">
        <v>1864</v>
      </c>
      <c r="B340" s="13" t="e">
        <f>IF('Contribution NC'!J35&lt;&gt;"",'Contribution NC'!J35,"")</f>
        <v>#N/A</v>
      </c>
      <c r="C340" t="str">
        <f t="shared" si="16"/>
        <v>red_flag</v>
      </c>
      <c r="D340" s="2453" t="s">
        <v>1834</v>
      </c>
      <c r="E340" s="2455" t="e">
        <f t="shared" si="18"/>
        <v>#N/A</v>
      </c>
    </row>
    <row r="341" spans="1:5">
      <c r="A341" s="1222" t="s">
        <v>1843</v>
      </c>
      <c r="B341" s="13" t="e">
        <f>IF('Contribution NC'!J38&lt;&gt;"",'Contribution NC'!J38,"")</f>
        <v>#N/A</v>
      </c>
      <c r="C341" t="str">
        <f t="shared" si="16"/>
        <v>red_flag</v>
      </c>
      <c r="D341" s="2453" t="s">
        <v>1834</v>
      </c>
      <c r="E341" s="2455" t="e">
        <f t="shared" si="18"/>
        <v>#N/A</v>
      </c>
    </row>
    <row r="342" spans="1:5">
      <c r="A342" s="1222" t="s">
        <v>1865</v>
      </c>
      <c r="B342" s="13" t="e">
        <f>IF('Contribution NC'!J37&lt;&gt;"",'Contribution NC'!J37,"")</f>
        <v>#N/A</v>
      </c>
      <c r="C342" t="str">
        <f t="shared" ref="C342:C344" si="19">IF($B$407,D342,"")</f>
        <v>red_flag</v>
      </c>
      <c r="D342" s="2453" t="s">
        <v>1834</v>
      </c>
      <c r="E342" s="2455" t="e">
        <f t="shared" si="18"/>
        <v>#N/A</v>
      </c>
    </row>
    <row r="343" spans="1:5">
      <c r="B343" s="13" t="str">
        <f>IF('Contribution NC'!J64&lt;&gt;"",'Contribution NC'!J64,"")</f>
        <v/>
      </c>
      <c r="C343">
        <f t="shared" si="19"/>
        <v>0</v>
      </c>
      <c r="E343" s="2455"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ressources</v>
      </c>
      <c r="D344" s="2453" t="s">
        <v>1836</v>
      </c>
      <c r="E344" s="2455"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5"/>
    </row>
    <row r="346" spans="1:5" ht="37.5" customHeight="1">
      <c r="A346" s="2375" t="s">
        <v>1877</v>
      </c>
      <c r="B346" s="2226" t="str">
        <f>'Modèle Calcul A-R + Sommaire'!BD1</f>
        <v xml:space="preserve">Comment se comporte l'enfant face à son contexte familial et face à l’exposition de comportements préjudiciables ? </v>
      </c>
      <c r="C346" t="str">
        <f>IF($B$408,D346,"")</f>
        <v>subsection-title</v>
      </c>
      <c r="D346" s="2453" t="s">
        <v>1808</v>
      </c>
      <c r="E346" s="2455" t="str">
        <f>B346</f>
        <v xml:space="preserve">Comment se comporte l'enfant face à son contexte familial et face à l’exposition de comportements préjudiciables ? </v>
      </c>
    </row>
    <row r="347" spans="1:5" ht="46.5" customHeight="1">
      <c r="A347" t="s">
        <v>1809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53" t="s">
        <v>1810</v>
      </c>
      <c r="E347" s="2455"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53" t="s">
        <v>1811</v>
      </c>
      <c r="E348" s="2455"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53" t="s">
        <v>1814</v>
      </c>
      <c r="E349" s="2455"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11" t="str">
        <f>IF('Cpts miroirs des parents'!S190&lt;&gt;"",'Cpts miroirs des parents'!S190,"")</f>
        <v/>
      </c>
      <c r="C350">
        <f t="shared" si="20"/>
        <v>0</v>
      </c>
      <c r="E350" s="2455" t="str">
        <f t="shared" si="21"/>
        <v/>
      </c>
    </row>
    <row r="351" spans="1:5" ht="110" customHeight="1">
      <c r="A351" s="68" t="s">
        <v>1880</v>
      </c>
      <c r="B351" s="2411" t="str">
        <f>IF('TEST_pour PROTOTYPE'!F571&lt;&gt;"",'TEST_pour PROTOTYPE'!F571,"")</f>
        <v/>
      </c>
      <c r="C351" t="str">
        <f t="shared" si="20"/>
        <v>theme</v>
      </c>
      <c r="D351" s="2453" t="s">
        <v>1817</v>
      </c>
      <c r="E351" s="2455" t="str">
        <f t="shared" si="21"/>
        <v/>
      </c>
    </row>
    <row r="352" spans="1:5" s="7" customFormat="1" ht="54" customHeight="1">
      <c r="A352" s="68" t="s">
        <v>1881</v>
      </c>
      <c r="B352" s="765" t="str">
        <f>IF('TEST_pour PROTOTYPE'!F572&lt;&gt;"",'TEST_pour PROTOTYPE'!F572,"")</f>
        <v/>
      </c>
      <c r="C352" t="str">
        <f t="shared" si="20"/>
        <v>theme</v>
      </c>
      <c r="D352" s="2453" t="s">
        <v>1817</v>
      </c>
      <c r="E352" s="2455" t="str">
        <f t="shared" si="21"/>
        <v/>
      </c>
    </row>
    <row r="353" spans="1:5" s="7" customFormat="1" ht="54" customHeight="1">
      <c r="A353" s="68" t="s">
        <v>1882</v>
      </c>
      <c r="B353" s="765" t="str">
        <f>IF('TEST_pour PROTOTYPE'!F573&lt;&gt;"",'TEST_pour PROTOTYPE'!F573,"")</f>
        <v/>
      </c>
      <c r="C353" t="str">
        <f t="shared" si="20"/>
        <v>theme</v>
      </c>
      <c r="D353" s="2453" t="s">
        <v>1817</v>
      </c>
      <c r="E353" s="2455" t="str">
        <f t="shared" si="21"/>
        <v/>
      </c>
    </row>
    <row r="354" spans="1:5" s="7" customFormat="1" ht="67" customHeight="1">
      <c r="A354" s="68" t="s">
        <v>1883</v>
      </c>
      <c r="B354" s="765" t="str">
        <f>IF('TEST_pour PROTOTYPE'!F574&lt;&gt;"",'TEST_pour PROTOTYPE'!F574,"")</f>
        <v/>
      </c>
      <c r="C354" t="str">
        <f t="shared" si="20"/>
        <v>theme</v>
      </c>
      <c r="D354" s="2453" t="s">
        <v>1817</v>
      </c>
      <c r="E354" s="2455" t="str">
        <f t="shared" si="21"/>
        <v/>
      </c>
    </row>
    <row r="355" spans="1:5" s="7" customFormat="1" ht="83" customHeight="1">
      <c r="A355" s="68" t="s">
        <v>1884</v>
      </c>
      <c r="B355" s="765" t="str">
        <f>IF('TEST_pour PROTOTYPE'!F575&lt;&gt;"",'TEST_pour PROTOTYPE'!F575,"")</f>
        <v/>
      </c>
      <c r="C355" t="str">
        <f t="shared" si="20"/>
        <v>theme</v>
      </c>
      <c r="D355" s="2453" t="s">
        <v>1817</v>
      </c>
      <c r="E355" s="2455" t="str">
        <f t="shared" si="21"/>
        <v/>
      </c>
    </row>
    <row r="356" spans="1:5" ht="54" customHeight="1">
      <c r="A356" s="68" t="s">
        <v>1885</v>
      </c>
      <c r="B356" s="2411" t="str">
        <f>IF('TEST_pour PROTOTYPE'!F576&lt;&gt;"",'TEST_pour PROTOTYPE'!F576,"")</f>
        <v/>
      </c>
      <c r="C356" t="str">
        <f t="shared" si="20"/>
        <v>theme</v>
      </c>
      <c r="D356" s="2453" t="s">
        <v>1817</v>
      </c>
      <c r="E356" s="2455" t="str">
        <f t="shared" si="21"/>
        <v/>
      </c>
    </row>
    <row r="357" spans="1:5" ht="54" customHeight="1">
      <c r="A357" s="88" t="s">
        <v>1886</v>
      </c>
      <c r="B357" s="2411" t="str">
        <f>IF('TEST_pour PROTOTYPE'!F577&lt;&gt;"",'TEST_pour PROTOTYPE'!F577,"")</f>
        <v/>
      </c>
      <c r="C357" t="str">
        <f t="shared" si="20"/>
        <v>theme</v>
      </c>
      <c r="D357" s="2453" t="s">
        <v>1817</v>
      </c>
      <c r="E357" s="2455" t="str">
        <f t="shared" si="21"/>
        <v/>
      </c>
    </row>
    <row r="358" spans="1:5" ht="48" customHeight="1">
      <c r="A358" s="765" t="s">
        <v>1821</v>
      </c>
      <c r="B358" s="2411"/>
      <c r="C358" t="str">
        <f t="shared" si="20"/>
        <v>theme</v>
      </c>
      <c r="D358" s="2453" t="s">
        <v>1817</v>
      </c>
      <c r="E358" s="2455">
        <f t="shared" si="21"/>
        <v>0</v>
      </c>
    </row>
    <row r="359" spans="1:5" ht="23.5" customHeight="1">
      <c r="A359" s="36" t="s">
        <v>1822</v>
      </c>
      <c r="C359" t="str">
        <f t="shared" si="20"/>
        <v>flag_introduction</v>
      </c>
      <c r="D359" s="2453" t="s">
        <v>1823</v>
      </c>
      <c r="E359" s="2455">
        <f t="shared" si="21"/>
        <v>0</v>
      </c>
    </row>
    <row r="360" spans="1:5">
      <c r="B360" s="13" t="s">
        <v>1824</v>
      </c>
      <c r="C360">
        <f t="shared" si="20"/>
        <v>0</v>
      </c>
      <c r="E360" s="2455" t="str">
        <f t="shared" si="21"/>
        <v>Drapeaux jaunes 🟡</v>
      </c>
    </row>
    <row r="361" spans="1:5">
      <c r="A361" t="s">
        <v>1825</v>
      </c>
      <c r="C361" t="str">
        <f t="shared" si="20"/>
        <v>yellow_flag</v>
      </c>
      <c r="D361" s="2453" t="s">
        <v>1827</v>
      </c>
      <c r="E361" s="2455">
        <f t="shared" si="21"/>
        <v>0</v>
      </c>
    </row>
    <row r="362" spans="1:5">
      <c r="A362" t="s">
        <v>1887</v>
      </c>
      <c r="B362" s="13" t="str">
        <f>IF('TEST_pour PROTOTYPE'!F571&lt;&gt;"",'TEST_pour PROTOTYPE'!H571,"")</f>
        <v/>
      </c>
      <c r="C362" t="str">
        <f t="shared" si="20"/>
        <v>yellow_flag</v>
      </c>
      <c r="D362" s="2453" t="s">
        <v>1827</v>
      </c>
      <c r="E362" s="2455" t="str">
        <f t="shared" si="21"/>
        <v/>
      </c>
    </row>
    <row r="363" spans="1:5" ht="30" customHeight="1">
      <c r="A363" t="s">
        <v>1888</v>
      </c>
      <c r="B363" s="13" t="str">
        <f>IF('TEST_pour PROTOTYPE'!F572&lt;&gt;"",'TEST_pour PROTOTYPE'!H572,"")</f>
        <v/>
      </c>
      <c r="C363" t="str">
        <f t="shared" si="20"/>
        <v>yellow_flag</v>
      </c>
      <c r="D363" s="2453" t="s">
        <v>1827</v>
      </c>
      <c r="E363" s="2455" t="str">
        <f t="shared" si="21"/>
        <v/>
      </c>
    </row>
    <row r="364" spans="1:5" ht="40" customHeight="1">
      <c r="A364" t="s">
        <v>1889</v>
      </c>
      <c r="B364" s="13" t="str">
        <f>IF('TEST_pour PROTOTYPE'!F573&lt;&gt;"",'TEST_pour PROTOTYPE'!H573,"")</f>
        <v/>
      </c>
      <c r="C364" t="str">
        <f t="shared" si="20"/>
        <v>yellow_flag</v>
      </c>
      <c r="D364" s="2453" t="s">
        <v>1827</v>
      </c>
      <c r="E364" s="2455" t="str">
        <f t="shared" si="21"/>
        <v/>
      </c>
    </row>
    <row r="365" spans="1:5">
      <c r="A365" t="s">
        <v>1890</v>
      </c>
      <c r="B365" s="13" t="str">
        <f>IF('TEST_pour PROTOTYPE'!F574&lt;&gt;"",'TEST_pour PROTOTYPE'!H574,"")</f>
        <v/>
      </c>
      <c r="C365" t="str">
        <f t="shared" si="20"/>
        <v>yellow_flag</v>
      </c>
      <c r="D365" s="2453" t="s">
        <v>1827</v>
      </c>
      <c r="E365" s="2455" t="str">
        <f t="shared" si="21"/>
        <v/>
      </c>
    </row>
    <row r="366" spans="1:5">
      <c r="A366" t="s">
        <v>1891</v>
      </c>
      <c r="B366" s="13" t="str">
        <f>IF('TEST_pour PROTOTYPE'!F575&lt;&gt;"",'TEST_pour PROTOTYPE'!H575,"")</f>
        <v/>
      </c>
      <c r="C366" t="str">
        <f t="shared" si="20"/>
        <v>yellow_flag</v>
      </c>
      <c r="D366" s="2453" t="s">
        <v>1827</v>
      </c>
      <c r="E366" s="2455" t="str">
        <f t="shared" si="21"/>
        <v/>
      </c>
    </row>
    <row r="367" spans="1:5">
      <c r="A367" t="s">
        <v>1892</v>
      </c>
      <c r="B367" s="13" t="str">
        <f>IF('TEST_pour PROTOTYPE'!F576&lt;&gt;"",'TEST_pour PROTOTYPE'!H576,"")</f>
        <v/>
      </c>
      <c r="C367" t="str">
        <f t="shared" si="20"/>
        <v>yellow_flag</v>
      </c>
      <c r="D367" s="2453" t="s">
        <v>1827</v>
      </c>
      <c r="E367" s="2455" t="str">
        <f t="shared" si="21"/>
        <v/>
      </c>
    </row>
    <row r="368" spans="1:5">
      <c r="A368" t="s">
        <v>1893</v>
      </c>
      <c r="B368" s="13" t="str">
        <f>IF('TEST_pour PROTOTYPE'!F577&lt;&gt;"",'TEST_pour PROTOTYPE'!H577,"")</f>
        <v/>
      </c>
      <c r="C368" t="str">
        <f t="shared" si="20"/>
        <v>yellow_flag</v>
      </c>
      <c r="D368" s="2453" t="s">
        <v>1827</v>
      </c>
      <c r="E368" s="2455" t="str">
        <f t="shared" si="21"/>
        <v/>
      </c>
    </row>
    <row r="369" spans="1:5">
      <c r="A369" t="s">
        <v>1894</v>
      </c>
      <c r="C369" t="str">
        <f t="shared" si="20"/>
        <v>yellow_flag</v>
      </c>
      <c r="D369" s="2453" t="s">
        <v>1827</v>
      </c>
      <c r="E369" s="2455">
        <f t="shared" si="21"/>
        <v>0</v>
      </c>
    </row>
    <row r="370" spans="1:5">
      <c r="B370" s="13" t="s">
        <v>1833</v>
      </c>
      <c r="C370">
        <f t="shared" si="20"/>
        <v>0</v>
      </c>
      <c r="E370" s="2455" t="str">
        <f t="shared" si="21"/>
        <v>Drapeaux rouges 🔴</v>
      </c>
    </row>
    <row r="371" spans="1:5">
      <c r="A371" t="s">
        <v>1825</v>
      </c>
      <c r="C371">
        <f t="shared" si="20"/>
        <v>0</v>
      </c>
      <c r="E371" s="2455">
        <f t="shared" si="21"/>
        <v>0</v>
      </c>
    </row>
    <row r="372" spans="1:5">
      <c r="A372" t="s">
        <v>1887</v>
      </c>
      <c r="B372" s="13" t="str">
        <f>IF('TEST_pour PROTOTYPE'!F571&lt;&gt;"",'TEST_pour PROTOTYPE'!I571,"")</f>
        <v/>
      </c>
      <c r="C372" t="str">
        <f t="shared" si="20"/>
        <v>red_flag</v>
      </c>
      <c r="D372" s="2453" t="s">
        <v>1834</v>
      </c>
      <c r="E372" s="2455" t="str">
        <f t="shared" si="21"/>
        <v/>
      </c>
    </row>
    <row r="373" spans="1:5">
      <c r="A373" t="s">
        <v>1888</v>
      </c>
      <c r="B373" s="13" t="str">
        <f>IF('TEST_pour PROTOTYPE'!F572&lt;&gt;"",'TEST_pour PROTOTYPE'!I572,"")</f>
        <v/>
      </c>
      <c r="C373" t="str">
        <f t="shared" si="20"/>
        <v>red_flag</v>
      </c>
      <c r="D373" s="2453" t="s">
        <v>1834</v>
      </c>
      <c r="E373" s="2455" t="str">
        <f t="shared" si="21"/>
        <v/>
      </c>
    </row>
    <row r="374" spans="1:5">
      <c r="A374" t="s">
        <v>1889</v>
      </c>
      <c r="B374" s="13" t="str">
        <f>IF('TEST_pour PROTOTYPE'!F573&lt;&gt;"",'TEST_pour PROTOTYPE'!I573,"")</f>
        <v/>
      </c>
      <c r="C374" t="str">
        <f t="shared" si="20"/>
        <v>red_flag</v>
      </c>
      <c r="D374" s="2453" t="s">
        <v>1834</v>
      </c>
      <c r="E374" s="2455" t="str">
        <f t="shared" si="21"/>
        <v/>
      </c>
    </row>
    <row r="375" spans="1:5">
      <c r="A375" t="s">
        <v>1890</v>
      </c>
      <c r="B375" s="13" t="str">
        <f>IF('TEST_pour PROTOTYPE'!F574&lt;&gt;"",'TEST_pour PROTOTYPE'!I574,"")</f>
        <v/>
      </c>
      <c r="C375" t="str">
        <f t="shared" si="20"/>
        <v>red_flag</v>
      </c>
      <c r="D375" s="2453" t="s">
        <v>1834</v>
      </c>
      <c r="E375" s="2455" t="str">
        <f t="shared" si="21"/>
        <v/>
      </c>
    </row>
    <row r="376" spans="1:5">
      <c r="A376" t="s">
        <v>1891</v>
      </c>
      <c r="B376" s="13" t="str">
        <f>IF('TEST_pour PROTOTYPE'!F575&lt;&gt;"",'TEST_pour PROTOTYPE'!I575,"")</f>
        <v/>
      </c>
      <c r="C376" t="str">
        <f t="shared" si="20"/>
        <v>red_flag</v>
      </c>
      <c r="D376" s="2453" t="s">
        <v>1834</v>
      </c>
      <c r="E376" s="2455" t="str">
        <f t="shared" si="21"/>
        <v/>
      </c>
    </row>
    <row r="377" spans="1:5">
      <c r="A377" t="s">
        <v>1892</v>
      </c>
      <c r="B377" s="13" t="str">
        <f>IF('TEST_pour PROTOTYPE'!F576&lt;&gt;"",'TEST_pour PROTOTYPE'!I576,"")</f>
        <v/>
      </c>
      <c r="C377" t="str">
        <f t="shared" si="20"/>
        <v>red_flag</v>
      </c>
      <c r="D377" s="2453" t="s">
        <v>1834</v>
      </c>
      <c r="E377" s="2455" t="str">
        <f t="shared" si="21"/>
        <v/>
      </c>
    </row>
    <row r="378" spans="1:5">
      <c r="A378" t="s">
        <v>1893</v>
      </c>
      <c r="B378" s="13" t="str">
        <f>IF('TEST_pour PROTOTYPE'!F577&lt;&gt;"",'TEST_pour PROTOTYPE'!I577,"")</f>
        <v/>
      </c>
      <c r="C378" t="str">
        <f t="shared" si="20"/>
        <v>red_flag</v>
      </c>
      <c r="D378" s="2453" t="s">
        <v>1834</v>
      </c>
      <c r="E378" s="2455" t="str">
        <f t="shared" si="21"/>
        <v/>
      </c>
    </row>
    <row r="379" spans="1:5">
      <c r="A379" t="s">
        <v>1894</v>
      </c>
      <c r="C379" t="str">
        <f t="shared" si="20"/>
        <v>red_flag</v>
      </c>
      <c r="D379" s="2453" t="s">
        <v>1834</v>
      </c>
      <c r="E379" s="2455">
        <f t="shared" si="21"/>
        <v>0</v>
      </c>
    </row>
    <row r="380" spans="1:5">
      <c r="B380" s="13" t="str">
        <f>IF('Contribution NC'!J133&lt;&gt;"",'Contribution NC'!J133,"")</f>
        <v/>
      </c>
      <c r="C380">
        <f t="shared" si="20"/>
        <v>0</v>
      </c>
      <c r="E380" s="2455" t="str">
        <f t="shared" si="21"/>
        <v/>
      </c>
    </row>
    <row r="381" spans="1:5">
      <c r="A381" t="s">
        <v>1835</v>
      </c>
      <c r="B381" s="13">
        <f>'Contribution NC'!P111</f>
        <v>0</v>
      </c>
      <c r="C381" t="str">
        <f t="shared" si="20"/>
        <v>ressources</v>
      </c>
      <c r="D381" s="2453" t="s">
        <v>1836</v>
      </c>
      <c r="E381" s="2455">
        <f t="shared" si="21"/>
        <v>0</v>
      </c>
    </row>
    <row r="382" spans="1:5">
      <c r="C382" t="str">
        <f>IF('TEST_pour PROTOTYPE'!$B$694,D382,"")</f>
        <v/>
      </c>
    </row>
    <row r="400" spans="1:2">
      <c r="A400" s="57" t="s">
        <v>2595</v>
      </c>
      <c r="B400" s="1803"/>
    </row>
    <row r="401" spans="1:38">
      <c r="A401" s="57" t="s">
        <v>2596</v>
      </c>
      <c r="B401" s="1803" t="s">
        <v>2597</v>
      </c>
    </row>
    <row r="402" spans="1:38">
      <c r="A402" t="str">
        <f>'Contexte | CSS'!D1</f>
        <v>Votre contexte familial présente-t-il un risque de conflit parental ?</v>
      </c>
      <c r="B402" s="13">
        <v>1</v>
      </c>
    </row>
    <row r="403" spans="1:38">
      <c r="A403" t="str">
        <f>'Cpts miroirs des parents'!D5</f>
        <v>Est-ce que les coparents tendent vers une saine coparentalité ?</v>
      </c>
      <c r="B403" s="13">
        <v>1</v>
      </c>
    </row>
    <row r="404" spans="1:38">
      <c r="A404" t="str">
        <f>'Cpts miroirs des parents'!D11</f>
        <v>Est-ce que votre contexte de coparentalité tend à sécuriser ou à insécuriser votre enfant ?</v>
      </c>
      <c r="B404" s="13">
        <v>1</v>
      </c>
    </row>
    <row r="405" spans="1:38">
      <c r="A405" t="str">
        <f>'Cpts préjudiciables parents'!C2</f>
        <v xml:space="preserve">À quels comportements préjudiciables votre enfant-il exposé ? </v>
      </c>
      <c r="B405" s="13">
        <v>1</v>
      </c>
    </row>
    <row r="406" spans="1:38">
      <c r="A406" t="str">
        <f>'Indice D''exclusion'!D1</f>
        <v xml:space="preserve">L’autre parent adopte-t-il ou elle des comportements trahissant un désir d’exclusion parentale ? </v>
      </c>
      <c r="B406" s="13">
        <v>1</v>
      </c>
    </row>
    <row r="407" spans="1:38">
      <c r="A407" t="str">
        <f>'Contribution NC'!C2</f>
        <v xml:space="preserve">Quelle est la contribution du nouveau ou de la nouvelle conjoint·e dans la dynamique conflictuelle de coparentalité ? </v>
      </c>
      <c r="B407" s="13">
        <v>1</v>
      </c>
    </row>
    <row r="408" spans="1:38">
      <c r="A408" t="str">
        <f>'Modèle Calcul A-R + Sommaire'!BD1</f>
        <v xml:space="preserve">Comment se comporte l'enfant face à son contexte familial et face à l’exposition de comportements préjudiciables ? </v>
      </c>
      <c r="B408" s="13">
        <v>1</v>
      </c>
    </row>
    <row r="411" spans="1:38">
      <c r="B411"/>
      <c r="C411" s="824"/>
      <c r="D411" s="57"/>
      <c r="E411" s="3"/>
      <c r="F411" s="3"/>
      <c r="G411" s="3"/>
      <c r="H411" s="3"/>
      <c r="I411" s="5"/>
      <c r="J411" s="2"/>
      <c r="K411" s="1743"/>
      <c r="L411" s="5"/>
      <c r="M411" s="5"/>
      <c r="R411" s="2058"/>
      <c r="S411" s="1925"/>
      <c r="T411" s="1925"/>
      <c r="U411" s="2058"/>
      <c r="V411" s="2058"/>
      <c r="W411" s="2058"/>
      <c r="X411" s="2058"/>
      <c r="Y411" s="2357"/>
      <c r="Z411" s="2357"/>
      <c r="AA411" s="2357"/>
      <c r="AB411" s="2357"/>
      <c r="AC411" s="2357"/>
      <c r="AD411" s="2357"/>
      <c r="AE411" s="2357"/>
      <c r="AF411" s="2058"/>
      <c r="AL411" s="5"/>
    </row>
    <row r="412" spans="1:38">
      <c r="B412"/>
      <c r="C412" s="1747"/>
      <c r="D412" s="5"/>
      <c r="E412" s="5"/>
      <c r="F412" s="5"/>
      <c r="G412" s="5"/>
      <c r="H412" s="5"/>
      <c r="I412" s="5"/>
      <c r="J412" s="5"/>
      <c r="K412" s="5"/>
      <c r="L412" s="1"/>
      <c r="M412" s="5"/>
      <c r="O412" s="5"/>
      <c r="P412" s="5"/>
      <c r="S412" s="5"/>
      <c r="T412" s="2"/>
      <c r="U412" s="700"/>
      <c r="V412" s="5"/>
      <c r="W412" s="5"/>
      <c r="X412" s="5"/>
      <c r="Y412" s="5"/>
      <c r="Z412" s="5"/>
      <c r="AA412" s="90"/>
      <c r="AB412" s="90"/>
      <c r="AC412" s="90"/>
      <c r="AD412" s="90"/>
      <c r="AE412" s="90"/>
      <c r="AF412" s="90"/>
      <c r="AL412" s="5"/>
    </row>
    <row r="413" spans="1:38">
      <c r="B413"/>
      <c r="C413" s="57"/>
      <c r="D413" s="5"/>
      <c r="E413" s="5"/>
      <c r="G413" s="5"/>
      <c r="H413" s="5"/>
      <c r="I413" s="5"/>
      <c r="J413" s="5"/>
      <c r="K413" s="5"/>
      <c r="L413" s="5"/>
      <c r="M413" s="5"/>
      <c r="AL413" s="5"/>
    </row>
    <row r="414" spans="1:38">
      <c r="B414"/>
      <c r="D414" s="5"/>
      <c r="E414" s="5"/>
      <c r="G414" s="5"/>
      <c r="H414" s="5"/>
      <c r="I414" s="5"/>
      <c r="J414" s="5"/>
      <c r="K414" s="5"/>
      <c r="L414" s="5"/>
      <c r="M414" s="5"/>
      <c r="AL414" s="5"/>
    </row>
    <row r="415" spans="1:38">
      <c r="B415"/>
      <c r="D415" s="5"/>
      <c r="E415" s="5"/>
      <c r="G415" s="5"/>
      <c r="H415" s="5"/>
      <c r="I415" s="5"/>
      <c r="J415" s="5"/>
      <c r="K415" s="5"/>
      <c r="L415" s="5"/>
      <c r="M415" s="5"/>
      <c r="AL415" s="5"/>
    </row>
    <row r="416" spans="1:38">
      <c r="B416"/>
      <c r="D416" s="64"/>
      <c r="E416" s="5"/>
      <c r="G416" s="5"/>
      <c r="H416" s="5"/>
      <c r="I416" s="5"/>
      <c r="J416" s="5"/>
      <c r="K416" s="5"/>
      <c r="L416" s="5"/>
      <c r="M416" s="5"/>
      <c r="AL416" s="5"/>
    </row>
    <row r="417" spans="1:38">
      <c r="B417"/>
      <c r="C417" s="5"/>
      <c r="D417" s="5"/>
      <c r="E417" s="5"/>
      <c r="G417" s="5"/>
      <c r="H417" s="5"/>
      <c r="I417" s="5"/>
      <c r="J417" s="5"/>
      <c r="K417" s="5"/>
      <c r="L417" s="5"/>
      <c r="M417" s="5"/>
      <c r="AL417" s="5"/>
    </row>
    <row r="418" spans="1:38">
      <c r="B418"/>
      <c r="C418" s="5"/>
      <c r="D418" s="5"/>
      <c r="E418" s="5"/>
      <c r="G418" s="5"/>
      <c r="H418" s="5"/>
      <c r="I418" s="5"/>
      <c r="J418" s="5"/>
      <c r="K418" s="5"/>
      <c r="L418" s="5"/>
      <c r="M418" s="5"/>
      <c r="AL418" s="5"/>
    </row>
    <row r="419" spans="1:38">
      <c r="B419"/>
      <c r="C419" s="5"/>
      <c r="D419" s="5"/>
      <c r="E419" s="5"/>
      <c r="G419" s="5"/>
      <c r="H419" s="5"/>
      <c r="I419" s="5"/>
      <c r="J419" s="5"/>
      <c r="K419" s="5"/>
      <c r="L419" s="5"/>
      <c r="M419" s="5"/>
      <c r="AL419" s="5"/>
    </row>
    <row r="420" spans="1:38">
      <c r="B420"/>
      <c r="C420" s="5"/>
      <c r="D420" s="5"/>
      <c r="E420" s="5"/>
      <c r="G420" s="5"/>
      <c r="H420" s="5"/>
      <c r="I420" s="5"/>
      <c r="J420" s="5"/>
      <c r="K420" s="5"/>
      <c r="L420" s="5"/>
      <c r="M420" s="5"/>
      <c r="AL420" s="5"/>
    </row>
    <row r="421" spans="1:38">
      <c r="B421"/>
      <c r="D421" s="5"/>
      <c r="E421" s="5"/>
      <c r="G421" s="5"/>
      <c r="H421" s="5"/>
      <c r="I421" s="5"/>
      <c r="J421" s="5"/>
      <c r="K421" s="5"/>
      <c r="L421" s="5"/>
      <c r="M421" s="5"/>
      <c r="AL421" s="5"/>
    </row>
    <row r="422" spans="1:38">
      <c r="B422"/>
      <c r="D422" s="5"/>
      <c r="E422" s="5"/>
      <c r="G422" s="5"/>
      <c r="H422" s="5"/>
      <c r="I422" s="5"/>
      <c r="J422" s="5"/>
      <c r="K422" s="5"/>
      <c r="L422" s="5"/>
      <c r="M422" s="5"/>
      <c r="AL422" s="5"/>
    </row>
    <row r="423" spans="1:38">
      <c r="B423"/>
      <c r="D423" s="5"/>
      <c r="E423" s="5"/>
      <c r="G423" s="5"/>
      <c r="H423" s="5"/>
      <c r="I423" s="5"/>
      <c r="J423" s="5"/>
      <c r="K423" s="5"/>
      <c r="L423" s="5"/>
      <c r="M423" s="5"/>
      <c r="AL423" s="5"/>
    </row>
    <row r="424" spans="1:38">
      <c r="B424"/>
      <c r="D424" s="5"/>
      <c r="E424" s="5"/>
      <c r="G424" s="5"/>
      <c r="H424" s="5"/>
      <c r="I424" s="5"/>
      <c r="J424" s="5"/>
      <c r="K424" s="5"/>
      <c r="L424" s="5"/>
      <c r="M424" s="5"/>
      <c r="AL424" s="5"/>
    </row>
    <row r="425" spans="1:38">
      <c r="B425"/>
      <c r="D425" s="5"/>
      <c r="E425" s="5"/>
      <c r="G425" s="1680"/>
      <c r="H425" s="5"/>
      <c r="I425" s="5"/>
      <c r="J425" s="5"/>
      <c r="K425" s="5"/>
      <c r="L425" s="5"/>
      <c r="M425" s="5"/>
      <c r="AL425" s="5"/>
    </row>
    <row r="426" spans="1:38" ht="21">
      <c r="B426"/>
      <c r="C426" s="2"/>
      <c r="D426" s="5"/>
      <c r="E426" s="2264"/>
      <c r="F426" s="2536"/>
      <c r="G426" s="2474"/>
      <c r="H426" s="2474"/>
      <c r="I426" s="2474"/>
      <c r="J426" s="2474"/>
      <c r="K426" s="2474"/>
      <c r="L426" s="5"/>
      <c r="M426" s="5"/>
      <c r="N426" s="5"/>
      <c r="O426" s="5"/>
      <c r="P426" s="5"/>
      <c r="Q426" s="5"/>
      <c r="R426" s="5"/>
      <c r="S426" s="2"/>
      <c r="T426" s="5"/>
      <c r="U426" s="5"/>
      <c r="V426" s="5"/>
      <c r="W426" s="5"/>
      <c r="X426" s="5"/>
      <c r="Y426" s="2259"/>
      <c r="Z426" s="5"/>
      <c r="AA426" s="5"/>
      <c r="AL426" s="5"/>
    </row>
    <row r="427" spans="1:38">
      <c r="B427"/>
      <c r="D427" s="5"/>
      <c r="E427" s="5"/>
      <c r="G427" s="291"/>
      <c r="H427" s="5"/>
      <c r="I427" s="5"/>
      <c r="J427" s="5"/>
      <c r="K427" s="5"/>
      <c r="L427" s="5"/>
      <c r="M427" s="5"/>
      <c r="S427" s="2"/>
      <c r="AL427" s="5"/>
    </row>
    <row r="428" spans="1:38" ht="21">
      <c r="A428" s="2548"/>
      <c r="B428" s="2292"/>
      <c r="D428" s="5"/>
      <c r="E428" s="5"/>
      <c r="G428" s="5"/>
      <c r="H428" s="5"/>
      <c r="I428" s="5"/>
      <c r="J428" s="5"/>
      <c r="K428" s="5"/>
      <c r="L428" s="5"/>
      <c r="M428" s="5"/>
      <c r="AL428" s="5"/>
    </row>
    <row r="429" spans="1:38">
      <c r="A429" s="2458"/>
      <c r="B429" s="1745"/>
      <c r="D429" s="5"/>
      <c r="E429" s="5"/>
      <c r="G429" s="1680"/>
      <c r="H429" s="5"/>
      <c r="I429" s="1680"/>
      <c r="J429" s="1759"/>
      <c r="K429" s="5"/>
      <c r="L429" s="5"/>
      <c r="M429" s="5"/>
      <c r="AL429" s="5"/>
    </row>
    <row r="430" spans="1:38" ht="21">
      <c r="A430" s="2458"/>
      <c r="B430"/>
      <c r="C430" s="589"/>
      <c r="D430" s="2535"/>
      <c r="E430" s="2474"/>
      <c r="F430" s="2458"/>
      <c r="G430" s="2474"/>
      <c r="H430" s="2474"/>
      <c r="I430" s="2474"/>
      <c r="J430" s="1754"/>
      <c r="K430" s="5"/>
      <c r="L430" s="5"/>
      <c r="M430" s="5"/>
      <c r="T430" s="5"/>
      <c r="U430" s="2530"/>
      <c r="V430" s="2458"/>
      <c r="W430" s="2458"/>
      <c r="X430" s="2458"/>
      <c r="Y430" s="2458"/>
      <c r="Z430" s="1926"/>
      <c r="AA430" s="2474"/>
      <c r="AB430" s="2458"/>
      <c r="AC430" s="2458"/>
      <c r="AD430" s="2458"/>
      <c r="AE430" s="2458"/>
      <c r="AL430" s="5"/>
    </row>
    <row r="431" spans="1:38" ht="21">
      <c r="A431" s="2458"/>
      <c r="B431"/>
      <c r="C431" s="589"/>
      <c r="D431" s="700"/>
      <c r="E431" s="700"/>
      <c r="F431" s="5"/>
      <c r="G431" s="5"/>
      <c r="H431" s="5"/>
      <c r="I431" s="5"/>
      <c r="J431" s="11"/>
      <c r="K431" s="5"/>
      <c r="L431" s="5"/>
      <c r="M431" s="5"/>
      <c r="T431" s="5"/>
      <c r="U431" s="1926"/>
      <c r="V431" s="1926"/>
      <c r="W431" s="1926"/>
      <c r="X431" s="1926"/>
      <c r="Y431" s="1926"/>
      <c r="Z431" s="1926"/>
      <c r="AA431" s="5"/>
      <c r="AB431" s="66"/>
      <c r="AC431" s="66"/>
      <c r="AD431" s="66"/>
      <c r="AE431" s="5"/>
      <c r="AL431" s="5"/>
    </row>
    <row r="432" spans="1:38">
      <c r="B432"/>
      <c r="C432" s="1672"/>
      <c r="D432" s="700"/>
      <c r="E432" s="700"/>
      <c r="F432" s="5"/>
      <c r="G432" s="5"/>
      <c r="H432" s="90"/>
      <c r="I432" s="90"/>
      <c r="J432" s="5"/>
      <c r="K432" s="5"/>
      <c r="L432" s="5"/>
      <c r="M432" s="5"/>
      <c r="T432" s="5"/>
      <c r="U432" s="1"/>
      <c r="V432" s="1"/>
      <c r="W432" s="1"/>
      <c r="X432" s="1"/>
      <c r="Y432" s="1"/>
      <c r="Z432" s="1"/>
      <c r="AB432" s="1"/>
      <c r="AC432" s="1"/>
      <c r="AD432" s="1"/>
      <c r="AE432" s="1"/>
      <c r="AL432" s="5"/>
    </row>
    <row r="433" spans="1:38">
      <c r="A433" s="2547"/>
      <c r="B433"/>
      <c r="C433" s="1672"/>
      <c r="D433" s="90"/>
      <c r="E433" s="90"/>
      <c r="F433" s="90"/>
      <c r="G433" s="90"/>
      <c r="H433" s="90"/>
      <c r="I433" s="90"/>
      <c r="J433" s="5"/>
      <c r="K433" s="5"/>
      <c r="L433" s="5"/>
      <c r="M433" s="5"/>
      <c r="T433" s="2"/>
      <c r="U433" s="5"/>
      <c r="V433" s="5"/>
      <c r="W433" s="5"/>
      <c r="X433" s="5"/>
      <c r="Y433" s="5"/>
      <c r="Z433" s="5"/>
      <c r="AB433" s="90"/>
      <c r="AC433" s="90"/>
      <c r="AD433" s="90"/>
      <c r="AL433" s="5"/>
    </row>
    <row r="434" spans="1:38" ht="18.5">
      <c r="A434" s="2458"/>
      <c r="B434" s="407"/>
      <c r="D434" s="5"/>
      <c r="E434" s="5"/>
      <c r="G434" s="5"/>
      <c r="H434" s="5"/>
      <c r="I434" s="5"/>
      <c r="J434" s="5"/>
      <c r="K434" s="5"/>
      <c r="L434" s="5"/>
      <c r="M434" s="5"/>
      <c r="AL434" s="5"/>
    </row>
    <row r="435" spans="1:38">
      <c r="B435"/>
      <c r="D435" s="5"/>
      <c r="E435" s="5"/>
      <c r="G435" s="1680"/>
      <c r="H435" s="5"/>
      <c r="I435" s="5"/>
      <c r="J435" s="25"/>
      <c r="K435" s="25"/>
      <c r="L435" s="5"/>
      <c r="M435" s="5"/>
      <c r="AL435" s="5"/>
    </row>
    <row r="436" spans="1:38">
      <c r="B436"/>
      <c r="D436" s="5"/>
      <c r="E436" s="5"/>
      <c r="G436" s="1680"/>
      <c r="H436" s="5"/>
      <c r="I436" s="5"/>
      <c r="J436" s="25"/>
      <c r="K436" s="25"/>
      <c r="L436" s="5"/>
      <c r="M436" s="5"/>
      <c r="AL436" s="5"/>
    </row>
    <row r="437" spans="1:38" ht="18.5">
      <c r="B437"/>
      <c r="D437" s="5"/>
      <c r="E437" s="2264"/>
      <c r="F437" s="2533"/>
      <c r="G437" s="2474"/>
      <c r="H437" s="2474"/>
      <c r="I437" s="2474"/>
      <c r="J437" s="2474"/>
      <c r="K437" s="25"/>
      <c r="L437" s="5"/>
      <c r="M437" s="5"/>
      <c r="AL437" s="5"/>
    </row>
    <row r="438" spans="1:38">
      <c r="B438"/>
      <c r="D438" s="5"/>
      <c r="E438" s="5"/>
      <c r="G438" s="1680"/>
      <c r="H438" s="5"/>
      <c r="I438" s="5"/>
      <c r="J438" s="5"/>
      <c r="K438" s="5"/>
      <c r="L438" s="5"/>
      <c r="M438" s="5"/>
      <c r="AL438" s="5"/>
    </row>
    <row r="439" spans="1:38">
      <c r="B439"/>
      <c r="D439" s="5"/>
      <c r="E439" s="5"/>
      <c r="G439" s="5"/>
      <c r="H439" s="5"/>
      <c r="I439" s="5"/>
      <c r="J439" s="5"/>
      <c r="K439" s="5"/>
      <c r="L439" s="5"/>
      <c r="M439" s="5"/>
      <c r="AL439" s="5"/>
    </row>
    <row r="440" spans="1:38" ht="23.5">
      <c r="B440" s="1748"/>
      <c r="D440" s="5"/>
      <c r="E440" s="5"/>
      <c r="G440" s="5"/>
      <c r="H440" s="5"/>
      <c r="I440" s="5"/>
      <c r="J440" s="5"/>
      <c r="K440" s="5"/>
      <c r="L440" s="5"/>
      <c r="M440" s="5"/>
      <c r="T440" s="2530"/>
      <c r="U440" s="2458"/>
      <c r="V440" s="2458"/>
      <c r="W440" s="2458"/>
      <c r="X440" s="2458"/>
      <c r="AL440" s="5"/>
    </row>
    <row r="441" spans="1:38" ht="21">
      <c r="B441" s="1716"/>
      <c r="D441" s="5"/>
      <c r="E441" s="5"/>
      <c r="G441" s="291"/>
      <c r="H441" s="5"/>
      <c r="I441" s="5"/>
      <c r="J441" s="5"/>
      <c r="K441" s="5"/>
      <c r="L441" s="5"/>
      <c r="M441" s="5"/>
      <c r="AL441" s="5"/>
    </row>
    <row r="442" spans="1:38" ht="18.5">
      <c r="B442" s="1744"/>
      <c r="D442" s="5"/>
      <c r="E442" s="5"/>
      <c r="F442" s="1680"/>
      <c r="G442" s="1680"/>
      <c r="H442" s="5"/>
      <c r="I442" s="5"/>
      <c r="J442" s="5"/>
      <c r="K442" s="5"/>
      <c r="L442" s="5"/>
      <c r="M442" s="5"/>
      <c r="AL442" s="5"/>
    </row>
    <row r="443" spans="1:38">
      <c r="B443"/>
      <c r="D443" s="5"/>
      <c r="E443" s="1758"/>
      <c r="F443" s="1759"/>
      <c r="G443" s="1760"/>
      <c r="H443" s="1758"/>
      <c r="I443" s="1758"/>
      <c r="J443" s="5"/>
      <c r="K443" s="5"/>
      <c r="L443" s="5"/>
      <c r="M443" s="5"/>
      <c r="AL443" s="5"/>
    </row>
    <row r="444" spans="1:38">
      <c r="B444"/>
      <c r="D444" s="5"/>
      <c r="E444" s="5"/>
      <c r="G444" s="1680"/>
      <c r="H444" s="5"/>
      <c r="I444" s="5"/>
      <c r="J444" s="5"/>
      <c r="K444" s="5"/>
      <c r="L444" s="5"/>
      <c r="M444" s="5"/>
      <c r="AL444" s="5"/>
    </row>
    <row r="445" spans="1:38">
      <c r="B445"/>
      <c r="C445" s="1681"/>
      <c r="D445" s="2535"/>
      <c r="E445" s="2474"/>
      <c r="F445" s="2458"/>
      <c r="G445" s="2474"/>
      <c r="H445" s="2474"/>
      <c r="I445" s="2474"/>
      <c r="J445" s="5"/>
      <c r="K445" s="5"/>
      <c r="L445" s="5"/>
      <c r="M445" s="5"/>
      <c r="AL445" s="5"/>
    </row>
    <row r="446" spans="1:38">
      <c r="B446"/>
      <c r="C446" s="587"/>
      <c r="D446" s="700"/>
      <c r="E446" s="700"/>
      <c r="F446" s="5"/>
      <c r="G446" s="5"/>
      <c r="H446" s="5"/>
      <c r="I446" s="5"/>
      <c r="J446" s="5"/>
      <c r="K446" s="5"/>
      <c r="L446" s="5"/>
      <c r="M446" s="5"/>
      <c r="AL446" s="5"/>
    </row>
    <row r="447" spans="1:38">
      <c r="B447"/>
      <c r="C447" s="587"/>
      <c r="D447" s="700"/>
      <c r="E447" s="700"/>
      <c r="F447" s="5"/>
      <c r="G447" s="5"/>
      <c r="H447" s="5"/>
      <c r="I447" s="5"/>
      <c r="J447" s="5"/>
      <c r="K447" s="5"/>
      <c r="L447" s="5"/>
      <c r="M447" s="5"/>
      <c r="AL447" s="5"/>
    </row>
    <row r="448" spans="1:38">
      <c r="B448"/>
      <c r="C448" s="1672"/>
      <c r="D448" s="90"/>
      <c r="E448" s="90"/>
      <c r="F448" s="90"/>
      <c r="G448" s="90"/>
      <c r="H448" s="90"/>
      <c r="I448" s="90"/>
      <c r="J448" s="5"/>
      <c r="K448" s="5"/>
      <c r="L448" s="5"/>
      <c r="M448" s="5"/>
      <c r="AL448" s="5"/>
    </row>
    <row r="449" spans="1:41">
      <c r="B449"/>
      <c r="C449" s="1672"/>
      <c r="D449" s="1359"/>
      <c r="E449" s="5"/>
      <c r="G449" s="5"/>
      <c r="H449" s="5"/>
      <c r="I449" s="5"/>
      <c r="J449" s="5"/>
      <c r="K449" s="5"/>
      <c r="L449" s="5"/>
      <c r="M449" s="5"/>
      <c r="AL449" s="5"/>
    </row>
    <row r="450" spans="1:41">
      <c r="B450"/>
      <c r="C450" s="1743"/>
      <c r="D450" s="1359"/>
      <c r="E450" s="5"/>
      <c r="G450" s="5"/>
      <c r="H450" s="5"/>
      <c r="I450" s="5"/>
      <c r="J450" s="5"/>
      <c r="K450" s="5"/>
      <c r="L450" s="5"/>
      <c r="M450" s="5"/>
      <c r="AL450" s="5"/>
    </row>
    <row r="451" spans="1:41">
      <c r="B451"/>
      <c r="C451" s="1743"/>
      <c r="D451" s="1359"/>
      <c r="E451" s="5"/>
      <c r="G451" s="5"/>
      <c r="H451" s="5"/>
      <c r="I451" s="5"/>
      <c r="J451" s="5"/>
      <c r="K451" s="5"/>
      <c r="L451" s="5"/>
      <c r="M451" s="5"/>
      <c r="AL451" s="5"/>
    </row>
    <row r="452" spans="1:41">
      <c r="B452"/>
      <c r="D452" s="5"/>
      <c r="E452" s="5"/>
      <c r="G452" s="5"/>
      <c r="H452" s="5"/>
      <c r="I452" s="5"/>
      <c r="J452" s="2"/>
      <c r="K452" s="5"/>
      <c r="L452" s="5"/>
      <c r="M452" s="5"/>
      <c r="AL452" s="5"/>
    </row>
    <row r="453" spans="1:41" ht="28.5">
      <c r="B453"/>
      <c r="D453" s="5"/>
      <c r="E453" s="2264"/>
      <c r="F453" s="2291"/>
      <c r="G453" s="1765"/>
      <c r="H453" s="5"/>
      <c r="I453" s="5"/>
      <c r="J453" s="5"/>
      <c r="K453" s="5"/>
      <c r="L453" s="5"/>
      <c r="M453" s="5"/>
      <c r="AL453" s="5"/>
    </row>
    <row r="454" spans="1:41" ht="21">
      <c r="B454" s="407"/>
      <c r="D454" s="5"/>
      <c r="E454" s="5"/>
      <c r="G454" s="5"/>
      <c r="H454" s="5"/>
      <c r="I454" s="5"/>
      <c r="J454" s="1680"/>
      <c r="K454" s="5"/>
      <c r="L454" s="5"/>
      <c r="M454" s="5"/>
      <c r="T454" s="1926"/>
      <c r="U454" s="1926"/>
      <c r="V454" s="1926"/>
      <c r="W454" s="1926"/>
      <c r="AL454" s="5"/>
    </row>
    <row r="455" spans="1:41">
      <c r="B455" s="1745"/>
      <c r="D455" s="5"/>
      <c r="E455" s="5"/>
      <c r="G455" s="1680"/>
      <c r="H455" s="5"/>
      <c r="I455" s="5"/>
      <c r="J455" s="5"/>
      <c r="K455" s="5"/>
      <c r="L455" s="5"/>
      <c r="M455" s="5"/>
      <c r="AL455" s="5"/>
    </row>
    <row r="456" spans="1:41">
      <c r="B456"/>
      <c r="D456" s="5"/>
      <c r="E456" s="5"/>
      <c r="G456" s="1753"/>
      <c r="H456" s="5"/>
      <c r="I456" s="5"/>
      <c r="J456" s="5"/>
      <c r="K456" s="5"/>
      <c r="L456" s="5"/>
      <c r="M456" s="5"/>
      <c r="AL456" s="5"/>
    </row>
    <row r="457" spans="1:41" ht="21">
      <c r="B457"/>
      <c r="D457" s="5"/>
      <c r="E457" s="5"/>
      <c r="G457" s="5"/>
      <c r="H457" s="5"/>
      <c r="I457" s="5"/>
      <c r="J457" s="5"/>
      <c r="K457" s="5"/>
      <c r="L457" s="5"/>
      <c r="M457" s="5"/>
      <c r="AI457" s="1772"/>
      <c r="AJ457" s="2432"/>
      <c r="AL457" s="5"/>
    </row>
    <row r="458" spans="1:41">
      <c r="B458"/>
      <c r="C458" s="5"/>
      <c r="D458" s="5"/>
      <c r="E458" s="5"/>
      <c r="G458" s="1680"/>
      <c r="H458" s="5"/>
      <c r="I458" s="5"/>
      <c r="J458" s="5"/>
      <c r="K458" s="5"/>
      <c r="L458" s="5"/>
      <c r="M458" s="5"/>
      <c r="AI458" s="1679"/>
      <c r="AJ458" s="587"/>
    </row>
    <row r="459" spans="1:41">
      <c r="B459"/>
      <c r="D459" s="2"/>
      <c r="E459" s="5"/>
      <c r="G459" s="5"/>
      <c r="H459" s="5"/>
      <c r="I459" s="5"/>
      <c r="J459" s="5"/>
      <c r="K459" s="5"/>
      <c r="L459" s="5"/>
      <c r="M459" s="5"/>
      <c r="S459" s="2"/>
      <c r="AI459" s="1679"/>
      <c r="AJ459" s="587"/>
    </row>
    <row r="460" spans="1:41">
      <c r="A460" s="7"/>
      <c r="B460" s="7"/>
      <c r="C460" s="7"/>
      <c r="D460" s="53"/>
      <c r="E460" s="8"/>
      <c r="F460" s="7"/>
      <c r="G460" s="1803"/>
      <c r="H460" s="1803"/>
      <c r="I460" s="1803"/>
      <c r="J460" s="2114"/>
      <c r="K460" s="8"/>
      <c r="L460" s="8"/>
      <c r="M460" s="8"/>
      <c r="N460" s="7"/>
      <c r="O460" s="7"/>
      <c r="P460" s="7"/>
      <c r="Q460" s="7"/>
      <c r="R460" s="7"/>
      <c r="S460" s="2"/>
      <c r="T460" s="7"/>
      <c r="U460" s="7"/>
      <c r="V460" s="7"/>
      <c r="W460" s="7"/>
      <c r="X460" s="7"/>
      <c r="Y460" s="7"/>
      <c r="Z460" s="7"/>
      <c r="AA460" s="7"/>
      <c r="AB460" s="7"/>
      <c r="AC460" s="7"/>
      <c r="AD460" s="7"/>
      <c r="AE460" s="7"/>
      <c r="AF460" s="7"/>
      <c r="AG460" s="7"/>
      <c r="AI460" s="1679"/>
      <c r="AJ460" s="587"/>
      <c r="AO460" s="7"/>
    </row>
    <row r="461" spans="1:41">
      <c r="B461"/>
      <c r="D461" s="2"/>
      <c r="E461" s="5"/>
      <c r="G461" s="13"/>
      <c r="H461" s="13"/>
      <c r="I461" s="13"/>
      <c r="J461" s="825"/>
      <c r="K461" s="5"/>
      <c r="L461" s="5"/>
      <c r="M461" s="5"/>
      <c r="S461" s="2"/>
      <c r="AI461" s="1679"/>
      <c r="AJ461" s="587"/>
    </row>
    <row r="462" spans="1:41">
      <c r="B462"/>
      <c r="D462" s="2"/>
      <c r="E462" s="5"/>
      <c r="G462" s="291"/>
      <c r="H462" s="5"/>
      <c r="I462" s="5"/>
      <c r="J462" s="5"/>
      <c r="K462" s="5"/>
      <c r="L462" s="5"/>
      <c r="M462" s="5"/>
      <c r="S462" s="2"/>
      <c r="AI462" s="1679"/>
      <c r="AJ462" s="587"/>
    </row>
    <row r="463" spans="1:41">
      <c r="B463"/>
      <c r="D463" s="2"/>
      <c r="E463" s="5"/>
      <c r="G463" s="291"/>
      <c r="H463" s="5"/>
      <c r="I463" s="5"/>
      <c r="J463" s="5"/>
      <c r="K463" s="5"/>
      <c r="L463" s="5"/>
      <c r="M463" s="5"/>
      <c r="S463" s="2"/>
      <c r="AI463" s="1719"/>
      <c r="AJ463" s="553"/>
    </row>
    <row r="464" spans="1:41">
      <c r="B464"/>
      <c r="D464" s="2"/>
      <c r="E464" s="5"/>
      <c r="G464" s="291"/>
      <c r="H464" s="5"/>
      <c r="I464" s="5"/>
      <c r="J464" s="5"/>
      <c r="K464" s="5"/>
      <c r="L464" s="5"/>
      <c r="M464" s="5"/>
      <c r="S464" s="2"/>
      <c r="AI464" s="1679"/>
      <c r="AJ464" s="587"/>
    </row>
    <row r="465" spans="2:36">
      <c r="B465"/>
      <c r="D465" s="2"/>
      <c r="E465" s="5"/>
      <c r="G465" s="291"/>
      <c r="H465" s="5"/>
      <c r="I465" s="5"/>
      <c r="J465" s="5"/>
      <c r="K465" s="5"/>
      <c r="L465" s="5"/>
      <c r="M465" s="5"/>
      <c r="S465" s="2"/>
      <c r="AI465" s="1679"/>
      <c r="AJ465" s="587"/>
    </row>
    <row r="466" spans="2:36">
      <c r="B466"/>
      <c r="D466" s="2"/>
      <c r="E466" s="5"/>
      <c r="G466" s="291"/>
      <c r="H466" s="5"/>
      <c r="I466" s="5"/>
      <c r="J466" s="5"/>
      <c r="K466" s="5"/>
      <c r="L466" s="5"/>
      <c r="M466" s="5"/>
      <c r="S466" s="2"/>
      <c r="AI466" s="1679"/>
      <c r="AJ466" s="587"/>
    </row>
    <row r="467" spans="2:36">
      <c r="B467"/>
      <c r="D467" s="2"/>
      <c r="E467" s="5"/>
      <c r="G467" s="291"/>
      <c r="H467" s="5"/>
      <c r="I467" s="5"/>
      <c r="J467" s="5"/>
      <c r="K467" s="5"/>
      <c r="L467" s="5"/>
      <c r="M467" s="5"/>
      <c r="S467" s="2"/>
      <c r="AI467" s="1679"/>
      <c r="AJ467" s="587"/>
    </row>
    <row r="468" spans="2:36">
      <c r="B468"/>
      <c r="D468" s="2"/>
      <c r="E468" s="5"/>
      <c r="G468" s="291"/>
      <c r="H468" s="5"/>
      <c r="I468" s="5"/>
      <c r="J468" s="5"/>
      <c r="K468" s="5"/>
      <c r="L468" s="5"/>
      <c r="M468" s="5"/>
      <c r="S468" s="2"/>
      <c r="AI468" s="1679"/>
      <c r="AJ468" s="587"/>
    </row>
    <row r="469" spans="2:36">
      <c r="B469"/>
      <c r="D469" s="2"/>
      <c r="E469" s="5"/>
      <c r="G469" s="291"/>
      <c r="H469" s="5"/>
      <c r="I469" s="5"/>
      <c r="J469" s="5"/>
      <c r="K469" s="5"/>
      <c r="L469" s="5"/>
      <c r="M469" s="5"/>
      <c r="S469" s="2"/>
      <c r="AI469" s="1679"/>
      <c r="AJ469" s="587"/>
    </row>
    <row r="470" spans="2:36">
      <c r="B470"/>
      <c r="D470" s="2"/>
      <c r="E470" s="5"/>
      <c r="G470" s="291"/>
      <c r="H470" s="5"/>
      <c r="I470" s="5"/>
      <c r="J470" s="5"/>
      <c r="K470" s="5"/>
      <c r="L470" s="5"/>
      <c r="M470" s="5"/>
      <c r="S470" s="2"/>
      <c r="AI470" s="1679"/>
      <c r="AJ470" s="587"/>
    </row>
    <row r="471" spans="2:36">
      <c r="B471"/>
      <c r="D471" s="2"/>
      <c r="E471" s="5"/>
      <c r="G471" s="291"/>
      <c r="H471" s="5"/>
      <c r="I471" s="5"/>
      <c r="J471" s="5"/>
      <c r="K471" s="5"/>
      <c r="L471" s="5"/>
      <c r="M471" s="5"/>
      <c r="S471" s="2"/>
      <c r="AI471" s="1679"/>
      <c r="AJ471" s="587"/>
    </row>
    <row r="472" spans="2:36">
      <c r="B472"/>
      <c r="D472" s="2"/>
      <c r="E472" s="5"/>
      <c r="G472" s="291"/>
      <c r="H472" s="5"/>
      <c r="I472" s="5"/>
      <c r="J472" s="5"/>
      <c r="K472" s="5"/>
      <c r="L472" s="5"/>
      <c r="M472" s="5"/>
      <c r="S472" s="2"/>
      <c r="AI472" s="1679"/>
      <c r="AJ472" s="587"/>
    </row>
    <row r="473" spans="2:36">
      <c r="B473"/>
      <c r="D473" s="2"/>
      <c r="E473" s="5"/>
      <c r="G473" s="291"/>
      <c r="H473" s="5"/>
      <c r="I473" s="5"/>
      <c r="J473" s="5"/>
      <c r="K473" s="5"/>
      <c r="L473" s="5"/>
      <c r="M473" s="5"/>
      <c r="S473" s="2"/>
      <c r="AI473" s="1679"/>
      <c r="AJ473" s="587"/>
    </row>
    <row r="474" spans="2:36">
      <c r="B474"/>
      <c r="D474" s="2"/>
      <c r="E474" s="5"/>
      <c r="G474" s="291"/>
      <c r="H474" s="5"/>
      <c r="I474" s="5"/>
      <c r="J474" s="5"/>
      <c r="K474" s="5"/>
      <c r="L474" s="5"/>
      <c r="M474" s="5"/>
      <c r="S474" s="2"/>
      <c r="AI474" s="1679"/>
      <c r="AJ474" s="587"/>
    </row>
    <row r="475" spans="2:36">
      <c r="B475"/>
      <c r="D475" s="2"/>
      <c r="E475" s="5"/>
      <c r="G475" s="291"/>
      <c r="H475" s="5"/>
      <c r="I475" s="5"/>
      <c r="J475" s="5"/>
      <c r="K475" s="5"/>
      <c r="L475" s="5"/>
      <c r="M475" s="5"/>
      <c r="S475" s="2"/>
      <c r="AI475" s="1679"/>
      <c r="AJ475" s="587"/>
    </row>
    <row r="476" spans="2:36">
      <c r="B476"/>
      <c r="D476" s="2"/>
      <c r="E476" s="5"/>
      <c r="G476" s="291"/>
      <c r="H476" s="5"/>
      <c r="I476" s="5"/>
      <c r="J476" s="5"/>
      <c r="K476" s="5"/>
      <c r="L476" s="5"/>
      <c r="M476" s="5"/>
      <c r="S476" s="2"/>
      <c r="AI476" s="1679"/>
      <c r="AJ476" s="587"/>
    </row>
    <row r="477" spans="2:36" ht="18.5">
      <c r="B477"/>
      <c r="D477" s="2"/>
      <c r="E477" s="5"/>
      <c r="G477" s="291"/>
      <c r="H477" s="5"/>
      <c r="I477" s="5"/>
      <c r="J477" s="5"/>
      <c r="K477" s="5"/>
      <c r="L477" s="2264"/>
      <c r="M477" s="80"/>
      <c r="S477" s="2"/>
      <c r="AI477" s="1679"/>
      <c r="AJ477" s="587"/>
    </row>
    <row r="478" spans="2:36" ht="18.5">
      <c r="B478"/>
      <c r="D478" s="2"/>
      <c r="E478" s="5"/>
      <c r="G478" s="5"/>
      <c r="H478" s="5"/>
      <c r="I478" s="5"/>
      <c r="J478" s="2261"/>
      <c r="K478" s="2261"/>
      <c r="L478" s="2261"/>
      <c r="M478" s="5"/>
      <c r="O478" s="2261"/>
      <c r="S478" s="2"/>
      <c r="AI478" s="1679"/>
      <c r="AJ478" s="587"/>
    </row>
    <row r="479" spans="2:36">
      <c r="B479"/>
      <c r="D479" s="2"/>
      <c r="E479" s="5"/>
      <c r="G479" s="291"/>
      <c r="H479" s="5"/>
      <c r="I479" s="5"/>
      <c r="J479" s="5"/>
      <c r="K479" s="5"/>
      <c r="L479" s="5"/>
      <c r="M479" s="5"/>
      <c r="S479" s="2"/>
      <c r="AI479" s="1679"/>
      <c r="AJ479" s="587"/>
    </row>
    <row r="480" spans="2:36">
      <c r="B480"/>
      <c r="D480" s="2"/>
      <c r="E480" s="5"/>
      <c r="G480" s="291"/>
      <c r="H480" s="5"/>
      <c r="I480" s="5"/>
      <c r="J480" s="5"/>
      <c r="K480" s="5"/>
      <c r="L480" s="5"/>
      <c r="M480" s="5"/>
      <c r="S480" s="2"/>
      <c r="AI480" s="1679"/>
      <c r="AJ480" s="587"/>
    </row>
    <row r="481" spans="2:38">
      <c r="B481"/>
      <c r="D481" s="2"/>
      <c r="E481" s="5"/>
      <c r="G481" s="291"/>
      <c r="H481" s="5"/>
      <c r="I481" s="5"/>
      <c r="J481" s="5"/>
      <c r="K481" s="5"/>
      <c r="L481" s="5"/>
      <c r="M481" s="5"/>
      <c r="S481" s="2"/>
      <c r="AI481" s="1679"/>
      <c r="AJ481" s="587"/>
    </row>
    <row r="482" spans="2:38">
      <c r="B482"/>
      <c r="D482" s="2"/>
      <c r="E482" s="5"/>
      <c r="G482" s="5"/>
      <c r="H482" s="5"/>
      <c r="I482" s="5"/>
      <c r="J482" s="5"/>
      <c r="K482" s="5"/>
      <c r="L482" s="5"/>
      <c r="M482" s="5"/>
      <c r="S482" s="2"/>
      <c r="AI482" s="1679"/>
      <c r="AJ482" s="587"/>
    </row>
    <row r="483" spans="2:38">
      <c r="B483"/>
      <c r="D483" s="2"/>
      <c r="E483" s="5"/>
      <c r="G483" s="5"/>
      <c r="H483" s="5"/>
      <c r="I483" s="5"/>
      <c r="J483" s="5"/>
      <c r="K483" s="5"/>
      <c r="L483" s="5"/>
      <c r="M483" s="5"/>
      <c r="S483" s="2"/>
      <c r="AI483" s="1679"/>
      <c r="AJ483" s="587"/>
    </row>
    <row r="484" spans="2:38">
      <c r="B484"/>
      <c r="C484" s="5"/>
      <c r="D484" s="2"/>
      <c r="E484" s="5"/>
      <c r="G484" s="5"/>
      <c r="H484" s="5"/>
      <c r="I484" s="5"/>
      <c r="J484" s="5"/>
      <c r="K484" s="5"/>
      <c r="L484" s="5"/>
      <c r="M484" s="5"/>
      <c r="S484" s="2"/>
      <c r="AI484" s="1679"/>
      <c r="AJ484" s="587"/>
    </row>
    <row r="485" spans="2:38">
      <c r="B485"/>
      <c r="C485" s="5"/>
      <c r="D485" s="2"/>
      <c r="E485" s="5"/>
      <c r="G485" s="5"/>
      <c r="H485" s="5"/>
      <c r="I485" s="5"/>
      <c r="J485" s="5"/>
      <c r="K485" s="5"/>
      <c r="L485" s="5"/>
      <c r="M485" s="5"/>
      <c r="S485" s="2"/>
      <c r="AI485" s="1679"/>
      <c r="AJ485" s="587"/>
      <c r="AL485" s="5"/>
    </row>
    <row r="486" spans="2:38">
      <c r="B486"/>
      <c r="C486" s="5"/>
      <c r="D486" s="2"/>
      <c r="E486" s="5"/>
      <c r="G486" s="5"/>
      <c r="H486" s="5"/>
      <c r="I486" s="5"/>
      <c r="J486" s="5"/>
      <c r="K486" s="5"/>
      <c r="L486" s="5"/>
      <c r="M486" s="5"/>
      <c r="S486" s="2"/>
      <c r="AI486" s="1679"/>
      <c r="AJ486" s="587"/>
      <c r="AL486" s="5"/>
    </row>
    <row r="487" spans="2:38">
      <c r="B487"/>
      <c r="C487" s="5"/>
      <c r="D487" s="2"/>
      <c r="E487" s="5"/>
      <c r="G487" s="5"/>
      <c r="H487" s="5"/>
      <c r="I487" s="5"/>
      <c r="J487" s="5"/>
      <c r="K487" s="5"/>
      <c r="L487" s="5"/>
      <c r="M487" s="5"/>
      <c r="S487" s="2"/>
      <c r="AI487" s="1679"/>
      <c r="AJ487" s="587"/>
      <c r="AL487" s="5"/>
    </row>
    <row r="488" spans="2:38">
      <c r="B488"/>
      <c r="C488" s="5"/>
      <c r="D488" s="2"/>
      <c r="E488" s="5"/>
      <c r="G488" s="5"/>
      <c r="H488" s="5"/>
      <c r="I488" s="5"/>
      <c r="J488" s="5"/>
      <c r="K488" s="5"/>
      <c r="L488" s="5"/>
      <c r="M488" s="5"/>
      <c r="S488" s="2"/>
      <c r="AI488" s="291"/>
      <c r="AJ488" s="5"/>
      <c r="AL488" s="5"/>
    </row>
    <row r="489" spans="2:38">
      <c r="B489"/>
      <c r="C489" s="5"/>
      <c r="D489" s="2"/>
      <c r="E489" s="5"/>
      <c r="G489" s="5"/>
      <c r="H489" s="5"/>
      <c r="I489" s="5"/>
      <c r="J489" s="5"/>
      <c r="K489" s="5"/>
      <c r="L489" s="5"/>
      <c r="M489" s="5"/>
      <c r="S489" s="2"/>
      <c r="AI489" s="291"/>
      <c r="AJ489" s="90"/>
      <c r="AL489" s="5"/>
    </row>
    <row r="490" spans="2:38" ht="23.5">
      <c r="B490"/>
      <c r="C490" s="2531"/>
      <c r="D490" s="2474"/>
      <c r="E490" s="2474"/>
      <c r="G490" s="5"/>
      <c r="H490" s="5"/>
      <c r="I490" s="5"/>
      <c r="J490" s="5"/>
      <c r="K490" s="5"/>
      <c r="L490" s="726"/>
      <c r="M490" s="726"/>
      <c r="N490" s="36"/>
    </row>
    <row r="491" spans="2:38">
      <c r="B491"/>
      <c r="D491" s="5"/>
      <c r="E491" s="5"/>
      <c r="G491" s="5"/>
      <c r="H491" s="5"/>
      <c r="I491" s="5"/>
      <c r="J491" s="5"/>
      <c r="K491" s="5"/>
      <c r="L491" s="5"/>
      <c r="M491" s="5"/>
    </row>
    <row r="492" spans="2:38" ht="21">
      <c r="B492" s="2266"/>
      <c r="D492" s="5"/>
      <c r="E492" s="5"/>
      <c r="F492" s="1680"/>
      <c r="G492" s="5"/>
      <c r="H492" s="5"/>
      <c r="I492" s="5"/>
      <c r="J492" s="5"/>
      <c r="K492" s="5"/>
      <c r="L492" s="2258"/>
      <c r="M492" s="5"/>
    </row>
    <row r="493" spans="2:38" ht="18.5">
      <c r="B493" s="1744"/>
      <c r="D493" s="5"/>
      <c r="E493" s="5"/>
      <c r="F493" s="1761"/>
      <c r="G493" s="5"/>
      <c r="H493" s="5"/>
      <c r="I493" s="5"/>
      <c r="J493" s="5"/>
      <c r="K493" s="5"/>
      <c r="L493" s="5"/>
      <c r="M493" s="5"/>
      <c r="AL493" s="5"/>
    </row>
    <row r="494" spans="2:38" ht="18.5">
      <c r="B494" s="1744"/>
      <c r="D494" s="5"/>
      <c r="E494" s="5"/>
      <c r="F494" s="1680"/>
      <c r="G494" s="5"/>
      <c r="H494" s="5"/>
      <c r="I494" s="5"/>
      <c r="J494" s="5"/>
      <c r="K494" s="5"/>
      <c r="L494" s="5"/>
      <c r="M494" s="5"/>
      <c r="AL494" s="5"/>
    </row>
    <row r="495" spans="2:38" ht="18.5">
      <c r="B495" s="1744"/>
      <c r="D495" s="5"/>
      <c r="E495" s="5"/>
      <c r="G495" s="1758"/>
      <c r="H495" s="1758"/>
      <c r="I495" s="5"/>
      <c r="J495" s="1758"/>
      <c r="K495" s="5"/>
      <c r="L495" s="5"/>
      <c r="M495" s="5"/>
      <c r="AL495" s="5"/>
    </row>
    <row r="496" spans="2:38">
      <c r="B496"/>
      <c r="D496" s="5"/>
      <c r="E496" s="5"/>
      <c r="G496" s="291"/>
      <c r="H496" s="5"/>
      <c r="I496" s="5"/>
      <c r="J496" s="5"/>
      <c r="K496" s="5"/>
      <c r="L496" s="5"/>
      <c r="M496" s="5"/>
      <c r="AL496" s="5"/>
    </row>
    <row r="497" spans="2:38">
      <c r="B497"/>
      <c r="D497" s="5"/>
      <c r="E497" s="5"/>
      <c r="G497" s="291"/>
      <c r="H497" s="5"/>
      <c r="I497" s="5"/>
      <c r="J497" s="5"/>
      <c r="K497" s="5"/>
      <c r="L497" s="5"/>
      <c r="M497" s="5"/>
      <c r="AL497" s="5"/>
    </row>
    <row r="498" spans="2:38">
      <c r="B498"/>
      <c r="C498" s="5"/>
      <c r="D498" s="1253"/>
      <c r="E498" s="1253"/>
      <c r="F498" s="1253"/>
      <c r="G498" s="5"/>
      <c r="H498" s="5"/>
      <c r="I498" s="5"/>
      <c r="J498" s="5"/>
      <c r="K498" s="5"/>
      <c r="L498" s="5"/>
      <c r="M498" s="5"/>
      <c r="AL498" s="5"/>
    </row>
    <row r="499" spans="2:38">
      <c r="B499"/>
      <c r="C499" s="2"/>
      <c r="D499" s="1671"/>
      <c r="E499" s="1671"/>
      <c r="F499" s="1679"/>
      <c r="G499" s="5"/>
      <c r="H499" s="5"/>
      <c r="I499" s="5"/>
      <c r="J499" s="5"/>
      <c r="K499" s="5"/>
      <c r="L499" s="5"/>
      <c r="M499" s="5"/>
      <c r="AL499" s="5"/>
    </row>
    <row r="500" spans="2:38">
      <c r="B500"/>
      <c r="C500" s="2"/>
      <c r="D500" s="1671"/>
      <c r="E500" s="1671"/>
      <c r="F500" s="1679"/>
      <c r="G500" s="5"/>
      <c r="H500" s="5"/>
      <c r="I500" s="5"/>
      <c r="J500" s="5"/>
      <c r="K500" s="5"/>
      <c r="L500" s="5"/>
      <c r="M500" s="5"/>
      <c r="AL500" s="5"/>
    </row>
    <row r="501" spans="2:38">
      <c r="B501"/>
      <c r="C501" s="2"/>
      <c r="D501" s="1671"/>
      <c r="E501" s="1671"/>
      <c r="F501" s="1679"/>
      <c r="G501" s="5"/>
      <c r="H501" s="5"/>
      <c r="I501" s="5"/>
      <c r="J501" s="5"/>
      <c r="K501" s="5"/>
      <c r="L501" s="5"/>
      <c r="M501" s="5"/>
      <c r="AL501" s="5"/>
    </row>
    <row r="502" spans="2:38">
      <c r="B502"/>
      <c r="C502" s="2"/>
      <c r="D502" s="1671"/>
      <c r="E502" s="1671"/>
      <c r="F502" s="1679"/>
      <c r="G502" s="5"/>
      <c r="H502" s="5"/>
      <c r="I502" s="5"/>
      <c r="J502" s="5"/>
      <c r="K502" s="5"/>
      <c r="L502" s="5"/>
      <c r="M502" s="5"/>
      <c r="AL502" s="5"/>
    </row>
    <row r="503" spans="2:38">
      <c r="B503"/>
      <c r="D503" s="5"/>
      <c r="E503" s="5"/>
      <c r="G503" s="291"/>
      <c r="H503" s="5"/>
      <c r="I503" s="5"/>
      <c r="J503" s="5"/>
      <c r="K503" s="5"/>
      <c r="L503" s="5"/>
      <c r="M503" s="5"/>
      <c r="AL503" s="5"/>
    </row>
    <row r="504" spans="2:38">
      <c r="B504"/>
      <c r="D504" s="5"/>
      <c r="E504" s="5"/>
      <c r="G504" s="291"/>
      <c r="H504" s="5"/>
      <c r="I504" s="5"/>
      <c r="J504" s="5"/>
      <c r="K504" s="5"/>
      <c r="L504" s="5"/>
      <c r="M504" s="5"/>
      <c r="AL504" s="5"/>
    </row>
    <row r="505" spans="2:38">
      <c r="B505"/>
      <c r="D505" s="5"/>
      <c r="E505" s="5"/>
      <c r="G505" s="291"/>
      <c r="H505" s="5"/>
      <c r="I505" s="5"/>
      <c r="J505" s="5"/>
      <c r="K505" s="5"/>
      <c r="L505" s="5"/>
      <c r="M505" s="5"/>
      <c r="AL505" s="5"/>
    </row>
    <row r="506" spans="2:38">
      <c r="B506"/>
      <c r="D506" s="5"/>
      <c r="E506" s="5"/>
      <c r="G506" s="291"/>
      <c r="H506" s="5"/>
      <c r="I506" s="5"/>
      <c r="J506" s="5"/>
      <c r="K506" s="5"/>
      <c r="L506" s="5"/>
      <c r="M506" s="5"/>
      <c r="AL506" s="5"/>
    </row>
    <row r="507" spans="2:38">
      <c r="B507"/>
      <c r="D507" s="5"/>
      <c r="E507" s="5"/>
      <c r="G507" s="291"/>
      <c r="H507" s="1763"/>
      <c r="I507" s="5"/>
      <c r="J507" s="5"/>
      <c r="K507" s="5"/>
      <c r="L507" s="5"/>
      <c r="M507" s="5"/>
      <c r="AL507" s="5"/>
    </row>
    <row r="508" spans="2:38">
      <c r="B508"/>
      <c r="C508" s="291"/>
      <c r="D508" s="2"/>
      <c r="E508" s="2"/>
      <c r="F508" s="5"/>
      <c r="G508" s="5"/>
      <c r="H508" s="5"/>
      <c r="I508" s="5"/>
      <c r="J508" s="5"/>
      <c r="K508" s="5"/>
      <c r="L508" s="5"/>
      <c r="M508" s="5"/>
      <c r="AL508" s="5"/>
    </row>
    <row r="509" spans="2:38">
      <c r="B509"/>
      <c r="C509" s="291"/>
      <c r="D509" s="2"/>
      <c r="E509" s="2"/>
      <c r="F509" s="5"/>
      <c r="G509" s="5"/>
      <c r="H509" s="5"/>
      <c r="I509" s="5"/>
      <c r="J509" s="5"/>
      <c r="K509" s="5"/>
      <c r="L509" s="5"/>
      <c r="M509" s="5"/>
      <c r="AL509" s="5"/>
    </row>
    <row r="510" spans="2:38" ht="18.5">
      <c r="B510"/>
      <c r="C510" s="291"/>
      <c r="D510" s="2264"/>
      <c r="E510" s="80"/>
      <c r="F510" s="5"/>
      <c r="G510" s="5"/>
      <c r="H510" s="5"/>
      <c r="I510" s="5"/>
      <c r="J510" s="5"/>
      <c r="K510" s="5"/>
      <c r="L510" s="5"/>
      <c r="M510" s="5"/>
      <c r="AL510" s="5"/>
    </row>
    <row r="511" spans="2:38">
      <c r="B511"/>
      <c r="C511" s="291"/>
      <c r="D511" s="2"/>
      <c r="E511" s="2"/>
      <c r="F511" s="5"/>
      <c r="G511" s="5"/>
      <c r="H511" s="5"/>
      <c r="I511" s="5"/>
      <c r="J511" s="5"/>
      <c r="K511" s="5"/>
      <c r="L511" s="5"/>
      <c r="M511" s="5"/>
      <c r="AL511" s="5"/>
    </row>
    <row r="512" spans="2:38" ht="23.5">
      <c r="B512" s="288"/>
      <c r="D512" s="5"/>
      <c r="E512" s="5"/>
      <c r="G512" s="291"/>
      <c r="H512" s="5"/>
      <c r="I512" s="5"/>
      <c r="J512" s="5"/>
      <c r="K512" s="5"/>
      <c r="L512" s="5"/>
      <c r="M512" s="3"/>
      <c r="N512" s="3"/>
      <c r="O512" s="3"/>
      <c r="P512" s="3"/>
      <c r="Q512" s="3"/>
      <c r="R512" s="3"/>
      <c r="AL512" s="5"/>
    </row>
    <row r="513" spans="2:38" ht="23.5">
      <c r="B513" s="288"/>
      <c r="D513" s="5"/>
      <c r="E513" s="5"/>
      <c r="G513" s="291"/>
      <c r="H513" s="5"/>
      <c r="I513" s="5"/>
      <c r="J513" s="5"/>
      <c r="K513" s="5"/>
      <c r="L513" s="5"/>
      <c r="M513" s="3"/>
      <c r="N513" s="3"/>
      <c r="O513" s="3"/>
      <c r="P513" s="3"/>
      <c r="Q513" s="3"/>
      <c r="R513" s="3"/>
      <c r="AL513" s="5"/>
    </row>
    <row r="514" spans="2:38" ht="18.5">
      <c r="B514" s="1744"/>
      <c r="C514" s="5"/>
      <c r="D514" s="5"/>
      <c r="E514" s="5"/>
      <c r="F514" s="1680"/>
      <c r="G514" s="1680"/>
      <c r="H514" s="5"/>
      <c r="I514" s="5"/>
      <c r="J514" s="5"/>
      <c r="K514" s="5"/>
      <c r="L514" s="5"/>
      <c r="M514" s="5"/>
      <c r="AL514" s="5"/>
    </row>
    <row r="515" spans="2:38">
      <c r="B515" s="1750"/>
      <c r="C515" s="5"/>
      <c r="D515" s="5"/>
      <c r="E515" s="5"/>
      <c r="F515" s="1680"/>
      <c r="G515" s="1680"/>
      <c r="H515" s="5"/>
      <c r="I515" s="5"/>
      <c r="J515" s="5"/>
      <c r="K515" s="5"/>
      <c r="L515" s="5"/>
      <c r="M515" s="5"/>
      <c r="AL515" s="5"/>
    </row>
    <row r="516" spans="2:38">
      <c r="B516" s="5"/>
      <c r="C516" s="730"/>
      <c r="D516" s="1253"/>
      <c r="E516" s="1253"/>
      <c r="F516" s="82"/>
      <c r="G516" s="1680"/>
      <c r="H516" s="5"/>
      <c r="I516" s="5"/>
      <c r="J516" s="5"/>
      <c r="K516" s="5"/>
      <c r="L516" s="291"/>
      <c r="M516" s="5"/>
      <c r="AL516" s="5"/>
    </row>
    <row r="517" spans="2:38">
      <c r="B517" s="2"/>
      <c r="C517" s="90"/>
      <c r="D517" s="90"/>
      <c r="E517" s="1767"/>
      <c r="G517" s="1680"/>
      <c r="H517" s="5"/>
      <c r="I517" s="5"/>
      <c r="J517" s="5"/>
      <c r="K517" s="5"/>
      <c r="L517" s="5"/>
      <c r="M517" s="5"/>
      <c r="AL517" s="5"/>
    </row>
    <row r="518" spans="2:38" ht="18.5">
      <c r="B518" s="2"/>
      <c r="C518" s="90"/>
      <c r="D518" s="90"/>
      <c r="E518" s="1767"/>
      <c r="G518" s="291"/>
      <c r="H518" s="5"/>
      <c r="I518" s="5"/>
      <c r="J518" s="5"/>
      <c r="K518" s="2"/>
      <c r="L518" s="1766"/>
      <c r="M518" s="5"/>
      <c r="AL518" s="5"/>
    </row>
    <row r="519" spans="2:38">
      <c r="B519" s="2"/>
      <c r="C519" s="90"/>
      <c r="D519" s="90"/>
      <c r="E519" s="1767"/>
      <c r="G519" s="291"/>
      <c r="H519" s="5"/>
      <c r="I519" s="5"/>
      <c r="J519" s="5"/>
      <c r="K519" s="2"/>
      <c r="L519" s="5"/>
      <c r="M519" s="5"/>
      <c r="AL519" s="5"/>
    </row>
    <row r="520" spans="2:38" ht="18.5">
      <c r="B520" s="2"/>
      <c r="C520" s="90"/>
      <c r="D520" s="90"/>
      <c r="E520" s="1767"/>
      <c r="G520" s="1680"/>
      <c r="H520" s="5"/>
      <c r="I520" s="5"/>
      <c r="J520" s="5"/>
      <c r="K520" s="2"/>
      <c r="L520" s="1766"/>
      <c r="M520" s="5"/>
      <c r="AL520" s="5"/>
    </row>
    <row r="521" spans="2:38">
      <c r="B521" s="2"/>
      <c r="C521" s="90"/>
      <c r="D521" s="90"/>
      <c r="E521" s="1767"/>
      <c r="G521" s="1680"/>
      <c r="H521" s="5"/>
      <c r="I521" s="5"/>
      <c r="J521" s="5"/>
      <c r="K521" s="2"/>
      <c r="L521" s="5"/>
      <c r="M521" s="5"/>
      <c r="AL521" s="5"/>
    </row>
    <row r="522" spans="2:38" ht="18.5">
      <c r="B522" s="2534"/>
      <c r="C522" s="2458"/>
      <c r="D522" s="2474"/>
      <c r="E522" s="1768"/>
      <c r="G522" s="291"/>
      <c r="H522" s="5"/>
      <c r="I522" s="5"/>
      <c r="J522" s="5"/>
      <c r="K522" s="2"/>
      <c r="L522" s="1766"/>
      <c r="M522" s="5"/>
      <c r="AL522" s="5"/>
    </row>
    <row r="523" spans="2:38">
      <c r="B523" s="2458"/>
      <c r="C523" s="2458"/>
      <c r="D523" s="2474"/>
      <c r="E523" s="5"/>
      <c r="G523" s="291"/>
      <c r="H523" s="5"/>
      <c r="I523" s="5"/>
      <c r="J523" s="5"/>
      <c r="K523" s="5"/>
      <c r="L523" s="5"/>
      <c r="M523" s="5"/>
      <c r="AL523" s="5"/>
    </row>
    <row r="524" spans="2:38">
      <c r="B524" s="2458"/>
      <c r="C524" s="2458"/>
      <c r="D524" s="2474"/>
      <c r="E524" s="5"/>
      <c r="G524" s="291"/>
      <c r="H524" s="5"/>
      <c r="I524" s="5"/>
      <c r="J524" s="5"/>
      <c r="K524" s="5"/>
      <c r="L524" s="5"/>
      <c r="M524" s="5"/>
      <c r="AL524" s="5"/>
    </row>
    <row r="525" spans="2:38">
      <c r="B525" s="2458"/>
      <c r="C525" s="2458"/>
      <c r="D525" s="2474"/>
      <c r="E525" s="5"/>
      <c r="G525" s="291"/>
      <c r="H525" s="5"/>
      <c r="I525" s="5"/>
      <c r="J525" s="5"/>
      <c r="K525" s="5"/>
      <c r="L525" s="5"/>
      <c r="M525" s="5"/>
      <c r="AL525" s="5"/>
    </row>
    <row r="526" spans="2:38">
      <c r="B526"/>
      <c r="D526" s="5"/>
      <c r="E526" s="5"/>
      <c r="G526" s="291"/>
      <c r="H526" s="5"/>
      <c r="I526" s="5"/>
      <c r="J526" s="5"/>
      <c r="K526" s="5"/>
      <c r="L526" s="5"/>
      <c r="M526" s="5"/>
      <c r="AL526" s="5"/>
    </row>
    <row r="527" spans="2:38">
      <c r="B527"/>
      <c r="D527" s="5"/>
      <c r="E527" s="5"/>
      <c r="F527" s="2532"/>
      <c r="G527" s="2474"/>
      <c r="H527" s="2474"/>
      <c r="I527" s="2474"/>
      <c r="J527" s="2474"/>
      <c r="K527" s="2474"/>
      <c r="L527" s="2474"/>
      <c r="M527" s="5"/>
      <c r="AL527" s="5"/>
    </row>
    <row r="528" spans="2:38" ht="18.5">
      <c r="B528"/>
      <c r="D528" s="2264"/>
      <c r="E528" s="80"/>
      <c r="F528" s="1925"/>
      <c r="G528" s="1925"/>
      <c r="H528" s="1925"/>
      <c r="I528" s="1925"/>
      <c r="J528" s="1925"/>
      <c r="K528" s="1925"/>
      <c r="L528" s="1925"/>
      <c r="M528" s="5"/>
      <c r="AL528" s="5"/>
    </row>
    <row r="529" spans="1:38">
      <c r="B529"/>
      <c r="D529" s="5"/>
      <c r="E529" s="5"/>
      <c r="F529" s="1925"/>
      <c r="G529" s="1925"/>
      <c r="H529" s="1925"/>
      <c r="I529" s="1925"/>
      <c r="J529" s="1925"/>
      <c r="K529" s="1925"/>
      <c r="L529" s="1925"/>
      <c r="M529" s="5"/>
      <c r="AL529" s="5"/>
    </row>
    <row r="530" spans="1:38" ht="23.5">
      <c r="B530" s="288"/>
      <c r="D530" s="5"/>
      <c r="E530" s="5"/>
      <c r="G530" s="291"/>
      <c r="H530" s="5"/>
      <c r="I530" s="5"/>
      <c r="J530" s="5"/>
      <c r="K530" s="5"/>
      <c r="L530" s="5"/>
      <c r="M530" s="3"/>
      <c r="N530" s="3"/>
      <c r="O530" s="3"/>
      <c r="P530" s="3"/>
      <c r="Q530" s="3"/>
      <c r="R530" s="3"/>
      <c r="T530" s="49"/>
      <c r="U530" s="49"/>
      <c r="V530" s="49"/>
      <c r="W530" s="49"/>
      <c r="X530" s="49"/>
      <c r="Y530" s="1926"/>
      <c r="AL530" s="5"/>
    </row>
    <row r="531" spans="1:38" ht="21">
      <c r="B531" s="407"/>
      <c r="C531" s="5"/>
      <c r="D531" s="5"/>
      <c r="E531" s="5"/>
      <c r="F531" s="1680"/>
      <c r="G531" s="5"/>
      <c r="H531" s="5"/>
      <c r="I531" s="5"/>
      <c r="J531" s="5"/>
      <c r="K531" s="5"/>
      <c r="L531" s="5"/>
      <c r="M531" s="5"/>
      <c r="P531" s="5"/>
      <c r="Q531" s="5"/>
      <c r="T531" s="1926"/>
      <c r="U531" s="1926"/>
      <c r="V531" s="1926"/>
      <c r="W531" s="1926"/>
      <c r="X531" s="1926"/>
      <c r="Y531" s="1926"/>
      <c r="AL531" s="5"/>
    </row>
    <row r="532" spans="1:38">
      <c r="A532" s="2"/>
      <c r="B532" s="2"/>
      <c r="C532" s="8"/>
      <c r="D532" s="5"/>
      <c r="E532" s="5"/>
      <c r="G532" s="5"/>
      <c r="H532" s="5"/>
      <c r="I532" s="5"/>
      <c r="J532" s="5"/>
      <c r="K532" s="5"/>
      <c r="L532" s="5"/>
      <c r="M532" s="5"/>
      <c r="R532" s="25"/>
      <c r="S532" s="8"/>
      <c r="T532" s="7"/>
      <c r="U532" s="7"/>
      <c r="V532" s="7"/>
      <c r="W532" s="826"/>
      <c r="X532" s="826"/>
      <c r="Y532" s="826"/>
      <c r="Z532" s="826"/>
      <c r="AA532" s="826"/>
      <c r="AL532" s="5"/>
    </row>
    <row r="533" spans="1:38">
      <c r="A533" s="2"/>
      <c r="B533" s="2"/>
      <c r="C533" s="8"/>
      <c r="D533" s="5"/>
      <c r="E533" s="5"/>
      <c r="G533" s="5"/>
      <c r="H533" s="5"/>
      <c r="I533" s="5"/>
      <c r="J533" s="5"/>
      <c r="K533" s="5"/>
      <c r="L533" s="5"/>
      <c r="M533" s="5"/>
      <c r="R533" s="25"/>
      <c r="S533" s="8"/>
      <c r="T533" s="7"/>
      <c r="U533" s="7"/>
      <c r="V533" s="7"/>
      <c r="W533" s="826"/>
      <c r="X533" s="826"/>
      <c r="Y533" s="826"/>
      <c r="AL533" s="5"/>
    </row>
    <row r="534" spans="1:38">
      <c r="A534" s="2"/>
      <c r="B534" s="2"/>
      <c r="C534" s="8"/>
      <c r="D534" s="5"/>
      <c r="E534" s="2"/>
      <c r="G534" s="5"/>
      <c r="H534" s="5"/>
      <c r="I534" s="2"/>
      <c r="J534" s="5"/>
      <c r="K534" s="5"/>
      <c r="L534" s="5"/>
      <c r="M534" s="5"/>
      <c r="R534" s="25"/>
      <c r="S534" s="8"/>
      <c r="T534" s="7"/>
      <c r="U534" s="7"/>
      <c r="V534" s="7"/>
      <c r="W534" s="826"/>
      <c r="X534" s="826"/>
      <c r="Y534" s="826"/>
      <c r="AL534" s="5"/>
    </row>
    <row r="535" spans="1:38">
      <c r="A535" s="2"/>
      <c r="B535" s="2"/>
      <c r="C535" s="8"/>
      <c r="D535" s="5"/>
      <c r="E535" s="5"/>
      <c r="H535" s="5"/>
      <c r="I535" s="5"/>
      <c r="J535" s="5"/>
      <c r="K535" s="5"/>
      <c r="L535" s="5"/>
      <c r="M535" s="5"/>
      <c r="R535" s="25"/>
      <c r="S535" s="8"/>
      <c r="T535" s="826"/>
      <c r="U535" s="826"/>
      <c r="V535" s="13"/>
      <c r="W535" s="13"/>
      <c r="X535" s="13"/>
      <c r="Y535" s="13"/>
      <c r="AL535" s="5"/>
    </row>
    <row r="536" spans="1:38">
      <c r="A536" s="2"/>
      <c r="B536" s="2"/>
      <c r="C536" s="8"/>
      <c r="D536" s="5"/>
      <c r="E536" s="5"/>
      <c r="G536" s="5"/>
      <c r="H536" s="5"/>
      <c r="I536" s="5"/>
      <c r="J536" s="5"/>
      <c r="K536" s="5"/>
      <c r="L536" s="5"/>
      <c r="M536" s="5"/>
      <c r="R536" s="25"/>
      <c r="S536" s="8"/>
      <c r="T536" s="826"/>
      <c r="U536" s="826"/>
      <c r="V536" s="13"/>
      <c r="W536" s="13"/>
      <c r="X536" s="13"/>
      <c r="Y536" s="13"/>
      <c r="AL536" s="5"/>
    </row>
    <row r="537" spans="1:38">
      <c r="A537" s="2"/>
      <c r="B537" s="2"/>
      <c r="C537" s="8"/>
      <c r="D537" s="5"/>
      <c r="E537" s="5"/>
      <c r="F537" s="2282"/>
      <c r="G537" s="5"/>
      <c r="H537" s="5"/>
      <c r="I537" s="5"/>
      <c r="J537" s="5"/>
      <c r="K537" s="5"/>
      <c r="L537" s="5"/>
      <c r="M537" s="5"/>
      <c r="R537" s="25"/>
      <c r="S537" s="8"/>
      <c r="T537" s="826"/>
      <c r="U537" s="826"/>
      <c r="V537" s="13"/>
      <c r="W537" s="13"/>
      <c r="X537" s="13"/>
      <c r="Y537" s="13"/>
      <c r="AL537" s="5"/>
    </row>
    <row r="538" spans="1:38">
      <c r="B538"/>
      <c r="D538" s="5"/>
      <c r="E538" s="5"/>
      <c r="H538" s="5"/>
      <c r="I538" s="5"/>
      <c r="J538" s="5"/>
      <c r="K538" s="5"/>
      <c r="L538" s="5"/>
      <c r="M538" s="5"/>
      <c r="S538" s="7"/>
      <c r="AL538" s="5"/>
    </row>
    <row r="539" spans="1:38">
      <c r="B539"/>
      <c r="D539" s="5"/>
      <c r="E539" s="5"/>
      <c r="G539" s="5"/>
      <c r="H539" s="5"/>
      <c r="I539" s="5"/>
      <c r="J539" s="5"/>
      <c r="K539" s="5"/>
      <c r="L539" s="5"/>
      <c r="M539" s="5"/>
      <c r="S539" s="7"/>
      <c r="AL539" s="5"/>
    </row>
    <row r="540" spans="1:38">
      <c r="B540"/>
      <c r="D540" s="5"/>
      <c r="E540" s="5"/>
      <c r="G540" s="5"/>
      <c r="H540" s="5"/>
      <c r="I540" s="5"/>
      <c r="J540" s="5"/>
      <c r="K540" s="5"/>
      <c r="L540" s="5"/>
      <c r="M540" s="5"/>
      <c r="S540" s="7"/>
      <c r="AL540" s="5"/>
    </row>
    <row r="541" spans="1:38">
      <c r="B541"/>
      <c r="D541" s="5"/>
      <c r="E541" s="5"/>
      <c r="G541" s="5"/>
      <c r="H541" s="5"/>
      <c r="I541" s="5"/>
      <c r="J541" s="5"/>
      <c r="K541" s="5"/>
      <c r="L541" s="5"/>
      <c r="M541" s="5"/>
      <c r="S541" s="7"/>
      <c r="AL541" s="5"/>
    </row>
    <row r="542" spans="1:38">
      <c r="B542"/>
      <c r="D542" s="5"/>
      <c r="E542" s="5"/>
      <c r="G542" s="5"/>
      <c r="H542" s="5"/>
      <c r="I542" s="5"/>
      <c r="J542" s="5"/>
      <c r="K542" s="5"/>
      <c r="L542" s="5"/>
      <c r="M542" s="5"/>
      <c r="S542" s="7"/>
      <c r="AL542" s="5"/>
    </row>
    <row r="543" spans="1:38" ht="18.5">
      <c r="B543"/>
      <c r="D543" s="2264"/>
      <c r="E543" s="80"/>
      <c r="G543" s="5"/>
      <c r="H543" s="5"/>
      <c r="I543" s="5"/>
      <c r="J543" s="5"/>
      <c r="K543" s="5"/>
      <c r="L543" s="5"/>
      <c r="M543" s="5"/>
      <c r="S543" s="7"/>
      <c r="AL543" s="5"/>
    </row>
    <row r="544" spans="1:38">
      <c r="B544"/>
      <c r="D544" s="5"/>
      <c r="E544" s="5"/>
      <c r="G544" s="1764"/>
      <c r="H544" s="5"/>
      <c r="I544" s="5"/>
      <c r="J544" s="5"/>
      <c r="K544" s="5"/>
      <c r="L544" s="5"/>
      <c r="M544" s="5"/>
      <c r="S544" s="7"/>
      <c r="AL544" s="5"/>
    </row>
    <row r="545" spans="2:38">
      <c r="B545"/>
      <c r="D545" s="5"/>
      <c r="E545" s="5"/>
      <c r="G545" s="291"/>
      <c r="H545" s="5"/>
      <c r="I545" s="5"/>
      <c r="J545" s="5"/>
      <c r="K545" s="5"/>
      <c r="L545" s="5"/>
      <c r="M545" s="5"/>
      <c r="AL545" s="5"/>
    </row>
    <row r="546" spans="2:38">
      <c r="B546"/>
      <c r="C546" s="291"/>
      <c r="D546" s="2"/>
      <c r="E546" s="2"/>
      <c r="F546" s="5"/>
      <c r="G546" s="5"/>
      <c r="H546" s="5"/>
      <c r="I546" s="5"/>
      <c r="J546" s="5"/>
      <c r="K546" s="5"/>
      <c r="L546" s="5"/>
      <c r="M546" s="5"/>
      <c r="AL546" s="5"/>
    </row>
    <row r="547" spans="2:38">
      <c r="B547"/>
      <c r="C547" s="291"/>
      <c r="D547" s="2"/>
      <c r="E547" s="2"/>
      <c r="F547" s="5"/>
      <c r="G547" s="5"/>
      <c r="H547" s="5"/>
      <c r="I547" s="5"/>
      <c r="J547" s="5"/>
      <c r="K547" s="5"/>
      <c r="L547" s="5"/>
      <c r="M547" s="5"/>
      <c r="AL547" s="5"/>
    </row>
    <row r="548" spans="2:38">
      <c r="B548"/>
      <c r="D548" s="5"/>
      <c r="E548" s="5"/>
      <c r="G548" s="1680"/>
      <c r="H548" s="5"/>
      <c r="I548" s="5"/>
      <c r="J548" s="5"/>
      <c r="K548" s="5"/>
      <c r="L548" s="5"/>
      <c r="M548" s="5"/>
      <c r="AL548" s="5"/>
    </row>
    <row r="549" spans="2:38">
      <c r="B549"/>
      <c r="D549" s="5"/>
      <c r="E549"/>
      <c r="G549" s="1680"/>
      <c r="H549" s="5"/>
      <c r="I549" s="5"/>
      <c r="J549" s="5"/>
      <c r="K549" s="5"/>
      <c r="L549" s="5"/>
      <c r="M549" s="5"/>
      <c r="AL549" s="5"/>
    </row>
    <row r="550" spans="2:38" ht="18.5">
      <c r="B550" s="407"/>
      <c r="D550" s="5"/>
      <c r="E550" s="5"/>
      <c r="F550" s="1680"/>
      <c r="G550" s="5"/>
      <c r="H550" s="5"/>
      <c r="I550" s="5"/>
      <c r="J550" s="5"/>
      <c r="K550" s="5"/>
      <c r="L550" s="5"/>
      <c r="M550" s="5"/>
      <c r="AL550" s="5"/>
    </row>
    <row r="551" spans="2:38">
      <c r="B551" s="1745"/>
      <c r="D551" s="5"/>
      <c r="E551" s="5"/>
      <c r="G551" s="1680"/>
      <c r="H551" s="5"/>
      <c r="I551" s="5"/>
      <c r="J551" s="5"/>
      <c r="K551" s="5"/>
      <c r="L551" s="5"/>
      <c r="M551" s="5"/>
      <c r="AL551" s="5"/>
    </row>
    <row r="552" spans="2:38">
      <c r="B552" s="1745"/>
      <c r="D552" s="5"/>
      <c r="E552" s="1758"/>
      <c r="F552" s="1759"/>
      <c r="G552" s="1760"/>
      <c r="H552" s="1758"/>
      <c r="I552" s="1758"/>
      <c r="J552" s="5"/>
      <c r="K552" s="5"/>
      <c r="L552" s="5"/>
      <c r="M552" s="5"/>
      <c r="AL552" s="5"/>
    </row>
    <row r="553" spans="2:38">
      <c r="B553"/>
      <c r="D553" s="5"/>
      <c r="E553" s="5"/>
      <c r="G553" s="5"/>
      <c r="H553" s="5"/>
      <c r="I553" s="5"/>
      <c r="J553" s="5"/>
      <c r="K553" s="5"/>
      <c r="L553" s="5"/>
      <c r="M553" s="5"/>
      <c r="AL553" s="5"/>
    </row>
    <row r="554" spans="2:38">
      <c r="B554"/>
      <c r="C554" s="5"/>
      <c r="D554" s="1751"/>
      <c r="E554" s="5"/>
      <c r="F554" s="5"/>
      <c r="G554" s="5"/>
      <c r="H554" s="5"/>
      <c r="I554" s="5"/>
      <c r="J554" s="5"/>
      <c r="K554" s="5"/>
      <c r="L554" s="5"/>
      <c r="M554" s="5"/>
      <c r="AL554" s="5"/>
    </row>
    <row r="555" spans="2:38">
      <c r="B555"/>
      <c r="C555" s="1755"/>
      <c r="D555" s="587"/>
      <c r="E555" s="5"/>
      <c r="G555" s="5"/>
      <c r="H555" s="5"/>
      <c r="I555" s="5"/>
      <c r="J555" s="5"/>
      <c r="K555" s="5"/>
      <c r="L555" s="5"/>
      <c r="M555" s="5"/>
      <c r="AL555" s="5"/>
    </row>
    <row r="556" spans="2:38">
      <c r="B556"/>
      <c r="C556" s="1756"/>
      <c r="D556" s="2290"/>
      <c r="E556" s="5"/>
      <c r="G556" s="1680"/>
      <c r="H556" s="5"/>
      <c r="I556" s="5"/>
      <c r="J556" s="5"/>
      <c r="K556" s="5"/>
      <c r="L556" s="5"/>
      <c r="M556" s="5"/>
      <c r="AL556" s="5"/>
    </row>
    <row r="557" spans="2:38">
      <c r="B557"/>
      <c r="C557" s="1756"/>
      <c r="D557" s="2290"/>
      <c r="E557" s="5"/>
      <c r="G557" s="291"/>
      <c r="H557" s="5"/>
      <c r="I557" s="5"/>
      <c r="J557" s="5"/>
      <c r="K557" s="5"/>
      <c r="L557" s="5"/>
      <c r="M557" s="5"/>
      <c r="AL557" s="5"/>
    </row>
    <row r="558" spans="2:38">
      <c r="B558"/>
      <c r="C558" s="1756"/>
      <c r="D558" s="2290"/>
      <c r="E558" s="5"/>
      <c r="G558" s="291"/>
      <c r="H558" s="5"/>
      <c r="I558" s="5"/>
      <c r="J558" s="5"/>
      <c r="K558" s="5"/>
      <c r="L558" s="5"/>
      <c r="M558" s="5"/>
      <c r="AL558" s="5"/>
    </row>
    <row r="559" spans="2:38">
      <c r="B559"/>
      <c r="C559" s="291"/>
      <c r="D559" s="5"/>
      <c r="E559" s="5"/>
      <c r="G559" s="291"/>
      <c r="H559" s="5"/>
      <c r="I559" s="5"/>
      <c r="J559" s="5"/>
      <c r="K559" s="5"/>
      <c r="L559" s="5"/>
      <c r="M559" s="5"/>
      <c r="AL559" s="5"/>
    </row>
    <row r="560" spans="2:38">
      <c r="B560"/>
      <c r="C560" s="291"/>
      <c r="D560" s="5"/>
      <c r="E560" s="5"/>
      <c r="G560" s="291"/>
      <c r="H560" s="5"/>
      <c r="I560" s="5"/>
      <c r="J560" s="5"/>
      <c r="K560" s="5"/>
      <c r="L560" s="5"/>
      <c r="M560" s="5"/>
      <c r="AL560" s="5"/>
    </row>
    <row r="561" spans="1:38">
      <c r="B561"/>
      <c r="C561" s="5"/>
      <c r="D561" s="5"/>
      <c r="E561" s="5"/>
      <c r="G561" s="291"/>
      <c r="H561" s="5"/>
      <c r="I561" s="5"/>
      <c r="J561" s="5"/>
      <c r="K561" s="5"/>
      <c r="L561" s="5"/>
      <c r="M561" s="5"/>
      <c r="AL561" s="5"/>
    </row>
    <row r="562" spans="1:38">
      <c r="B562"/>
      <c r="C562" s="1755"/>
      <c r="D562" s="587"/>
      <c r="E562" s="5"/>
      <c r="G562" s="291"/>
      <c r="H562" s="5"/>
      <c r="I562" s="5"/>
      <c r="J562" s="5"/>
      <c r="K562" s="5"/>
      <c r="L562" s="5"/>
      <c r="M562" s="5"/>
      <c r="AL562" s="5"/>
    </row>
    <row r="563" spans="1:38">
      <c r="B563"/>
      <c r="C563" s="1756"/>
      <c r="D563" s="2290"/>
      <c r="E563" s="5"/>
      <c r="G563" s="291"/>
      <c r="H563" s="5"/>
      <c r="I563" s="5"/>
      <c r="J563" s="5"/>
      <c r="K563" s="5"/>
      <c r="L563" s="5"/>
      <c r="M563" s="5"/>
      <c r="AL563" s="5"/>
    </row>
    <row r="564" spans="1:38">
      <c r="B564"/>
      <c r="C564" s="1756"/>
      <c r="D564" s="2290"/>
      <c r="E564" s="5"/>
      <c r="G564" s="291"/>
      <c r="H564" s="5"/>
      <c r="I564" s="5"/>
      <c r="J564" s="5"/>
      <c r="K564" s="5"/>
      <c r="L564" s="5"/>
      <c r="M564" s="5"/>
      <c r="AL564" s="5"/>
    </row>
    <row r="565" spans="1:38">
      <c r="B565"/>
      <c r="C565" s="1756"/>
      <c r="D565" s="2290"/>
      <c r="E565" s="5"/>
      <c r="G565" s="291"/>
      <c r="H565" s="5"/>
      <c r="I565" s="5"/>
      <c r="J565" s="5"/>
      <c r="K565" s="5"/>
      <c r="L565" s="5"/>
      <c r="M565" s="5"/>
      <c r="AL565" s="5"/>
    </row>
    <row r="566" spans="1:38">
      <c r="B566"/>
      <c r="D566" s="5"/>
      <c r="E566" s="5"/>
      <c r="G566" s="291"/>
      <c r="H566" s="5"/>
      <c r="I566" s="5"/>
      <c r="J566" s="5"/>
      <c r="K566" s="5"/>
      <c r="L566" s="5"/>
      <c r="M566" s="5"/>
      <c r="AL566" s="5"/>
    </row>
    <row r="567" spans="1:38">
      <c r="B567"/>
      <c r="D567" s="5"/>
      <c r="E567" s="5"/>
      <c r="G567" s="5"/>
      <c r="H567" s="5"/>
      <c r="I567" s="5"/>
      <c r="J567" s="5"/>
      <c r="K567" s="5"/>
      <c r="L567" s="5"/>
      <c r="M567" s="5"/>
      <c r="AL567" s="5"/>
    </row>
    <row r="568" spans="1:38">
      <c r="B568"/>
      <c r="D568" s="5"/>
      <c r="E568" s="5"/>
      <c r="G568" s="5"/>
      <c r="H568" s="5"/>
      <c r="I568" s="5"/>
      <c r="J568" s="5"/>
      <c r="K568" s="5"/>
      <c r="L568" s="5"/>
      <c r="M568" s="5"/>
      <c r="AL568" s="5"/>
    </row>
    <row r="569" spans="1:38">
      <c r="B569"/>
      <c r="D569" s="5"/>
      <c r="E569" s="5"/>
      <c r="G569" s="5"/>
      <c r="H569" s="5"/>
      <c r="I569" s="5"/>
      <c r="J569" s="5"/>
      <c r="K569" s="5"/>
      <c r="L569" s="5"/>
      <c r="M569" s="5"/>
      <c r="AL569" s="5"/>
    </row>
    <row r="570" spans="1:38" ht="18.5">
      <c r="B570"/>
      <c r="D570" s="2264"/>
      <c r="E570" s="2529"/>
      <c r="F570" s="2458"/>
      <c r="G570" s="2474"/>
      <c r="H570" s="2474"/>
      <c r="I570" s="2474"/>
      <c r="J570" s="2474"/>
      <c r="K570" s="5"/>
      <c r="L570" s="5"/>
      <c r="M570" s="5"/>
      <c r="AL570" s="5"/>
    </row>
    <row r="571" spans="1:38">
      <c r="B571"/>
      <c r="D571" s="5"/>
      <c r="E571" s="5"/>
      <c r="G571" s="5"/>
      <c r="H571" s="5"/>
      <c r="I571" s="5"/>
      <c r="J571" s="5"/>
      <c r="K571" s="5"/>
      <c r="L571" s="5"/>
      <c r="M571" s="5"/>
      <c r="AL571" s="5"/>
    </row>
    <row r="572" spans="1:38">
      <c r="B572"/>
      <c r="D572" s="5"/>
      <c r="E572" s="5"/>
      <c r="G572" s="5"/>
      <c r="H572" s="5"/>
      <c r="I572" s="5"/>
      <c r="J572" s="5"/>
      <c r="K572" s="5"/>
      <c r="L572" s="5"/>
      <c r="M572" s="5"/>
      <c r="AL572" s="5"/>
    </row>
    <row r="573" spans="1:38">
      <c r="B573"/>
      <c r="D573" s="5"/>
      <c r="E573" s="5"/>
      <c r="G573" s="5"/>
      <c r="H573" s="5"/>
      <c r="I573" s="5"/>
      <c r="J573" s="5"/>
      <c r="K573" s="5"/>
      <c r="L573" s="5"/>
      <c r="M573" s="5"/>
      <c r="AL573" s="5"/>
    </row>
    <row r="574" spans="1:38">
      <c r="A574" s="57"/>
      <c r="B574"/>
      <c r="D574" s="2"/>
      <c r="E574" s="5"/>
      <c r="F574" s="5"/>
      <c r="G574" s="5"/>
      <c r="H574" s="5"/>
      <c r="I574" s="5"/>
      <c r="J574" s="5"/>
      <c r="K574" s="5"/>
      <c r="L574" s="5"/>
      <c r="M574" s="5"/>
      <c r="AL574" s="5"/>
    </row>
    <row r="575" spans="1:38">
      <c r="A575" s="57"/>
      <c r="B575" s="57"/>
      <c r="D575" s="5"/>
      <c r="E575" s="5"/>
      <c r="G575" s="5"/>
      <c r="H575" s="5"/>
      <c r="I575" s="5"/>
      <c r="J575" s="5"/>
      <c r="K575" s="5"/>
      <c r="L575" s="5"/>
      <c r="M575" s="5"/>
      <c r="AL575" s="5"/>
    </row>
    <row r="576" spans="1:38">
      <c r="B576"/>
      <c r="D576" s="5"/>
      <c r="E576" s="5"/>
      <c r="G576" s="5"/>
      <c r="H576" s="5"/>
      <c r="I576" s="5"/>
      <c r="J576" s="5"/>
      <c r="K576" s="5"/>
      <c r="L576" s="5"/>
      <c r="M576" s="5"/>
      <c r="AL576" s="5"/>
    </row>
    <row r="577" spans="2:38">
      <c r="B577"/>
      <c r="D577" s="5"/>
      <c r="E577" s="5"/>
      <c r="G577" s="5"/>
      <c r="H577" s="5"/>
      <c r="I577" s="5"/>
      <c r="J577" s="5"/>
      <c r="K577" s="5"/>
      <c r="L577" s="5"/>
      <c r="M577" s="5"/>
      <c r="AL577" s="5"/>
    </row>
    <row r="578" spans="2:38">
      <c r="B578"/>
      <c r="D578" s="5"/>
      <c r="E578" s="5"/>
      <c r="G578" s="5"/>
      <c r="H578" s="5"/>
      <c r="I578" s="5"/>
      <c r="J578" s="5"/>
      <c r="K578" s="5"/>
      <c r="L578" s="5"/>
      <c r="M578" s="5"/>
      <c r="AL578" s="5"/>
    </row>
    <row r="579" spans="2:38">
      <c r="B579"/>
      <c r="D579" s="5"/>
      <c r="E579" s="5"/>
      <c r="G579" s="5"/>
      <c r="H579" s="5"/>
      <c r="I579" s="5"/>
      <c r="J579" s="5"/>
      <c r="K579" s="5"/>
      <c r="L579" s="5"/>
      <c r="M579" s="5"/>
      <c r="AL579" s="5"/>
    </row>
    <row r="580" spans="2:38">
      <c r="B580"/>
      <c r="D580" s="5"/>
      <c r="E580" s="5"/>
      <c r="G580" s="5"/>
      <c r="H580" s="5"/>
      <c r="I580" s="5"/>
      <c r="J580" s="5"/>
      <c r="K580" s="5"/>
      <c r="L580" s="5"/>
      <c r="M580" s="5"/>
      <c r="AL580" s="5"/>
    </row>
  </sheetData>
  <mergeCells count="13">
    <mergeCell ref="A433:A434"/>
    <mergeCell ref="B522:D525"/>
    <mergeCell ref="F527:L527"/>
    <mergeCell ref="E570:J570"/>
    <mergeCell ref="F426:K426"/>
    <mergeCell ref="A428:A431"/>
    <mergeCell ref="D430:I430"/>
    <mergeCell ref="F437:J437"/>
    <mergeCell ref="T440:X440"/>
    <mergeCell ref="D445:I445"/>
    <mergeCell ref="C490:E490"/>
    <mergeCell ref="U430:Y430"/>
    <mergeCell ref="AA430:AE4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B32" zoomScale="80" zoomScaleNormal="80" workbookViewId="0">
      <selection activeCell="H37" sqref="H37"/>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9" t="s">
        <v>1896</v>
      </c>
      <c r="E1" s="2160"/>
      <c r="F1" s="2163"/>
      <c r="G1" s="2163"/>
      <c r="H1" s="2160"/>
      <c r="I1" s="2160"/>
      <c r="J1" s="2160"/>
      <c r="K1" s="2160"/>
    </row>
    <row r="2" spans="1:39" ht="80" customHeight="1">
      <c r="B2" s="80" t="s">
        <v>1897</v>
      </c>
      <c r="D2" s="2347"/>
      <c r="E2" s="80"/>
      <c r="F2" s="470"/>
      <c r="G2" s="470"/>
      <c r="H2" s="80"/>
      <c r="I2" s="80"/>
      <c r="J2" s="80"/>
      <c r="K2" s="80"/>
    </row>
    <row r="3" spans="1:39" ht="35" customHeight="1">
      <c r="B3" s="407"/>
      <c r="D3" s="2347"/>
      <c r="E3" s="80"/>
      <c r="F3" s="470"/>
      <c r="G3" s="470"/>
      <c r="H3" s="80"/>
      <c r="I3" s="80"/>
      <c r="J3" s="80"/>
      <c r="K3" s="80"/>
    </row>
    <row r="4" spans="1:39" ht="42" customHeight="1">
      <c r="B4" s="407" t="s">
        <v>1898</v>
      </c>
      <c r="D4" s="2299" t="s">
        <v>1899</v>
      </c>
      <c r="E4" s="2160"/>
      <c r="F4" s="2163"/>
      <c r="G4" s="2163"/>
      <c r="H4" s="2160"/>
      <c r="I4" s="2160"/>
      <c r="J4" s="2160"/>
      <c r="K4" s="2160"/>
    </row>
    <row r="5" spans="1:39" ht="42" customHeight="1">
      <c r="B5" s="407"/>
      <c r="S5" s="34" t="s">
        <v>1900</v>
      </c>
    </row>
    <row r="6" spans="1:39" ht="21" customHeight="1">
      <c r="B6" s="34" t="s">
        <v>1901</v>
      </c>
      <c r="S6" s="2563" t="s">
        <v>1902</v>
      </c>
      <c r="T6" s="2458"/>
      <c r="U6" s="2458"/>
      <c r="V6" s="2458"/>
      <c r="W6" s="2458"/>
      <c r="X6" s="2458"/>
      <c r="Y6" s="2553" t="s">
        <v>1903</v>
      </c>
      <c r="Z6" s="2458"/>
    </row>
    <row r="7" spans="1:39" ht="44" customHeight="1" thickBot="1">
      <c r="A7" s="1859"/>
      <c r="H7" s="16" t="s">
        <v>1904</v>
      </c>
      <c r="I7" s="2530" t="s">
        <v>1905</v>
      </c>
      <c r="J7" s="2458"/>
      <c r="K7" s="2458"/>
      <c r="L7" s="2474"/>
      <c r="M7" s="2458"/>
      <c r="N7" s="1926"/>
      <c r="O7" s="1926"/>
      <c r="P7" s="2561" t="s">
        <v>1906</v>
      </c>
      <c r="Q7" s="2458"/>
      <c r="R7" s="2501"/>
      <c r="S7" s="1253" t="s">
        <v>1698</v>
      </c>
      <c r="T7" s="1253" t="s">
        <v>1544</v>
      </c>
      <c r="U7" s="1253" t="s">
        <v>19</v>
      </c>
      <c r="V7" s="1253" t="s">
        <v>19</v>
      </c>
      <c r="W7" s="1253" t="s">
        <v>1700</v>
      </c>
      <c r="X7" s="1253" t="s">
        <v>1700</v>
      </c>
      <c r="Y7" s="88"/>
      <c r="Z7" s="88"/>
      <c r="AB7" s="2565" t="s">
        <v>1907</v>
      </c>
      <c r="AC7" s="2493"/>
      <c r="AD7" s="2493"/>
      <c r="AE7" s="2493"/>
      <c r="AF7" s="2493"/>
      <c r="AG7" s="2493"/>
      <c r="AH7" s="2493"/>
      <c r="AI7" s="2493"/>
    </row>
    <row r="8" spans="1:39" ht="63" customHeight="1">
      <c r="D8" s="32" t="s">
        <v>1908</v>
      </c>
      <c r="E8" s="25" t="s">
        <v>1909</v>
      </c>
      <c r="F8" s="1307" t="s">
        <v>453</v>
      </c>
      <c r="G8" s="1307" t="s">
        <v>64</v>
      </c>
      <c r="H8" s="1295" t="s">
        <v>1910</v>
      </c>
      <c r="I8" s="1253" t="s">
        <v>1698</v>
      </c>
      <c r="J8" s="1309" t="s">
        <v>1544</v>
      </c>
      <c r="K8" s="1309" t="s">
        <v>19</v>
      </c>
      <c r="L8" s="1309" t="s">
        <v>1700</v>
      </c>
      <c r="M8" s="1253" t="s">
        <v>295</v>
      </c>
      <c r="N8" s="1253" t="s">
        <v>1911</v>
      </c>
      <c r="O8" s="1309" t="s">
        <v>1912</v>
      </c>
      <c r="P8" s="2090" t="s">
        <v>1913</v>
      </c>
      <c r="Q8" s="2056" t="s">
        <v>1914</v>
      </c>
      <c r="R8" s="2056" t="s">
        <v>1915</v>
      </c>
      <c r="S8" s="1254"/>
      <c r="T8" s="1254" t="s">
        <v>1916</v>
      </c>
      <c r="U8" s="1254" t="s">
        <v>1917</v>
      </c>
      <c r="V8" s="1254" t="s">
        <v>1918</v>
      </c>
      <c r="W8" s="1254" t="s">
        <v>1917</v>
      </c>
      <c r="X8" s="1254" t="s">
        <v>1918</v>
      </c>
      <c r="Y8" s="1309" t="s">
        <v>1919</v>
      </c>
      <c r="Z8" s="1309" t="s">
        <v>1920</v>
      </c>
      <c r="AA8" s="730"/>
      <c r="AB8" s="2558" t="s">
        <v>1698</v>
      </c>
      <c r="AC8" s="2559"/>
      <c r="AD8" s="2564" t="s">
        <v>1544</v>
      </c>
      <c r="AE8" s="2559"/>
      <c r="AF8" s="2568" t="s">
        <v>19</v>
      </c>
      <c r="AG8" s="2559"/>
      <c r="AH8" s="2566" t="s">
        <v>1700</v>
      </c>
      <c r="AI8" s="2567"/>
      <c r="AK8" s="2474" t="s">
        <v>1921</v>
      </c>
      <c r="AL8" s="2458"/>
      <c r="AM8" s="2458"/>
    </row>
    <row r="9" spans="1:39" ht="49" customHeight="1">
      <c r="B9" s="1588" t="s">
        <v>1922</v>
      </c>
      <c r="G9" s="1307"/>
      <c r="H9" s="1852"/>
      <c r="I9" s="1"/>
      <c r="J9" s="730"/>
      <c r="K9" s="730"/>
      <c r="L9" s="730"/>
      <c r="M9" s="1"/>
      <c r="N9" s="1"/>
      <c r="O9" s="1"/>
      <c r="P9" s="2053" t="s">
        <v>1923</v>
      </c>
      <c r="Q9" s="2055" t="s">
        <v>1924</v>
      </c>
      <c r="R9" s="2055" t="s">
        <v>1925</v>
      </c>
      <c r="S9" s="2054" t="str">
        <f>"plus petit que "&amp;AL11</f>
        <v>plus petit que 17</v>
      </c>
      <c r="T9" s="2054" t="str">
        <f>"plus petit que "&amp;AL12</f>
        <v>plus petit que 52</v>
      </c>
      <c r="U9" s="2054" t="str">
        <f>"plus petit que "&amp;AL13</f>
        <v>plus petit que 103</v>
      </c>
      <c r="V9" s="2054" t="str">
        <f>"plus petit que "&amp;AL13</f>
        <v>plus petit que 103</v>
      </c>
      <c r="W9" s="2054" t="str">
        <f>"plus grand que "&amp;AK14</f>
        <v>plus grand que 104</v>
      </c>
      <c r="X9" s="2054" t="str">
        <f>"plus grand que "&amp;AK14</f>
        <v>plus grand que 104</v>
      </c>
      <c r="Y9" s="2158"/>
      <c r="Z9" s="2158"/>
      <c r="AA9" s="2158"/>
      <c r="AB9" s="1906" t="s">
        <v>1585</v>
      </c>
      <c r="AC9" s="1809" t="s">
        <v>1488</v>
      </c>
      <c r="AD9" s="5" t="s">
        <v>1585</v>
      </c>
      <c r="AE9" s="5" t="s">
        <v>1488</v>
      </c>
      <c r="AF9" s="1809" t="s">
        <v>1585</v>
      </c>
      <c r="AG9" s="1809" t="s">
        <v>1488</v>
      </c>
      <c r="AH9" s="5" t="s">
        <v>1585</v>
      </c>
      <c r="AI9" s="1903" t="s">
        <v>1488</v>
      </c>
      <c r="AK9" t="s">
        <v>1585</v>
      </c>
      <c r="AL9" t="s">
        <v>1488</v>
      </c>
      <c r="AM9" t="s">
        <v>1926</v>
      </c>
    </row>
    <row r="10" spans="1:39" ht="49" customHeight="1">
      <c r="B10" s="1588"/>
      <c r="G10" s="1307"/>
      <c r="H10" s="1852"/>
      <c r="I10" s="1"/>
      <c r="J10" s="730"/>
      <c r="K10" s="730"/>
      <c r="L10" s="730"/>
      <c r="M10" s="1"/>
      <c r="N10" s="1"/>
      <c r="O10" s="1"/>
      <c r="P10" s="2053"/>
      <c r="Q10" s="2053"/>
      <c r="R10" s="2055"/>
      <c r="S10" s="2054">
        <f>IF($H$37&lt;=$AL$11,1,0)</f>
        <v>1</v>
      </c>
      <c r="T10" s="2054">
        <f>IF(AND($H$37&gt;=$AK$12,$H$37&lt;=$AL$12),1,0)</f>
        <v>0</v>
      </c>
      <c r="U10" s="2054">
        <f>IF(AND($H$37&gt;=$AK$13,$H$37&lt;=$AL$13,Test_Bible!$P$27&lt;=2),1,0)</f>
        <v>0</v>
      </c>
      <c r="V10" s="2054">
        <f>IF(AND($H$37&gt;=$AK$13,$H$37&lt;=$AL$13,Test_Bible!$P$27&gt;2),1,0)</f>
        <v>0</v>
      </c>
      <c r="W10" s="2054">
        <f>IF(AND($H$37&gt;=$AK$14,$H$37&lt;=$AL$14,Test_Bible!$P$27&lt;=2),1,0)</f>
        <v>0</v>
      </c>
      <c r="X10" s="2054">
        <f>IF(AND($H$37&gt;=$AK$14,$H$37&lt;=$AL$14,Test_Bible!$P$27&gt;2),1,0)</f>
        <v>0</v>
      </c>
      <c r="Y10" s="2158"/>
      <c r="Z10" s="2158"/>
      <c r="AA10" s="2158"/>
      <c r="AB10" s="1906"/>
      <c r="AC10" s="1809"/>
      <c r="AD10" s="5"/>
      <c r="AE10" s="5"/>
      <c r="AF10" s="1809"/>
      <c r="AG10" s="1809"/>
      <c r="AH10" s="5"/>
      <c r="AI10" s="1903"/>
    </row>
    <row r="11" spans="1:39" ht="24" customHeight="1">
      <c r="G11" s="700"/>
      <c r="H11" s="2030"/>
      <c r="I11" s="5"/>
      <c r="J11" s="700"/>
      <c r="K11" s="700"/>
      <c r="L11" s="700"/>
      <c r="M11" s="5"/>
      <c r="N11" s="5"/>
      <c r="O11" s="5"/>
      <c r="P11" s="730"/>
      <c r="Q11" s="730"/>
      <c r="R11" s="730"/>
      <c r="S11" s="1254"/>
      <c r="T11" s="1254"/>
      <c r="U11" s="2057"/>
      <c r="V11" s="2033"/>
      <c r="W11" s="2033"/>
      <c r="X11" s="2033"/>
      <c r="Y11" s="730" t="s">
        <v>1927</v>
      </c>
      <c r="Z11" s="730" t="s">
        <v>1927</v>
      </c>
      <c r="AA11" s="730"/>
      <c r="AB11" s="1906"/>
      <c r="AC11" s="1809"/>
      <c r="AF11" s="1907"/>
      <c r="AG11" s="1907"/>
      <c r="AI11" s="292"/>
      <c r="AK11" s="5">
        <f>AB32</f>
        <v>0</v>
      </c>
      <c r="AL11" s="5">
        <f>ROUND(AC32+(AD32-AC32)/2,0)</f>
        <v>17</v>
      </c>
      <c r="AM11" t="s">
        <v>1928</v>
      </c>
    </row>
    <row r="12" spans="1:39" ht="103" customHeight="1" thickBot="1">
      <c r="G12" s="700"/>
      <c r="H12" s="2030"/>
      <c r="I12" s="5"/>
      <c r="J12" s="700"/>
      <c r="K12" s="700"/>
      <c r="L12" s="700"/>
      <c r="M12" s="5"/>
      <c r="N12" s="5"/>
      <c r="O12" s="53"/>
      <c r="P12" s="2029"/>
      <c r="Q12" s="16"/>
      <c r="R12" s="53" t="s">
        <v>1929</v>
      </c>
      <c r="S12" s="1254" t="s">
        <v>1930</v>
      </c>
      <c r="T12" s="1254" t="s">
        <v>1930</v>
      </c>
      <c r="U12" s="2092" t="s">
        <v>1931</v>
      </c>
      <c r="V12" s="2092" t="s">
        <v>1932</v>
      </c>
      <c r="W12" s="2092" t="s">
        <v>1933</v>
      </c>
      <c r="X12" s="2092" t="s">
        <v>1934</v>
      </c>
      <c r="Y12" s="700" t="s">
        <v>1935</v>
      </c>
      <c r="Z12" s="730"/>
      <c r="AA12" s="730"/>
      <c r="AB12" s="1906"/>
      <c r="AC12" s="1809"/>
      <c r="AF12" s="1907"/>
      <c r="AG12" s="1907"/>
      <c r="AI12" s="292"/>
      <c r="AK12" s="5">
        <f>AL11+1</f>
        <v>18</v>
      </c>
      <c r="AL12" s="5">
        <f>ROUND(AE32+(AF32-AE32)/2,0)</f>
        <v>52</v>
      </c>
      <c r="AM12" t="s">
        <v>1936</v>
      </c>
    </row>
    <row r="13" spans="1:39" ht="89" customHeight="1" thickBot="1">
      <c r="A13" s="809"/>
      <c r="B13" s="826" t="str">
        <f>Test_Bible!A112</f>
        <v>PCR01</v>
      </c>
      <c r="C13" s="826" t="str">
        <f>Test_Bible!B112</f>
        <v xml:space="preserve"> </v>
      </c>
      <c r="D13" s="2562" t="s">
        <v>224</v>
      </c>
      <c r="E13" s="826"/>
      <c r="F13" s="67">
        <f>Test_Bible!D112</f>
        <v>0</v>
      </c>
      <c r="G13" s="67">
        <f>Test_Bible!P112</f>
        <v>0</v>
      </c>
      <c r="H13" s="1855">
        <f t="shared" ref="H13:H19" si="0">G13</f>
        <v>0</v>
      </c>
      <c r="I13" s="6">
        <v>0</v>
      </c>
      <c r="J13" s="1310" t="s">
        <v>1652</v>
      </c>
      <c r="K13" s="6" t="s">
        <v>1937</v>
      </c>
      <c r="L13" s="8" t="s">
        <v>1938</v>
      </c>
      <c r="M13" s="1180">
        <v>10</v>
      </c>
      <c r="N13" s="8" t="str">
        <f>IF(C13=" ","",F13*G13)</f>
        <v/>
      </c>
      <c r="O13" s="8"/>
      <c r="P13" s="2029"/>
      <c r="Q13" s="16" t="str">
        <f>IF(OR(C13="",$P$20=""),"",IF(O$20&gt;=$O$39,IF(H13&gt;=7,Y13,""),""))</f>
        <v/>
      </c>
      <c r="R13" s="16" t="str">
        <f t="shared" ref="R13:R19" si="1">IF(OR(C13=" ",$P$20="")," ",IF(O$20&gt;=$O$39,IF(N13&gt;=O$20,Z13," ")," "))</f>
        <v xml:space="preserve"> </v>
      </c>
      <c r="S13" s="765"/>
      <c r="T13" s="765"/>
      <c r="U13" s="2237"/>
      <c r="V13" s="2238"/>
      <c r="W13" s="2239"/>
      <c r="X13" s="2238"/>
      <c r="Y13" s="2255"/>
      <c r="Z13" s="2255"/>
      <c r="AA13" s="2307"/>
      <c r="AB13" s="1910">
        <v>0</v>
      </c>
      <c r="AC13" s="587">
        <v>0</v>
      </c>
      <c r="AD13" s="88">
        <v>1</v>
      </c>
      <c r="AE13" s="88">
        <v>3</v>
      </c>
      <c r="AF13" s="88">
        <v>4</v>
      </c>
      <c r="AG13" s="88">
        <v>6</v>
      </c>
      <c r="AH13" s="88">
        <v>7</v>
      </c>
      <c r="AI13" s="1911">
        <v>10</v>
      </c>
      <c r="AK13" s="5">
        <f>AL12+1</f>
        <v>53</v>
      </c>
      <c r="AL13" s="5">
        <f>ROUND(AG32+(AH32-AG32)/2,0)</f>
        <v>103</v>
      </c>
      <c r="AM13" t="s">
        <v>1939</v>
      </c>
    </row>
    <row r="14" spans="1:39" ht="33" customHeight="1" thickBot="1">
      <c r="A14" s="1853"/>
      <c r="B14" s="481" t="str">
        <f>Test_Bible!A113</f>
        <v>PCR01a</v>
      </c>
      <c r="C14" s="481" t="str">
        <f>Test_Bible!B113</f>
        <v xml:space="preserve"> </v>
      </c>
      <c r="D14" s="2463"/>
      <c r="E14" s="826"/>
      <c r="F14" s="67">
        <f>Test_Bible!D113</f>
        <v>2</v>
      </c>
      <c r="G14" s="67">
        <f>Test_Bible!P113</f>
        <v>0</v>
      </c>
      <c r="H14" s="1855">
        <f t="shared" si="0"/>
        <v>0</v>
      </c>
      <c r="I14" s="1857">
        <v>0</v>
      </c>
      <c r="J14" s="2032" t="s">
        <v>1652</v>
      </c>
      <c r="K14" s="1857" t="s">
        <v>1937</v>
      </c>
      <c r="L14" s="1858" t="s">
        <v>1938</v>
      </c>
      <c r="M14" s="1180">
        <v>10</v>
      </c>
      <c r="N14" s="8" t="str">
        <f>IF(C14=" ","",F14*G14)</f>
        <v/>
      </c>
      <c r="O14" s="8"/>
      <c r="P14" s="2029"/>
      <c r="Q14" s="16" t="str">
        <f t="shared" ref="Q14:Q19" si="2">IF(OR(C14="",$P$20=""),"",IF(O$20&gt;=AVERAGE($O$20,$O$26,$O$32),IF(H14&gt;=7,Y14,""),""))</f>
        <v/>
      </c>
      <c r="R14" s="16" t="str">
        <f t="shared" si="1"/>
        <v xml:space="preserve"> </v>
      </c>
      <c r="S14" s="765"/>
      <c r="T14" s="765"/>
      <c r="U14" s="2237"/>
      <c r="V14" s="2238"/>
      <c r="W14" s="2239"/>
      <c r="X14" s="2238"/>
      <c r="Y14" s="2157"/>
      <c r="Z14" s="2157"/>
      <c r="AA14" s="2307"/>
      <c r="AB14" s="1910">
        <v>0</v>
      </c>
      <c r="AC14" s="587">
        <v>0</v>
      </c>
      <c r="AD14" s="88">
        <v>1</v>
      </c>
      <c r="AE14" s="88">
        <v>3</v>
      </c>
      <c r="AF14" s="88">
        <v>4</v>
      </c>
      <c r="AG14" s="88">
        <v>6</v>
      </c>
      <c r="AH14" s="88">
        <v>7</v>
      </c>
      <c r="AI14" s="1911">
        <v>10</v>
      </c>
      <c r="AK14" s="5">
        <f>AL13+1</f>
        <v>104</v>
      </c>
      <c r="AL14" s="5">
        <f>AI32</f>
        <v>160</v>
      </c>
      <c r="AM14" t="s">
        <v>1940</v>
      </c>
    </row>
    <row r="15" spans="1:39" ht="33" customHeight="1" thickBot="1">
      <c r="A15" s="1853"/>
      <c r="B15" s="481" t="str">
        <f>Test_Bible!A114</f>
        <v>PCR01a1</v>
      </c>
      <c r="C15" s="481" t="str">
        <f>Test_Bible!B114</f>
        <v xml:space="preserve"> </v>
      </c>
      <c r="D15" s="2463"/>
      <c r="E15" s="826"/>
      <c r="F15" s="6">
        <f>Test_Bible!D114</f>
        <v>3</v>
      </c>
      <c r="G15" s="6">
        <f>Test_Bible!P114</f>
        <v>0</v>
      </c>
      <c r="H15" s="1855">
        <f t="shared" si="0"/>
        <v>0</v>
      </c>
      <c r="I15" s="1857">
        <v>0</v>
      </c>
      <c r="J15" s="2032" t="s">
        <v>1652</v>
      </c>
      <c r="K15" s="1857" t="s">
        <v>1937</v>
      </c>
      <c r="L15" s="1858" t="s">
        <v>1938</v>
      </c>
      <c r="M15" s="1180">
        <v>10</v>
      </c>
      <c r="N15" s="8" t="str">
        <f>IF(C15=" ","",F15*G15)</f>
        <v/>
      </c>
      <c r="O15" s="8"/>
      <c r="P15" s="2029"/>
      <c r="Q15" s="16" t="str">
        <f t="shared" si="2"/>
        <v/>
      </c>
      <c r="R15" s="16" t="str">
        <f t="shared" si="1"/>
        <v xml:space="preserve"> </v>
      </c>
      <c r="S15" s="765"/>
      <c r="T15" s="765"/>
      <c r="U15" s="2237"/>
      <c r="V15" s="2238"/>
      <c r="W15" s="2239"/>
      <c r="X15" s="2238"/>
      <c r="Y15" s="2157"/>
      <c r="Z15" s="2157"/>
      <c r="AA15" s="2307"/>
      <c r="AB15" s="1910">
        <v>0</v>
      </c>
      <c r="AC15" s="587">
        <v>0</v>
      </c>
      <c r="AD15" s="88">
        <v>1</v>
      </c>
      <c r="AE15" s="88">
        <v>3</v>
      </c>
      <c r="AF15" s="88">
        <v>4</v>
      </c>
      <c r="AG15" s="88">
        <v>6</v>
      </c>
      <c r="AH15" s="88">
        <v>7</v>
      </c>
      <c r="AI15" s="1911">
        <v>10</v>
      </c>
    </row>
    <row r="16" spans="1:39" ht="38" customHeight="1" thickBot="1">
      <c r="A16" s="2242"/>
      <c r="B16" s="826" t="str">
        <f>Test_Bible!A210</f>
        <v>PFA24</v>
      </c>
      <c r="C16" s="826" t="str">
        <f>Test_Bible!B210</f>
        <v>Depuis la séparation, l’autre parent cherche à vous blesser parce qu'il considère que vous avez brisé ou abandonné la famille.</v>
      </c>
      <c r="D16" s="2463"/>
      <c r="E16" s="826"/>
      <c r="F16" s="6">
        <f>Test_Bible!D210</f>
        <v>2</v>
      </c>
      <c r="G16" s="6">
        <f>Test_Bible!P210</f>
        <v>0</v>
      </c>
      <c r="H16" s="1855">
        <f t="shared" si="0"/>
        <v>0</v>
      </c>
      <c r="I16" s="6">
        <v>0</v>
      </c>
      <c r="J16" s="8">
        <v>1</v>
      </c>
      <c r="K16" s="6" t="s">
        <v>1941</v>
      </c>
      <c r="L16" s="8" t="s">
        <v>1938</v>
      </c>
      <c r="M16" s="1180">
        <v>10</v>
      </c>
      <c r="N16" s="8">
        <f>IF(C16=" ","",F16*G16)</f>
        <v>0</v>
      </c>
      <c r="O16" s="8"/>
      <c r="P16" s="2167"/>
      <c r="Q16" s="16" t="str">
        <f t="shared" si="2"/>
        <v/>
      </c>
      <c r="R16" s="16">
        <f t="shared" si="1"/>
        <v>0</v>
      </c>
      <c r="S16" s="765"/>
      <c r="T16" s="765"/>
      <c r="U16" s="2235"/>
      <c r="V16" s="2235"/>
      <c r="W16" s="2235"/>
      <c r="X16" s="2235"/>
      <c r="Y16" s="2157"/>
      <c r="Z16" s="2157"/>
      <c r="AA16" s="2307"/>
      <c r="AB16" s="1910">
        <v>0</v>
      </c>
      <c r="AC16" s="587">
        <v>0</v>
      </c>
      <c r="AD16" s="88">
        <v>1</v>
      </c>
      <c r="AE16" s="88">
        <v>1</v>
      </c>
      <c r="AF16" s="88">
        <v>2</v>
      </c>
      <c r="AG16" s="88">
        <v>6</v>
      </c>
      <c r="AH16" s="88">
        <v>7</v>
      </c>
      <c r="AI16" s="1911">
        <v>10</v>
      </c>
    </row>
    <row r="17" spans="1:37" ht="47" customHeight="1" thickBot="1">
      <c r="A17" s="1853"/>
      <c r="B17" s="25" t="str">
        <f>BIBLE!E181</f>
        <v>E21</v>
      </c>
      <c r="C17" s="25" t="str">
        <f>Test_Bible!B302</f>
        <v>Les jouets et les vêtements de votre enfant se promènent d’une maison à l’autre simplement.</v>
      </c>
      <c r="D17" s="2463"/>
      <c r="E17" s="25"/>
      <c r="F17" s="6">
        <f>Test_Bible!D302</f>
        <v>1</v>
      </c>
      <c r="G17" s="6">
        <f>Test_Bible!P302</f>
        <v>0</v>
      </c>
      <c r="H17" s="1855">
        <f t="shared" si="0"/>
        <v>0</v>
      </c>
      <c r="I17" s="1857" t="s">
        <v>1942</v>
      </c>
      <c r="J17" s="1858" t="s">
        <v>1943</v>
      </c>
      <c r="K17" s="1857" t="s">
        <v>1937</v>
      </c>
      <c r="L17" s="1858" t="s">
        <v>1938</v>
      </c>
      <c r="M17" s="1180">
        <v>10</v>
      </c>
      <c r="N17" s="8">
        <f>IF(C17="","",F17*G17)</f>
        <v>0</v>
      </c>
      <c r="O17" s="8"/>
      <c r="P17" s="2167"/>
      <c r="Q17" s="16" t="str">
        <f t="shared" si="2"/>
        <v/>
      </c>
      <c r="R17" s="16">
        <f t="shared" si="1"/>
        <v>0</v>
      </c>
      <c r="S17" s="765"/>
      <c r="T17" s="765"/>
      <c r="U17" s="2240"/>
      <c r="V17" s="2240"/>
      <c r="W17" s="2240"/>
      <c r="X17" s="2240"/>
      <c r="Y17" s="2157"/>
      <c r="Z17" s="2157"/>
      <c r="AA17" s="2307"/>
      <c r="AB17" s="1910">
        <v>0</v>
      </c>
      <c r="AC17" s="587">
        <v>1</v>
      </c>
      <c r="AD17" s="88">
        <v>2</v>
      </c>
      <c r="AE17" s="88">
        <v>3</v>
      </c>
      <c r="AF17" s="88">
        <v>4</v>
      </c>
      <c r="AG17" s="88">
        <v>6</v>
      </c>
      <c r="AH17" s="88">
        <v>7</v>
      </c>
      <c r="AI17" s="1911">
        <v>10</v>
      </c>
    </row>
    <row r="18" spans="1:37" ht="89" customHeight="1" thickBot="1">
      <c r="A18" s="1853"/>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3"/>
      <c r="E18" s="25"/>
      <c r="F18" s="6">
        <f>Test_Bible!D306</f>
        <v>2</v>
      </c>
      <c r="G18" s="6">
        <f>Test_Bible!P306</f>
        <v>0</v>
      </c>
      <c r="H18" s="1855">
        <f t="shared" si="0"/>
        <v>0</v>
      </c>
      <c r="I18" s="1857" t="s">
        <v>1942</v>
      </c>
      <c r="J18" s="1858" t="s">
        <v>1943</v>
      </c>
      <c r="K18" s="1857" t="s">
        <v>1937</v>
      </c>
      <c r="L18" s="1858" t="s">
        <v>1938</v>
      </c>
      <c r="M18" s="1180">
        <v>10</v>
      </c>
      <c r="N18" s="8">
        <f>IF(C18=" ","",F18*G18)</f>
        <v>0</v>
      </c>
      <c r="O18" s="8"/>
      <c r="P18" s="2167"/>
      <c r="Q18" s="16" t="str">
        <f t="shared" si="2"/>
        <v/>
      </c>
      <c r="R18" s="16">
        <f t="shared" si="1"/>
        <v>0</v>
      </c>
      <c r="S18" s="765"/>
      <c r="T18" s="765"/>
      <c r="U18" s="2240"/>
      <c r="V18" s="2240"/>
      <c r="W18" s="2240"/>
      <c r="X18" s="2240"/>
      <c r="Y18" s="2295" t="s">
        <v>1944</v>
      </c>
      <c r="Z18" s="2157"/>
      <c r="AA18" s="2307"/>
      <c r="AB18" s="1910">
        <v>0</v>
      </c>
      <c r="AC18" s="587">
        <v>1</v>
      </c>
      <c r="AD18" s="88">
        <v>2</v>
      </c>
      <c r="AE18" s="88">
        <v>3</v>
      </c>
      <c r="AF18" s="88">
        <v>4</v>
      </c>
      <c r="AG18" s="88">
        <v>6</v>
      </c>
      <c r="AH18" s="88">
        <v>7</v>
      </c>
      <c r="AI18" s="1911">
        <v>10</v>
      </c>
    </row>
    <row r="19" spans="1:37" ht="33" customHeight="1" thickBot="1">
      <c r="A19" s="1853"/>
      <c r="B19" s="826" t="str">
        <f>Test_Bible!A123</f>
        <v>PCR02</v>
      </c>
      <c r="C19" s="1856" t="str">
        <f>Test_Bible!B123</f>
        <v>Vous devez faire des compromis afin d'assurer une bonne entente de garde.</v>
      </c>
      <c r="D19" s="2464"/>
      <c r="F19" s="831">
        <f>Test_Bible!D123</f>
        <v>1</v>
      </c>
      <c r="G19" s="1854">
        <f>Test_Bible!P123</f>
        <v>0</v>
      </c>
      <c r="H19" s="1855">
        <f t="shared" si="0"/>
        <v>0</v>
      </c>
      <c r="I19" s="1857" t="s">
        <v>1942</v>
      </c>
      <c r="J19" s="1858" t="s">
        <v>1945</v>
      </c>
      <c r="K19" s="1857" t="s">
        <v>1946</v>
      </c>
      <c r="L19" s="1858" t="s">
        <v>1947</v>
      </c>
      <c r="M19" s="1180">
        <v>10</v>
      </c>
      <c r="N19" s="8">
        <f>IF(C19=" ","",F19*G19)</f>
        <v>0</v>
      </c>
      <c r="P19" s="2029"/>
      <c r="Q19" s="16" t="str">
        <f t="shared" si="2"/>
        <v/>
      </c>
      <c r="R19" s="16">
        <f t="shared" si="1"/>
        <v>0</v>
      </c>
      <c r="S19" s="765"/>
      <c r="T19" s="765"/>
      <c r="U19" s="2237"/>
      <c r="V19" s="2238"/>
      <c r="W19" s="2239"/>
      <c r="X19" s="2238"/>
      <c r="Y19" s="2256"/>
      <c r="Z19" s="2256"/>
      <c r="AA19" s="2307"/>
      <c r="AB19" s="1910">
        <v>0</v>
      </c>
      <c r="AC19" s="587">
        <v>1</v>
      </c>
      <c r="AD19" s="88">
        <v>2</v>
      </c>
      <c r="AE19" s="88">
        <v>4</v>
      </c>
      <c r="AF19" s="88">
        <v>5</v>
      </c>
      <c r="AG19" s="88">
        <v>8</v>
      </c>
      <c r="AH19" s="88">
        <v>9</v>
      </c>
      <c r="AI19" s="1911">
        <v>10</v>
      </c>
      <c r="AK19" t="s">
        <v>1948</v>
      </c>
    </row>
    <row r="20" spans="1:37" s="7" customFormat="1" ht="144" customHeight="1" thickBot="1">
      <c r="B20" s="25"/>
      <c r="C20" s="2052"/>
      <c r="D20" s="2039"/>
      <c r="E20" s="2040"/>
      <c r="F20" s="2041"/>
      <c r="G20" s="2036"/>
      <c r="H20" s="2037"/>
      <c r="I20" s="2036"/>
      <c r="J20" s="2036"/>
      <c r="K20" s="2036"/>
      <c r="L20" s="2036"/>
      <c r="M20" s="2036"/>
      <c r="N20" s="2036"/>
      <c r="O20" s="2038">
        <f>AVERAGE(N13:N19)</f>
        <v>0</v>
      </c>
      <c r="P20" s="2300" t="str">
        <f>IF(O20&gt;=O39,HLOOKUP(1,$S$10:$X$34,11),"")</f>
        <v>Un climat de tension rend l'exercice de la coparentalité difficile.</v>
      </c>
      <c r="Q20" s="2300"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0">
        <f>IF(P20="","",Z20)</f>
        <v>0</v>
      </c>
      <c r="S20" s="765"/>
      <c r="T20" s="765"/>
      <c r="U20" s="2217" t="s">
        <v>1949</v>
      </c>
      <c r="V20" s="2217" t="s">
        <v>1949</v>
      </c>
      <c r="W20" s="2217" t="s">
        <v>1950</v>
      </c>
      <c r="X20" s="2217" t="s">
        <v>1950</v>
      </c>
      <c r="Y20" s="2295" t="s">
        <v>1951</v>
      </c>
      <c r="Z20" s="2156"/>
      <c r="AA20" s="671"/>
      <c r="AB20" s="2049"/>
      <c r="AC20" s="2050"/>
      <c r="AF20" s="590"/>
      <c r="AG20" s="590"/>
      <c r="AI20" s="2051"/>
    </row>
    <row r="21" spans="1:37" ht="57" customHeight="1" thickBot="1">
      <c r="A21" s="1853"/>
      <c r="B21" s="7" t="str">
        <f>Test_Bible!A53</f>
        <v>B11</v>
      </c>
      <c r="C21" s="25" t="str">
        <f>Test_Bible!B53</f>
        <v>Dans quelle mesure l'entente de garde et/ou les droits d'accès sont-ils respectés ?</v>
      </c>
      <c r="D21" s="2557" t="s">
        <v>225</v>
      </c>
      <c r="F21" s="8">
        <f>Test_Bible!D53</f>
        <v>3</v>
      </c>
      <c r="G21" s="67">
        <f>Test_Bible!P53</f>
        <v>0</v>
      </c>
      <c r="H21" s="1855">
        <f>G21</f>
        <v>0</v>
      </c>
      <c r="I21" s="1857">
        <v>0</v>
      </c>
      <c r="J21" s="1858">
        <v>1</v>
      </c>
      <c r="K21" s="1857" t="s">
        <v>1943</v>
      </c>
      <c r="L21" s="1858" t="s">
        <v>1952</v>
      </c>
      <c r="M21" s="1180">
        <v>10</v>
      </c>
      <c r="N21" s="8">
        <f>IF(C21=" ","",F21*G21)</f>
        <v>0</v>
      </c>
      <c r="O21" s="8"/>
      <c r="P21" s="2167"/>
      <c r="Q21" s="16" t="str">
        <f>IF(OR(C21=" ",$P$26="")," ",IF(O$20&gt;=$O$39,IF(H21&gt;=7,Y21," ")," "))</f>
        <v xml:space="preserve"> </v>
      </c>
      <c r="R21" s="16">
        <f>IF(OR(C21=" ",$P$26="")," ",IF(O$20&gt;=$O$39,IF(N21&gt;=O$20,Z21," ")," "))</f>
        <v>0</v>
      </c>
      <c r="S21" s="765"/>
      <c r="T21" s="765"/>
      <c r="U21" s="2234"/>
      <c r="V21" s="2234"/>
      <c r="W21" s="2234"/>
      <c r="X21" s="2234"/>
      <c r="Y21" s="2257"/>
      <c r="Z21" s="2257"/>
      <c r="AA21" s="2307"/>
      <c r="AB21" s="1910">
        <v>0</v>
      </c>
      <c r="AC21" s="587">
        <v>0</v>
      </c>
      <c r="AD21" s="88">
        <v>1</v>
      </c>
      <c r="AE21" s="88">
        <v>1</v>
      </c>
      <c r="AF21" s="88">
        <v>2</v>
      </c>
      <c r="AG21" s="88">
        <v>3</v>
      </c>
      <c r="AH21" s="88">
        <v>4</v>
      </c>
      <c r="AI21" s="1911">
        <v>10</v>
      </c>
    </row>
    <row r="22" spans="1:37" ht="38" customHeight="1" thickBot="1">
      <c r="A22" s="1853"/>
      <c r="B22" s="826" t="str">
        <f>Test_Bible!A136</f>
        <v>PCR09</v>
      </c>
      <c r="C22" s="1856" t="str">
        <f>Test_Bible!B136</f>
        <v>Vous laissez à votre enfant le droit de choisir la fréquence des visites et le temps qu'il passe chez l'autre parent.</v>
      </c>
      <c r="D22" s="2458"/>
      <c r="E22" s="2059">
        <v>12</v>
      </c>
      <c r="F22" s="16">
        <f>IF(Test_Bible!$P$40&lt;=12,Test_Bible!D136,0)</f>
        <v>3</v>
      </c>
      <c r="G22" s="16">
        <f>IF(Test_Bible!P40&lt;=12,Test_Bible!P136,0)</f>
        <v>0</v>
      </c>
      <c r="H22" s="1855">
        <f>G22</f>
        <v>0</v>
      </c>
      <c r="I22" s="1857" t="s">
        <v>1942</v>
      </c>
      <c r="J22" s="1858" t="s">
        <v>1943</v>
      </c>
      <c r="K22" s="1857" t="s">
        <v>1937</v>
      </c>
      <c r="L22" s="1858" t="s">
        <v>1938</v>
      </c>
      <c r="M22" s="1180">
        <v>10</v>
      </c>
      <c r="N22" s="8">
        <f>IF(C22=" ","",F22*G22)</f>
        <v>0</v>
      </c>
      <c r="O22" s="8"/>
      <c r="P22" s="2167"/>
      <c r="Q22" s="16" t="str">
        <f>IF(OR(C22=" ",$P$26="")," ",IF(O$20&gt;=$O$39,IF(H22&gt;=7,Y22," ")," "))</f>
        <v xml:space="preserve"> </v>
      </c>
      <c r="R22" s="16">
        <f>IF(OR(C22=" ",$P$26="")," ",IF(O$20&gt;=$O$39,IF(N22&gt;=O$20,Z22," ")," "))</f>
        <v>0</v>
      </c>
      <c r="S22" s="765"/>
      <c r="T22" s="765"/>
      <c r="U22" s="2235"/>
      <c r="V22" s="2235"/>
      <c r="W22" s="2235"/>
      <c r="X22" s="2235"/>
      <c r="Y22" s="2157"/>
      <c r="Z22" s="2157"/>
      <c r="AA22" s="2307"/>
      <c r="AB22" s="1910">
        <v>0</v>
      </c>
      <c r="AC22" s="587">
        <v>1</v>
      </c>
      <c r="AD22" s="88">
        <v>2</v>
      </c>
      <c r="AE22" s="88">
        <v>3</v>
      </c>
      <c r="AF22" s="88">
        <v>4</v>
      </c>
      <c r="AG22" s="88">
        <v>6</v>
      </c>
      <c r="AH22" s="88">
        <v>7</v>
      </c>
      <c r="AI22" s="1911">
        <v>10</v>
      </c>
    </row>
    <row r="23" spans="1:37" ht="44" customHeight="1" thickBot="1">
      <c r="A23" s="1853"/>
      <c r="B23" s="826" t="str">
        <f>Test_Bible!A140</f>
        <v>PCR12</v>
      </c>
      <c r="C23" s="1856" t="str">
        <f>Test_Bible!B140</f>
        <v>Il vous arrive de prendre des décisions sans consulter l'autre parent.</v>
      </c>
      <c r="D23" s="2458"/>
      <c r="E23" s="1856"/>
      <c r="F23" s="16">
        <f>Test_Bible!D140</f>
        <v>2</v>
      </c>
      <c r="G23" s="67">
        <f>Test_Bible!P140</f>
        <v>0</v>
      </c>
      <c r="H23" s="1855">
        <f>G23</f>
        <v>0</v>
      </c>
      <c r="I23" s="1857">
        <v>0</v>
      </c>
      <c r="J23" s="1858" t="s">
        <v>1953</v>
      </c>
      <c r="K23" s="1857" t="s">
        <v>1954</v>
      </c>
      <c r="L23" s="1858" t="s">
        <v>1938</v>
      </c>
      <c r="M23" s="1180">
        <v>10</v>
      </c>
      <c r="N23" s="8">
        <f>IF(C23=" ","",F23*G23)</f>
        <v>0</v>
      </c>
      <c r="O23" s="8"/>
      <c r="P23" s="2167"/>
      <c r="Q23" s="16" t="str">
        <f>IF(OR(C23=" ",$P$26="")," ",IF(O$20&gt;=$O$39,IF(H23&gt;=7,Y23," ")," "))</f>
        <v xml:space="preserve"> </v>
      </c>
      <c r="R23" s="16">
        <f>IF(OR(C23=" ",$P$26="")," ",IF(O$20&gt;=$O$39,IF(N23&gt;=O$20,Z23," ")," "))</f>
        <v>0</v>
      </c>
      <c r="S23" s="765"/>
      <c r="T23" s="765"/>
      <c r="U23" s="2235"/>
      <c r="V23" s="2235"/>
      <c r="W23" s="2235"/>
      <c r="X23" s="2235"/>
      <c r="Y23" s="2294" t="s">
        <v>1955</v>
      </c>
      <c r="Z23" s="2157"/>
      <c r="AA23" s="2307"/>
      <c r="AB23" s="1910">
        <v>0</v>
      </c>
      <c r="AC23" s="587">
        <v>0</v>
      </c>
      <c r="AD23" s="88">
        <v>1</v>
      </c>
      <c r="AE23" s="88">
        <v>2</v>
      </c>
      <c r="AF23" s="88">
        <v>3</v>
      </c>
      <c r="AG23" s="88">
        <v>6</v>
      </c>
      <c r="AH23" s="88">
        <v>7</v>
      </c>
      <c r="AI23" s="1911">
        <v>10</v>
      </c>
    </row>
    <row r="24" spans="1:37" ht="38" customHeight="1" thickBot="1">
      <c r="A24" s="809"/>
      <c r="B24" s="826" t="str">
        <f>Test_Bible!A197</f>
        <v>PFA17</v>
      </c>
      <c r="C24" s="826" t="str">
        <f>Test_Bible!B197</f>
        <v>L’autre parent se présente à la sortie des classes, au service de garde ou à la garderie sur votre temps de garde.</v>
      </c>
      <c r="D24" s="2458"/>
      <c r="E24" s="826"/>
      <c r="F24" s="8">
        <f>Test_Bible!D197</f>
        <v>1</v>
      </c>
      <c r="G24" s="8">
        <f>Test_Bible!P197</f>
        <v>0</v>
      </c>
      <c r="H24" s="1855">
        <f>MAX(G24,G31)</f>
        <v>0</v>
      </c>
      <c r="I24" s="6" t="s">
        <v>1942</v>
      </c>
      <c r="J24" s="1310" t="s">
        <v>1943</v>
      </c>
      <c r="K24" s="6" t="s">
        <v>1937</v>
      </c>
      <c r="L24" s="8" t="s">
        <v>1938</v>
      </c>
      <c r="M24" s="1180">
        <v>10</v>
      </c>
      <c r="N24" s="8">
        <f>IF(C24=" ","",F24*G24)</f>
        <v>0</v>
      </c>
      <c r="O24" s="8"/>
      <c r="P24" s="2167"/>
      <c r="Q24" s="16" t="str">
        <f>IF(OR(C24=" ",$P$26="")," ",IF(O$20&gt;=$O$39,IF(H24&gt;=7,Y24," ")," "))</f>
        <v xml:space="preserve"> </v>
      </c>
      <c r="R24" s="16">
        <f>IF(OR(C24=" ",$P$26="")," ",IF(O$20&gt;=$O$39,IF(N24&gt;=O$20,Z24," ")," "))</f>
        <v>0</v>
      </c>
      <c r="S24" s="765"/>
      <c r="T24" s="765"/>
      <c r="U24" s="2235"/>
      <c r="V24" s="2235"/>
      <c r="W24" s="2235"/>
      <c r="X24" s="2235"/>
      <c r="Y24" s="2157"/>
      <c r="Z24" s="2157"/>
      <c r="AA24" s="2307"/>
      <c r="AB24" s="1910">
        <v>0</v>
      </c>
      <c r="AC24" s="587">
        <v>1</v>
      </c>
      <c r="AD24" s="88">
        <v>2</v>
      </c>
      <c r="AE24" s="88">
        <v>3</v>
      </c>
      <c r="AF24" s="88">
        <v>4</v>
      </c>
      <c r="AG24" s="88">
        <v>6</v>
      </c>
      <c r="AH24" s="88">
        <v>7</v>
      </c>
      <c r="AI24" s="1911">
        <v>10</v>
      </c>
    </row>
    <row r="25" spans="1:37" ht="41" customHeight="1" thickBot="1">
      <c r="A25" s="2243" t="s">
        <v>1956</v>
      </c>
      <c r="B25" s="826" t="str">
        <f>Test_Bible!A134</f>
        <v>PCR07</v>
      </c>
      <c r="C25" s="1856" t="str">
        <f>Test_Bible!B134</f>
        <v>Il vous arrive de faire des reproches à l'autre parent devant votre enfant.</v>
      </c>
      <c r="D25" s="2458"/>
      <c r="E25" s="1856"/>
      <c r="F25" s="16">
        <f>Test_Bible!D134</f>
        <v>1</v>
      </c>
      <c r="G25" s="67">
        <f>Test_Bible!P134</f>
        <v>0</v>
      </c>
      <c r="H25" s="1855">
        <f>G25</f>
        <v>0</v>
      </c>
      <c r="I25" s="1857" t="s">
        <v>1942</v>
      </c>
      <c r="J25" s="1858" t="s">
        <v>1943</v>
      </c>
      <c r="K25" s="1857" t="s">
        <v>1937</v>
      </c>
      <c r="L25" s="1858" t="s">
        <v>1938</v>
      </c>
      <c r="M25" s="1180">
        <v>10</v>
      </c>
      <c r="N25" s="8">
        <f>IF(C25=" ","",F25*G25)</f>
        <v>0</v>
      </c>
      <c r="O25" s="8"/>
      <c r="P25" s="2167"/>
      <c r="Q25" s="16" t="str">
        <f>IF(OR(C25=" ",$P$26="")," ",IF(O$20&gt;=$O$39,IF(H25&gt;=7,Y25," ")," "))</f>
        <v xml:space="preserve"> </v>
      </c>
      <c r="R25" s="16">
        <f>IF(OR(C25=" ",$P$26="")," ",IF(O$20&gt;=$O$39,IF(N25&gt;=O$20,Z25," ")," "))</f>
        <v>0</v>
      </c>
      <c r="S25" s="765"/>
      <c r="T25" s="765"/>
      <c r="U25" s="2241"/>
      <c r="V25" s="2241"/>
      <c r="W25" s="2241"/>
      <c r="X25" s="2241"/>
      <c r="Y25" s="2157"/>
      <c r="Z25" s="2157"/>
      <c r="AA25" s="2307"/>
      <c r="AB25" s="1910">
        <v>0</v>
      </c>
      <c r="AC25" s="587">
        <v>1</v>
      </c>
      <c r="AD25" s="88">
        <v>2</v>
      </c>
      <c r="AE25" s="88">
        <v>3</v>
      </c>
      <c r="AF25" s="88">
        <v>4</v>
      </c>
      <c r="AG25" s="88">
        <v>6</v>
      </c>
      <c r="AH25" s="88">
        <v>7</v>
      </c>
      <c r="AI25" s="1911">
        <v>10</v>
      </c>
    </row>
    <row r="26" spans="1:37" s="7" customFormat="1" ht="111" customHeight="1" thickBot="1">
      <c r="D26" s="2039"/>
      <c r="E26" s="2040"/>
      <c r="F26" s="2041"/>
      <c r="G26" s="2036"/>
      <c r="H26" s="2037"/>
      <c r="I26" s="2036"/>
      <c r="J26" s="2036"/>
      <c r="K26" s="2036"/>
      <c r="L26" s="2036"/>
      <c r="M26" s="2036"/>
      <c r="N26" s="2036"/>
      <c r="O26" s="2038">
        <f>AVERAGE(N21:N25)</f>
        <v>0</v>
      </c>
      <c r="P26" s="2300" t="str">
        <f>IF(O26&gt;=O39,HLOOKUP(1,$S$10:$X$34,17),"")</f>
        <v>L'analyse révèle un non-respect de la valeur parentale et du temps parental de l'un ou les deux parents.</v>
      </c>
      <c r="Q26" s="2300">
        <f>IF(P26="","",Y26)</f>
        <v>0</v>
      </c>
      <c r="R26" s="2300">
        <f>IF(P26="","",Z26)</f>
        <v>0</v>
      </c>
      <c r="S26" s="765"/>
      <c r="T26" s="765"/>
      <c r="U26" s="2217" t="s">
        <v>1957</v>
      </c>
      <c r="V26" s="2217" t="s">
        <v>1957</v>
      </c>
      <c r="W26" s="2217" t="s">
        <v>1958</v>
      </c>
      <c r="X26" s="2217" t="s">
        <v>1958</v>
      </c>
      <c r="Y26" s="2156"/>
      <c r="Z26" s="2156"/>
      <c r="AA26" s="671"/>
      <c r="AB26" s="2049"/>
      <c r="AC26" s="2050"/>
      <c r="AF26" s="590"/>
      <c r="AG26" s="590"/>
      <c r="AI26" s="2051"/>
    </row>
    <row r="27" spans="1:37" s="7" customFormat="1" ht="56" customHeight="1">
      <c r="B27" s="2046" t="s">
        <v>1959</v>
      </c>
      <c r="C27" s="25"/>
      <c r="D27" s="2250"/>
      <c r="E27" s="2251"/>
      <c r="F27" s="1053"/>
      <c r="G27" s="65"/>
      <c r="H27" s="2252"/>
      <c r="I27" s="65"/>
      <c r="J27" s="65"/>
      <c r="K27" s="65"/>
      <c r="L27" s="65"/>
      <c r="M27" s="65"/>
      <c r="N27" s="65"/>
      <c r="O27" s="2231"/>
      <c r="P27" s="2250"/>
      <c r="Q27" s="16"/>
      <c r="R27" s="25"/>
      <c r="S27" s="765"/>
      <c r="T27" s="765"/>
      <c r="U27" s="2253"/>
      <c r="V27" s="2253"/>
      <c r="W27" s="2253"/>
      <c r="X27" s="2254"/>
      <c r="Y27" s="2298"/>
      <c r="Z27" s="2298"/>
      <c r="AA27" s="671"/>
      <c r="AB27" s="2047"/>
      <c r="AC27" s="553"/>
      <c r="AD27" s="68"/>
      <c r="AE27" s="68"/>
      <c r="AF27" s="68"/>
      <c r="AG27" s="68"/>
      <c r="AH27" s="68"/>
      <c r="AI27" s="2048"/>
    </row>
    <row r="28" spans="1:37" ht="40" customHeight="1" thickBot="1">
      <c r="A28" s="809"/>
      <c r="B28" s="826" t="str">
        <f>Test_Bible!A216</f>
        <v>PFA26</v>
      </c>
      <c r="C28" s="826" t="str">
        <f>Test_Bible!B216</f>
        <v>L’autre parent considère que son nouveau ou nouvelle conjoint·e est un meilleur parent que vous.</v>
      </c>
      <c r="D28" s="2562" t="s">
        <v>226</v>
      </c>
      <c r="E28" s="826"/>
      <c r="F28" s="6">
        <f>Test_Bible!D216</f>
        <v>2</v>
      </c>
      <c r="G28" s="6">
        <f>Test_Bible!P216</f>
        <v>0</v>
      </c>
      <c r="H28" s="1855">
        <f>G28</f>
        <v>0</v>
      </c>
      <c r="I28" s="6">
        <v>0</v>
      </c>
      <c r="J28" s="8" t="s">
        <v>1652</v>
      </c>
      <c r="K28" s="6" t="s">
        <v>1937</v>
      </c>
      <c r="L28" s="8" t="s">
        <v>1938</v>
      </c>
      <c r="M28" s="1180">
        <v>10</v>
      </c>
      <c r="N28" s="8">
        <f>IF(C28=" ","",F28*G28)</f>
        <v>0</v>
      </c>
      <c r="O28" s="8"/>
      <c r="P28" s="2560"/>
      <c r="Q28" s="16" t="str">
        <f>IF(OR(C28=" ",$P$32="")," ",IF(O$20&gt;=$O$39,IF(H28&gt;=7,Y28," ")," "))</f>
        <v xml:space="preserve"> </v>
      </c>
      <c r="R28" s="16">
        <f>IF(OR(C28=" ",$P$32="")," ",IF(O$20&gt;=$O$39,IF(N28&gt;=O$20,Z28," ")," "))</f>
        <v>0</v>
      </c>
      <c r="S28" s="765"/>
      <c r="T28" s="765"/>
      <c r="U28" s="2235"/>
      <c r="V28" s="2235"/>
      <c r="W28" s="2235"/>
      <c r="X28" s="2235"/>
      <c r="Y28" s="2232"/>
      <c r="Z28" s="2232"/>
      <c r="AA28" s="25"/>
      <c r="AB28" s="1910">
        <v>0</v>
      </c>
      <c r="AC28" s="587">
        <v>0</v>
      </c>
      <c r="AD28" s="88">
        <v>1</v>
      </c>
      <c r="AE28" s="88">
        <v>3</v>
      </c>
      <c r="AF28" s="88">
        <v>4</v>
      </c>
      <c r="AG28" s="88">
        <v>6</v>
      </c>
      <c r="AH28" s="88">
        <v>7</v>
      </c>
      <c r="AI28" s="1911">
        <v>10</v>
      </c>
    </row>
    <row r="29" spans="1:37" ht="55" customHeight="1" thickBot="1">
      <c r="A29" s="809"/>
      <c r="B29" s="541" t="str">
        <f>Test_Bible!A425</f>
        <v>NC15</v>
      </c>
      <c r="C29" s="826" t="str">
        <f>Test_Bible!B425</f>
        <v/>
      </c>
      <c r="D29" s="2463"/>
      <c r="E29" s="826"/>
      <c r="F29" s="6">
        <f>Test_Bible!D425</f>
        <v>2</v>
      </c>
      <c r="G29" s="6">
        <f>Test_Bible!P425</f>
        <v>0</v>
      </c>
      <c r="H29" s="1855">
        <f>G29</f>
        <v>0</v>
      </c>
      <c r="I29" s="6" t="s">
        <v>1942</v>
      </c>
      <c r="J29" s="1310" t="s">
        <v>1943</v>
      </c>
      <c r="K29" s="6" t="s">
        <v>1937</v>
      </c>
      <c r="L29" s="8" t="s">
        <v>1938</v>
      </c>
      <c r="M29" s="1180">
        <v>10</v>
      </c>
      <c r="N29" s="8">
        <f>IF(C29=" ","",F29*G29)</f>
        <v>0</v>
      </c>
      <c r="O29" s="8"/>
      <c r="P29" s="2522"/>
      <c r="Q29" s="16" t="str">
        <f>IF(OR(C29=" ",$P$32="")," ",IF(O$20&gt;=$O$39,IF(H29&gt;=7,Y29," ")," "))</f>
        <v xml:space="preserve"> </v>
      </c>
      <c r="R29" s="16">
        <f>IF(OR(C29=" ",$P$32="")," ",IF(O$20&gt;=$O$39,IF(N29&gt;=O$20,Z29," ")," "))</f>
        <v>0</v>
      </c>
      <c r="S29" s="765"/>
      <c r="T29" s="765"/>
      <c r="U29" s="2235"/>
      <c r="V29" s="2235"/>
      <c r="W29" s="2235"/>
      <c r="X29" s="2235"/>
      <c r="Y29" s="2232"/>
      <c r="Z29" s="2232"/>
      <c r="AA29" s="25"/>
      <c r="AB29" s="1910">
        <v>0</v>
      </c>
      <c r="AC29" s="587">
        <v>1</v>
      </c>
      <c r="AD29" s="88">
        <v>2</v>
      </c>
      <c r="AE29" s="88">
        <v>3</v>
      </c>
      <c r="AF29" s="88">
        <v>4</v>
      </c>
      <c r="AG29" s="88">
        <v>6</v>
      </c>
      <c r="AH29" s="88">
        <v>7</v>
      </c>
      <c r="AI29" s="1911">
        <v>10</v>
      </c>
    </row>
    <row r="30" spans="1:37" s="7" customFormat="1" ht="37" customHeight="1" thickBot="1">
      <c r="A30" s="1912"/>
      <c r="B30" s="21" t="str">
        <f>Test_Bible!A405</f>
        <v>NC01a</v>
      </c>
      <c r="C30" s="21" t="str">
        <f>Test_Bible!B405</f>
        <v/>
      </c>
      <c r="D30" s="2463"/>
      <c r="F30" s="6">
        <f>Test_Bible!D405</f>
        <v>2</v>
      </c>
      <c r="G30" s="6">
        <f>Test_Bible!P405</f>
        <v>0</v>
      </c>
      <c r="H30" s="1855">
        <f>G30</f>
        <v>0</v>
      </c>
      <c r="I30" s="6" t="s">
        <v>1942</v>
      </c>
      <c r="J30" s="1310" t="s">
        <v>1943</v>
      </c>
      <c r="K30" s="6" t="s">
        <v>1937</v>
      </c>
      <c r="L30" s="8" t="s">
        <v>1938</v>
      </c>
      <c r="M30" s="1180">
        <v>10</v>
      </c>
      <c r="N30" s="8">
        <f>IF(C30=" ","",F30*G30)</f>
        <v>0</v>
      </c>
      <c r="O30" s="8"/>
      <c r="P30" s="2522"/>
      <c r="Q30" s="16" t="str">
        <f>IF(OR(C30=" ",$P$32="")," ",IF(O$20&gt;=$O$39,IF(H30&gt;=7,Y30," ")," "))</f>
        <v xml:space="preserve"> </v>
      </c>
      <c r="R30" s="16">
        <f>IF(OR(C30=" ",$P$32="")," ",IF(O$20&gt;=$O$39,IF(N30&gt;=O$20,Z30," ")," "))</f>
        <v>0</v>
      </c>
      <c r="S30" s="765"/>
      <c r="T30" s="765"/>
      <c r="U30" s="2235"/>
      <c r="V30" s="2235"/>
      <c r="W30" s="2235"/>
      <c r="X30" s="2235"/>
      <c r="Y30" s="2232"/>
      <c r="Z30" s="2232"/>
      <c r="AA30" s="25"/>
      <c r="AB30" s="1910">
        <v>0</v>
      </c>
      <c r="AC30" s="587">
        <v>1</v>
      </c>
      <c r="AD30" s="88">
        <v>2</v>
      </c>
      <c r="AE30" s="88">
        <v>3</v>
      </c>
      <c r="AF30" s="88">
        <v>4</v>
      </c>
      <c r="AG30" s="88">
        <v>6</v>
      </c>
      <c r="AH30" s="88">
        <v>7</v>
      </c>
      <c r="AI30" s="1911">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464"/>
      <c r="E31" s="826"/>
      <c r="F31" s="8">
        <f>Test_Bible!D419</f>
        <v>2</v>
      </c>
      <c r="G31" s="8">
        <f>Test_Bible!P419</f>
        <v>0</v>
      </c>
      <c r="H31" s="1855">
        <f>G31</f>
        <v>0</v>
      </c>
      <c r="I31" s="6" t="s">
        <v>1942</v>
      </c>
      <c r="J31" s="1310" t="s">
        <v>1943</v>
      </c>
      <c r="K31" s="6" t="s">
        <v>1937</v>
      </c>
      <c r="L31" s="8" t="s">
        <v>1938</v>
      </c>
      <c r="M31" s="1180">
        <v>10</v>
      </c>
      <c r="N31" s="8">
        <f>IF(C31=" ","",F31*G31)</f>
        <v>0</v>
      </c>
      <c r="O31" s="8"/>
      <c r="P31" s="2522"/>
      <c r="Q31" s="16" t="str">
        <f>IF(OR(C31=" ",$P$32="")," ",IF(O$20&gt;=$O$39,IF(H31&gt;=7,Y31," ")," "))</f>
        <v xml:space="preserve"> </v>
      </c>
      <c r="R31" s="16">
        <f>IF(OR(C31=" ",$P$32="")," ",IF(O$20&gt;=$O$39,IF(N31&gt;=O$20,Z31," ")," "))</f>
        <v>0</v>
      </c>
      <c r="S31" s="765"/>
      <c r="T31" s="765"/>
      <c r="U31" s="2235"/>
      <c r="V31" s="2235"/>
      <c r="W31" s="2235"/>
      <c r="X31" s="2235"/>
      <c r="Y31" s="2232"/>
      <c r="Z31" s="2232"/>
      <c r="AA31" s="25"/>
      <c r="AB31" s="1910">
        <v>0</v>
      </c>
      <c r="AC31" s="587">
        <v>1</v>
      </c>
      <c r="AD31" s="88">
        <v>2</v>
      </c>
      <c r="AE31" s="88">
        <v>3</v>
      </c>
      <c r="AF31" s="88">
        <v>4</v>
      </c>
      <c r="AG31" s="88">
        <v>6</v>
      </c>
      <c r="AH31" s="88">
        <v>7</v>
      </c>
      <c r="AI31" s="1911">
        <v>10</v>
      </c>
    </row>
    <row r="32" spans="1:37" s="7" customFormat="1" ht="132" customHeight="1" thickBot="1">
      <c r="D32" s="2039"/>
      <c r="E32" s="2040"/>
      <c r="F32" s="2041"/>
      <c r="G32" s="2036"/>
      <c r="H32" s="2037"/>
      <c r="I32" s="2036"/>
      <c r="J32" s="2036"/>
      <c r="K32" s="2036"/>
      <c r="L32" s="2036"/>
      <c r="M32" s="2036"/>
      <c r="N32" s="2036"/>
      <c r="O32" s="2038">
        <f>AVERAGE(N28:N31)</f>
        <v>0</v>
      </c>
      <c r="P32" s="2300" t="str">
        <f>IF(O32&gt;=O39,HLOOKUP(1,$S$10:$X$34,23),"")</f>
        <v>L'implication et l'influence du nouveau ou de la nouvelle conjoint·e seraient à la base de certaines tensions et seraient en partie responsables des difficultés rencontrés dans l'exercice de la coparentalité.</v>
      </c>
      <c r="Q32" s="2300">
        <f>IF(P32="","",Y32)</f>
        <v>0</v>
      </c>
      <c r="R32" s="2300">
        <f>IF(P32="","",Z32)</f>
        <v>0</v>
      </c>
      <c r="S32" s="765"/>
      <c r="T32" s="765"/>
      <c r="U32" s="2219" t="s">
        <v>1960</v>
      </c>
      <c r="V32" s="2219" t="s">
        <v>1960</v>
      </c>
      <c r="W32" s="2219" t="s">
        <v>1961</v>
      </c>
      <c r="X32" s="2219" t="s">
        <v>1961</v>
      </c>
      <c r="Y32" s="2156"/>
      <c r="Z32" s="2156"/>
      <c r="AA32" s="621"/>
      <c r="AB32" s="2042">
        <f t="shared" ref="AB32:AI32" si="3">SUM(AB13:AB31)</f>
        <v>0</v>
      </c>
      <c r="AC32" s="2043">
        <f t="shared" si="3"/>
        <v>9</v>
      </c>
      <c r="AD32" s="2044">
        <f t="shared" si="3"/>
        <v>25</v>
      </c>
      <c r="AE32" s="2044">
        <f t="shared" si="3"/>
        <v>44</v>
      </c>
      <c r="AF32" s="2043">
        <f t="shared" si="3"/>
        <v>60</v>
      </c>
      <c r="AG32" s="2043">
        <f t="shared" si="3"/>
        <v>95</v>
      </c>
      <c r="AH32" s="2044">
        <f t="shared" si="3"/>
        <v>111</v>
      </c>
      <c r="AI32" s="2045">
        <f t="shared" si="3"/>
        <v>160</v>
      </c>
    </row>
    <row r="33" spans="1:38" ht="85" customHeight="1">
      <c r="A33" s="2552" t="s">
        <v>1962</v>
      </c>
      <c r="B33" s="481" t="str">
        <f>Test_Bible!A212</f>
        <v>PFA25a</v>
      </c>
      <c r="C33" s="481" t="str">
        <f>Test_Bible!B212</f>
        <v/>
      </c>
      <c r="D33" s="2052"/>
      <c r="E33" s="826"/>
      <c r="F33" s="6"/>
      <c r="G33" s="8" t="str">
        <f>IF(Test_Bible!P212=1,"Normal","Nouveau")</f>
        <v>Nouveau</v>
      </c>
      <c r="H33" s="2047" t="str">
        <f>G33</f>
        <v>Nouveau</v>
      </c>
      <c r="I33" s="2244"/>
      <c r="J33" s="2245"/>
      <c r="K33" s="2245" t="str">
        <f>IF($G33="nouveau","V","F")</f>
        <v>V</v>
      </c>
      <c r="L33" s="2245" t="str">
        <f>IF($G33="nouveau","V","F")</f>
        <v>V</v>
      </c>
      <c r="M33" s="2246"/>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36"/>
      <c r="V33" s="2236"/>
      <c r="W33" s="2236"/>
      <c r="X33" s="2236"/>
      <c r="Y33" s="2294" t="s">
        <v>1963</v>
      </c>
      <c r="Z33" s="2157"/>
      <c r="AA33" s="2307"/>
      <c r="AB33" s="2320"/>
      <c r="AC33" s="5"/>
      <c r="AD33" s="5"/>
      <c r="AE33" s="5"/>
      <c r="AF33" s="5"/>
      <c r="AG33" s="5"/>
      <c r="AH33" s="5"/>
      <c r="AI33" s="1903"/>
    </row>
    <row r="34" spans="1:38" ht="92" customHeight="1">
      <c r="A34" s="2458"/>
      <c r="B34" s="7" t="str">
        <f>Test_Bible!A152</f>
        <v>PCR15a</v>
      </c>
      <c r="C34" s="13" t="str">
        <f>Test_Bible!B152</f>
        <v xml:space="preserve"> </v>
      </c>
      <c r="D34" s="25"/>
      <c r="E34" s="13"/>
      <c r="F34" s="6"/>
      <c r="G34" s="8" t="str">
        <f>IF(Test_Bible!P152=1,"Oui","Non")</f>
        <v>Non</v>
      </c>
      <c r="H34" s="2047" t="str">
        <f>G34</f>
        <v>Non</v>
      </c>
      <c r="I34" s="2247"/>
      <c r="J34" s="2248"/>
      <c r="K34" s="2248" t="str">
        <f>IF($G34="oui","V","F")</f>
        <v>F</v>
      </c>
      <c r="L34" s="2248" t="str">
        <f>IF($G34="oui","V","F")</f>
        <v>F</v>
      </c>
      <c r="M34" s="2249"/>
      <c r="N34" s="1275"/>
      <c r="O34" s="1275"/>
      <c r="P34" s="45"/>
      <c r="Q34" s="503" t="str">
        <f>IF(C34=" ","",IF(G34="Oui",Y34,""))</f>
        <v/>
      </c>
      <c r="R34" s="503" t="str">
        <f>IF(C34=" ","",IF(G34="Oui",Z34,""))</f>
        <v/>
      </c>
      <c r="S34" s="765"/>
      <c r="T34" s="765"/>
      <c r="U34" s="2241"/>
      <c r="V34" s="2241"/>
      <c r="W34" s="2241"/>
      <c r="X34" s="2241"/>
      <c r="Y34" s="2157"/>
      <c r="Z34" s="2297" t="s">
        <v>1964</v>
      </c>
      <c r="AA34" s="2308"/>
      <c r="AB34" s="2320"/>
      <c r="AC34" s="5"/>
      <c r="AD34" s="5"/>
      <c r="AE34" s="5"/>
      <c r="AF34" s="5"/>
      <c r="AG34" s="5"/>
      <c r="AH34" s="5"/>
      <c r="AI34" s="1903"/>
    </row>
    <row r="35" spans="1:38" ht="136" customHeight="1">
      <c r="A35" s="1282"/>
      <c r="B35" s="7" t="str">
        <f>Test_Bible!A21</f>
        <v>B03</v>
      </c>
      <c r="C35" s="25" t="str">
        <f>Test_Bible!B21</f>
        <v xml:space="preserve">Quelle a été la durée de vie commune avec l'autre parent (coparent) ?
</v>
      </c>
      <c r="D35" s="2370" t="s">
        <v>1965</v>
      </c>
      <c r="E35" s="13"/>
      <c r="F35" s="6"/>
      <c r="G35" s="8">
        <f>Test_Bible!P21</f>
        <v>0</v>
      </c>
      <c r="H35" s="2047">
        <f>G35</f>
        <v>0</v>
      </c>
      <c r="I35" s="2317"/>
      <c r="J35" s="2318"/>
      <c r="K35" s="2318"/>
      <c r="L35" s="2318"/>
      <c r="M35" s="2319"/>
      <c r="N35" s="1275"/>
      <c r="O35" s="1275"/>
      <c r="P35" s="2323" t="str">
        <f>IF(C35=" ","",IF(G35=1,HLOOKUP(1,U10:X41,26),""))</f>
        <v/>
      </c>
      <c r="Q35" s="503" t="str">
        <f>IF(C35=" ","",IF(G35=1,Y35,""))</f>
        <v/>
      </c>
      <c r="R35" s="503" t="str">
        <f>IF(C35=" ","",IF(G35=1,Z35,""))</f>
        <v/>
      </c>
      <c r="S35" s="765"/>
      <c r="T35" s="765"/>
      <c r="U35" s="2322" t="s">
        <v>1966</v>
      </c>
      <c r="V35" s="2322" t="s">
        <v>1966</v>
      </c>
      <c r="W35" s="2322" t="s">
        <v>1966</v>
      </c>
      <c r="X35" s="2322" t="s">
        <v>1966</v>
      </c>
      <c r="Y35" s="2157"/>
      <c r="Z35" s="2321"/>
      <c r="AA35" s="272"/>
      <c r="AB35" s="5"/>
      <c r="AC35" s="5"/>
      <c r="AD35" s="5"/>
      <c r="AE35" s="5"/>
      <c r="AF35" s="5"/>
      <c r="AG35" s="5"/>
      <c r="AH35" s="5"/>
      <c r="AI35" s="5"/>
    </row>
    <row r="36" spans="1:38" ht="31" customHeight="1">
      <c r="B36" s="82"/>
      <c r="C36" s="82"/>
      <c r="D36" s="82"/>
      <c r="E36" s="82"/>
      <c r="F36" s="11"/>
      <c r="G36" s="11"/>
      <c r="H36" s="1261" t="s">
        <v>1967</v>
      </c>
      <c r="I36" s="2554" t="s">
        <v>1967</v>
      </c>
      <c r="J36" s="2555"/>
      <c r="K36" s="2555"/>
      <c r="L36" s="2555"/>
      <c r="M36" s="2556"/>
      <c r="AB36" s="5"/>
      <c r="AC36" s="5"/>
      <c r="AD36" s="5"/>
      <c r="AE36" s="5"/>
      <c r="AF36" s="5"/>
      <c r="AG36" s="5"/>
      <c r="AH36" s="5"/>
      <c r="AI36" s="5"/>
    </row>
    <row r="37" spans="1:38" ht="19" customHeight="1" thickBot="1">
      <c r="H37" s="1308">
        <f>H11 + H12 + H13 + H14 + H15 + H16 + H17 + H18 + H19 + H20 + H21 + H22 + H23 + H24 + H25 + H26 + H27 + H28 + H29 + H30 + H31</f>
        <v>0</v>
      </c>
      <c r="I37" s="5" t="str">
        <f>I8</f>
        <v>Absent</v>
      </c>
      <c r="J37" s="5" t="str">
        <f>J8</f>
        <v>Faible</v>
      </c>
      <c r="K37" s="5" t="str">
        <f>K8</f>
        <v>Modéré</v>
      </c>
      <c r="L37" s="5" t="str">
        <f>L8</f>
        <v>Élevé</v>
      </c>
      <c r="M37" s="1298" t="s">
        <v>1968</v>
      </c>
      <c r="Z37" s="2186" t="s">
        <v>1969</v>
      </c>
      <c r="AA37" s="2186"/>
      <c r="AB37" s="5"/>
      <c r="AC37" s="5"/>
      <c r="AD37" s="5"/>
      <c r="AE37" s="5"/>
      <c r="AF37" s="5"/>
      <c r="AG37" s="5"/>
      <c r="AH37" s="5"/>
      <c r="AI37" s="5"/>
    </row>
    <row r="38" spans="1:38">
      <c r="H38" s="4" t="str">
        <f>VLOOKUP(H37,AK11:AM14,3)</f>
        <v>Risque absent</v>
      </c>
      <c r="I38" s="1902" t="str">
        <f>AK11&amp;" - "&amp;AL11</f>
        <v>0 - 17</v>
      </c>
      <c r="J38" s="1374" t="str">
        <f>AK12&amp;" - "&amp;AL12</f>
        <v>18 - 52</v>
      </c>
      <c r="K38" s="1374" t="str">
        <f>AK13&amp;" - "&amp;AL13</f>
        <v>53 - 103</v>
      </c>
      <c r="L38" s="1374" t="str">
        <f>AK14&amp;" - "&amp;AL14</f>
        <v>104 - 160</v>
      </c>
      <c r="M38" s="1300">
        <f>SUM(M13:M31)</f>
        <v>160</v>
      </c>
      <c r="N38" s="90"/>
      <c r="O38" s="90"/>
      <c r="S38" s="1253" t="s">
        <v>1698</v>
      </c>
      <c r="T38" s="1253" t="s">
        <v>1544</v>
      </c>
      <c r="U38" s="1253" t="s">
        <v>19</v>
      </c>
      <c r="V38" s="1253" t="s">
        <v>19</v>
      </c>
      <c r="W38" s="1253" t="s">
        <v>1700</v>
      </c>
      <c r="X38" s="1253" t="s">
        <v>1700</v>
      </c>
      <c r="Z38" s="2186" t="s">
        <v>1970</v>
      </c>
      <c r="AA38" s="2186"/>
      <c r="AD38" s="5"/>
      <c r="AE38" s="5"/>
      <c r="AF38" s="5"/>
      <c r="AG38" s="5"/>
      <c r="AH38" s="5"/>
      <c r="AI38" s="5"/>
    </row>
    <row r="39" spans="1:38" ht="25" customHeight="1">
      <c r="N39" t="s">
        <v>1971</v>
      </c>
      <c r="O39" s="90">
        <f>AVERAGE(O20,O26,O32)</f>
        <v>0</v>
      </c>
      <c r="U39" s="5" t="s">
        <v>1972</v>
      </c>
      <c r="V39" s="5" t="s">
        <v>1973</v>
      </c>
      <c r="W39" s="5" t="s">
        <v>1972</v>
      </c>
      <c r="X39" s="5" t="s">
        <v>1973</v>
      </c>
      <c r="Y39" s="32"/>
      <c r="Z39" s="15"/>
      <c r="AA39" s="15"/>
    </row>
    <row r="40" spans="1:38" ht="75" customHeight="1">
      <c r="D40" s="2392" t="s">
        <v>1974</v>
      </c>
      <c r="K40" s="5"/>
      <c r="M40" s="5"/>
      <c r="N40" s="5"/>
      <c r="O40" s="5"/>
      <c r="P40" s="2127" t="str">
        <f>IF(HLOOKUP(1,U10:X41,31)="","",HLOOKUP(1,U10:X41,31))</f>
        <v/>
      </c>
      <c r="R40" s="7"/>
      <c r="S40" s="2218"/>
      <c r="T40" s="2218"/>
      <c r="U40" s="2296"/>
      <c r="V40" s="2296"/>
      <c r="W40" s="2296"/>
      <c r="X40" s="2296"/>
      <c r="Y40" s="2397"/>
      <c r="Z40" s="2397"/>
    </row>
    <row r="41" spans="1:38" ht="163" customHeight="1">
      <c r="D41" s="17" t="s">
        <v>1975</v>
      </c>
      <c r="H41" s="5"/>
      <c r="I41" s="5"/>
      <c r="J41" s="5"/>
      <c r="K41" s="5"/>
      <c r="R41" s="2306"/>
      <c r="S41" s="1823" t="s">
        <v>1976</v>
      </c>
      <c r="T41" s="1823" t="s">
        <v>1976</v>
      </c>
      <c r="U41" s="1823" t="s">
        <v>1977</v>
      </c>
      <c r="V41" s="1823" t="s">
        <v>1977</v>
      </c>
      <c r="W41" s="1823" t="s">
        <v>1978</v>
      </c>
      <c r="X41" s="1823"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K8:AM8"/>
    <mergeCell ref="D28:D31"/>
    <mergeCell ref="S6:X6"/>
    <mergeCell ref="AD8:AE8"/>
    <mergeCell ref="I7:M7"/>
    <mergeCell ref="AB7:AI7"/>
    <mergeCell ref="D13:D19"/>
    <mergeCell ref="AH8:AI8"/>
    <mergeCell ref="AF8:AG8"/>
    <mergeCell ref="A33:A34"/>
    <mergeCell ref="Y6:Z6"/>
    <mergeCell ref="I36:M36"/>
    <mergeCell ref="D21:D25"/>
    <mergeCell ref="AB8:AC8"/>
    <mergeCell ref="P28:P31"/>
    <mergeCell ref="P7:R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29" zoomScale="80" zoomScaleNormal="80" workbookViewId="0">
      <selection activeCell="Q32" sqref="Q32:Q37"/>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3"/>
      <c r="S1" s="1923"/>
      <c r="T1" s="1923"/>
      <c r="U1" s="1923"/>
    </row>
    <row r="2" spans="1:28" ht="23.5" customHeight="1">
      <c r="B2" s="80"/>
      <c r="R2" s="1923"/>
      <c r="S2" s="1923"/>
      <c r="T2" s="1923"/>
      <c r="U2" s="1923"/>
    </row>
    <row r="3" spans="1:28" ht="18.5" customHeight="1">
      <c r="B3" s="407" t="s">
        <v>1981</v>
      </c>
      <c r="C3" s="407"/>
    </row>
    <row r="4" spans="1:28" ht="23.5" customHeight="1">
      <c r="B4" s="407"/>
      <c r="C4" s="407" t="s">
        <v>228</v>
      </c>
      <c r="R4" s="726"/>
      <c r="S4" s="726"/>
      <c r="T4" s="726"/>
      <c r="U4" s="726"/>
    </row>
    <row r="5" spans="1:28" ht="18.5" customHeight="1">
      <c r="B5" s="407" t="s">
        <v>1982</v>
      </c>
      <c r="C5" s="407"/>
      <c r="D5" s="2160" t="s">
        <v>1983</v>
      </c>
      <c r="E5" s="1446"/>
      <c r="F5" s="1447"/>
      <c r="G5" s="1447"/>
      <c r="H5" s="1446"/>
      <c r="I5" s="1446"/>
      <c r="J5" s="1446"/>
      <c r="K5" s="1446"/>
    </row>
    <row r="6" spans="1:28" ht="147" customHeight="1">
      <c r="B6" s="407"/>
      <c r="C6" s="407"/>
      <c r="D6" s="80"/>
    </row>
    <row r="7" spans="1:28" ht="22" customHeight="1">
      <c r="B7" s="407" t="s">
        <v>1898</v>
      </c>
      <c r="C7" s="407"/>
      <c r="D7" s="2433" t="s">
        <v>1984</v>
      </c>
      <c r="E7" s="2161"/>
      <c r="F7" s="2162"/>
      <c r="G7" s="2162"/>
      <c r="H7" s="1446"/>
      <c r="I7" s="1446"/>
      <c r="J7" s="1446"/>
      <c r="K7" s="1446"/>
    </row>
    <row r="8" spans="1:28" ht="37" customHeight="1">
      <c r="E8" s="407"/>
      <c r="F8" s="1883"/>
      <c r="G8" s="1883"/>
    </row>
    <row r="9" spans="1:28" ht="37" customHeight="1">
      <c r="E9" s="407"/>
      <c r="F9" s="1883"/>
      <c r="G9" s="1883"/>
    </row>
    <row r="10" spans="1:28" ht="37" customHeight="1">
      <c r="C10" s="407"/>
      <c r="F10" s="1883"/>
      <c r="G10" s="1883"/>
      <c r="V10" s="34" t="s">
        <v>1900</v>
      </c>
    </row>
    <row r="11" spans="1:28" ht="23.5" customHeight="1">
      <c r="B11" s="407" t="s">
        <v>1985</v>
      </c>
      <c r="C11" s="407"/>
      <c r="D11" s="2160" t="s">
        <v>1986</v>
      </c>
      <c r="E11" s="2161"/>
      <c r="F11" s="2162"/>
      <c r="G11" s="2162"/>
      <c r="H11" s="1446"/>
      <c r="I11" s="1446"/>
      <c r="J11" s="1446"/>
      <c r="K11" s="1446"/>
      <c r="R11" s="2024"/>
      <c r="S11" s="2561" t="s">
        <v>1906</v>
      </c>
      <c r="T11" s="2474"/>
      <c r="U11" s="2501"/>
      <c r="V11" s="2569" t="s">
        <v>1987</v>
      </c>
      <c r="W11" s="2526"/>
      <c r="X11" s="2553" t="s">
        <v>1988</v>
      </c>
      <c r="Y11" s="2458"/>
    </row>
    <row r="12" spans="1:28" ht="37" customHeight="1">
      <c r="R12" s="2025"/>
      <c r="S12" s="2090" t="s">
        <v>1913</v>
      </c>
      <c r="T12" s="2056" t="s">
        <v>1914</v>
      </c>
      <c r="U12" s="2056" t="s">
        <v>1915</v>
      </c>
      <c r="V12" s="2086"/>
      <c r="W12" s="2087"/>
      <c r="X12" s="2055" t="s">
        <v>1919</v>
      </c>
      <c r="Y12" s="2055" t="s">
        <v>1920</v>
      </c>
    </row>
    <row r="13" spans="1:28" ht="29" customHeight="1">
      <c r="R13" s="2026"/>
      <c r="S13" s="2571" t="s">
        <v>1923</v>
      </c>
      <c r="T13" s="2572" t="s">
        <v>1924</v>
      </c>
      <c r="U13" s="2573" t="s">
        <v>1925</v>
      </c>
      <c r="V13" s="2088" t="s">
        <v>1989</v>
      </c>
      <c r="W13" s="2085" t="s">
        <v>1990</v>
      </c>
      <c r="X13" s="2303"/>
      <c r="Y13" s="2303"/>
    </row>
    <row r="14" spans="1:28" ht="33" customHeight="1">
      <c r="R14" s="2025"/>
      <c r="S14" s="2474"/>
      <c r="T14" s="2474"/>
      <c r="U14" s="2501"/>
      <c r="V14" s="2364">
        <f>IF(AND(F27&lt;4,M27&lt;4),1,0)</f>
        <v>1</v>
      </c>
      <c r="W14" s="2365">
        <f>IF(OR(F27&gt;=4,M27&gt;=4),1,0)</f>
        <v>0</v>
      </c>
      <c r="X14" s="2304"/>
      <c r="Y14" s="2304"/>
    </row>
    <row r="15" spans="1:28" ht="37" customHeight="1">
      <c r="B15" s="407" t="s">
        <v>1898</v>
      </c>
      <c r="C15" s="407"/>
      <c r="D15" s="2376" t="s">
        <v>1991</v>
      </c>
      <c r="E15" s="2161"/>
      <c r="F15" s="1447"/>
      <c r="G15" s="1447"/>
      <c r="H15" s="1446"/>
      <c r="I15" s="1446"/>
      <c r="J15" s="1446"/>
      <c r="K15" s="1446"/>
      <c r="P15" s="700"/>
      <c r="Q15" s="16" t="s">
        <v>1992</v>
      </c>
      <c r="R15" s="2029" t="s">
        <v>1993</v>
      </c>
      <c r="V15" s="2029"/>
      <c r="W15" s="2089"/>
      <c r="X15" s="16"/>
      <c r="Y15" s="16"/>
      <c r="AB15" s="288" t="s">
        <v>1994</v>
      </c>
    </row>
    <row r="16" spans="1:28" ht="37" customHeight="1">
      <c r="A16" s="2363" t="s">
        <v>1995</v>
      </c>
      <c r="B16" s="407"/>
      <c r="C16" s="407"/>
      <c r="D16" s="80"/>
      <c r="E16" s="407"/>
      <c r="P16" s="700"/>
      <c r="R16" s="2029"/>
      <c r="V16" s="2029"/>
      <c r="W16" s="2089"/>
      <c r="X16" s="16"/>
      <c r="Y16" s="16"/>
      <c r="AB16" s="288"/>
    </row>
    <row r="17" spans="1:30" ht="33" customHeight="1">
      <c r="A17" s="2363" t="s">
        <v>1996</v>
      </c>
      <c r="B17" s="2028"/>
      <c r="C17" s="16"/>
      <c r="D17" s="272"/>
      <c r="P17" s="700"/>
      <c r="Q17" s="1373" t="s">
        <v>1997</v>
      </c>
      <c r="R17" s="2029"/>
      <c r="V17" s="2029"/>
      <c r="W17" s="2089"/>
      <c r="X17" s="16"/>
      <c r="Y17" s="16"/>
      <c r="AB17" s="288"/>
    </row>
    <row r="18" spans="1:30" ht="93.5" customHeight="1" thickBot="1">
      <c r="A18" t="s">
        <v>1998</v>
      </c>
      <c r="B18" s="728"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9" t="s">
        <v>2001</v>
      </c>
      <c r="W18" s="826" t="s">
        <v>2002</v>
      </c>
      <c r="X18" s="16"/>
      <c r="Y18" s="16"/>
      <c r="Z18" s="2258" t="s">
        <v>1997</v>
      </c>
      <c r="AA18" s="2259"/>
      <c r="AC18" t="s">
        <v>44</v>
      </c>
      <c r="AD18" t="s">
        <v>42</v>
      </c>
    </row>
    <row r="19" spans="1:30" ht="59" customHeight="1" thickBot="1">
      <c r="A19" s="700" t="str">
        <f t="shared" ref="A19:A26" si="0">IF(OR(E19=0,L19=0,D19="",K19=""),"question NON affichée","oui")</f>
        <v>question NON affichée</v>
      </c>
      <c r="B19" s="623" t="s">
        <v>2003</v>
      </c>
      <c r="C19" s="606" t="str">
        <f>BIBLE!E139</f>
        <v>PFA31</v>
      </c>
      <c r="D19" s="610" t="str">
        <f>Test_Bible!B243</f>
        <v xml:space="preserve">Dans quelle mesure diriez-vous que l'autre parent accepte ou vit bien avec la séparation (de couple ou familiale) ? </v>
      </c>
      <c r="E19" s="606">
        <f>Test_Bible!D243</f>
        <v>0</v>
      </c>
      <c r="F19" s="1882">
        <f>Test_Bible!P243</f>
        <v>0</v>
      </c>
      <c r="G19" s="1882">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89">
        <f>Test_Bible!P154</f>
        <v>0</v>
      </c>
      <c r="N19" s="1888">
        <f t="shared" ref="N19:N26" si="2">L19*M19</f>
        <v>0</v>
      </c>
      <c r="O19" s="1892" t="str">
        <f>BIBLE!V72</f>
        <v>Parentification</v>
      </c>
      <c r="P19" s="5"/>
      <c r="Q19" s="2562" t="s">
        <v>228</v>
      </c>
      <c r="R19" s="1893" t="str">
        <f t="shared" ref="R19:R26" si="3">IF(A19="oui",G19+N19,"")</f>
        <v/>
      </c>
      <c r="S19" s="2393" t="str">
        <f>IF(A19="oui",IF(R19&gt;$Q$27,HLOOKUP(1,$V$14:$W$28,6),""),"")</f>
        <v/>
      </c>
      <c r="T19" s="2393"/>
      <c r="U19" s="2393"/>
      <c r="V19" s="2228"/>
      <c r="W19" s="2227" t="s">
        <v>2004</v>
      </c>
      <c r="X19" s="2228"/>
      <c r="Y19" s="2228"/>
      <c r="Z19" s="2361"/>
      <c r="AA19" s="2362"/>
      <c r="AB19" s="13" t="str">
        <f t="shared" ref="AB19:AB26" si="4">B19</f>
        <v>Est serein·e face à la séparation</v>
      </c>
      <c r="AC19" s="55" t="str">
        <f t="shared" ref="AC19:AC26" si="5">IF(OR(D19="",E19=0),"",G19)</f>
        <v/>
      </c>
      <c r="AD19" s="55" t="str">
        <f t="shared" ref="AD19:AD26" si="6">IF(OR(K19="",L19=0),"",N19)</f>
        <v/>
      </c>
    </row>
    <row r="20" spans="1:30" ht="73" customHeight="1" thickBot="1">
      <c r="A20" s="700" t="str">
        <f t="shared" si="0"/>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82">
        <f>Test_Bible!P207</f>
        <v>0</v>
      </c>
      <c r="G20" s="1882">
        <f t="shared" si="1"/>
        <v>0</v>
      </c>
      <c r="H20" s="1874"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1">
        <f>Test_Bible!D138</f>
        <v>1</v>
      </c>
      <c r="M20" s="1888">
        <f>Test_Bible!P138</f>
        <v>0</v>
      </c>
      <c r="N20" s="1888">
        <f t="shared" si="2"/>
        <v>0</v>
      </c>
      <c r="O20" s="1864" t="str">
        <f>BIBLE!V64</f>
        <v>Interférence lien affectif ou symbolique</v>
      </c>
      <c r="P20" s="8"/>
      <c r="Q20" s="2463"/>
      <c r="R20" s="1893">
        <f t="shared" si="3"/>
        <v>0</v>
      </c>
      <c r="S20" s="2393" t="str">
        <f>IF(A20="oui",IF(R20&gt;$Q$27,HLOOKUP(1,$V$14:$W$28,7),""),"")</f>
        <v/>
      </c>
      <c r="T20" s="2393"/>
      <c r="U20" s="2393"/>
      <c r="V20" s="2228"/>
      <c r="W20" s="2227" t="s">
        <v>2006</v>
      </c>
      <c r="X20" s="2228"/>
      <c r="Y20" s="2228"/>
      <c r="Z20" s="2361"/>
      <c r="AA20" s="2362"/>
      <c r="AB20" s="13" t="str">
        <f t="shared" si="4"/>
        <v xml:space="preserve">Accepte les exigences de la coparentalité </v>
      </c>
      <c r="AC20" s="55">
        <f t="shared" si="5"/>
        <v>0</v>
      </c>
      <c r="AD20" s="55">
        <f t="shared" si="6"/>
        <v>0</v>
      </c>
    </row>
    <row r="21" spans="1:30" ht="73" customHeight="1" thickBot="1">
      <c r="A21" s="700" t="str">
        <f t="shared" si="0"/>
        <v>oui</v>
      </c>
      <c r="B21" s="623" t="s">
        <v>2007</v>
      </c>
      <c r="C21" s="606" t="str">
        <f>Test_Bible!A163</f>
        <v>PFA00</v>
      </c>
      <c r="D21" s="610" t="str">
        <f>Test_Bible!B163</f>
        <v>L'autre parent (coparent) accepte de faire des compromis afin d'assurer une bonne entente de garde.</v>
      </c>
      <c r="E21" s="606">
        <f>Test_Bible!D163</f>
        <v>1</v>
      </c>
      <c r="F21" s="1882">
        <f>Test_Bible!P163</f>
        <v>0</v>
      </c>
      <c r="G21" s="1882">
        <f t="shared" si="1"/>
        <v>0</v>
      </c>
      <c r="H21" s="2225" t="str">
        <f>BIBLE!V80</f>
        <v>Chantage affectif, manipulation</v>
      </c>
      <c r="I21" s="611"/>
      <c r="J21" s="673" t="str">
        <f>BIBLE!E55</f>
        <v>PCR02</v>
      </c>
      <c r="K21" s="1654" t="str">
        <f>Test_Bible!B123</f>
        <v>Vous devez faire des compromis afin d'assurer une bonne entente de garde.</v>
      </c>
      <c r="L21" s="673">
        <f>Test_Bible!D123</f>
        <v>1</v>
      </c>
      <c r="M21" s="1890">
        <f>Test_Bible!P123</f>
        <v>0</v>
      </c>
      <c r="N21" s="1888">
        <f t="shared" si="2"/>
        <v>0</v>
      </c>
      <c r="O21" s="2225" t="str">
        <f>BIBLE!V55</f>
        <v>Chantage affectif, manipulation</v>
      </c>
      <c r="P21" s="8"/>
      <c r="Q21" s="2463"/>
      <c r="R21" s="1893">
        <f t="shared" si="3"/>
        <v>0</v>
      </c>
      <c r="S21" s="2393" t="str">
        <f>IF(A21="oui",IF(R21&gt;$Q$27,HLOOKUP(1,$V$14:$W$28,8),""),"")</f>
        <v/>
      </c>
      <c r="T21" s="2393"/>
      <c r="U21" s="2393"/>
      <c r="V21" s="2228"/>
      <c r="W21" s="2227" t="s">
        <v>2008</v>
      </c>
      <c r="X21" s="2228"/>
      <c r="Y21" s="2228"/>
      <c r="AB21" s="13" t="str">
        <f t="shared" si="4"/>
        <v xml:space="preserve">Accepte de faire des compromis </v>
      </c>
      <c r="AC21" s="55">
        <f t="shared" si="5"/>
        <v>0</v>
      </c>
      <c r="AD21" s="55">
        <f t="shared" si="6"/>
        <v>0</v>
      </c>
    </row>
    <row r="22" spans="1:30" ht="50" customHeight="1" thickBot="1">
      <c r="A22" s="700" t="str">
        <f t="shared" si="0"/>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82">
        <f>Test_Bible!P205</f>
        <v>0</v>
      </c>
      <c r="G22" s="1882">
        <f t="shared" si="1"/>
        <v>0</v>
      </c>
      <c r="H22" s="1874" t="str">
        <f>BIBLE!V119</f>
        <v>Interférence lien affectif ou symbolique</v>
      </c>
      <c r="I22" s="612"/>
      <c r="J22" s="1862" t="str">
        <f>BIBLE!E63</f>
        <v>PCR19</v>
      </c>
      <c r="K22" s="627" t="str">
        <f>Test_Bible!B137</f>
        <v>Dans quelle mesure considérez-vous l'autre parent comme étant votre égal·e sur le plan parental ?</v>
      </c>
      <c r="L22" s="1653">
        <f>Test_Bible!D137</f>
        <v>1</v>
      </c>
      <c r="M22" s="1888">
        <f>Test_Bible!P137</f>
        <v>0</v>
      </c>
      <c r="N22" s="1888">
        <f t="shared" si="2"/>
        <v>0</v>
      </c>
      <c r="O22" s="1874" t="str">
        <f>BIBLE!V63</f>
        <v>Interférence lien affectif ou symbolique</v>
      </c>
      <c r="P22" s="1421"/>
      <c r="Q22" s="2463"/>
      <c r="R22" s="1893">
        <f t="shared" si="3"/>
        <v>0</v>
      </c>
      <c r="S22" s="2393" t="str">
        <f>IF(A22="oui",IF(R22&gt;$Q$27,HLOOKUP(1,$V$14:$W$28,9),""),"")</f>
        <v/>
      </c>
      <c r="T22" s="2393"/>
      <c r="U22" s="2393"/>
      <c r="V22" s="2229"/>
      <c r="W22" s="2227" t="s">
        <v>2010</v>
      </c>
      <c r="X22" s="2228"/>
      <c r="Y22" s="2228"/>
      <c r="AB22" s="13" t="str">
        <f t="shared" si="4"/>
        <v xml:space="preserve">Respecte la valeur parentale du coparent </v>
      </c>
      <c r="AC22" s="55">
        <f t="shared" si="5"/>
        <v>0</v>
      </c>
      <c r="AD22" s="55">
        <f t="shared" si="6"/>
        <v>0</v>
      </c>
    </row>
    <row r="23" spans="1:30" ht="52" customHeight="1" thickBot="1">
      <c r="A23" s="700" t="str">
        <f t="shared" si="0"/>
        <v>oui</v>
      </c>
      <c r="B23" s="623" t="s">
        <v>2011</v>
      </c>
      <c r="C23" s="606" t="str">
        <f>BIBLE!E96</f>
        <v>PFA10</v>
      </c>
      <c r="D23" s="610" t="str">
        <f>Test_Bible!B182</f>
        <v>L’autre parent vous salue lors de changements de garde, à l'école ou lors d'événements culturels ou sportifs.</v>
      </c>
      <c r="E23" s="606">
        <f>Test_Bible!D182</f>
        <v>1</v>
      </c>
      <c r="F23" s="1882">
        <f>Test_Bible!P182</f>
        <v>0</v>
      </c>
      <c r="G23" s="1882">
        <f t="shared" si="1"/>
        <v>0</v>
      </c>
      <c r="H23" s="1877"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89">
        <f>Test_Bible!P124</f>
        <v>0</v>
      </c>
      <c r="N23" s="1889">
        <f t="shared" si="2"/>
        <v>0</v>
      </c>
      <c r="O23" s="1863" t="str">
        <f>BIBLE!V56</f>
        <v>Chantage affectif, manipulation</v>
      </c>
      <c r="Q23" s="2463"/>
      <c r="R23" s="1893">
        <f t="shared" si="3"/>
        <v>0</v>
      </c>
      <c r="S23" s="2393" t="str">
        <f>IF(A23="oui",IF(R23&gt;$Q$27,HLOOKUP(1,$V$14:$W$28,10),""),"")</f>
        <v/>
      </c>
      <c r="T23" s="2393"/>
      <c r="U23" s="2393"/>
      <c r="V23" s="2230"/>
      <c r="W23" s="2227" t="s">
        <v>2012</v>
      </c>
      <c r="X23" s="2228"/>
      <c r="Y23" s="2228"/>
      <c r="AB23" s="13" t="str">
        <f t="shared" si="4"/>
        <v>Salue l’autre parent lorsqu’il ou elle le croise</v>
      </c>
      <c r="AC23" s="55">
        <f t="shared" si="5"/>
        <v>0</v>
      </c>
      <c r="AD23" s="55">
        <f t="shared" si="6"/>
        <v>0</v>
      </c>
    </row>
    <row r="24" spans="1:30" ht="65" customHeight="1" thickBot="1">
      <c r="A24" s="700" t="str">
        <f t="shared" si="0"/>
        <v>oui</v>
      </c>
      <c r="B24" s="742" t="s">
        <v>2013</v>
      </c>
      <c r="C24" s="606" t="str">
        <f>BIBLE!E132</f>
        <v>PFA29</v>
      </c>
      <c r="D24" s="610" t="str">
        <f>Test_Bible!B221</f>
        <v>L'autre parent prend des décisions sans vous consulter.</v>
      </c>
      <c r="E24" s="606">
        <f>Test_Bible!D221</f>
        <v>2</v>
      </c>
      <c r="F24" s="1882">
        <f>Test_Bible!P221</f>
        <v>0</v>
      </c>
      <c r="G24" s="1882">
        <f t="shared" si="1"/>
        <v>0</v>
      </c>
      <c r="H24" s="1879" t="str">
        <f>BIBLE!V107</f>
        <v>Interférence temps et/ou communication</v>
      </c>
      <c r="I24" s="612"/>
      <c r="J24" s="626" t="str">
        <f>BIBLE!E66</f>
        <v>PCR12</v>
      </c>
      <c r="K24" s="1657" t="str">
        <f>Test_Bible!B140</f>
        <v>Il vous arrive de prendre des décisions sans consulter l'autre parent.</v>
      </c>
      <c r="L24" s="626">
        <f>Test_Bible!D140</f>
        <v>2</v>
      </c>
      <c r="M24" s="1889">
        <f>Test_Bible!P140</f>
        <v>0</v>
      </c>
      <c r="N24" s="1888">
        <f t="shared" si="2"/>
        <v>0</v>
      </c>
      <c r="O24" s="1864" t="str">
        <f>BIBLE!V66</f>
        <v>Interférence lien affectif ou symbolique</v>
      </c>
      <c r="P24" s="8"/>
      <c r="Q24" s="2463"/>
      <c r="R24" s="1893">
        <f t="shared" si="3"/>
        <v>0</v>
      </c>
      <c r="S24" s="2393" t="str">
        <f>IF(A24="oui",IF(R24&gt;$Q$27,HLOOKUP(1,$V$14:$W$28,11),""),"")</f>
        <v/>
      </c>
      <c r="T24" s="2393"/>
      <c r="U24" s="2393"/>
      <c r="V24" s="2229"/>
      <c r="W24" s="2227" t="s">
        <v>2014</v>
      </c>
      <c r="X24" s="2228"/>
      <c r="Y24" s="2228"/>
      <c r="AB24" s="13" t="str">
        <f t="shared" si="4"/>
        <v xml:space="preserve">Consulte l’autre parent pour les décisions concernant l’enfant </v>
      </c>
      <c r="AC24" s="55">
        <f t="shared" si="5"/>
        <v>0</v>
      </c>
      <c r="AD24" s="55">
        <f t="shared" si="6"/>
        <v>0</v>
      </c>
    </row>
    <row r="25" spans="1:30" ht="55" customHeight="1" thickBot="1">
      <c r="A25" s="700" t="str">
        <f t="shared" si="0"/>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82">
        <f>Test_Bible!P180</f>
        <v>0</v>
      </c>
      <c r="G25" s="1882">
        <f t="shared" si="1"/>
        <v>0</v>
      </c>
      <c r="H25" s="1877"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1">
        <f>Test_Bible!P126</f>
        <v>0</v>
      </c>
      <c r="N25" s="1891">
        <f t="shared" si="2"/>
        <v>0</v>
      </c>
      <c r="O25" s="1871" t="str">
        <f>BIBLE!V58</f>
        <v>Dénigrement</v>
      </c>
      <c r="Q25" s="2463"/>
      <c r="R25" s="1893">
        <f t="shared" si="3"/>
        <v>0</v>
      </c>
      <c r="S25" s="2393" t="str">
        <f>IF(A25="oui",IF(R25&gt;$Q$27,HLOOKUP(1,$V$14:$W$28,12),""),"")</f>
        <v/>
      </c>
      <c r="T25" s="2393"/>
      <c r="U25" s="2393"/>
      <c r="V25" s="2230"/>
      <c r="W25" s="2227" t="s">
        <v>2016</v>
      </c>
      <c r="X25" s="2228"/>
      <c r="Y25" s="2228"/>
      <c r="AB25" s="13" t="str">
        <f t="shared" si="4"/>
        <v xml:space="preserve">Respecte l’autorité parentale du coparent </v>
      </c>
      <c r="AC25" s="55">
        <f t="shared" si="5"/>
        <v>0</v>
      </c>
      <c r="AD25" s="55">
        <f t="shared" si="6"/>
        <v>0</v>
      </c>
    </row>
    <row r="26" spans="1:30" ht="65" customHeight="1" thickBot="1">
      <c r="A26" s="700" t="str">
        <f t="shared" si="0"/>
        <v>oui</v>
      </c>
      <c r="B26" s="623" t="s">
        <v>2017</v>
      </c>
      <c r="C26" s="606" t="str">
        <f>BIBLE!E100</f>
        <v>PFA13</v>
      </c>
      <c r="D26" s="610" t="str">
        <f>Test_Bible!B186</f>
        <v>L’autre parent vous dénigre en la présence de votre enfant.</v>
      </c>
      <c r="E26" s="606">
        <f>Test_Bible!D186</f>
        <v>1</v>
      </c>
      <c r="F26" s="1882">
        <f>Test_Bible!P186</f>
        <v>0</v>
      </c>
      <c r="G26" s="1882">
        <f t="shared" si="1"/>
        <v>0</v>
      </c>
      <c r="H26" s="1878" t="str">
        <f>BIBLE!V100</f>
        <v>Dénigrement</v>
      </c>
      <c r="I26" s="612"/>
      <c r="J26" s="626" t="str">
        <f>BIBLE!E60</f>
        <v>PCR07</v>
      </c>
      <c r="K26" s="1657" t="str">
        <f>Test_Bible!B134</f>
        <v>Il vous arrive de faire des reproches à l'autre parent devant votre enfant.</v>
      </c>
      <c r="L26" s="2221">
        <f>Test_Bible!D134</f>
        <v>1</v>
      </c>
      <c r="M26" s="1889">
        <f>Test_Bible!P134</f>
        <v>0</v>
      </c>
      <c r="N26" s="1889">
        <f t="shared" si="2"/>
        <v>0</v>
      </c>
      <c r="O26" s="1869" t="str">
        <f>BIBLE!V60</f>
        <v>Dénigrement</v>
      </c>
      <c r="Q26" s="2464"/>
      <c r="R26" s="1893">
        <f t="shared" si="3"/>
        <v>0</v>
      </c>
      <c r="S26" s="2393" t="str">
        <f>IF(A26="oui",IF(R26&gt;$Q$27,HLOOKUP(1,$V$14:$W$28,13),""),"")</f>
        <v/>
      </c>
      <c r="T26" s="2393"/>
      <c r="U26" s="2393"/>
      <c r="V26" s="2230"/>
      <c r="W26" s="2227" t="s">
        <v>2018</v>
      </c>
      <c r="X26" s="2228"/>
      <c r="Y26" s="2228"/>
      <c r="AB26" s="13" t="str">
        <f t="shared" si="4"/>
        <v xml:space="preserve">Évite de faire des reproches au coparent </v>
      </c>
      <c r="AC26" s="55">
        <f t="shared" si="5"/>
        <v>0</v>
      </c>
      <c r="AD26" s="55">
        <f t="shared" si="6"/>
        <v>0</v>
      </c>
    </row>
    <row r="27" spans="1:30" ht="95" customHeight="1">
      <c r="B27" s="25"/>
      <c r="D27" s="291"/>
      <c r="E27" s="2" t="s">
        <v>2019</v>
      </c>
      <c r="F27" s="90">
        <f>(MAX(F19:F26))</f>
        <v>0</v>
      </c>
      <c r="G27" s="6"/>
      <c r="H27" s="751"/>
      <c r="K27" s="1900"/>
      <c r="L27" s="2" t="s">
        <v>2019</v>
      </c>
      <c r="M27" s="90">
        <f>(MAX(M19:M26))</f>
        <v>0</v>
      </c>
      <c r="N27" s="6"/>
      <c r="O27" s="751" t="s">
        <v>1971</v>
      </c>
      <c r="P27" s="6"/>
      <c r="Q27" s="90">
        <f>AVERAGE(R19:R26)</f>
        <v>0</v>
      </c>
      <c r="S27" s="2393" t="str">
        <f>IF(HLOOKUP(1,$V$14:$W$28,14)="","",HLOOKUP(1,$V$14:$W$28,14))</f>
        <v/>
      </c>
      <c r="T27" s="576" t="str">
        <f>IF(OR(F27&gt;=4,M27&gt;=4),X27,"")</f>
        <v/>
      </c>
      <c r="U27" s="2394" t="str">
        <f>IF(OR(F27&gt;=4,M27&gt;=4),Y27,"")</f>
        <v/>
      </c>
      <c r="V27" s="2230"/>
      <c r="W27" s="2230"/>
      <c r="X27" s="2310"/>
      <c r="Y27" s="2310"/>
      <c r="Z27" s="25"/>
      <c r="AB27" s="13"/>
      <c r="AC27" s="55"/>
    </row>
    <row r="28" spans="1:30" ht="95" customHeight="1">
      <c r="B28" s="25"/>
      <c r="D28" s="291"/>
      <c r="E28" s="5"/>
      <c r="G28" s="6"/>
      <c r="H28" s="751"/>
      <c r="K28" s="1900"/>
      <c r="L28" s="5"/>
      <c r="N28" s="6"/>
      <c r="O28" s="751"/>
      <c r="P28" s="6"/>
      <c r="S28" s="7"/>
      <c r="T28" s="7"/>
      <c r="U28" s="7"/>
      <c r="V28" s="2166"/>
      <c r="W28" s="2377" t="s">
        <v>2020</v>
      </c>
      <c r="X28" s="2305"/>
      <c r="Y28" s="2305"/>
      <c r="Z28" s="25"/>
      <c r="AC28" s="55"/>
    </row>
    <row r="29" spans="1:30" ht="95" customHeight="1">
      <c r="B29" s="25"/>
      <c r="D29" s="291"/>
      <c r="E29" s="5"/>
      <c r="G29" s="6"/>
      <c r="H29" s="751"/>
      <c r="K29" s="1900"/>
      <c r="L29" s="5"/>
      <c r="N29" s="6"/>
      <c r="O29" s="751"/>
      <c r="P29" s="6"/>
      <c r="R29" s="7"/>
      <c r="S29" s="7"/>
      <c r="T29" s="7"/>
      <c r="U29" s="7"/>
      <c r="V29" s="2311"/>
      <c r="W29" s="2312"/>
      <c r="X29" s="2095"/>
      <c r="Y29" s="2095"/>
      <c r="Z29" s="25"/>
      <c r="AC29" s="55"/>
    </row>
    <row r="30" spans="1:30" ht="34" customHeight="1">
      <c r="B30" s="25"/>
      <c r="D30" s="291"/>
      <c r="E30" s="5"/>
      <c r="G30" s="6"/>
      <c r="H30" s="751"/>
      <c r="K30" s="1900"/>
      <c r="L30" s="5"/>
      <c r="N30" s="6"/>
      <c r="O30" s="751"/>
      <c r="P30" s="6"/>
      <c r="R30" s="7"/>
      <c r="S30" s="7"/>
      <c r="T30" s="7"/>
      <c r="U30" s="7"/>
      <c r="V30" s="2364">
        <f>IF(AND(F38&lt;4,M38&lt;4),1,0)</f>
        <v>1</v>
      </c>
      <c r="W30" s="2365">
        <f>IF(OR(F38&gt;=4,M38&gt;=4),1,0)</f>
        <v>0</v>
      </c>
      <c r="X30" s="16" t="s">
        <v>1919</v>
      </c>
      <c r="Y30" s="16" t="s">
        <v>1920</v>
      </c>
      <c r="Z30" s="25"/>
      <c r="AC30" s="55"/>
    </row>
    <row r="31" spans="1:30" ht="95" customHeight="1" thickBot="1">
      <c r="B31" s="603" t="s">
        <v>1908</v>
      </c>
      <c r="D31" s="291"/>
      <c r="E31" s="5"/>
      <c r="G31" s="6"/>
      <c r="H31" s="751"/>
      <c r="K31" s="1900"/>
      <c r="L31" s="5"/>
      <c r="N31" s="6"/>
      <c r="O31" s="751"/>
      <c r="P31" s="6"/>
      <c r="S31" s="8"/>
      <c r="T31" s="8"/>
      <c r="U31" s="8" t="s">
        <v>1929</v>
      </c>
      <c r="V31" s="2439" t="s">
        <v>2021</v>
      </c>
      <c r="W31" s="2089" t="s">
        <v>2022</v>
      </c>
      <c r="Z31" s="25"/>
      <c r="AC31" t="s">
        <v>44</v>
      </c>
      <c r="AD31" t="s">
        <v>42</v>
      </c>
    </row>
    <row r="32" spans="1:30" ht="56" customHeight="1" thickBot="1">
      <c r="A32" s="700" t="str">
        <f t="shared" ref="A32:A37" si="7">IF(OR(E32=0,L32=0,D32="",K32=""),"question NON affichée","oui")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82">
        <f>Test_Bible!P218</f>
        <v>0</v>
      </c>
      <c r="G32" s="1882">
        <f t="shared" ref="G32:G37" si="8">E32*F32</f>
        <v>0</v>
      </c>
      <c r="H32" s="1874"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0">
        <f>Test_Bible!P139</f>
        <v>0</v>
      </c>
      <c r="N32" s="1890">
        <f t="shared" ref="N32:N37" si="9">L32*M32</f>
        <v>0</v>
      </c>
      <c r="O32" s="1864" t="str">
        <f>BIBLE!V65</f>
        <v>Interférence lien affectif ou symbolique</v>
      </c>
      <c r="Q32" s="2562" t="s">
        <v>229</v>
      </c>
      <c r="R32" s="1893">
        <f t="shared" ref="R32:R37" si="10">IF(A32="oui",G32+N32,"")</f>
        <v>0</v>
      </c>
      <c r="S32" s="2393" t="str">
        <f>IF(A32="oui",IF(R32&gt;$Q$38,HLOOKUP(1,$V$30:$W$39,3),""),"")</f>
        <v/>
      </c>
      <c r="T32" s="2393" t="str">
        <f>IF(A32="oui",IF(R32&gt;$Q$38,X32,""))</f>
        <v/>
      </c>
      <c r="U32" s="2393" t="str">
        <f>IF(A32="oui",IF(R32&gt;$Q$38,Y32,""))</f>
        <v/>
      </c>
      <c r="V32" s="2230"/>
      <c r="W32" s="2227" t="s">
        <v>2024</v>
      </c>
      <c r="X32" s="2228"/>
      <c r="Y32" s="2228"/>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82">
        <f>Test_Bible!P248</f>
        <v>0</v>
      </c>
      <c r="G33" s="1882">
        <f t="shared" si="8"/>
        <v>0</v>
      </c>
      <c r="H33" s="1880"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1">
        <f>Test_Bible!D149</f>
        <v>3</v>
      </c>
      <c r="M33" s="1889">
        <f>Test_Bible!P149</f>
        <v>0</v>
      </c>
      <c r="N33" s="1889">
        <f t="shared" si="9"/>
        <v>0</v>
      </c>
      <c r="O33" s="1866" t="str">
        <f>BIBLE!V68</f>
        <v>Parentification</v>
      </c>
      <c r="Q33" s="2463"/>
      <c r="R33" s="1893">
        <f t="shared" si="10"/>
        <v>0</v>
      </c>
      <c r="S33" s="2393" t="str">
        <f>IF(A33="oui",IF(R33&gt;$Q$38,HLOOKUP(1,$V$30:$W$39,4),""),"")</f>
        <v/>
      </c>
      <c r="T33" s="2393" t="str">
        <f>IF(A33="oui",IF(R33&gt;$Q$38,X33,""),"")</f>
        <v/>
      </c>
      <c r="U33" s="2393" t="str">
        <f>IF(A33="oui",IF(R33&gt;$Q$38,Y33,""),"")</f>
        <v/>
      </c>
      <c r="V33" s="2230"/>
      <c r="W33" s="2227" t="s">
        <v>2026</v>
      </c>
      <c r="X33" s="2228"/>
      <c r="Y33" s="2228"/>
      <c r="AB33" s="13" t="str">
        <f t="shared" si="11"/>
        <v xml:space="preserve">Protège l'enfant du rôle de messager </v>
      </c>
      <c r="AC33" s="55">
        <f t="shared" si="12"/>
        <v>0</v>
      </c>
      <c r="AD33" s="55">
        <f t="shared" si="13"/>
        <v>0</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82">
        <f>Test_Bible!P246</f>
        <v>0</v>
      </c>
      <c r="G34" s="1882">
        <f t="shared" si="8"/>
        <v>0</v>
      </c>
      <c r="H34" s="1881" t="str">
        <f>BIBLE!V142</f>
        <v>Parentification</v>
      </c>
      <c r="I34" s="612"/>
      <c r="J34" s="626" t="str">
        <f>BIBLE!E70</f>
        <v>PCR15</v>
      </c>
      <c r="K34" s="1657" t="str">
        <f>Test_Bible!B151</f>
        <v>Il est important que votre enfant soit au courant des enjeux de la séparation et/ou du conflit qui vous oppose à l'autre parent.</v>
      </c>
      <c r="L34" s="2221">
        <f>Test_Bible!D151</f>
        <v>3</v>
      </c>
      <c r="M34" s="1889">
        <f>Test_Bible!P151</f>
        <v>0</v>
      </c>
      <c r="N34" s="1889">
        <f t="shared" si="9"/>
        <v>0</v>
      </c>
      <c r="O34" s="1872" t="str">
        <f>BIBLE!V70</f>
        <v>Parentification</v>
      </c>
      <c r="Q34" s="2463"/>
      <c r="R34" s="1893">
        <f t="shared" si="10"/>
        <v>0</v>
      </c>
      <c r="S34" s="2393" t="str">
        <f>IF(A34="oui",IF(R34&gt;$Q$38,HLOOKUP(1,$V$30:$W$39,5),""),"")</f>
        <v/>
      </c>
      <c r="T34" s="2393" t="str">
        <f>IF(A34="oui",IF(R34&gt;$Q$38,X34,""),"")</f>
        <v/>
      </c>
      <c r="U34" s="2393" t="str">
        <f>IF(A34="oui",IF(R34&gt;$Q$38,Y34,""),"")</f>
        <v/>
      </c>
      <c r="V34" s="2230"/>
      <c r="W34" s="2227" t="s">
        <v>2028</v>
      </c>
      <c r="X34" s="2228"/>
      <c r="Y34" s="2228"/>
      <c r="AB34" s="13" t="str">
        <f t="shared" si="11"/>
        <v xml:space="preserve">Protège l'enfant des enjeux de séparation </v>
      </c>
      <c r="AC34" s="55">
        <f t="shared" si="12"/>
        <v>0</v>
      </c>
      <c r="AD34" s="55">
        <f t="shared" si="13"/>
        <v>0</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82">
        <f>Test_Bible!P185</f>
        <v>0</v>
      </c>
      <c r="G35" s="1882">
        <f t="shared" si="8"/>
        <v>0</v>
      </c>
      <c r="H35" s="1873" t="str">
        <f>BIBLE!V99</f>
        <v>Chantage affectif, manipulation</v>
      </c>
      <c r="I35" s="1860"/>
      <c r="J35" s="1861" t="str">
        <f>BIBLE!E57</f>
        <v>PCR04</v>
      </c>
      <c r="K35" s="1654" t="str">
        <f>Test_Bible!B125</f>
        <v>Vous questionnez votre enfant à son retour de garde afin de connaître la routine (repas, dodo, activités, etc.) chez l'autre parent.</v>
      </c>
      <c r="L35" s="1653">
        <f>Test_Bible!D125</f>
        <v>1</v>
      </c>
      <c r="M35" s="1887">
        <f>Test_Bible!P125</f>
        <v>0</v>
      </c>
      <c r="N35" s="1887">
        <f t="shared" si="9"/>
        <v>0</v>
      </c>
      <c r="O35" s="1863" t="str">
        <f>BIBLE!V57</f>
        <v>Chantage affectif, manipulation</v>
      </c>
      <c r="Q35" s="2463"/>
      <c r="R35" s="1893">
        <f t="shared" si="10"/>
        <v>0</v>
      </c>
      <c r="S35" s="2393" t="str">
        <f>IF(A35="oui",IF(R35&gt;$Q$38,HLOOKUP(1,$V$30:$W$39,6),""),"")</f>
        <v/>
      </c>
      <c r="T35" s="2393" t="str">
        <f>IF(A35="oui",IF(R35&gt;$Q$38,X35,""),"")</f>
        <v/>
      </c>
      <c r="U35" s="2393" t="str">
        <f>IF(A35="oui",IF(R35&gt;$Q$38,Y35,""),"")</f>
        <v/>
      </c>
      <c r="V35" s="2230"/>
      <c r="W35" s="2227" t="s">
        <v>2030</v>
      </c>
      <c r="X35" s="2228"/>
      <c r="Y35" s="2228"/>
      <c r="AB35" s="13" t="str">
        <f t="shared" si="11"/>
        <v xml:space="preserve">Évite de questionner l’enfant à son retour de garde  </v>
      </c>
      <c r="AC35" s="55">
        <f t="shared" si="12"/>
        <v>0</v>
      </c>
      <c r="AD35" s="55">
        <f t="shared" si="13"/>
        <v>0</v>
      </c>
    </row>
    <row r="36" spans="1:30" ht="56" customHeight="1" thickBot="1">
      <c r="A36" s="700" t="str">
        <f t="shared" si="7"/>
        <v>question NON affichée</v>
      </c>
      <c r="B36" s="742" t="s">
        <v>2031</v>
      </c>
      <c r="C36" s="606" t="str">
        <f>BIBLE!E145</f>
        <v>PFA35</v>
      </c>
      <c r="D36" s="610" t="str">
        <f>Test_Bible!B249</f>
        <v/>
      </c>
      <c r="E36" s="606">
        <f>Test_Bible!D249</f>
        <v>3</v>
      </c>
      <c r="F36" s="1882">
        <f>Test_Bible!P249</f>
        <v>0</v>
      </c>
      <c r="G36" s="1882">
        <f t="shared" si="8"/>
        <v>0</v>
      </c>
      <c r="H36" s="1880" t="str">
        <f>BIBLE!V145</f>
        <v>Rôle actif de l'enfant</v>
      </c>
      <c r="I36" s="612"/>
      <c r="J36" s="673" t="str">
        <f>BIBLE!E62</f>
        <v>PCR09</v>
      </c>
      <c r="K36" s="1654" t="str">
        <f>Test_Bible!B136</f>
        <v>Vous laissez à votre enfant le droit de choisir la fréquence des visites et le temps qu'il passe chez l'autre parent.</v>
      </c>
      <c r="L36" s="1862">
        <f>Test_Bible!D136</f>
        <v>3</v>
      </c>
      <c r="M36" s="1890">
        <f>Test_Bible!P136</f>
        <v>0</v>
      </c>
      <c r="N36" s="1888">
        <f t="shared" si="9"/>
        <v>0</v>
      </c>
      <c r="O36" s="1865" t="str">
        <f>BIBLE!V62</f>
        <v>Interférence temps et/ou communication</v>
      </c>
      <c r="P36" s="8"/>
      <c r="Q36" s="2463"/>
      <c r="R36" s="1893" t="str">
        <f t="shared" si="10"/>
        <v/>
      </c>
      <c r="S36" s="2393" t="str">
        <f>IF(A36="oui",IF(R36&gt;$Q$38,HLOOKUP(1,$V$30:$W$39,7),""),"")</f>
        <v/>
      </c>
      <c r="T36" s="2393" t="str">
        <f>IF(A36="oui",IF(R36&gt;$Q$38,X36,""),"")</f>
        <v/>
      </c>
      <c r="U36" s="2393" t="str">
        <f>IF(A36="oui",IF(R36&gt;$Q$38,Y36,""),"")</f>
        <v/>
      </c>
      <c r="V36" s="2229"/>
      <c r="W36" s="2227" t="s">
        <v>2032</v>
      </c>
      <c r="X36" s="2228"/>
      <c r="Y36" s="2228"/>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82">
        <f>Test_Bible!P183</f>
        <v>0</v>
      </c>
      <c r="G37" s="1882">
        <f t="shared" si="8"/>
        <v>0</v>
      </c>
      <c r="H37" s="1877" t="str">
        <f>BIBLE!V99</f>
        <v>Chantage affectif, manipulation</v>
      </c>
      <c r="I37" s="612"/>
      <c r="J37" s="626" t="str">
        <f>BIBLE!E69</f>
        <v>PCR14</v>
      </c>
      <c r="K37" s="1657" t="str">
        <f>Test_Bible!B150</f>
        <v>Un enfant de 12 ans est assez mature pour choisir où et avec qui il veut vivre.</v>
      </c>
      <c r="L37" s="626">
        <f>Test_Bible!D150</f>
        <v>3</v>
      </c>
      <c r="M37" s="1889">
        <f>Test_Bible!P150</f>
        <v>0</v>
      </c>
      <c r="N37" s="1888">
        <f t="shared" si="9"/>
        <v>0</v>
      </c>
      <c r="O37" s="1866" t="str">
        <f>BIBLE!V71</f>
        <v>Parentification</v>
      </c>
      <c r="P37" s="8"/>
      <c r="Q37" s="2464"/>
      <c r="R37" s="1893">
        <f t="shared" si="10"/>
        <v>0</v>
      </c>
      <c r="S37" s="2393" t="str">
        <f>IF(A37="oui",IF(R37&gt;$Q$38,HLOOKUP(1,$V$30:$W$39,8),""),"")</f>
        <v/>
      </c>
      <c r="T37" s="2393" t="str">
        <f>IF(A37="oui",IF(R37&gt;$Q$38,X37,""),"")</f>
        <v/>
      </c>
      <c r="U37" s="2393" t="str">
        <f>IF(A37="oui",IF(R37&gt;$Q$38,Y37,""),"")</f>
        <v/>
      </c>
      <c r="V37" s="2229"/>
      <c r="W37" s="2227" t="s">
        <v>2034</v>
      </c>
      <c r="X37" s="2228"/>
      <c r="Y37" s="2228"/>
      <c r="AB37" s="13" t="str">
        <f t="shared" si="11"/>
        <v>Ne donne pas à l'enfant la responsabilité de choisir</v>
      </c>
      <c r="AC37" s="55">
        <f t="shared" si="12"/>
        <v>0</v>
      </c>
      <c r="AD37" s="55">
        <f t="shared" si="13"/>
        <v>0</v>
      </c>
    </row>
    <row r="38" spans="1:30" ht="130" customHeight="1">
      <c r="A38" s="5"/>
      <c r="B38" s="25"/>
      <c r="C38" s="16"/>
      <c r="D38" s="272"/>
      <c r="E38" s="2" t="s">
        <v>2019</v>
      </c>
      <c r="F38" s="90">
        <f>MAX(F32:F37)</f>
        <v>0</v>
      </c>
      <c r="G38" s="67"/>
      <c r="H38" s="1870"/>
      <c r="J38" s="604"/>
      <c r="K38" s="2021"/>
      <c r="L38" s="2" t="s">
        <v>2019</v>
      </c>
      <c r="M38" s="90">
        <f>MAX(M32:M37)</f>
        <v>0</v>
      </c>
      <c r="N38" s="67"/>
      <c r="O38" s="1517"/>
      <c r="Q38" s="90">
        <f>AVERAGE(R32:R37)</f>
        <v>0</v>
      </c>
      <c r="R38" s="2379" t="s">
        <v>2035</v>
      </c>
      <c r="S38" s="2393" t="str">
        <f>IF(HLOOKUP(1,$V$30:$W$39,9)="","",HLOOKUP(1,$V$30:$W$39,9))</f>
        <v/>
      </c>
      <c r="T38" s="576" t="str">
        <f>IF(OR(F38&gt;=4,M38&gt;=4),X38,"")</f>
        <v/>
      </c>
      <c r="U38" s="2394" t="str">
        <f>IF(OR(F38&gt;=4,M38&gt;=4),Y38,"")</f>
        <v/>
      </c>
      <c r="V38" s="2309"/>
      <c r="W38" s="2378"/>
      <c r="X38" s="2438" t="s">
        <v>2036</v>
      </c>
      <c r="Y38" s="2310"/>
      <c r="AC38" s="55"/>
      <c r="AD38" s="55"/>
    </row>
    <row r="39" spans="1:30" ht="122" customHeight="1">
      <c r="A39" s="5"/>
      <c r="B39" s="25"/>
      <c r="C39" s="16"/>
      <c r="D39" s="272"/>
      <c r="E39" s="16"/>
      <c r="F39" s="67"/>
      <c r="G39" s="67"/>
      <c r="H39" s="1870"/>
      <c r="J39" s="604"/>
      <c r="K39" s="2021"/>
      <c r="L39" s="604"/>
      <c r="M39" s="2022"/>
      <c r="N39" s="67"/>
      <c r="O39" s="1517"/>
      <c r="S39" s="7"/>
      <c r="T39" s="7"/>
      <c r="U39" s="7" t="s">
        <v>53</v>
      </c>
      <c r="V39" s="2166"/>
      <c r="W39" s="2377" t="s">
        <v>2037</v>
      </c>
      <c r="X39" s="2305"/>
      <c r="Y39" s="2305"/>
      <c r="AA39" s="57"/>
    </row>
    <row r="40" spans="1:30" ht="76" customHeight="1">
      <c r="B40" s="25"/>
      <c r="C40" s="16"/>
      <c r="D40" s="272"/>
      <c r="E40" s="16"/>
      <c r="F40" s="67"/>
      <c r="G40" s="67"/>
      <c r="H40" s="1870"/>
      <c r="J40" s="604"/>
      <c r="K40" s="2021"/>
      <c r="L40" s="604"/>
      <c r="M40" s="2022"/>
      <c r="N40" s="67"/>
      <c r="O40" s="1517"/>
      <c r="R40" s="2023"/>
      <c r="S40" s="2023"/>
      <c r="T40" s="2023"/>
      <c r="U40" s="2023"/>
      <c r="W40" s="2226"/>
      <c r="X40" s="2226"/>
      <c r="Y40" s="2226"/>
      <c r="AA40" s="57"/>
    </row>
    <row r="41" spans="1:30" ht="76" customHeight="1">
      <c r="B41" s="25"/>
      <c r="C41" s="16"/>
      <c r="D41" s="272"/>
      <c r="E41" s="16"/>
      <c r="F41" s="67"/>
      <c r="G41" s="67"/>
      <c r="H41" s="1870"/>
      <c r="J41" s="604"/>
      <c r="K41" s="2021"/>
      <c r="L41" s="604"/>
      <c r="M41" s="2022"/>
      <c r="N41" s="67"/>
      <c r="O41" s="1517"/>
      <c r="R41" s="2023"/>
      <c r="S41" s="2023"/>
      <c r="T41" s="2023"/>
      <c r="U41" s="2023"/>
      <c r="W41" s="2226"/>
      <c r="X41" s="2226"/>
      <c r="Y41" s="2226"/>
      <c r="AA41" s="57"/>
    </row>
    <row r="42" spans="1:30" ht="76" customHeight="1">
      <c r="B42" s="25"/>
      <c r="C42" s="16"/>
      <c r="D42" s="272"/>
      <c r="E42" s="16"/>
      <c r="F42" s="67"/>
      <c r="G42" s="67"/>
      <c r="H42" s="1870"/>
      <c r="J42" s="604"/>
      <c r="K42" s="2021"/>
      <c r="L42" s="604"/>
      <c r="M42" s="2022"/>
      <c r="N42" s="67"/>
      <c r="O42" s="1517"/>
      <c r="R42" s="2023"/>
      <c r="S42" s="2023"/>
      <c r="T42" s="2023"/>
      <c r="U42" s="2023"/>
      <c r="W42" s="2226"/>
      <c r="X42" s="2226"/>
      <c r="Y42" s="2226"/>
      <c r="AA42" s="57"/>
    </row>
    <row r="43" spans="1:30" ht="76" customHeight="1">
      <c r="B43" s="25"/>
      <c r="C43" s="16"/>
      <c r="D43" s="272"/>
      <c r="E43" s="16"/>
      <c r="F43" s="67"/>
      <c r="G43" s="67"/>
      <c r="H43" s="1870"/>
      <c r="J43" s="604"/>
      <c r="K43" s="2021"/>
      <c r="L43" s="604"/>
      <c r="M43" s="2022"/>
      <c r="N43" s="67"/>
      <c r="O43" s="1517"/>
      <c r="R43" s="2023"/>
      <c r="S43" s="2023"/>
      <c r="T43" s="2023"/>
      <c r="U43" s="2023"/>
      <c r="W43" s="2226"/>
      <c r="X43" s="2226"/>
      <c r="Y43" s="2226"/>
      <c r="AA43" s="57"/>
    </row>
    <row r="44" spans="1:30" ht="76" customHeight="1">
      <c r="B44" s="25"/>
      <c r="C44" s="16"/>
      <c r="D44" s="272"/>
      <c r="E44" s="16"/>
      <c r="F44" s="67"/>
      <c r="G44" s="67"/>
      <c r="H44" s="1870"/>
      <c r="J44" s="604"/>
      <c r="K44" s="2021"/>
      <c r="L44" s="604"/>
      <c r="M44" s="2022"/>
      <c r="N44" s="67"/>
      <c r="O44" s="1517"/>
      <c r="R44" s="2023"/>
      <c r="S44" s="2023"/>
      <c r="T44" s="2023"/>
      <c r="U44" s="2023"/>
      <c r="W44" s="2226"/>
      <c r="X44" s="2226"/>
      <c r="Y44" s="2226"/>
      <c r="AA44" s="57"/>
    </row>
    <row r="45" spans="1:30" ht="76" customHeight="1">
      <c r="B45" s="25"/>
      <c r="C45" s="16"/>
      <c r="D45" s="272"/>
      <c r="E45" s="16"/>
      <c r="F45" s="67"/>
      <c r="G45" s="67"/>
      <c r="H45" s="1870"/>
      <c r="J45" s="604"/>
      <c r="K45" s="2021"/>
      <c r="L45" s="604"/>
      <c r="M45" s="2022"/>
      <c r="N45" s="67"/>
      <c r="O45" s="1517"/>
      <c r="R45" s="2023"/>
      <c r="S45" s="2023"/>
      <c r="T45" s="2023"/>
      <c r="U45" s="2023"/>
      <c r="W45" s="2226"/>
      <c r="X45" s="2226"/>
      <c r="Y45" s="2226"/>
      <c r="AA45" s="57"/>
    </row>
    <row r="46" spans="1:30" ht="76" customHeight="1">
      <c r="B46" s="25"/>
      <c r="C46" s="16"/>
      <c r="D46" s="272"/>
      <c r="E46" s="16"/>
      <c r="F46" s="67"/>
      <c r="G46" s="67"/>
      <c r="H46" s="1870"/>
      <c r="J46" s="604"/>
      <c r="K46" s="2021"/>
      <c r="L46" s="604"/>
      <c r="M46" s="2022"/>
      <c r="N46" s="67"/>
      <c r="O46" s="1517"/>
      <c r="R46" s="2023"/>
      <c r="S46" s="2023"/>
      <c r="T46" s="2023"/>
      <c r="U46" s="2023"/>
      <c r="W46" s="2226"/>
      <c r="X46" s="2226"/>
      <c r="Y46" s="2226"/>
      <c r="AA46" s="57"/>
    </row>
    <row r="47" spans="1:30" ht="76" customHeight="1">
      <c r="B47" s="25"/>
      <c r="C47" s="16"/>
      <c r="D47" s="272"/>
      <c r="E47" s="16"/>
      <c r="F47" s="67"/>
      <c r="G47" s="67"/>
      <c r="H47" s="1870"/>
      <c r="J47" s="604"/>
      <c r="K47" s="2021"/>
      <c r="L47" s="604"/>
      <c r="M47" s="2022"/>
      <c r="N47" s="67"/>
      <c r="O47" s="1517"/>
      <c r="R47" s="2023"/>
      <c r="S47" s="2023"/>
      <c r="T47" s="2023"/>
      <c r="U47" s="2023"/>
      <c r="W47" s="2226"/>
      <c r="X47" s="2226"/>
      <c r="Y47" s="2226"/>
      <c r="AA47" s="57"/>
    </row>
    <row r="48" spans="1:30" ht="76" customHeight="1">
      <c r="B48" s="25"/>
      <c r="C48" s="16"/>
      <c r="D48" s="272"/>
      <c r="E48" s="16"/>
      <c r="F48" s="67"/>
      <c r="G48" s="67"/>
      <c r="H48" s="1870"/>
      <c r="J48" s="604"/>
      <c r="K48" s="2021"/>
      <c r="L48" s="604"/>
      <c r="M48" s="2022"/>
      <c r="N48" s="67"/>
      <c r="O48" s="1517"/>
      <c r="R48" s="2023"/>
      <c r="S48" s="2023"/>
      <c r="T48" s="2023"/>
      <c r="U48" s="2023"/>
      <c r="W48" s="2226"/>
      <c r="X48" s="2226"/>
      <c r="Y48" s="2226"/>
      <c r="AA48" s="57"/>
    </row>
    <row r="49" spans="2:27" ht="76" customHeight="1">
      <c r="B49" s="25"/>
      <c r="C49" s="16"/>
      <c r="D49" s="272"/>
      <c r="E49" s="16"/>
      <c r="F49" s="67"/>
      <c r="G49" s="67"/>
      <c r="H49" s="1870"/>
      <c r="J49" s="604"/>
      <c r="K49" s="2021"/>
      <c r="L49" s="604"/>
      <c r="M49" s="2022"/>
      <c r="N49" s="67"/>
      <c r="O49" s="1517"/>
      <c r="R49" s="2023"/>
      <c r="S49" s="2023"/>
      <c r="T49" s="2023"/>
      <c r="U49" s="2023"/>
      <c r="W49" s="2226"/>
      <c r="X49" s="2226"/>
      <c r="Y49" s="2226"/>
      <c r="AA49" s="57"/>
    </row>
    <row r="50" spans="2:27" ht="76" customHeight="1">
      <c r="B50" s="25"/>
      <c r="C50" s="16"/>
      <c r="D50" s="272"/>
      <c r="E50" s="16"/>
      <c r="F50" s="67"/>
      <c r="G50" s="67"/>
      <c r="H50" s="1870"/>
      <c r="J50" s="604"/>
      <c r="K50" s="2021"/>
      <c r="L50" s="604"/>
      <c r="M50" s="2022"/>
      <c r="N50" s="67"/>
      <c r="O50" s="1517"/>
      <c r="R50" s="2023"/>
      <c r="S50" s="2023"/>
      <c r="T50" s="2023"/>
      <c r="U50" s="2023"/>
      <c r="W50" s="2226"/>
      <c r="X50" s="2226"/>
      <c r="Y50" s="2226"/>
      <c r="AA50" s="57"/>
    </row>
    <row r="51" spans="2:27" ht="76" customHeight="1">
      <c r="B51" s="25"/>
      <c r="C51" s="16"/>
      <c r="D51" s="272"/>
      <c r="E51" s="16"/>
      <c r="F51" s="67"/>
      <c r="G51" s="67"/>
      <c r="H51" s="1870"/>
      <c r="J51" s="604"/>
      <c r="K51" s="2021"/>
      <c r="L51" s="604"/>
      <c r="M51" s="2022"/>
      <c r="N51" s="67"/>
      <c r="O51" s="1517"/>
      <c r="R51" s="2023"/>
      <c r="S51" s="2023"/>
      <c r="T51" s="2023"/>
      <c r="U51" s="2023"/>
      <c r="W51" s="2226"/>
      <c r="X51" s="2226"/>
      <c r="Y51" s="2226"/>
      <c r="AA51" s="57"/>
    </row>
    <row r="52" spans="2:27" ht="76" customHeight="1">
      <c r="B52" s="25"/>
      <c r="C52" s="16"/>
      <c r="D52" s="272"/>
      <c r="E52" s="16"/>
      <c r="F52" s="67"/>
      <c r="G52" s="67"/>
      <c r="H52" s="1870"/>
      <c r="J52" s="604"/>
      <c r="K52" s="2021"/>
      <c r="L52" s="604"/>
      <c r="M52" s="2022"/>
      <c r="N52" s="67"/>
      <c r="O52" s="1517"/>
      <c r="R52" s="2023"/>
      <c r="S52" s="2023"/>
      <c r="T52" s="2023"/>
      <c r="U52" s="2023"/>
      <c r="W52" s="2226"/>
      <c r="X52" s="2226"/>
      <c r="Y52" s="2226"/>
      <c r="AA52" s="57"/>
    </row>
    <row r="53" spans="2:27" ht="76" customHeight="1">
      <c r="B53" s="25"/>
      <c r="C53" s="16"/>
      <c r="D53" s="272"/>
      <c r="E53" s="16"/>
      <c r="F53" s="67"/>
      <c r="G53" s="67"/>
      <c r="H53" s="1870"/>
      <c r="J53" s="604"/>
      <c r="K53" s="2021"/>
      <c r="L53" s="604"/>
      <c r="M53" s="2022"/>
      <c r="N53" s="67"/>
      <c r="O53" s="1517"/>
      <c r="R53" s="2023"/>
      <c r="S53" s="2023"/>
      <c r="T53" s="2023"/>
      <c r="U53" s="2023"/>
      <c r="W53" s="2226"/>
      <c r="X53" s="2226"/>
      <c r="Y53" s="2226"/>
      <c r="AA53" s="57"/>
    </row>
    <row r="54" spans="2:27" ht="76" customHeight="1">
      <c r="B54" s="25"/>
      <c r="C54" s="16"/>
      <c r="D54" s="272"/>
      <c r="E54" s="16"/>
      <c r="F54" s="67"/>
      <c r="G54" s="67"/>
      <c r="H54" s="1870"/>
      <c r="J54" s="604"/>
      <c r="K54" s="2021"/>
      <c r="L54" s="604"/>
      <c r="M54" s="2022"/>
      <c r="N54" s="67"/>
      <c r="O54" s="1517"/>
      <c r="R54" s="2023"/>
      <c r="S54" s="2023"/>
      <c r="T54" s="2023"/>
      <c r="U54" s="2023"/>
      <c r="W54" s="2226"/>
      <c r="X54" s="2226"/>
      <c r="Y54" s="2226"/>
      <c r="AA54" s="57"/>
    </row>
    <row r="55" spans="2:27" ht="76" customHeight="1">
      <c r="B55" s="25"/>
      <c r="C55" s="16"/>
      <c r="D55" s="272"/>
      <c r="E55" s="16"/>
      <c r="F55" s="67"/>
      <c r="G55" s="67"/>
      <c r="H55" s="1870"/>
      <c r="J55" s="604"/>
      <c r="K55" s="2021"/>
      <c r="L55" s="604"/>
      <c r="M55" s="2022"/>
      <c r="N55" s="67"/>
      <c r="O55" s="1517"/>
      <c r="R55" s="2023"/>
      <c r="S55" s="2023"/>
      <c r="T55" s="2023"/>
      <c r="U55" s="2023"/>
      <c r="W55" s="2226"/>
      <c r="X55" s="2226"/>
      <c r="Y55" s="2226"/>
      <c r="AA55" s="57"/>
    </row>
    <row r="56" spans="2:27" ht="76" customHeight="1">
      <c r="B56" s="25"/>
      <c r="C56" s="16"/>
      <c r="D56" s="272"/>
      <c r="E56" s="16"/>
      <c r="F56" s="67"/>
      <c r="G56" s="67"/>
      <c r="H56" s="1870"/>
      <c r="J56" s="604"/>
      <c r="K56" s="2021"/>
      <c r="L56" s="604"/>
      <c r="M56" s="2022"/>
      <c r="N56" s="67"/>
      <c r="O56" s="1517"/>
      <c r="R56" s="2023"/>
      <c r="S56" s="2023"/>
      <c r="T56" s="2023"/>
      <c r="U56" s="2023"/>
      <c r="W56" s="2226"/>
      <c r="X56" s="2226"/>
      <c r="Y56" s="2226"/>
      <c r="AA56" s="57"/>
    </row>
    <row r="57" spans="2:27" ht="76" customHeight="1">
      <c r="B57" s="25"/>
      <c r="C57" s="16"/>
      <c r="D57" s="272"/>
      <c r="E57" s="16"/>
      <c r="F57" s="67"/>
      <c r="G57" s="67"/>
      <c r="H57" s="1870"/>
      <c r="J57" s="604"/>
      <c r="K57" s="2021"/>
      <c r="L57" s="604"/>
      <c r="M57" s="2022"/>
      <c r="N57" s="67"/>
      <c r="O57" s="1517"/>
      <c r="R57" s="2023"/>
      <c r="S57" s="2023"/>
      <c r="T57" s="2023"/>
      <c r="U57" s="2023"/>
      <c r="W57" s="2226"/>
      <c r="X57" s="2226"/>
      <c r="Y57" s="2226"/>
      <c r="AA57" s="57"/>
    </row>
    <row r="58" spans="2:27" ht="76" customHeight="1">
      <c r="B58" s="25"/>
      <c r="C58" s="16"/>
      <c r="D58" s="272"/>
      <c r="E58" s="16"/>
      <c r="F58" s="67"/>
      <c r="G58" s="67"/>
      <c r="H58" s="1870"/>
      <c r="J58" s="604"/>
      <c r="K58" s="2021"/>
      <c r="L58" s="604"/>
      <c r="M58" s="2022"/>
      <c r="N58" s="67"/>
      <c r="O58" s="1517"/>
      <c r="R58" s="2023"/>
      <c r="S58" s="2023"/>
      <c r="T58" s="2023"/>
      <c r="U58" s="2023"/>
      <c r="W58" s="2226"/>
      <c r="X58" s="2226"/>
      <c r="Y58" s="2226"/>
      <c r="AA58" s="57"/>
    </row>
    <row r="59" spans="2:27" ht="76" customHeight="1">
      <c r="B59" s="25"/>
      <c r="C59" s="16"/>
      <c r="D59" s="272"/>
      <c r="E59" s="16"/>
      <c r="F59" s="67"/>
      <c r="G59" s="67"/>
      <c r="H59" s="1870"/>
      <c r="J59" s="604"/>
      <c r="K59" s="2021"/>
      <c r="L59" s="604"/>
      <c r="M59" s="2022"/>
      <c r="N59" s="67"/>
      <c r="O59" s="1517"/>
      <c r="R59" s="2023"/>
      <c r="S59" s="2023"/>
      <c r="T59" s="2023"/>
      <c r="U59" s="2023"/>
      <c r="W59" s="2226"/>
      <c r="X59" s="2226"/>
      <c r="Y59" s="2226"/>
      <c r="AA59" s="57"/>
    </row>
    <row r="60" spans="2:27" ht="76" customHeight="1">
      <c r="B60" s="25"/>
      <c r="C60" s="16"/>
      <c r="D60" s="272"/>
      <c r="E60" s="16"/>
      <c r="F60" s="67"/>
      <c r="G60" s="67"/>
      <c r="H60" s="1870"/>
      <c r="J60" s="604"/>
      <c r="K60" s="2021"/>
      <c r="L60" s="604"/>
      <c r="M60" s="2022"/>
      <c r="N60" s="67"/>
      <c r="O60" s="1517"/>
      <c r="R60" s="2023"/>
      <c r="S60" s="2023"/>
      <c r="T60" s="2023"/>
      <c r="U60" s="2023"/>
      <c r="W60" s="2226"/>
      <c r="X60" s="2226"/>
      <c r="Y60" s="2226"/>
      <c r="AA60" s="57"/>
    </row>
    <row r="61" spans="2:27" ht="76" customHeight="1">
      <c r="B61" s="25"/>
      <c r="C61" s="16"/>
      <c r="D61" s="272"/>
      <c r="E61" s="16"/>
      <c r="F61" s="67"/>
      <c r="G61" s="67"/>
      <c r="H61" s="1870"/>
      <c r="J61" s="604"/>
      <c r="K61" s="2021"/>
      <c r="L61" s="604"/>
      <c r="M61" s="2022"/>
      <c r="N61" s="67"/>
      <c r="O61" s="1517"/>
      <c r="R61" s="2023"/>
      <c r="S61" s="2023"/>
      <c r="T61" s="2023"/>
      <c r="U61" s="2023"/>
      <c r="W61" s="2226"/>
      <c r="X61" s="2226"/>
      <c r="Y61" s="2226"/>
      <c r="AA61" s="57"/>
    </row>
    <row r="62" spans="2:27" ht="76" customHeight="1">
      <c r="B62" s="25"/>
      <c r="C62" s="16"/>
      <c r="D62" s="272"/>
      <c r="E62" s="16"/>
      <c r="F62" s="67"/>
      <c r="G62" s="67"/>
      <c r="H62" s="1870"/>
      <c r="J62" s="604"/>
      <c r="K62" s="2021"/>
      <c r="L62" s="604"/>
      <c r="M62" s="2022"/>
      <c r="N62" s="67"/>
      <c r="O62" s="1517"/>
      <c r="R62" s="2023"/>
      <c r="S62" s="2023"/>
      <c r="T62" s="2023"/>
      <c r="U62" s="2023"/>
      <c r="W62" s="2226"/>
      <c r="X62" s="2226"/>
      <c r="Y62" s="2226"/>
      <c r="AA62" s="57"/>
    </row>
    <row r="63" spans="2:27" ht="76" customHeight="1">
      <c r="B63" s="25"/>
      <c r="C63" s="16"/>
      <c r="D63" s="272"/>
      <c r="E63" s="16"/>
      <c r="F63" s="67"/>
      <c r="G63" s="67"/>
      <c r="H63" s="1870"/>
      <c r="J63" s="604"/>
      <c r="K63" s="2021"/>
      <c r="L63" s="604"/>
      <c r="M63" s="2022"/>
      <c r="N63" s="67"/>
      <c r="O63" s="1517"/>
      <c r="R63" s="2023"/>
      <c r="S63" s="2023"/>
      <c r="T63" s="2023"/>
      <c r="U63" s="2023"/>
      <c r="W63" s="2226"/>
      <c r="X63" s="2226"/>
      <c r="Y63" s="2226"/>
      <c r="AA63" s="57"/>
    </row>
    <row r="64" spans="2:27" ht="76" customHeight="1">
      <c r="B64" s="25"/>
      <c r="C64" s="16"/>
      <c r="D64" s="272"/>
      <c r="E64" s="16"/>
      <c r="F64" s="67"/>
      <c r="G64" s="67"/>
      <c r="H64" s="1870"/>
      <c r="J64" s="604"/>
      <c r="K64" s="2021"/>
      <c r="L64" s="604"/>
      <c r="M64" s="2022"/>
      <c r="N64" s="67"/>
      <c r="O64" s="1517"/>
      <c r="R64" s="2023"/>
      <c r="S64" s="2023"/>
      <c r="T64" s="2023"/>
      <c r="U64" s="2023"/>
      <c r="W64" s="2226"/>
      <c r="X64" s="2226"/>
      <c r="Y64" s="2226"/>
      <c r="AA64" s="57"/>
    </row>
    <row r="65" spans="2:27" ht="76" customHeight="1">
      <c r="B65" s="25"/>
      <c r="C65" s="16"/>
      <c r="D65" s="272"/>
      <c r="E65" s="16"/>
      <c r="F65" s="67"/>
      <c r="G65" s="67"/>
      <c r="H65" s="1870"/>
      <c r="J65" s="604"/>
      <c r="K65" s="2021"/>
      <c r="L65" s="604"/>
      <c r="M65" s="2022"/>
      <c r="N65" s="67"/>
      <c r="O65" s="1517"/>
      <c r="R65" s="2023"/>
      <c r="S65" s="2023"/>
      <c r="T65" s="2023"/>
      <c r="U65" s="2023"/>
      <c r="W65" s="2226"/>
      <c r="X65" s="2226"/>
      <c r="Y65" s="2226"/>
      <c r="AA65" s="57"/>
    </row>
    <row r="66" spans="2:27" ht="76" customHeight="1">
      <c r="B66" s="25"/>
      <c r="C66" s="16"/>
      <c r="D66" s="272"/>
      <c r="E66" s="16"/>
      <c r="F66" s="67"/>
      <c r="G66" s="67"/>
      <c r="H66" s="1870"/>
      <c r="J66" s="604"/>
      <c r="K66" s="2021"/>
      <c r="L66" s="604"/>
      <c r="M66" s="2022"/>
      <c r="N66" s="67"/>
      <c r="O66" s="1517"/>
      <c r="R66" s="2023"/>
      <c r="S66" s="2023"/>
      <c r="T66" s="2023"/>
      <c r="U66" s="2023"/>
      <c r="W66" s="2226"/>
      <c r="X66" s="2226"/>
      <c r="Y66" s="2226"/>
      <c r="AA66" s="57"/>
    </row>
    <row r="67" spans="2:27" ht="76" customHeight="1">
      <c r="B67" s="25"/>
      <c r="C67" s="16"/>
      <c r="D67" s="272"/>
      <c r="E67" s="16"/>
      <c r="F67" s="67"/>
      <c r="G67" s="67"/>
      <c r="H67" s="1870"/>
      <c r="J67" s="604"/>
      <c r="K67" s="2021"/>
      <c r="L67" s="604"/>
      <c r="M67" s="2022"/>
      <c r="N67" s="67"/>
      <c r="O67" s="1517"/>
      <c r="R67" s="2023"/>
      <c r="S67" s="2023"/>
      <c r="T67" s="2023"/>
      <c r="U67" s="2023"/>
      <c r="W67" s="2226"/>
      <c r="X67" s="2226"/>
      <c r="Y67" s="2226"/>
      <c r="AA67" s="57"/>
    </row>
    <row r="68" spans="2:27" ht="76" customHeight="1">
      <c r="B68" s="25"/>
      <c r="C68" s="16"/>
      <c r="D68" s="272"/>
      <c r="E68" s="16"/>
      <c r="F68" s="67"/>
      <c r="G68" s="67"/>
      <c r="H68" s="1870"/>
      <c r="J68" s="604"/>
      <c r="K68" s="2021"/>
      <c r="L68" s="604"/>
      <c r="M68" s="2022"/>
      <c r="N68" s="67"/>
      <c r="O68" s="1517"/>
      <c r="R68" s="2023"/>
      <c r="S68" s="2023"/>
      <c r="T68" s="2023"/>
      <c r="U68" s="2023"/>
      <c r="W68" s="2226"/>
      <c r="X68" s="2226"/>
      <c r="Y68" s="2226"/>
      <c r="AA68" s="57"/>
    </row>
    <row r="69" spans="2:27" ht="76" customHeight="1">
      <c r="B69" s="25"/>
      <c r="C69" s="16"/>
      <c r="D69" s="272"/>
      <c r="E69" s="16"/>
      <c r="F69" s="67"/>
      <c r="G69" s="67"/>
      <c r="H69" s="1870"/>
      <c r="J69" s="604"/>
      <c r="K69" s="2021"/>
      <c r="L69" s="604"/>
      <c r="M69" s="2022"/>
      <c r="N69" s="67"/>
      <c r="O69" s="1517"/>
      <c r="R69" s="2023"/>
      <c r="S69" s="2023"/>
      <c r="T69" s="2023"/>
      <c r="U69" s="2023"/>
      <c r="W69" s="2226"/>
      <c r="X69" s="2226"/>
      <c r="Y69" s="2226"/>
      <c r="AA69" s="57"/>
    </row>
    <row r="70" spans="2:27" ht="76" customHeight="1">
      <c r="B70" s="25"/>
      <c r="C70" s="16"/>
      <c r="D70" s="272"/>
      <c r="E70" s="16"/>
      <c r="F70" s="67"/>
      <c r="G70" s="67"/>
      <c r="H70" s="1870"/>
      <c r="J70" s="604"/>
      <c r="K70" s="2021"/>
      <c r="L70" s="604"/>
      <c r="M70" s="2022"/>
      <c r="N70" s="67"/>
      <c r="O70" s="1517"/>
      <c r="R70" s="2023"/>
      <c r="S70" s="2023"/>
      <c r="T70" s="2023"/>
      <c r="U70" s="2023"/>
      <c r="W70" s="2226"/>
      <c r="X70" s="2226"/>
      <c r="Y70" s="2226"/>
      <c r="AA70" s="57"/>
    </row>
    <row r="71" spans="2:27" ht="76" customHeight="1">
      <c r="B71" s="25"/>
      <c r="C71" s="16"/>
      <c r="D71" s="272"/>
      <c r="E71" s="16"/>
      <c r="F71" s="67"/>
      <c r="G71" s="67"/>
      <c r="H71" s="1870"/>
      <c r="J71" s="604"/>
      <c r="K71" s="2021"/>
      <c r="L71" s="604"/>
      <c r="M71" s="2022"/>
      <c r="N71" s="67"/>
      <c r="O71" s="1517"/>
      <c r="R71" s="2023"/>
      <c r="S71" s="2023"/>
      <c r="T71" s="2023"/>
      <c r="U71" s="2023"/>
      <c r="W71" s="2226"/>
      <c r="X71" s="2226"/>
      <c r="Y71" s="2226"/>
      <c r="AA71" s="57"/>
    </row>
    <row r="72" spans="2:27" ht="76" customHeight="1">
      <c r="B72" s="25"/>
      <c r="C72" s="16"/>
      <c r="D72" s="272"/>
      <c r="E72" s="16"/>
      <c r="F72" s="67"/>
      <c r="G72" s="67"/>
      <c r="H72" s="1870"/>
      <c r="J72" s="604"/>
      <c r="K72" s="2021"/>
      <c r="L72" s="604"/>
      <c r="M72" s="2022"/>
      <c r="N72" s="67"/>
      <c r="O72" s="1517"/>
      <c r="R72" s="2023"/>
      <c r="S72" s="2023"/>
      <c r="T72" s="2023"/>
      <c r="U72" s="2023"/>
      <c r="W72" s="2226"/>
      <c r="X72" s="2226"/>
      <c r="Y72" s="2226"/>
      <c r="AA72" s="57"/>
    </row>
    <row r="73" spans="2:27" ht="76" customHeight="1">
      <c r="B73" s="25"/>
      <c r="C73" s="16"/>
      <c r="D73" s="272"/>
      <c r="E73" s="16"/>
      <c r="F73" s="67"/>
      <c r="G73" s="67"/>
      <c r="H73" s="1870"/>
      <c r="J73" s="604"/>
      <c r="K73" s="2021"/>
      <c r="L73" s="604"/>
      <c r="M73" s="2022"/>
      <c r="N73" s="67"/>
      <c r="O73" s="1517"/>
      <c r="R73" s="2023"/>
      <c r="S73" s="2023"/>
      <c r="T73" s="2023"/>
      <c r="U73" s="2023"/>
      <c r="W73" s="2226"/>
      <c r="X73" s="2226"/>
      <c r="Y73" s="2226"/>
      <c r="AA73" s="57"/>
    </row>
    <row r="74" spans="2:27" ht="76" customHeight="1">
      <c r="B74" s="25"/>
      <c r="C74" s="16"/>
      <c r="D74" s="272"/>
      <c r="E74" s="16"/>
      <c r="F74" s="67"/>
      <c r="G74" s="67"/>
      <c r="H74" s="1870"/>
      <c r="J74" s="604"/>
      <c r="K74" s="2021"/>
      <c r="L74" s="604"/>
      <c r="M74" s="2022"/>
      <c r="N74" s="67"/>
      <c r="O74" s="1517"/>
      <c r="R74" s="2023"/>
      <c r="S74" s="2023"/>
      <c r="T74" s="2023"/>
      <c r="U74" s="2023"/>
      <c r="W74" s="2226"/>
      <c r="X74" s="2226"/>
      <c r="Y74" s="2226"/>
      <c r="AA74" s="57"/>
    </row>
    <row r="75" spans="2:27" ht="76" customHeight="1">
      <c r="B75" s="25"/>
      <c r="C75" s="16"/>
      <c r="D75" s="272"/>
      <c r="E75" s="16"/>
      <c r="F75" s="67"/>
      <c r="G75" s="67"/>
      <c r="H75" s="1870"/>
      <c r="J75" s="604"/>
      <c r="K75" s="2021"/>
      <c r="L75" s="604"/>
      <c r="M75" s="2022"/>
      <c r="N75" s="67"/>
      <c r="O75" s="1517"/>
      <c r="R75" s="2023"/>
      <c r="S75" s="2023"/>
      <c r="T75" s="2023"/>
      <c r="U75" s="2023"/>
      <c r="W75" s="2226"/>
      <c r="X75" s="2226"/>
      <c r="Y75" s="2226"/>
      <c r="AA75" s="57"/>
    </row>
    <row r="76" spans="2:27" ht="76" customHeight="1">
      <c r="B76" s="25"/>
      <c r="C76" s="16"/>
      <c r="D76" s="272"/>
      <c r="E76" s="16"/>
      <c r="F76" s="67"/>
      <c r="G76" s="67"/>
      <c r="H76" s="1870"/>
      <c r="J76" s="604"/>
      <c r="K76" s="2021"/>
      <c r="L76" s="604"/>
      <c r="M76" s="2022"/>
      <c r="N76" s="67"/>
      <c r="O76" s="1517"/>
      <c r="R76" s="2023"/>
      <c r="S76" s="2023"/>
      <c r="T76" s="2023"/>
      <c r="U76" s="2023"/>
      <c r="W76" s="2226"/>
      <c r="X76" s="2226"/>
      <c r="Y76" s="2226"/>
      <c r="AA76" s="57"/>
    </row>
    <row r="77" spans="2:27" ht="76" customHeight="1">
      <c r="B77" s="25"/>
      <c r="C77" s="16"/>
      <c r="D77" s="272"/>
      <c r="E77" s="16"/>
      <c r="F77" s="67"/>
      <c r="G77" s="67"/>
      <c r="H77" s="1870"/>
      <c r="J77" s="604"/>
      <c r="K77" s="2021"/>
      <c r="L77" s="604"/>
      <c r="M77" s="2022"/>
      <c r="N77" s="67"/>
      <c r="O77" s="1517"/>
      <c r="R77" s="2023"/>
      <c r="S77" s="2023"/>
      <c r="T77" s="2023"/>
      <c r="U77" s="2023"/>
      <c r="W77" s="2226"/>
      <c r="X77" s="2226"/>
      <c r="Y77" s="2226"/>
      <c r="AA77" s="57"/>
    </row>
    <row r="78" spans="2:27" ht="76" customHeight="1">
      <c r="B78" s="25"/>
      <c r="C78" s="16"/>
      <c r="D78" s="272"/>
      <c r="E78" s="16"/>
      <c r="F78" s="67"/>
      <c r="G78" s="67"/>
      <c r="H78" s="1870"/>
      <c r="J78" s="604"/>
      <c r="K78" s="2021"/>
      <c r="L78" s="604"/>
      <c r="M78" s="2022"/>
      <c r="N78" s="67"/>
      <c r="O78" s="1517"/>
      <c r="R78" s="2023"/>
      <c r="S78" s="2023"/>
      <c r="T78" s="2023"/>
      <c r="U78" s="2023"/>
      <c r="W78" s="2226"/>
      <c r="X78" s="2226"/>
      <c r="Y78" s="2226"/>
      <c r="AA78" s="57"/>
    </row>
    <row r="79" spans="2:27" ht="76" customHeight="1">
      <c r="B79" s="25"/>
      <c r="C79" s="16"/>
      <c r="D79" s="272"/>
      <c r="E79" s="16"/>
      <c r="F79" s="67"/>
      <c r="G79" s="67"/>
      <c r="H79" s="1870"/>
      <c r="J79" s="604"/>
      <c r="K79" s="2021"/>
      <c r="L79" s="604"/>
      <c r="M79" s="2022"/>
      <c r="N79" s="67"/>
      <c r="O79" s="1517"/>
      <c r="R79" s="2023"/>
      <c r="S79" s="2023"/>
      <c r="T79" s="2023"/>
      <c r="U79" s="2023"/>
      <c r="W79" s="2226"/>
      <c r="X79" s="2226"/>
      <c r="Y79" s="2226"/>
      <c r="AA79" s="57"/>
    </row>
    <row r="80" spans="2:27" ht="76" customHeight="1">
      <c r="B80" s="25"/>
      <c r="C80" s="16"/>
      <c r="D80" s="272"/>
      <c r="E80" s="16"/>
      <c r="F80" s="67"/>
      <c r="G80" s="67"/>
      <c r="H80" s="1870"/>
      <c r="J80" s="604"/>
      <c r="K80" s="2021"/>
      <c r="L80" s="604"/>
      <c r="M80" s="2022"/>
      <c r="N80" s="67"/>
      <c r="O80" s="1517"/>
      <c r="R80" s="2023"/>
      <c r="S80" s="2023"/>
      <c r="T80" s="2023"/>
      <c r="U80" s="2023"/>
      <c r="W80" s="2226"/>
      <c r="X80" s="2226"/>
      <c r="Y80" s="2226"/>
      <c r="AA80" s="57"/>
    </row>
    <row r="81" spans="2:27" ht="76" customHeight="1">
      <c r="B81" s="25"/>
      <c r="C81" s="16"/>
      <c r="D81" s="272"/>
      <c r="E81" s="16"/>
      <c r="F81" s="67"/>
      <c r="G81" s="67"/>
      <c r="H81" s="1870"/>
      <c r="J81" s="604"/>
      <c r="K81" s="2021"/>
      <c r="L81" s="604"/>
      <c r="M81" s="2022"/>
      <c r="N81" s="67"/>
      <c r="O81" s="1517"/>
      <c r="R81" s="2023"/>
      <c r="S81" s="2023"/>
      <c r="T81" s="2023"/>
      <c r="U81" s="2023"/>
      <c r="W81" s="2226"/>
      <c r="X81" s="2226"/>
      <c r="Y81" s="2226"/>
      <c r="AA81" s="57"/>
    </row>
    <row r="82" spans="2:27" ht="76" customHeight="1">
      <c r="B82" s="25"/>
      <c r="C82" s="16"/>
      <c r="D82" s="272"/>
      <c r="E82" s="16"/>
      <c r="F82" s="67"/>
      <c r="G82" s="67"/>
      <c r="H82" s="1870"/>
      <c r="J82" s="604"/>
      <c r="K82" s="2021"/>
      <c r="L82" s="604"/>
      <c r="M82" s="2022"/>
      <c r="N82" s="67"/>
      <c r="O82" s="1517"/>
      <c r="R82" s="2023"/>
      <c r="S82" s="2023"/>
      <c r="T82" s="2023"/>
      <c r="U82" s="2023"/>
      <c r="W82" s="2226"/>
      <c r="X82" s="2226"/>
      <c r="Y82" s="2226"/>
      <c r="AA82" s="57"/>
    </row>
    <row r="83" spans="2:27" ht="76" customHeight="1">
      <c r="B83" s="25"/>
      <c r="C83" s="16"/>
      <c r="D83" s="272"/>
      <c r="E83" s="16"/>
      <c r="F83" s="67"/>
      <c r="G83" s="67"/>
      <c r="H83" s="1870"/>
      <c r="J83" s="604"/>
      <c r="K83" s="2021"/>
      <c r="L83" s="604"/>
      <c r="M83" s="2022"/>
      <c r="N83" s="67"/>
      <c r="O83" s="1517"/>
      <c r="R83" s="2023"/>
      <c r="S83" s="2023"/>
      <c r="T83" s="2023"/>
      <c r="U83" s="2023"/>
      <c r="W83" s="2226"/>
      <c r="X83" s="2226"/>
      <c r="Y83" s="2226"/>
      <c r="AA83" s="57"/>
    </row>
    <row r="84" spans="2:27" ht="76" customHeight="1">
      <c r="B84" s="25"/>
      <c r="C84" s="16"/>
      <c r="D84" s="272"/>
      <c r="E84" s="16"/>
      <c r="F84" s="67"/>
      <c r="G84" s="67"/>
      <c r="H84" s="1870"/>
      <c r="J84" s="604"/>
      <c r="K84" s="2021"/>
      <c r="L84" s="604"/>
      <c r="M84" s="2022"/>
      <c r="N84" s="67"/>
      <c r="O84" s="1517"/>
      <c r="R84" s="2023"/>
      <c r="S84" s="2023"/>
      <c r="T84" s="2023"/>
      <c r="U84" s="2023"/>
      <c r="W84" s="2226"/>
      <c r="X84" s="2226"/>
      <c r="Y84" s="2226"/>
      <c r="AA84" s="57"/>
    </row>
    <row r="85" spans="2:27" ht="76" customHeight="1">
      <c r="B85" s="25"/>
      <c r="C85" s="16"/>
      <c r="D85" s="272"/>
      <c r="E85" s="16"/>
      <c r="F85" s="67"/>
      <c r="G85" s="67"/>
      <c r="H85" s="1870"/>
      <c r="J85" s="604"/>
      <c r="K85" s="2021"/>
      <c r="L85" s="604"/>
      <c r="M85" s="2022"/>
      <c r="N85" s="67"/>
      <c r="O85" s="1517"/>
      <c r="R85" s="2023"/>
      <c r="S85" s="2023"/>
      <c r="T85" s="2023"/>
      <c r="U85" s="2023"/>
      <c r="W85" s="2226"/>
      <c r="X85" s="2226"/>
      <c r="Y85" s="2226"/>
      <c r="AA85" s="57"/>
    </row>
    <row r="86" spans="2:27" ht="76" customHeight="1">
      <c r="B86" s="25"/>
      <c r="C86" s="16"/>
      <c r="D86" s="272"/>
      <c r="E86" s="16"/>
      <c r="F86" s="67"/>
      <c r="G86" s="67"/>
      <c r="H86" s="1870"/>
      <c r="J86" s="604"/>
      <c r="K86" s="2021"/>
      <c r="L86" s="604"/>
      <c r="M86" s="2022"/>
      <c r="N86" s="67"/>
      <c r="O86" s="1517"/>
      <c r="R86" s="2023"/>
      <c r="S86" s="2023"/>
      <c r="T86" s="2023"/>
      <c r="U86" s="2023"/>
      <c r="W86" s="2226"/>
      <c r="X86" s="2226"/>
      <c r="Y86" s="2226"/>
      <c r="AA86" s="57"/>
    </row>
    <row r="87" spans="2:27" ht="76" customHeight="1">
      <c r="B87" s="25"/>
      <c r="C87" s="16"/>
      <c r="D87" s="272"/>
      <c r="E87" s="16"/>
      <c r="F87" s="67"/>
      <c r="G87" s="67"/>
      <c r="H87" s="1870"/>
      <c r="J87" s="604"/>
      <c r="K87" s="2021"/>
      <c r="L87" s="604"/>
      <c r="M87" s="2022"/>
      <c r="N87" s="67"/>
      <c r="O87" s="1517"/>
      <c r="R87" s="2023"/>
      <c r="S87" s="2023"/>
      <c r="T87" s="2023"/>
      <c r="U87" s="2023"/>
      <c r="W87" s="2226"/>
      <c r="X87" s="2226"/>
      <c r="Y87" s="2226"/>
      <c r="AA87" s="57"/>
    </row>
    <row r="88" spans="2:27" ht="76" customHeight="1">
      <c r="B88" s="25"/>
      <c r="C88" s="16"/>
      <c r="D88" s="272"/>
      <c r="E88" s="16"/>
      <c r="F88" s="67"/>
      <c r="G88" s="67"/>
      <c r="H88" s="1870"/>
      <c r="J88" s="604"/>
      <c r="K88" s="2021"/>
      <c r="L88" s="604"/>
      <c r="M88" s="2022"/>
      <c r="N88" s="67"/>
      <c r="O88" s="1517"/>
      <c r="R88" s="2023"/>
      <c r="S88" s="2023"/>
      <c r="T88" s="2023"/>
      <c r="U88" s="2023"/>
      <c r="W88" s="2226"/>
      <c r="X88" s="2226"/>
      <c r="Y88" s="2226"/>
      <c r="AA88" s="57"/>
    </row>
    <row r="89" spans="2:27" ht="76" customHeight="1">
      <c r="B89" s="25"/>
      <c r="C89" s="16"/>
      <c r="D89" s="272"/>
      <c r="E89" s="16"/>
      <c r="F89" s="67"/>
      <c r="G89" s="67"/>
      <c r="H89" s="1870"/>
      <c r="J89" s="604"/>
      <c r="K89" s="2021"/>
      <c r="L89" s="604"/>
      <c r="M89" s="2022"/>
      <c r="N89" s="67"/>
      <c r="O89" s="1517"/>
      <c r="R89" s="2023"/>
      <c r="S89" s="2023"/>
      <c r="T89" s="2023"/>
      <c r="U89" s="2023"/>
      <c r="W89" s="2226"/>
      <c r="X89" s="2226"/>
      <c r="Y89" s="2226"/>
      <c r="AA89" s="57"/>
    </row>
    <row r="90" spans="2:27" ht="76" customHeight="1">
      <c r="B90" s="25"/>
      <c r="C90" s="16"/>
      <c r="D90" s="272"/>
      <c r="E90" s="16"/>
      <c r="F90" s="67"/>
      <c r="G90" s="67"/>
      <c r="H90" s="1870"/>
      <c r="J90" s="604"/>
      <c r="K90" s="2021"/>
      <c r="L90" s="604"/>
      <c r="M90" s="2022"/>
      <c r="N90" s="67"/>
      <c r="O90" s="1517"/>
      <c r="R90" s="2023"/>
      <c r="S90" s="2023"/>
      <c r="T90" s="2023"/>
      <c r="U90" s="2023"/>
      <c r="W90" s="2226"/>
      <c r="X90" s="2226"/>
      <c r="Y90" s="2226"/>
      <c r="AA90" s="57"/>
    </row>
    <row r="91" spans="2:27" ht="76" customHeight="1">
      <c r="B91" s="25"/>
      <c r="C91" s="16"/>
      <c r="D91" s="272"/>
      <c r="E91" s="16"/>
      <c r="F91" s="67"/>
      <c r="G91" s="67"/>
      <c r="H91" s="1870"/>
      <c r="J91" s="604"/>
      <c r="K91" s="2021"/>
      <c r="L91" s="604"/>
      <c r="M91" s="2022"/>
      <c r="N91" s="67"/>
      <c r="O91" s="1517"/>
      <c r="R91" s="2023"/>
      <c r="S91" s="2023"/>
      <c r="T91" s="2023"/>
      <c r="U91" s="2023"/>
      <c r="W91" s="2226"/>
      <c r="X91" s="2226"/>
      <c r="Y91" s="2226"/>
      <c r="AA91" s="57"/>
    </row>
    <row r="92" spans="2:27" ht="76" customHeight="1">
      <c r="B92" s="25"/>
      <c r="C92" s="16"/>
      <c r="D92" s="272"/>
      <c r="E92" s="16"/>
      <c r="F92" s="67"/>
      <c r="G92" s="67"/>
      <c r="H92" s="1870"/>
      <c r="J92" s="604"/>
      <c r="K92" s="2021"/>
      <c r="L92" s="604"/>
      <c r="M92" s="2022"/>
      <c r="N92" s="67"/>
      <c r="O92" s="1517"/>
      <c r="R92" s="2023"/>
      <c r="S92" s="2023"/>
      <c r="T92" s="2023"/>
      <c r="U92" s="2023"/>
      <c r="W92" s="2226"/>
      <c r="X92" s="2226"/>
      <c r="Y92" s="2226"/>
      <c r="AA92" s="57"/>
    </row>
    <row r="93" spans="2:27" ht="76" customHeight="1">
      <c r="B93" s="25"/>
      <c r="C93" s="16"/>
      <c r="D93" s="272"/>
      <c r="E93" s="16"/>
      <c r="F93" s="67"/>
      <c r="G93" s="67"/>
      <c r="H93" s="1870"/>
      <c r="J93" s="604"/>
      <c r="K93" s="2021"/>
      <c r="L93" s="604"/>
      <c r="M93" s="2022"/>
      <c r="N93" s="67"/>
      <c r="O93" s="1517"/>
      <c r="R93" s="2023"/>
      <c r="S93" s="2023"/>
      <c r="T93" s="2023"/>
      <c r="U93" s="2023"/>
      <c r="W93" s="2226"/>
      <c r="X93" s="2226"/>
      <c r="Y93" s="2226"/>
      <c r="AA93" s="57"/>
    </row>
    <row r="94" spans="2:27" ht="76" customHeight="1">
      <c r="B94" s="25"/>
      <c r="C94" s="16"/>
      <c r="D94" s="272"/>
      <c r="E94" s="16"/>
      <c r="F94" s="67"/>
      <c r="G94" s="67"/>
      <c r="H94" s="1870"/>
      <c r="J94" s="604"/>
      <c r="K94" s="2021"/>
      <c r="L94" s="604"/>
      <c r="M94" s="2022"/>
      <c r="N94" s="67"/>
      <c r="O94" s="1517"/>
      <c r="R94" s="2023"/>
      <c r="S94" s="2023"/>
      <c r="T94" s="2023"/>
      <c r="U94" s="2023"/>
      <c r="W94" s="2226"/>
      <c r="X94" s="2226"/>
      <c r="Y94" s="2226"/>
      <c r="AA94" s="57"/>
    </row>
    <row r="95" spans="2:27" ht="76" customHeight="1">
      <c r="B95" s="25"/>
      <c r="C95" s="16"/>
      <c r="D95" s="272"/>
      <c r="E95" s="16"/>
      <c r="F95" s="67"/>
      <c r="G95" s="67"/>
      <c r="H95" s="1870"/>
      <c r="J95" s="604"/>
      <c r="K95" s="2021"/>
      <c r="L95" s="604"/>
      <c r="M95" s="2022"/>
      <c r="N95" s="67"/>
      <c r="O95" s="1517"/>
      <c r="R95" s="2023"/>
      <c r="S95" s="2023"/>
      <c r="T95" s="2023"/>
      <c r="U95" s="2023"/>
      <c r="W95" s="2226"/>
      <c r="X95" s="2226"/>
      <c r="Y95" s="2226"/>
      <c r="AA95" s="57"/>
    </row>
    <row r="96" spans="2:27" ht="76" customHeight="1">
      <c r="B96" s="25"/>
      <c r="C96" s="16"/>
      <c r="D96" s="272"/>
      <c r="E96" s="16"/>
      <c r="F96" s="67"/>
      <c r="G96" s="67"/>
      <c r="H96" s="1870"/>
      <c r="J96" s="604"/>
      <c r="K96" s="2021"/>
      <c r="L96" s="604"/>
      <c r="M96" s="2022"/>
      <c r="N96" s="67"/>
      <c r="O96" s="1517"/>
      <c r="R96" s="2023"/>
      <c r="S96" s="2023"/>
      <c r="T96" s="2023"/>
      <c r="U96" s="2023"/>
      <c r="W96" s="2226"/>
      <c r="X96" s="2226"/>
      <c r="Y96" s="2226"/>
      <c r="AA96" s="57"/>
    </row>
    <row r="97" spans="2:28" ht="76" customHeight="1">
      <c r="B97" s="25"/>
      <c r="C97" s="16"/>
      <c r="D97" s="272"/>
      <c r="E97" s="16"/>
      <c r="F97" s="67"/>
      <c r="G97" s="67"/>
      <c r="H97" s="1870"/>
      <c r="J97" s="604"/>
      <c r="K97" s="2021"/>
      <c r="L97" s="604"/>
      <c r="M97" s="2022"/>
      <c r="N97" s="67"/>
      <c r="O97" s="1517"/>
      <c r="R97" s="2023"/>
      <c r="S97" s="2023"/>
      <c r="T97" s="2023"/>
      <c r="U97" s="2023"/>
      <c r="W97" s="2226"/>
      <c r="X97" s="2226"/>
      <c r="Y97" s="2226"/>
      <c r="AA97" s="57"/>
    </row>
    <row r="98" spans="2:28" ht="76" customHeight="1">
      <c r="B98" s="25"/>
      <c r="C98" s="16"/>
      <c r="D98" s="272"/>
      <c r="E98" s="16"/>
      <c r="F98" s="67"/>
      <c r="G98" s="67"/>
      <c r="H98" s="1870"/>
      <c r="J98" s="604"/>
      <c r="K98" s="2021"/>
      <c r="L98" s="604"/>
      <c r="M98" s="2022"/>
      <c r="N98" s="67"/>
      <c r="O98" s="1517"/>
      <c r="R98" s="2023"/>
      <c r="S98" s="2023"/>
      <c r="T98" s="2023"/>
      <c r="U98" s="2023"/>
      <c r="W98" s="2226"/>
      <c r="X98" s="2226"/>
      <c r="Y98" s="2226"/>
      <c r="AA98" s="57"/>
    </row>
    <row r="99" spans="2:28" ht="76" customHeight="1">
      <c r="B99" s="25"/>
      <c r="C99" s="16"/>
      <c r="D99" s="272"/>
      <c r="E99" s="16"/>
      <c r="F99" s="67"/>
      <c r="G99" s="67"/>
      <c r="H99" s="1870"/>
      <c r="J99" s="604"/>
      <c r="K99" s="2021"/>
      <c r="L99" s="604"/>
      <c r="M99" s="2022"/>
      <c r="N99" s="67"/>
      <c r="O99" s="1517"/>
      <c r="R99" s="2023"/>
      <c r="S99" s="2023"/>
      <c r="T99" s="2023"/>
      <c r="U99" s="2023"/>
      <c r="W99" s="2226"/>
      <c r="X99" s="2226"/>
      <c r="Y99" s="2226"/>
      <c r="AA99" s="57"/>
    </row>
    <row r="100" spans="2:28" ht="76" customHeight="1">
      <c r="B100" s="25"/>
      <c r="C100" s="16"/>
      <c r="D100" s="272"/>
      <c r="E100" s="16"/>
      <c r="F100" s="67"/>
      <c r="G100" s="67"/>
      <c r="H100" s="1870"/>
      <c r="J100" s="604"/>
      <c r="K100" s="2021"/>
      <c r="L100" s="604"/>
      <c r="M100" s="2022"/>
      <c r="N100" s="67"/>
      <c r="O100" s="1517"/>
      <c r="R100" s="2023"/>
      <c r="S100" s="2023"/>
      <c r="T100" s="2023"/>
      <c r="U100" s="2023"/>
      <c r="W100" s="2226"/>
      <c r="X100" s="2226"/>
      <c r="Y100" s="2226"/>
      <c r="AA100" s="57"/>
    </row>
    <row r="101" spans="2:28" ht="76" customHeight="1">
      <c r="B101" s="25"/>
      <c r="C101" s="16"/>
      <c r="D101" s="272"/>
      <c r="E101" s="16"/>
      <c r="F101" s="67"/>
      <c r="G101" s="67"/>
      <c r="H101" s="1870"/>
      <c r="J101" s="604"/>
      <c r="K101" s="2021"/>
      <c r="L101" s="604"/>
      <c r="M101" s="2022"/>
      <c r="N101" s="67"/>
      <c r="O101" s="1517"/>
      <c r="R101" s="2023"/>
      <c r="S101" s="2023"/>
      <c r="T101" s="2023"/>
      <c r="U101" s="2023"/>
      <c r="W101" s="2226"/>
      <c r="X101" s="2226"/>
      <c r="Y101" s="2226"/>
      <c r="AA101" s="57"/>
    </row>
    <row r="102" spans="2:28" ht="76" customHeight="1">
      <c r="B102" s="25"/>
      <c r="C102" s="16"/>
      <c r="D102" s="272"/>
      <c r="E102" s="16"/>
      <c r="F102" s="67"/>
      <c r="G102" s="67"/>
      <c r="H102" s="1870"/>
      <c r="J102" s="604"/>
      <c r="K102" s="2021"/>
      <c r="L102" s="604"/>
      <c r="M102" s="2022"/>
      <c r="N102" s="67"/>
      <c r="O102" s="1517"/>
      <c r="R102" s="2023"/>
      <c r="S102" s="2023"/>
      <c r="T102" s="2023"/>
      <c r="U102" s="2023"/>
      <c r="W102" s="2226"/>
      <c r="X102" s="2226"/>
      <c r="Y102" s="2226"/>
      <c r="AA102" s="57"/>
    </row>
    <row r="103" spans="2:28" ht="76" customHeight="1">
      <c r="B103" s="25"/>
      <c r="C103" s="16"/>
      <c r="D103" s="272"/>
      <c r="E103" s="16"/>
      <c r="F103" s="67"/>
      <c r="G103" s="67"/>
      <c r="H103" s="1870"/>
      <c r="J103" s="604"/>
      <c r="K103" s="2021"/>
      <c r="L103" s="604"/>
      <c r="M103" s="2022"/>
      <c r="N103" s="67"/>
      <c r="O103" s="1517"/>
      <c r="R103" s="2023"/>
      <c r="S103" s="2023"/>
      <c r="T103" s="2023"/>
      <c r="U103" s="2023"/>
      <c r="W103" s="2226"/>
      <c r="X103" s="2226"/>
      <c r="Y103" s="2226"/>
      <c r="AA103" s="57"/>
    </row>
    <row r="104" spans="2:28" ht="76" customHeight="1">
      <c r="B104" s="25"/>
      <c r="C104" s="16"/>
      <c r="D104" s="272"/>
      <c r="E104" s="16"/>
      <c r="F104" s="67"/>
      <c r="G104" s="67"/>
      <c r="H104" s="1870"/>
      <c r="J104" s="604"/>
      <c r="K104" s="2021"/>
      <c r="L104" s="604"/>
      <c r="M104" s="2022"/>
      <c r="N104" s="67"/>
      <c r="O104" s="1517"/>
      <c r="R104" s="2023"/>
      <c r="S104" s="2023"/>
      <c r="T104" s="2023"/>
      <c r="U104" s="2023"/>
      <c r="W104" s="2159"/>
      <c r="X104" s="2159"/>
      <c r="Y104" s="2159"/>
      <c r="AA104" s="57"/>
    </row>
    <row r="105" spans="2:28" ht="76" customHeight="1">
      <c r="B105" s="25"/>
      <c r="C105" s="16"/>
      <c r="D105" s="272"/>
      <c r="E105" s="16"/>
      <c r="F105" s="67"/>
      <c r="G105" s="67"/>
      <c r="H105" s="1870"/>
      <c r="J105" s="604"/>
      <c r="K105" s="2021"/>
      <c r="L105" s="604"/>
      <c r="M105" s="2022"/>
      <c r="N105" s="67"/>
      <c r="O105" s="1517"/>
      <c r="R105" s="2023"/>
      <c r="S105" s="2023"/>
      <c r="T105" s="2023"/>
      <c r="U105" s="2023"/>
      <c r="W105" s="2159"/>
      <c r="X105" s="2159"/>
      <c r="Y105" s="2159"/>
      <c r="AA105" s="57"/>
    </row>
    <row r="106" spans="2:28" ht="76" customHeight="1">
      <c r="B106" s="25"/>
      <c r="C106" s="16"/>
      <c r="D106" s="272"/>
      <c r="E106" s="16"/>
      <c r="F106" s="67"/>
      <c r="G106" s="67"/>
      <c r="H106" s="1870"/>
      <c r="J106" s="604"/>
      <c r="K106" s="2021"/>
      <c r="L106" s="604"/>
      <c r="M106" s="2022"/>
      <c r="N106" s="67"/>
      <c r="O106" s="1517"/>
      <c r="R106" s="2023"/>
      <c r="S106" s="2023"/>
      <c r="T106" s="2023"/>
      <c r="U106" s="2023"/>
      <c r="W106" s="2159"/>
      <c r="X106" s="2159"/>
      <c r="Y106" s="2159"/>
      <c r="AA106" s="57"/>
    </row>
    <row r="107" spans="2:28" ht="65" customHeight="1">
      <c r="B107" s="25"/>
      <c r="C107" s="16"/>
      <c r="D107" s="272"/>
      <c r="E107" s="16"/>
      <c r="F107" s="67"/>
      <c r="G107" s="67"/>
      <c r="H107" s="1870"/>
      <c r="J107" s="604"/>
      <c r="K107" s="2021"/>
      <c r="L107" s="604"/>
      <c r="M107" s="2022"/>
      <c r="N107" s="67"/>
      <c r="O107" s="1517"/>
      <c r="R107" s="2023"/>
      <c r="S107" s="2023"/>
      <c r="T107" s="2023"/>
      <c r="U107" s="2023"/>
      <c r="V107" s="1446"/>
      <c r="W107" s="1446"/>
      <c r="X107" s="1446"/>
      <c r="Y107" s="1446"/>
    </row>
    <row r="108" spans="2:28" ht="65" customHeight="1">
      <c r="B108" s="25"/>
      <c r="C108" s="16"/>
      <c r="D108" s="272"/>
      <c r="E108" s="16"/>
      <c r="F108" s="67"/>
      <c r="G108" s="67"/>
      <c r="H108" s="1870"/>
      <c r="J108" s="604"/>
      <c r="K108" s="2021"/>
      <c r="L108" s="604"/>
      <c r="M108" s="2022"/>
      <c r="N108" s="67"/>
      <c r="O108" s="1517"/>
      <c r="R108" s="2023"/>
      <c r="S108" s="2023"/>
      <c r="T108" s="2023"/>
      <c r="U108" s="2023"/>
    </row>
    <row r="109" spans="2:28" ht="65" customHeight="1">
      <c r="B109" s="25"/>
      <c r="C109" s="16"/>
      <c r="D109" s="272"/>
      <c r="E109" s="16"/>
      <c r="F109" s="67"/>
      <c r="G109" s="67"/>
      <c r="H109" s="1870"/>
      <c r="J109" s="604"/>
      <c r="K109" s="2021"/>
      <c r="L109" s="604"/>
      <c r="M109" s="2022"/>
      <c r="N109" s="67"/>
      <c r="O109" s="1517"/>
      <c r="R109" s="2023"/>
      <c r="S109" s="2023"/>
      <c r="T109" s="2023"/>
      <c r="U109" s="2023"/>
      <c r="V109" s="34" t="s">
        <v>1900</v>
      </c>
    </row>
    <row r="110" spans="2:28" ht="111" customHeight="1">
      <c r="B110" s="25"/>
      <c r="C110" s="16"/>
      <c r="D110" s="272"/>
      <c r="E110" s="16"/>
      <c r="F110" s="67"/>
      <c r="G110" s="67"/>
      <c r="H110" s="1870"/>
      <c r="J110" s="604"/>
      <c r="K110" s="2021"/>
      <c r="L110" s="604"/>
      <c r="M110" s="2022"/>
      <c r="N110" s="67"/>
      <c r="O110" s="1517"/>
      <c r="R110" s="2023"/>
      <c r="S110" s="2023"/>
      <c r="T110" s="2023"/>
      <c r="U110" s="2023"/>
      <c r="V110" s="2569" t="s">
        <v>2038</v>
      </c>
      <c r="W110" s="2526"/>
      <c r="X110" s="2302"/>
      <c r="Y110" s="2302"/>
    </row>
    <row r="111" spans="2:28" ht="29" customHeight="1">
      <c r="B111" s="272"/>
      <c r="C111" s="16"/>
      <c r="D111" s="272"/>
      <c r="E111" s="16"/>
      <c r="F111" s="16"/>
      <c r="G111" s="16"/>
      <c r="H111" s="1517"/>
      <c r="J111" s="8"/>
      <c r="K111" s="272"/>
      <c r="L111" s="8"/>
      <c r="M111" s="8"/>
      <c r="N111" s="8"/>
      <c r="O111" s="1870"/>
      <c r="V111" s="2086"/>
      <c r="W111" s="2087"/>
      <c r="X111" s="2055"/>
      <c r="Y111" s="2055"/>
    </row>
    <row r="112" spans="2:28" ht="29" customHeight="1">
      <c r="B112" s="272"/>
      <c r="C112" s="16"/>
      <c r="D112" s="272"/>
      <c r="E112" s="16"/>
      <c r="F112" s="16"/>
      <c r="G112" s="16"/>
      <c r="H112" s="1517"/>
      <c r="J112" s="8"/>
      <c r="K112" s="272"/>
      <c r="L112" s="8"/>
      <c r="M112" s="8"/>
      <c r="N112" s="8"/>
      <c r="O112" s="1870"/>
      <c r="R112" s="1924"/>
      <c r="S112" s="1924"/>
      <c r="T112" s="1924"/>
      <c r="U112" s="1924"/>
      <c r="V112" s="2088" t="s">
        <v>2039</v>
      </c>
      <c r="W112" s="2085" t="s">
        <v>2040</v>
      </c>
      <c r="X112" s="2303"/>
      <c r="Y112" s="2303"/>
      <c r="AB112" s="288" t="s">
        <v>2041</v>
      </c>
    </row>
    <row r="113" spans="2:30" ht="29" customHeight="1">
      <c r="C113" s="16"/>
      <c r="D113" s="272"/>
      <c r="E113" s="16"/>
      <c r="F113" s="16"/>
      <c r="G113" s="16"/>
      <c r="H113" s="1517"/>
      <c r="J113" s="8"/>
      <c r="K113" s="272"/>
      <c r="L113" s="8"/>
      <c r="M113" s="8"/>
      <c r="N113" s="8"/>
      <c r="O113" s="1870"/>
      <c r="V113" s="2088"/>
      <c r="W113" s="2097"/>
      <c r="X113" s="2304"/>
      <c r="Y113" s="2304"/>
      <c r="AC113" t="s">
        <v>44</v>
      </c>
      <c r="AD113" t="s">
        <v>42</v>
      </c>
    </row>
    <row r="114" spans="2:30" ht="35" customHeight="1">
      <c r="B114" s="272"/>
      <c r="C114" s="16"/>
      <c r="D114" s="272"/>
      <c r="E114" s="16"/>
      <c r="F114" s="16"/>
      <c r="G114" s="16"/>
      <c r="H114" s="1517"/>
      <c r="J114" s="8"/>
      <c r="K114" s="272"/>
      <c r="L114" s="8"/>
      <c r="M114" s="8"/>
      <c r="N114" s="8"/>
      <c r="O114" s="1870"/>
      <c r="R114" s="8" t="s">
        <v>2042</v>
      </c>
      <c r="S114" s="8"/>
      <c r="T114" s="8"/>
      <c r="U114" s="8"/>
      <c r="V114" s="2029" t="s">
        <v>2043</v>
      </c>
      <c r="W114" s="2089" t="s">
        <v>2044</v>
      </c>
      <c r="X114" s="16"/>
      <c r="Y114" s="16"/>
      <c r="AB114" t="str">
        <f>B35</f>
        <v xml:space="preserve">Évite de questionner l’enfant à son retour de garde  </v>
      </c>
      <c r="AC114" s="55">
        <f>F35</f>
        <v>0</v>
      </c>
      <c r="AD114" s="55">
        <f>M35</f>
        <v>0</v>
      </c>
    </row>
    <row r="115" spans="2:30" ht="55" customHeight="1" thickBot="1">
      <c r="B115" s="1133"/>
      <c r="C115" s="609"/>
      <c r="D115" s="1133"/>
      <c r="E115" s="609"/>
      <c r="F115" s="609"/>
      <c r="G115" s="16" t="s">
        <v>2045</v>
      </c>
      <c r="H115" s="2019"/>
      <c r="I115" s="294"/>
      <c r="J115" s="1180"/>
      <c r="K115" s="1133"/>
      <c r="L115" s="1180"/>
      <c r="M115" s="1180"/>
      <c r="N115" s="16" t="s">
        <v>2045</v>
      </c>
      <c r="O115" s="2020"/>
      <c r="V115" s="2029"/>
      <c r="W115" s="2089"/>
      <c r="X115" s="16"/>
      <c r="Y115" s="16"/>
      <c r="AB115" t="str">
        <f>B23</f>
        <v>Salue l’autre parent lorsqu’il ou elle le croise</v>
      </c>
      <c r="AC115" s="55">
        <f>F23</f>
        <v>0</v>
      </c>
      <c r="AD115" s="55">
        <f>M23</f>
        <v>0</v>
      </c>
    </row>
    <row r="116" spans="2:30" ht="13" customHeight="1">
      <c r="B116" s="25"/>
      <c r="C116" s="1251"/>
      <c r="D116" s="1656"/>
      <c r="E116" s="1886"/>
      <c r="F116" s="1886"/>
      <c r="G116" s="1886"/>
      <c r="H116" s="1868"/>
      <c r="I116" s="599"/>
      <c r="J116" s="1251"/>
      <c r="K116" s="1656"/>
      <c r="L116" s="1886"/>
      <c r="M116" s="1886"/>
      <c r="N116" s="1886"/>
      <c r="O116" s="1868"/>
      <c r="Q116" s="2224"/>
      <c r="R116" s="8"/>
      <c r="S116" s="8"/>
      <c r="T116" s="8"/>
      <c r="U116" s="8"/>
      <c r="V116" s="2103"/>
      <c r="W116" s="2102"/>
      <c r="AB116" t="str">
        <f>B26</f>
        <v xml:space="preserve">Évite de faire des reproches au coparent </v>
      </c>
      <c r="AC116" s="55">
        <f>F26</f>
        <v>0</v>
      </c>
      <c r="AD116" s="55">
        <f>M26</f>
        <v>0</v>
      </c>
    </row>
    <row r="117" spans="2:30">
      <c r="B117" s="25"/>
      <c r="D117" s="291"/>
      <c r="E117" s="5"/>
      <c r="H117" s="751"/>
      <c r="K117" s="291"/>
      <c r="L117" s="5"/>
      <c r="O117" s="751"/>
      <c r="Q117" s="2224"/>
      <c r="R117" s="8"/>
      <c r="S117" s="8"/>
      <c r="T117" s="8"/>
      <c r="U117" s="8"/>
      <c r="V117" s="2103"/>
      <c r="W117" s="2102"/>
      <c r="AB117" t="str">
        <f>B33</f>
        <v xml:space="preserve">Protège l'enfant du rôle de messager </v>
      </c>
      <c r="AC117" s="55">
        <f>F33</f>
        <v>0</v>
      </c>
      <c r="AD117" s="55">
        <f>M33</f>
        <v>0</v>
      </c>
    </row>
    <row r="119" spans="2:30" ht="35" customHeight="1">
      <c r="Q119" s="1806"/>
      <c r="V119" s="2106"/>
      <c r="W119" s="2107"/>
      <c r="X119" s="1446"/>
      <c r="Y119" s="1446"/>
      <c r="AB119" t="str">
        <f>B32</f>
        <v>Accepte que les objets voyagent d’une maison à l’autre</v>
      </c>
      <c r="AC119" s="55">
        <f>F32</f>
        <v>0</v>
      </c>
      <c r="AD119" s="55">
        <f>M32</f>
        <v>0</v>
      </c>
    </row>
    <row r="120" spans="2:30">
      <c r="B120" s="25"/>
      <c r="C120" s="16"/>
      <c r="D120" s="272"/>
      <c r="E120" s="16"/>
      <c r="F120" s="16"/>
      <c r="G120" s="16"/>
      <c r="H120" s="1517"/>
      <c r="K120" s="291"/>
      <c r="L120" s="5"/>
      <c r="O120" s="751"/>
      <c r="Q120" s="2222"/>
      <c r="R120" s="8"/>
      <c r="S120" s="8"/>
      <c r="T120" s="8"/>
      <c r="U120" s="8"/>
      <c r="V120" s="2103"/>
      <c r="W120" s="2102"/>
      <c r="AC120" s="55"/>
      <c r="AD120" s="55"/>
    </row>
    <row r="121" spans="2:30">
      <c r="B121" s="25"/>
      <c r="C121" s="16"/>
      <c r="D121" s="272"/>
      <c r="E121" s="16"/>
      <c r="F121" s="16"/>
      <c r="G121" s="16"/>
      <c r="H121" s="1517"/>
      <c r="J121" s="604"/>
      <c r="K121" s="272"/>
      <c r="L121" s="16"/>
      <c r="M121" s="16"/>
      <c r="N121" s="16"/>
      <c r="O121" s="1517"/>
      <c r="Q121" s="2222"/>
      <c r="R121" s="8"/>
      <c r="S121" s="8"/>
      <c r="T121" s="8"/>
      <c r="U121" s="8"/>
      <c r="V121" s="2103"/>
      <c r="W121" s="2102"/>
      <c r="AC121" s="55"/>
      <c r="AD121" s="55"/>
    </row>
    <row r="122" spans="2:30" ht="31" customHeight="1">
      <c r="B122" s="25"/>
      <c r="C122" s="16"/>
      <c r="D122" s="272"/>
      <c r="E122" s="16"/>
      <c r="F122" s="16"/>
      <c r="G122" s="16"/>
      <c r="H122" s="1517"/>
      <c r="J122" s="8"/>
      <c r="K122" s="272"/>
      <c r="L122" s="16"/>
      <c r="M122" s="16"/>
      <c r="N122" s="16"/>
      <c r="O122" s="1870"/>
      <c r="Q122" s="1806"/>
      <c r="R122" s="8"/>
      <c r="S122" s="8"/>
      <c r="T122" s="8"/>
      <c r="U122" s="8"/>
      <c r="V122" s="2106"/>
      <c r="W122" s="2107"/>
      <c r="X122" s="1446"/>
      <c r="Y122" s="1446"/>
      <c r="AC122" s="55"/>
      <c r="AD122" s="55"/>
    </row>
    <row r="123" spans="2:30">
      <c r="B123" s="272"/>
      <c r="C123" s="604"/>
      <c r="D123" s="272"/>
      <c r="E123" s="16"/>
      <c r="F123" s="16"/>
      <c r="G123" s="16"/>
      <c r="H123" s="1517"/>
      <c r="J123" s="604"/>
      <c r="K123" s="272"/>
      <c r="L123" s="16"/>
      <c r="M123" s="16"/>
      <c r="N123" s="16"/>
      <c r="O123" s="1517"/>
      <c r="Q123" s="2222"/>
      <c r="R123" s="8"/>
      <c r="S123" s="8"/>
      <c r="T123" s="8"/>
      <c r="U123" s="8"/>
      <c r="V123" s="2103"/>
      <c r="W123" s="2102"/>
      <c r="AC123" s="55"/>
      <c r="AD123" s="55"/>
    </row>
    <row r="124" spans="2:30" ht="34" customHeight="1">
      <c r="J124" s="604"/>
      <c r="K124" s="272"/>
      <c r="L124" s="272"/>
      <c r="M124" s="16"/>
      <c r="N124" s="16"/>
      <c r="O124" s="598"/>
      <c r="Q124" s="1806"/>
      <c r="V124" s="2106"/>
      <c r="W124" s="2107"/>
      <c r="X124" s="1446"/>
      <c r="Y124" s="1446"/>
      <c r="AC124" s="55"/>
      <c r="AD124" s="55"/>
    </row>
    <row r="125" spans="2:30" ht="55" customHeight="1">
      <c r="R125" s="2027"/>
      <c r="S125" s="2027"/>
      <c r="T125" s="2027"/>
      <c r="U125" s="2027"/>
      <c r="V125" s="2104"/>
      <c r="W125" s="2105"/>
      <c r="AC125" s="55"/>
      <c r="AD125" s="55"/>
    </row>
    <row r="126" spans="2:30" ht="59" customHeight="1">
      <c r="R126" s="2101" t="s">
        <v>2046</v>
      </c>
      <c r="S126" s="2023"/>
      <c r="T126" s="2023"/>
      <c r="U126" s="2023"/>
      <c r="V126" s="2096"/>
      <c r="W126" s="2096"/>
      <c r="X126" s="2096"/>
      <c r="Y126" s="2096"/>
      <c r="AC126" s="55"/>
      <c r="AD126" s="55"/>
    </row>
    <row r="127" spans="2:30" ht="22" customHeight="1">
      <c r="R127" s="2023"/>
      <c r="S127" s="2023"/>
      <c r="T127" s="2023"/>
      <c r="U127" s="2023"/>
      <c r="V127" s="2096"/>
      <c r="W127" s="2096"/>
      <c r="X127" s="2096"/>
      <c r="Y127" s="2096"/>
    </row>
    <row r="128" spans="2:30" ht="37" customHeight="1">
      <c r="B128" s="25"/>
      <c r="C128" s="16"/>
      <c r="D128" s="272"/>
      <c r="E128" s="16"/>
      <c r="F128" s="67"/>
      <c r="G128" s="67"/>
      <c r="H128" s="1870"/>
      <c r="J128" s="604"/>
      <c r="K128" s="2021"/>
      <c r="L128" s="604"/>
      <c r="M128" s="2022"/>
      <c r="N128" s="67"/>
      <c r="O128" s="1517"/>
      <c r="Q128" s="16"/>
      <c r="R128" s="2027"/>
      <c r="S128" s="2360"/>
      <c r="T128" s="2360"/>
      <c r="U128" s="2360"/>
      <c r="V128" s="2189"/>
      <c r="W128" s="2189"/>
      <c r="X128" s="2189"/>
      <c r="Y128" s="2189"/>
      <c r="AC128" s="55"/>
      <c r="AD128" s="55"/>
    </row>
    <row r="129" spans="2:30" ht="37" customHeight="1">
      <c r="B129" s="25"/>
      <c r="C129" s="16"/>
      <c r="D129" s="272"/>
      <c r="E129" s="16"/>
      <c r="F129" s="67"/>
      <c r="G129" s="67"/>
      <c r="H129" s="1870"/>
      <c r="J129" s="604"/>
      <c r="K129" s="2021"/>
      <c r="L129" s="604"/>
      <c r="M129" s="2022"/>
      <c r="N129" s="67"/>
      <c r="O129" s="1517"/>
      <c r="Q129" s="16"/>
      <c r="R129" s="2027"/>
      <c r="S129" s="2360"/>
      <c r="T129" s="2360"/>
      <c r="U129" s="2360"/>
      <c r="V129" s="2189"/>
      <c r="W129" s="2189"/>
      <c r="X129" s="2189"/>
      <c r="Y129" s="2189"/>
      <c r="AC129" s="55"/>
      <c r="AD129" s="55"/>
    </row>
    <row r="130" spans="2:30" ht="78" customHeight="1">
      <c r="V130" s="1823" t="s">
        <v>2047</v>
      </c>
    </row>
    <row r="131" spans="2:30" ht="78" customHeight="1" thickBot="1">
      <c r="W131" s="2159" t="s">
        <v>2048</v>
      </c>
      <c r="X131" s="2159"/>
      <c r="Y131" s="2159"/>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82">
        <f>Test_Bible!P294</f>
        <v>0</v>
      </c>
      <c r="G132" s="1882">
        <f>E132*F132</f>
        <v>0</v>
      </c>
      <c r="H132" s="1653" t="str">
        <f>BIBLE!V190</f>
        <v>Dénigrement</v>
      </c>
      <c r="I132" s="612"/>
      <c r="J132" s="626" t="str">
        <f>BIBLE!E123</f>
        <v>PFA23a</v>
      </c>
      <c r="K132" s="1657" t="str">
        <f>BIBLE!F123</f>
        <v xml:space="preserve">Arrive-t-il que l'autre parent impose sa présence lors de fêtes ou d'activités destinés aux enfants ? </v>
      </c>
      <c r="L132" s="626">
        <f>Test_Bible!D205</f>
        <v>1</v>
      </c>
      <c r="M132" s="1889">
        <f>Test_Bible!P205</f>
        <v>0</v>
      </c>
      <c r="N132" s="1888">
        <f>L132*M132</f>
        <v>0</v>
      </c>
      <c r="O132" s="1892" t="str">
        <f>BIBLE!V123</f>
        <v>Interférence lien affectif ou symbolique</v>
      </c>
      <c r="Q132" s="2570" t="s">
        <v>199</v>
      </c>
      <c r="V132" s="1446"/>
      <c r="W132" s="1446"/>
      <c r="X132" s="1446"/>
      <c r="Y132" s="1446"/>
    </row>
    <row r="133" spans="2:30" ht="16" customHeight="1" thickBot="1">
      <c r="B133" s="25"/>
      <c r="D133" s="291"/>
      <c r="E133" s="5"/>
      <c r="H133" s="751"/>
      <c r="K133" s="1900"/>
      <c r="L133" s="5"/>
      <c r="O133" s="751"/>
      <c r="Q133" s="2522"/>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82">
        <f>Test_Bible!P258</f>
        <v>0</v>
      </c>
      <c r="G134" s="1882" t="e">
        <f>E134*F134</f>
        <v>#VALUE!</v>
      </c>
      <c r="H134" s="1874" t="str">
        <f>BIBLE!V172</f>
        <v>Dénigrement</v>
      </c>
      <c r="I134" s="611"/>
      <c r="J134" s="673" t="str">
        <f>BIBLE!E115</f>
        <v>PFA20</v>
      </c>
      <c r="K134" s="1654" t="str">
        <f>BIBLE!F115</f>
        <v>Il est facile de communiquer avec votre enfant lorsqu’il est chez l’autre parent.</v>
      </c>
      <c r="L134" s="1861">
        <f>Test_Bible!D189</f>
        <v>2</v>
      </c>
      <c r="M134" s="1888">
        <f>Test_Bible!P189</f>
        <v>0</v>
      </c>
      <c r="N134" s="1888">
        <f>L134*M134</f>
        <v>0</v>
      </c>
      <c r="O134" s="1864" t="str">
        <f>BIBLE!V115</f>
        <v>Interférence temps et/ou communication</v>
      </c>
      <c r="Q134" s="2523"/>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82">
        <f>Test_Bible!P260</f>
        <v>0</v>
      </c>
      <c r="G140" s="1882">
        <f>E140*F140</f>
        <v>0</v>
      </c>
      <c r="H140" s="1874">
        <f>BIBLE!V174</f>
        <v>0</v>
      </c>
      <c r="I140" s="612"/>
      <c r="J140" s="1862" t="str">
        <f>BIBLE!E118</f>
        <v>PFA20a1a</v>
      </c>
      <c r="K140" s="627" t="str">
        <f>BIBLE!F118</f>
        <v>Arrive-t-il que l'autre parent se présente à votre lieu de travail ou votre domicile sans s'annoncer ou sans invitation ?</v>
      </c>
      <c r="L140" s="1653">
        <f>Test_Bible!D192</f>
        <v>3</v>
      </c>
      <c r="M140" s="1888">
        <f>Test_Bible!P192</f>
        <v>0</v>
      </c>
      <c r="N140" s="1888">
        <f>L140*M140</f>
        <v>0</v>
      </c>
      <c r="O140" s="1865" t="str">
        <f>BIBLE!V118</f>
        <v>Interférence temps et/ou communication</v>
      </c>
      <c r="P140" s="1421"/>
      <c r="Q140" s="2570" t="s">
        <v>200</v>
      </c>
    </row>
    <row r="141" spans="2:30" ht="16" customHeight="1" thickBot="1">
      <c r="B141" s="25"/>
      <c r="C141" s="16"/>
      <c r="D141" s="272"/>
      <c r="E141" s="16"/>
      <c r="F141" s="16"/>
      <c r="G141" s="16"/>
      <c r="H141" s="1517"/>
      <c r="J141" s="494"/>
      <c r="K141" s="272"/>
      <c r="L141" s="16"/>
      <c r="M141" s="16"/>
      <c r="N141" s="16"/>
      <c r="O141" s="1870"/>
      <c r="P141" s="8"/>
      <c r="Q141" s="2522"/>
    </row>
    <row r="142" spans="2:30" ht="69" customHeight="1" thickBot="1">
      <c r="B142" s="742" t="s">
        <v>2052</v>
      </c>
      <c r="C142" s="606" t="str">
        <f>BIBLE!E187</f>
        <v>E24</v>
      </c>
      <c r="D142" s="610" t="str">
        <f>BIBLE!F187</f>
        <v>L'autre parent a informé votre enfant du contexte juridique, financier ou autre associé au conflit vous opposant.</v>
      </c>
      <c r="E142" s="606">
        <f>Test_Bible!D276</f>
        <v>3</v>
      </c>
      <c r="F142" s="1882">
        <f>Test_Bible!P276</f>
        <v>0</v>
      </c>
      <c r="G142" s="1882">
        <f>E142*F142</f>
        <v>0</v>
      </c>
      <c r="H142" s="1879"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89">
        <f>Test_Bible!P195</f>
        <v>0</v>
      </c>
      <c r="N142" s="1888">
        <f>L142*M142</f>
        <v>0</v>
      </c>
      <c r="O142" s="1864" t="str">
        <f>BIBLE!V121</f>
        <v>Interférence lien affectif ou symbolique</v>
      </c>
      <c r="P142" s="8"/>
      <c r="Q142" s="2523"/>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82">
        <f>Test_Bible!P215</f>
        <v>0</v>
      </c>
      <c r="G144" s="1882">
        <f>E144*F144</f>
        <v>0</v>
      </c>
      <c r="H144" s="1878" t="str">
        <f>BIBLE!V129</f>
        <v>Interférence lien affectif ou symbolique</v>
      </c>
      <c r="I144" s="612"/>
      <c r="J144" s="626" t="str">
        <f>BIBLE!E89</f>
        <v>PFA06</v>
      </c>
      <c r="K144" s="1657" t="str">
        <f>BIBLE!F89</f>
        <v>L'autre parent modifie certains faits concernant votre passé à son avantage ou à votre désavantage.</v>
      </c>
      <c r="L144" s="2221">
        <f>Test_Bible!D163</f>
        <v>1</v>
      </c>
      <c r="M144" s="1889">
        <f>Test_Bible!P163</f>
        <v>0</v>
      </c>
      <c r="N144" s="1889">
        <f>L144*M144</f>
        <v>0</v>
      </c>
      <c r="O144" s="1869" t="str">
        <f>BIBLE!V89</f>
        <v>Altération ou dévoiement de la réalité</v>
      </c>
      <c r="R144" s="67"/>
      <c r="S144" s="67"/>
      <c r="T144" s="67"/>
      <c r="U144" s="67"/>
      <c r="V144" s="2103"/>
      <c r="W144" s="2102"/>
    </row>
    <row r="145" spans="2:30" ht="16" customHeight="1" thickBot="1">
      <c r="B145" s="25"/>
      <c r="C145" s="16"/>
      <c r="D145" s="272"/>
      <c r="E145" s="16"/>
      <c r="F145" s="16"/>
      <c r="G145" s="16"/>
      <c r="H145" s="1517"/>
      <c r="K145" s="291"/>
      <c r="L145" s="5"/>
      <c r="O145" s="751"/>
      <c r="R145" s="8"/>
      <c r="S145" s="8"/>
      <c r="T145" s="8"/>
      <c r="U145" s="8"/>
      <c r="V145" s="2103"/>
      <c r="W145" s="2102"/>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2">
        <f>Test_Bible!P217</f>
        <v>0</v>
      </c>
      <c r="G146" s="1882">
        <f>E146*F146</f>
        <v>0</v>
      </c>
      <c r="H146" s="1877" t="str">
        <f>BIBLE!V131</f>
        <v>Interférence lien affectif ou symbolique</v>
      </c>
      <c r="I146" s="612"/>
      <c r="J146" s="626" t="str">
        <f>BIBLE!E91</f>
        <v>PFA07</v>
      </c>
      <c r="K146" s="1657" t="str">
        <f>BIBLE!F91</f>
        <v>L’autre parent culpabilise votre enfant de sa relation ou de son amour pour vous.</v>
      </c>
      <c r="L146" s="626">
        <f>Test_Bible!D159</f>
        <v>0</v>
      </c>
      <c r="M146" s="1889">
        <f>Test_Bible!P159</f>
        <v>0</v>
      </c>
      <c r="N146" s="1889">
        <f>L146*M146</f>
        <v>0</v>
      </c>
      <c r="O146" s="1863"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3" zoomScale="90" zoomScaleNormal="90" workbookViewId="0">
      <selection activeCell="B49" sqref="B49"/>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2055</v>
      </c>
    </row>
    <row r="2" spans="1:21" ht="53" customHeight="1">
      <c r="A2" s="407" t="s">
        <v>1895</v>
      </c>
      <c r="C2" s="2161" t="s">
        <v>2056</v>
      </c>
      <c r="N2" s="2575"/>
      <c r="O2" s="2458"/>
      <c r="P2" s="2458"/>
      <c r="Q2" s="80"/>
      <c r="R2" s="80"/>
    </row>
    <row r="3" spans="1:21" ht="399" customHeight="1">
      <c r="C3" s="82" t="s">
        <v>2057</v>
      </c>
      <c r="D3" s="13"/>
      <c r="E3" s="13"/>
      <c r="F3" s="13"/>
      <c r="G3" s="1900"/>
      <c r="H3" s="82" t="s">
        <v>2058</v>
      </c>
      <c r="I3" s="826"/>
      <c r="J3" s="826"/>
      <c r="K3" s="1900"/>
      <c r="O3" s="1752"/>
    </row>
    <row r="4" spans="1:21" ht="156" customHeight="1">
      <c r="A4" s="407" t="s">
        <v>1898</v>
      </c>
      <c r="C4" s="2380" t="s">
        <v>2059</v>
      </c>
      <c r="D4" s="1446"/>
      <c r="E4" s="1446"/>
      <c r="F4" s="1446"/>
      <c r="G4" s="1446"/>
      <c r="O4" s="1752"/>
    </row>
    <row r="5" spans="1:21" ht="36" customHeight="1">
      <c r="A5" s="600"/>
      <c r="H5" s="2561" t="s">
        <v>1906</v>
      </c>
      <c r="I5" s="2465"/>
      <c r="J5" s="2501"/>
      <c r="K5" s="2569" t="s">
        <v>2060</v>
      </c>
      <c r="L5" s="2526"/>
      <c r="M5" s="2553" t="s">
        <v>1988</v>
      </c>
      <c r="N5" s="2574"/>
      <c r="O5" s="1752"/>
    </row>
    <row r="6" spans="1:21" s="8" customFormat="1" ht="69" customHeight="1">
      <c r="I6" s="16"/>
      <c r="J6" s="16"/>
      <c r="L6" s="16"/>
      <c r="M6" s="16" t="s">
        <v>346</v>
      </c>
      <c r="N6" s="16" t="s">
        <v>2061</v>
      </c>
    </row>
    <row r="7" spans="1:21" ht="62" customHeight="1">
      <c r="B7" t="s">
        <v>289</v>
      </c>
      <c r="C7" s="8" t="s">
        <v>1709</v>
      </c>
      <c r="D7" s="16" t="s">
        <v>1705</v>
      </c>
      <c r="E7" s="16" t="s">
        <v>2062</v>
      </c>
      <c r="F7" s="1718"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16"/>
      <c r="E8" s="16"/>
      <c r="F8" s="1718"/>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395" t="str">
        <f t="shared" ref="H9:H14" si="1">IF(G9="","",IF(OR(G9&gt;$G$15,G9&gt;20),"à inclure",""))</f>
        <v/>
      </c>
      <c r="I9" s="2395" t="str">
        <f t="shared" ref="I9:I14" si="2">IF(G9="","",IF(OR(G9&gt;$G$15,G9&gt;20),M9,""))</f>
        <v/>
      </c>
      <c r="J9" s="2395" t="str">
        <f t="shared" ref="J9:J14" si="3">IF(G9="","",IF(OR(G9&gt;$G$15,G9&gt;20),N9,""))</f>
        <v/>
      </c>
      <c r="K9" s="90"/>
      <c r="L9" s="2388"/>
      <c r="M9" s="2385"/>
      <c r="N9" s="2381"/>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711"/>
      <c r="G10" s="5" t="str">
        <f t="shared" si="0"/>
        <v/>
      </c>
      <c r="H10" s="2395" t="str">
        <f t="shared" si="1"/>
        <v/>
      </c>
      <c r="I10" s="2395" t="str">
        <f t="shared" si="2"/>
        <v/>
      </c>
      <c r="J10" s="2395" t="str">
        <f t="shared" si="3"/>
        <v/>
      </c>
      <c r="K10" s="90"/>
      <c r="L10" s="2389"/>
      <c r="M10" s="2385"/>
      <c r="N10" s="2385"/>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395" t="str">
        <f t="shared" si="1"/>
        <v/>
      </c>
      <c r="I11" s="2395" t="str">
        <f t="shared" si="2"/>
        <v/>
      </c>
      <c r="J11" s="2395" t="str">
        <f t="shared" si="3"/>
        <v/>
      </c>
      <c r="K11" s="90"/>
      <c r="L11" s="2389"/>
      <c r="M11" s="2385"/>
      <c r="N11" s="2385"/>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395" t="str">
        <f t="shared" si="1"/>
        <v/>
      </c>
      <c r="I12" s="2395" t="str">
        <f t="shared" si="2"/>
        <v/>
      </c>
      <c r="J12" s="2395" t="str">
        <f t="shared" si="3"/>
        <v/>
      </c>
      <c r="K12" s="90"/>
      <c r="L12" s="2389"/>
      <c r="M12" s="2385"/>
      <c r="N12" s="2385"/>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11"/>
      <c r="G13" s="5">
        <f t="shared" si="0"/>
        <v>0</v>
      </c>
      <c r="H13" s="2395" t="str">
        <f t="shared" si="1"/>
        <v/>
      </c>
      <c r="I13" s="2395" t="str">
        <f t="shared" si="2"/>
        <v/>
      </c>
      <c r="J13" s="2395" t="str">
        <f t="shared" si="3"/>
        <v/>
      </c>
      <c r="K13" s="90"/>
      <c r="L13" s="2389"/>
      <c r="M13" s="2385"/>
      <c r="N13" s="2385"/>
      <c r="P13" s="90"/>
      <c r="Q13" s="90"/>
      <c r="R13" s="90"/>
      <c r="S13" s="90"/>
      <c r="T13" s="90"/>
    </row>
    <row r="14" spans="1:21">
      <c r="A14" s="51" t="s">
        <v>772</v>
      </c>
      <c r="B14" s="51" t="str">
        <f>BIBLE!V90</f>
        <v>Altération ou dévoiement de la réalité</v>
      </c>
      <c r="C14" s="1708" t="str">
        <f>BIBLE!R90</f>
        <v>Déforme les souvenirs de l'enfant</v>
      </c>
      <c r="D14" s="1710" t="str">
        <f>IF(Test_Bible!B176="","",Test_Bible!Q176)</f>
        <v/>
      </c>
      <c r="E14" s="51"/>
      <c r="F14" s="1712"/>
      <c r="G14" s="5" t="str">
        <f t="shared" si="0"/>
        <v/>
      </c>
      <c r="H14" s="2395" t="str">
        <f t="shared" si="1"/>
        <v/>
      </c>
      <c r="I14" s="2395" t="str">
        <f t="shared" si="2"/>
        <v/>
      </c>
      <c r="J14" s="2395" t="str">
        <f t="shared" si="3"/>
        <v/>
      </c>
      <c r="K14" s="90"/>
      <c r="L14" s="2389"/>
      <c r="M14" s="2386"/>
      <c r="N14" s="2385"/>
      <c r="P14" s="90"/>
      <c r="Q14" s="90"/>
      <c r="R14" s="90"/>
      <c r="S14" s="90"/>
      <c r="T14" s="90"/>
    </row>
    <row r="15" spans="1:21" ht="108.5" customHeight="1">
      <c r="C15" s="55"/>
      <c r="D15" s="6"/>
      <c r="G15" s="2373">
        <f>AVERAGE(G9:G14)</f>
        <v>0</v>
      </c>
      <c r="H15" s="2435" t="str">
        <f>IF(G15&gt;=$G$54,HLOOKUP(1,$L$8:$L$56,8),"")</f>
        <v>Altération ou dévoiement de la réalité : Lorsque certains faits sont dénaturés, que la réalité est déformée ou présentée à l’avantage d’un parent au détriment de l’autre. &lt;br/&gt;</v>
      </c>
      <c r="I15" s="2396"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6">
        <f>IF(G15&gt;=$G$54,N15,"")</f>
        <v>0</v>
      </c>
      <c r="K15" s="2359"/>
      <c r="L15" s="2387" t="s">
        <v>2068</v>
      </c>
      <c r="M15" s="2440" t="s">
        <v>2069</v>
      </c>
      <c r="N15" s="2385"/>
      <c r="P15" s="90"/>
      <c r="Q15" s="90"/>
      <c r="R15" s="90"/>
      <c r="S15" s="90"/>
      <c r="T15" s="90"/>
    </row>
    <row r="16" spans="1:21">
      <c r="A16" t="s">
        <v>2070</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2">
        <f t="shared" ref="G16:G21" si="4">IF(AND(D16="",E16="",F16=""),"",MAX(D16,E16)+F16)</f>
        <v>0</v>
      </c>
      <c r="H16" s="2395" t="str">
        <f t="shared" ref="H16:H21" si="5">IF(G16="","",IF(OR(G16&gt;$G$22,G16&gt;20),"à inclure",""))</f>
        <v/>
      </c>
      <c r="I16" s="2395" t="str">
        <f t="shared" ref="I16:I21" si="6">IF(G16="","",IF(OR(G16&gt;$G$22,G16&gt;20),M16,""))</f>
        <v/>
      </c>
      <c r="J16" s="2395" t="str">
        <f t="shared" ref="J16:J21" si="7">IF(G16="","",IF(OR(G16&gt;$G$22,G16&gt;20),N16,""))</f>
        <v/>
      </c>
      <c r="K16" s="90"/>
      <c r="L16" s="2389"/>
      <c r="M16" s="2385"/>
      <c r="N16" s="2381"/>
      <c r="P16" s="90"/>
      <c r="Q16" s="90"/>
      <c r="R16" s="90"/>
      <c r="S16" s="90"/>
      <c r="T16" s="90"/>
    </row>
    <row r="17" spans="1:20">
      <c r="A17" t="s">
        <v>2071</v>
      </c>
      <c r="B17" t="str">
        <f>BIBLE!V57</f>
        <v>Chantage affectif, manipulation</v>
      </c>
      <c r="C17" t="str">
        <f>BIBLE!R57</f>
        <v>Questionne l'enfant à son retour de garde</v>
      </c>
      <c r="D17" s="6">
        <f>IF(Test_Bible!B185="","",Test_Bible!Q185)</f>
        <v>0</v>
      </c>
      <c r="E17" s="5"/>
      <c r="F17" s="1714">
        <f>IF(Test_Bible!B125="","",Test_Bible!Q125)</f>
        <v>0</v>
      </c>
      <c r="G17" s="2172">
        <f t="shared" si="4"/>
        <v>0</v>
      </c>
      <c r="H17" s="2395" t="str">
        <f t="shared" si="5"/>
        <v/>
      </c>
      <c r="I17" s="2395" t="str">
        <f t="shared" si="6"/>
        <v/>
      </c>
      <c r="J17" s="2395" t="str">
        <f t="shared" si="7"/>
        <v/>
      </c>
      <c r="K17" s="90"/>
      <c r="L17" s="2389"/>
      <c r="M17" s="2385"/>
      <c r="N17" s="2381"/>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11"/>
      <c r="G18" s="11">
        <f t="shared" si="4"/>
        <v>0</v>
      </c>
      <c r="H18" s="2395" t="str">
        <f t="shared" si="5"/>
        <v/>
      </c>
      <c r="I18" s="2395" t="str">
        <f t="shared" si="6"/>
        <v/>
      </c>
      <c r="J18" s="2395" t="str">
        <f t="shared" si="7"/>
        <v/>
      </c>
      <c r="K18" s="90"/>
      <c r="L18" s="2389"/>
      <c r="M18" s="2385"/>
      <c r="N18" s="2381"/>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711"/>
      <c r="G19" s="11" t="str">
        <f t="shared" si="4"/>
        <v/>
      </c>
      <c r="H19" s="2395" t="str">
        <f t="shared" si="5"/>
        <v/>
      </c>
      <c r="I19" s="2395" t="str">
        <f t="shared" si="6"/>
        <v/>
      </c>
      <c r="J19" s="2395" t="str">
        <f t="shared" si="7"/>
        <v/>
      </c>
      <c r="K19" s="90"/>
      <c r="L19" s="2389"/>
      <c r="M19" s="2385"/>
      <c r="N19" s="2381"/>
      <c r="P19" s="90"/>
      <c r="Q19" s="90"/>
      <c r="R19" s="1757" t="str">
        <f>B9</f>
        <v>Altération ou dévoiement de la réalité</v>
      </c>
      <c r="S19" s="90">
        <f>G15</f>
        <v>0</v>
      </c>
      <c r="T19" s="90"/>
    </row>
    <row r="20" spans="1:20" ht="31" customHeight="1">
      <c r="A20" t="s">
        <v>787</v>
      </c>
      <c r="B20" t="str">
        <f>BIBLE!V93</f>
        <v>Chantage affectif, manipulation</v>
      </c>
      <c r="C20" s="55" t="str">
        <f>BIBLE!R93</f>
        <v>Se fâche si l'enfant exprime de l'amour pour l'autre parent</v>
      </c>
      <c r="D20" s="6" t="str">
        <f>IF(Test_Bible!B179="","",Test_Bible!Q179)</f>
        <v/>
      </c>
      <c r="F20" s="1711"/>
      <c r="G20" s="11" t="str">
        <f t="shared" si="4"/>
        <v/>
      </c>
      <c r="H20" s="2395" t="str">
        <f t="shared" si="5"/>
        <v/>
      </c>
      <c r="I20" s="2395" t="str">
        <f t="shared" si="6"/>
        <v/>
      </c>
      <c r="J20" s="2395" t="str">
        <f t="shared" si="7"/>
        <v/>
      </c>
      <c r="K20" s="90"/>
      <c r="L20" s="2389"/>
      <c r="M20" s="2385"/>
      <c r="N20" s="2385" t="s">
        <v>2072</v>
      </c>
      <c r="P20" s="90"/>
      <c r="Q20" s="90"/>
      <c r="R20" s="1757" t="str">
        <f>B16</f>
        <v>Chantage affectif, manipulation</v>
      </c>
      <c r="S20" s="90">
        <f>G22</f>
        <v>0</v>
      </c>
      <c r="T20" s="90"/>
    </row>
    <row r="21" spans="1:20">
      <c r="A21" s="51" t="s">
        <v>1035</v>
      </c>
      <c r="B21" s="51" t="str">
        <f>BIBLE!V146</f>
        <v>Chantage affectif, manipulation</v>
      </c>
      <c r="C21" s="1708" t="str">
        <f>BIBLE!R146</f>
        <v>Demande à l'enfant à choisir avec qui il veut vivre</v>
      </c>
      <c r="D21" s="1710" t="str">
        <f>IF(Test_Bible!B250="","",Test_Bible!Q250)</f>
        <v/>
      </c>
      <c r="E21" s="51"/>
      <c r="F21" s="1712"/>
      <c r="G21" s="11" t="str">
        <f t="shared" si="4"/>
        <v/>
      </c>
      <c r="H21" s="2395" t="str">
        <f t="shared" si="5"/>
        <v/>
      </c>
      <c r="I21" s="2395" t="str">
        <f t="shared" si="6"/>
        <v/>
      </c>
      <c r="J21" s="2395" t="str">
        <f t="shared" si="7"/>
        <v/>
      </c>
      <c r="K21" s="90"/>
      <c r="L21" s="2389"/>
      <c r="M21" s="2385"/>
      <c r="N21" s="2383"/>
      <c r="P21" s="90"/>
      <c r="Q21" s="90"/>
      <c r="R21" s="1757" t="str">
        <f>B23</f>
        <v>Dénigrement</v>
      </c>
      <c r="S21" s="90">
        <f>G27</f>
        <v>0</v>
      </c>
      <c r="T21" s="90"/>
    </row>
    <row r="22" spans="1:20" ht="77.5" customHeight="1">
      <c r="C22" s="55"/>
      <c r="D22" s="6"/>
      <c r="G22" s="2373">
        <f>AVERAGE(G16:G21)</f>
        <v>0</v>
      </c>
      <c r="H22" s="2396" t="str">
        <f>IF(G22&gt;=$G$54,HLOOKUP(1,$L$8:$L$56,15),"")</f>
        <v>Chantage affectif, manipulation : Lorsque le comportement d’un parent induit directement ou indirectement et de manière volontaire ou involontaire un conflit de loyauté chez l’enfant. &lt;br/&gt;</v>
      </c>
      <c r="I22" s="2396"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6">
        <f>IF(G22&gt;=$G$54,N22,"")</f>
        <v>0</v>
      </c>
      <c r="K22" s="2359"/>
      <c r="L22" s="2387" t="s">
        <v>2073</v>
      </c>
      <c r="M22" s="2436" t="s">
        <v>2074</v>
      </c>
      <c r="N22" s="2382"/>
      <c r="P22" s="90"/>
      <c r="Q22" s="90"/>
      <c r="R22" s="1757" t="str">
        <f>B28</f>
        <v>Interférence temps et/ou communication</v>
      </c>
      <c r="S22" s="90">
        <f>G37</f>
        <v>0</v>
      </c>
      <c r="T22" s="90"/>
    </row>
    <row r="23" spans="1:20">
      <c r="A23" t="s">
        <v>2075</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2">
        <f>IF(AND(D23="",E23="",F23=""),"",MAX(D23,E23)+F23)</f>
        <v>0</v>
      </c>
      <c r="H23" s="2395" t="str">
        <f>IF(G23="","",IF(OR(G23&gt;$G$27,G23&gt;20),"à inclure",""))</f>
        <v/>
      </c>
      <c r="I23" s="2395" t="str">
        <f>IF(G23="","",IF(OR(G23&gt;$G$27,G23&gt;20),M23,""))</f>
        <v/>
      </c>
      <c r="J23" s="2395" t="str">
        <f>IF(G23="","",IF(OR(G23&gt;$G$27,G23&gt;20),N23,""))</f>
        <v/>
      </c>
      <c r="K23" s="90"/>
      <c r="L23" s="2389"/>
      <c r="M23" s="2385"/>
      <c r="N23" s="2381"/>
      <c r="P23" s="90"/>
      <c r="Q23" s="90"/>
      <c r="R23" s="1757" t="str">
        <f>B38</f>
        <v>Interférence lien affectif ou symbolique</v>
      </c>
      <c r="S23" s="90">
        <f>G43</f>
        <v>0</v>
      </c>
      <c r="T23" s="90"/>
    </row>
    <row r="24" spans="1:20">
      <c r="A24" t="s">
        <v>2076</v>
      </c>
      <c r="B24" t="str">
        <f>BIBLE!V104</f>
        <v>Dénigrement</v>
      </c>
      <c r="C24" s="55" t="str">
        <f>BIBLE!R104</f>
        <v>Dénigre la nouvelle famille</v>
      </c>
      <c r="D24" s="6">
        <f>IF(Test_Bible!B190="","",Test_Bible!Q190)</f>
        <v>0</v>
      </c>
      <c r="E24" s="90" t="str">
        <f>IF(Test_Bible!B416="","",Test_Bible!Q416)</f>
        <v/>
      </c>
      <c r="F24" s="1711"/>
      <c r="G24" s="11">
        <f>IF(AND(D24="",E24="",F24=""),"",MAX(D24,E24)+F24)</f>
        <v>0</v>
      </c>
      <c r="H24" s="2395" t="str">
        <f>IF(G24="","",IF(OR(G24&gt;$G$27,G24&gt;20),"à inclure",""))</f>
        <v/>
      </c>
      <c r="I24" s="2395" t="str">
        <f>IF(G24="","",IF(OR(G24&gt;$G$27,G24&gt;20),M24,""))</f>
        <v/>
      </c>
      <c r="J24" s="2395" t="str">
        <f>IF(G24="","",IF(OR(G24&gt;$G$27,G24&gt;20),N24,""))</f>
        <v/>
      </c>
      <c r="K24" s="90"/>
      <c r="L24" s="2389"/>
      <c r="M24" s="2385"/>
      <c r="N24" s="2381"/>
      <c r="P24" s="90"/>
      <c r="Q24" s="90"/>
      <c r="R24" s="1757"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711"/>
      <c r="G25" s="11">
        <f>IF(AND(D25="",E25="",F25=""),"",MAX(D25,E25)+F25)</f>
        <v>0</v>
      </c>
      <c r="H25" s="2395" t="str">
        <f>IF(G25="","",IF(OR(G25&gt;$G$27,G25&gt;20),"à inclure",""))</f>
        <v/>
      </c>
      <c r="I25" s="2395" t="str">
        <f>IF(G25="","",IF(OR(G25&gt;$G$27,G25&gt;20),M25,""))</f>
        <v/>
      </c>
      <c r="J25" s="2395" t="str">
        <f>IF(G25="","",IF(OR(G25&gt;$G$27,G25&gt;20),N25,""))</f>
        <v/>
      </c>
      <c r="K25" s="90"/>
      <c r="L25" s="2389"/>
      <c r="M25" s="2385"/>
      <c r="N25" s="2381"/>
      <c r="P25" s="90"/>
      <c r="Q25" s="90"/>
      <c r="R25" s="1757" t="str">
        <f>B49</f>
        <v>Rôle actif de l'enfant</v>
      </c>
      <c r="S25" s="90">
        <f>G53</f>
        <v>0</v>
      </c>
      <c r="T25" s="90"/>
    </row>
    <row r="26" spans="1:20">
      <c r="A26" s="51" t="s">
        <v>853</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395" t="str">
        <f>IF(G26="","",IF(OR(G26&gt;$G$27,G26&gt;20),"à inclure",""))</f>
        <v/>
      </c>
      <c r="I26" s="2395" t="str">
        <f>IF(G26="","",IF(OR(G26&gt;$G$27,G26&gt;20),M26,""))</f>
        <v/>
      </c>
      <c r="J26" s="2395" t="str">
        <f>IF(G26="","",IF(OR(G26&gt;$G$27,G26&gt;20),N26,""))</f>
        <v/>
      </c>
      <c r="K26" s="90"/>
      <c r="L26" s="2389"/>
      <c r="M26" s="2385"/>
      <c r="N26" s="2381"/>
      <c r="P26" s="90"/>
      <c r="Q26" s="90"/>
      <c r="R26" s="90"/>
      <c r="S26" s="90"/>
      <c r="T26" s="90"/>
    </row>
    <row r="27" spans="1:20" ht="31" customHeight="1">
      <c r="C27" s="55"/>
      <c r="E27" s="90"/>
      <c r="G27" s="2373">
        <f>AVERAGE(G23:G26)</f>
        <v>0</v>
      </c>
      <c r="H27" s="2396" t="str">
        <f>IF(G27&gt;=$G$54,HLOOKUP(1,$L$8:$L$56,20),"")</f>
        <v>Dénigrement : Lorsque la valeur ou l'autorié morale ou parentale de l’autre parent est diminuée ou discréditée aux yeux de l’enfant. &lt;br/&gt;</v>
      </c>
      <c r="I27" s="2396" t="str">
        <f>IF(G27&gt;=$G$54,M27,"")</f>
        <v xml:space="preserve">Cette section entière mérite un drapeau jaune soulevant les principes rencontrés dans les comportements de la section. </v>
      </c>
      <c r="J27" s="2396">
        <f>IF(G27&gt;=$G$54,N27,"")</f>
        <v>0</v>
      </c>
      <c r="K27" s="2359"/>
      <c r="L27" s="2387" t="s">
        <v>2077</v>
      </c>
      <c r="M27" s="2387" t="s">
        <v>2078</v>
      </c>
      <c r="N27" s="2382"/>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2">
        <f t="shared" ref="G28:G36" si="8">IF(AND(D28="",E28="",F28=""),"",MAX(D28,E28)+F28)</f>
        <v>0</v>
      </c>
      <c r="H28" s="2395" t="str">
        <f t="shared" ref="H28:H36" si="9">IF(G28="","",IF(OR(G28&gt;$G$37,G28&gt;20),"à inclure",""))</f>
        <v/>
      </c>
      <c r="I28" s="2395" t="str">
        <f t="shared" ref="I28:I36" si="10">IF(G28="","",IF(OR(G28&gt;$G$37,G28&gt;20),M28,""))</f>
        <v/>
      </c>
      <c r="J28" s="2395" t="str">
        <f t="shared" ref="J28:J36" si="11">IF(G28="","",IF(OR(G28&gt;$G$37,G28&gt;20),N28,""))</f>
        <v/>
      </c>
      <c r="K28" s="90"/>
      <c r="L28" s="2389"/>
      <c r="M28" s="2385"/>
      <c r="N28" s="2381"/>
      <c r="P28" s="90"/>
      <c r="Q28" s="90"/>
      <c r="R28" s="90"/>
      <c r="S28" s="90"/>
      <c r="T28" s="90"/>
    </row>
    <row r="29" spans="1:20">
      <c r="A29" t="s">
        <v>657</v>
      </c>
      <c r="B29" t="str">
        <f>BIBLE!V62</f>
        <v>Interférence temps et/ou communication</v>
      </c>
      <c r="C29" t="str">
        <f>BIBLE!R62</f>
        <v>Donne à l'enfant la responsabilité de choisir</v>
      </c>
      <c r="E29" s="5"/>
      <c r="F29" s="1714">
        <f>IF(Test_Bible!B136="","",Test_Bible!Q136)</f>
        <v>0</v>
      </c>
      <c r="G29" s="2172">
        <f t="shared" si="8"/>
        <v>0</v>
      </c>
      <c r="H29" s="2395" t="str">
        <f t="shared" si="9"/>
        <v/>
      </c>
      <c r="I29" s="2395" t="str">
        <f t="shared" si="10"/>
        <v/>
      </c>
      <c r="J29" s="2395" t="str">
        <f t="shared" si="11"/>
        <v/>
      </c>
      <c r="K29" s="90"/>
      <c r="L29" s="2389"/>
      <c r="M29" s="2385"/>
      <c r="N29" s="2381"/>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395" t="str">
        <f t="shared" si="9"/>
        <v/>
      </c>
      <c r="I30" s="2395" t="str">
        <f t="shared" si="10"/>
        <v/>
      </c>
      <c r="J30" s="2395" t="str">
        <f t="shared" si="11"/>
        <v/>
      </c>
      <c r="K30" s="90"/>
      <c r="L30" s="2389"/>
      <c r="M30" s="2391"/>
      <c r="N30" s="2381"/>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711"/>
      <c r="G31" s="11" t="str">
        <f t="shared" si="8"/>
        <v/>
      </c>
      <c r="H31" s="2395" t="str">
        <f t="shared" si="9"/>
        <v/>
      </c>
      <c r="I31" s="2395" t="str">
        <f t="shared" si="10"/>
        <v/>
      </c>
      <c r="J31" s="2395" t="str">
        <f t="shared" si="11"/>
        <v/>
      </c>
      <c r="K31" s="90"/>
      <c r="L31" s="2389"/>
      <c r="M31" s="2385"/>
      <c r="N31" s="2381"/>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711"/>
      <c r="G32" s="11" t="str">
        <f t="shared" si="8"/>
        <v/>
      </c>
      <c r="H32" s="2395" t="str">
        <f t="shared" si="9"/>
        <v/>
      </c>
      <c r="I32" s="2395" t="str">
        <f t="shared" si="10"/>
        <v/>
      </c>
      <c r="J32" s="2395" t="str">
        <f t="shared" si="11"/>
        <v/>
      </c>
      <c r="K32" s="90"/>
      <c r="L32" s="2389"/>
      <c r="M32" s="2391"/>
      <c r="N32" s="2381"/>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395" t="str">
        <f t="shared" si="9"/>
        <v/>
      </c>
      <c r="I33" s="2395" t="str">
        <f t="shared" si="10"/>
        <v/>
      </c>
      <c r="J33" s="2434" t="str">
        <f t="shared" si="11"/>
        <v/>
      </c>
      <c r="K33" s="90"/>
      <c r="L33" s="2389"/>
      <c r="M33" s="2385"/>
      <c r="N33" s="2218"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395" t="str">
        <f t="shared" si="9"/>
        <v/>
      </c>
      <c r="I34" s="2395" t="str">
        <f t="shared" si="10"/>
        <v/>
      </c>
      <c r="J34" s="2395" t="str">
        <f t="shared" si="11"/>
        <v/>
      </c>
      <c r="K34" s="90"/>
      <c r="L34" s="2389"/>
      <c r="M34" s="2385"/>
      <c r="N34" s="2381"/>
      <c r="P34" s="90"/>
      <c r="Q34" s="90"/>
      <c r="R34" s="90"/>
      <c r="S34" s="90"/>
      <c r="T34" s="90"/>
    </row>
    <row r="35" spans="1:20">
      <c r="A35" t="s">
        <v>2084</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395" t="str">
        <f t="shared" si="9"/>
        <v/>
      </c>
      <c r="I35" s="2395" t="str">
        <f t="shared" si="10"/>
        <v/>
      </c>
      <c r="J35" s="2395" t="str">
        <f t="shared" si="11"/>
        <v/>
      </c>
      <c r="K35" s="90"/>
      <c r="L35" s="2389"/>
      <c r="M35" s="2385"/>
      <c r="N35" s="2381"/>
      <c r="P35" s="90"/>
      <c r="Q35" s="90"/>
      <c r="R35" s="90"/>
      <c r="S35" s="90"/>
      <c r="T35" s="90"/>
    </row>
    <row r="36" spans="1:20">
      <c r="A36" s="51" t="s">
        <v>2085</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395" t="str">
        <f t="shared" si="9"/>
        <v/>
      </c>
      <c r="I36" s="2395" t="str">
        <f t="shared" si="10"/>
        <v/>
      </c>
      <c r="J36" s="2395" t="str">
        <f t="shared" si="11"/>
        <v/>
      </c>
      <c r="K36" s="90"/>
      <c r="L36" s="2389"/>
      <c r="M36" s="2385"/>
      <c r="N36" s="2381"/>
      <c r="P36" s="90"/>
      <c r="Q36" s="90"/>
      <c r="R36" s="90"/>
      <c r="S36" s="90"/>
      <c r="T36" s="90"/>
    </row>
    <row r="37" spans="1:20" ht="186" customHeight="1">
      <c r="C37" s="55"/>
      <c r="E37" s="90"/>
      <c r="G37" s="2373">
        <f>AVERAGE(G28:G36)</f>
        <v>0</v>
      </c>
      <c r="H37" s="2396" t="str">
        <f>IF(G37&gt;=$G$54,HLOOKUP(1,$L$8:$L$56,30),"")</f>
        <v>Interférence temps ou communication : Lorsqu’un parent s’impose directement ou indirectement durant le temps parental de l’autre parent. &lt;br/&gt;</v>
      </c>
      <c r="I37" s="2396"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6">
        <f>IF(G37&gt;=$G$54,N37,"")</f>
        <v>0</v>
      </c>
      <c r="K37" s="2359"/>
      <c r="L37" s="2387" t="s">
        <v>2086</v>
      </c>
      <c r="M37" s="2387" t="s">
        <v>2087</v>
      </c>
      <c r="N37" s="2382"/>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395" t="str">
        <f>IF(G38="","",IF(OR(G38&gt;$G$43,G38&gt;20),"à inclure",""))</f>
        <v/>
      </c>
      <c r="I38" s="2395" t="str">
        <f>IF(G38="","",IF(OR(G38&gt;$G$43,G38&gt;20),M38,""))</f>
        <v/>
      </c>
      <c r="J38" s="2395" t="str">
        <f>IF(G38="","",IF(OR(G38&gt;$G$43,G38&gt;20),N38,""))</f>
        <v/>
      </c>
      <c r="K38" s="90"/>
      <c r="L38" s="2389"/>
      <c r="M38" s="2385"/>
      <c r="N38" s="2381"/>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395" t="str">
        <f>IF(G39="","",IF(OR(G39&gt;$G$43,G39&gt;20),"à inclure",""))</f>
        <v/>
      </c>
      <c r="I39" s="2395" t="str">
        <f>IF(G39="","",IF(OR(G39&gt;$G$43,G39&gt;20),M39,""))</f>
        <v/>
      </c>
      <c r="J39" s="2395" t="str">
        <f>IF(G39="","",IF(OR(G39&gt;$G$43,G39&gt;20),N39,""))</f>
        <v/>
      </c>
      <c r="K39" s="90"/>
      <c r="L39" s="2389"/>
      <c r="M39" s="2385"/>
      <c r="N39" s="2381"/>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711"/>
      <c r="G40" s="11" t="str">
        <f>IF(AND(D40="",E40="",F40=""),"",MAX(D40,E40)+F40)</f>
        <v/>
      </c>
      <c r="H40" s="2395" t="str">
        <f>IF(G40="","",IF(OR(G40&gt;$G$43,G40&gt;20),"à inclure",""))</f>
        <v/>
      </c>
      <c r="I40" s="2395" t="str">
        <f>IF(G40="","",IF(OR(G40&gt;$G$43,G40&gt;20),M40,""))</f>
        <v/>
      </c>
      <c r="J40" s="2395" t="str">
        <f>IF(G40="","",IF(OR(G40&gt;$G$43,G40&gt;20),N40,""))</f>
        <v/>
      </c>
      <c r="K40" s="90"/>
      <c r="L40" s="2389"/>
      <c r="M40" s="2385"/>
      <c r="N40" s="2381"/>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711"/>
      <c r="G41" s="11" t="str">
        <f>IF(AND(D41="",E41="",F41=""),"",MAX(D41,E41)+F41)</f>
        <v/>
      </c>
      <c r="H41" s="2395" t="str">
        <f>IF(G41="","",IF(OR(G41&gt;$G$43,G41&gt;20),"à inclure",""))</f>
        <v/>
      </c>
      <c r="I41" s="2395" t="str">
        <f>IF(G41="","",IF(OR(G41&gt;$G$43,G41&gt;20),M41,""))</f>
        <v/>
      </c>
      <c r="J41" s="2395" t="str">
        <f>IF(G41="","",IF(OR(G41&gt;$G$43,G41&gt;20),N41,""))</f>
        <v/>
      </c>
      <c r="K41" s="90"/>
      <c r="L41" s="2389"/>
      <c r="M41" s="2385"/>
      <c r="N41" s="2381"/>
      <c r="P41" s="90"/>
      <c r="Q41" s="90"/>
      <c r="R41" s="90"/>
      <c r="S41" s="90"/>
      <c r="T41" s="90"/>
    </row>
    <row r="42" spans="1:20">
      <c r="A42" s="51" t="s">
        <v>1426</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395" t="str">
        <f>IF(G42="","",IF(OR(G42&gt;$G$43,G42&gt;20),"à inclure",""))</f>
        <v/>
      </c>
      <c r="I42" s="2395" t="str">
        <f>IF(G42="","",IF(OR(G42&gt;$G$43,G42&gt;20),M42,""))</f>
        <v/>
      </c>
      <c r="J42" s="2395" t="str">
        <f>IF(G42="","",IF(OR(G42&gt;$G$43,G42&gt;20),N42,""))</f>
        <v/>
      </c>
      <c r="K42" s="90"/>
      <c r="L42" s="2389"/>
      <c r="M42" s="2385"/>
      <c r="N42" s="2381"/>
      <c r="P42" s="90"/>
      <c r="Q42" s="90"/>
      <c r="R42" s="90"/>
      <c r="S42" s="90"/>
      <c r="T42" s="90"/>
    </row>
    <row r="43" spans="1:20" ht="46.5" customHeight="1">
      <c r="C43" s="55"/>
      <c r="E43" s="90"/>
      <c r="G43" s="2373">
        <f>AVERAGE(G38:G42)</f>
        <v>0</v>
      </c>
      <c r="H43" s="2396"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6">
        <f>IF(G43&gt;=$G$54,M43,"")</f>
        <v>0</v>
      </c>
      <c r="J43" s="2396">
        <f>IF(G43&gt;=$G$54,N43,"")</f>
        <v>0</v>
      </c>
      <c r="K43" s="2359"/>
      <c r="L43" s="2387" t="s">
        <v>2088</v>
      </c>
      <c r="M43" s="2387"/>
      <c r="N43" s="2382"/>
      <c r="P43" s="90"/>
      <c r="Q43" s="90"/>
      <c r="R43" s="90"/>
      <c r="S43" s="90"/>
      <c r="T43" s="90"/>
    </row>
    <row r="44" spans="1:20">
      <c r="A44" t="s">
        <v>695</v>
      </c>
      <c r="B44" t="str">
        <f>BIBLE!V70</f>
        <v>Parentification</v>
      </c>
      <c r="C44" t="str">
        <f>BIBLE!R70</f>
        <v>Informe l'enfant des enjeux l'opposant à l'autre parent</v>
      </c>
      <c r="E44" s="5"/>
      <c r="F44" s="1714">
        <f>IF(Test_Bible!B151="","",Test_Bible!Q151)</f>
        <v>0</v>
      </c>
      <c r="G44" s="2172">
        <f>IF(AND(D44="",E44="",F44=""),"",MAX(D44,E44)+F44)</f>
        <v>0</v>
      </c>
      <c r="H44" s="2395" t="str">
        <f>IF(G44="","",IF(OR(G44&gt;$G$48,G44&gt;20),"à inclure",""))</f>
        <v/>
      </c>
      <c r="I44" s="2395" t="str">
        <f>IF(G44="","",IF(OR(G44&gt;$G$48,G44&gt;20),M44,""))</f>
        <v/>
      </c>
      <c r="J44" s="2395" t="str">
        <f>IF(G44="","",IF(OR(G44&gt;$G$48,G44&gt;20),N44,""))</f>
        <v/>
      </c>
      <c r="K44" s="90"/>
      <c r="L44" s="2389"/>
      <c r="M44" s="2385"/>
      <c r="N44" s="2381"/>
      <c r="P44" s="90"/>
      <c r="Q44" s="90"/>
      <c r="R44" s="90"/>
      <c r="S44" s="90"/>
      <c r="T44" s="90"/>
    </row>
    <row r="45" spans="1:20">
      <c r="A45" t="s">
        <v>2089</v>
      </c>
      <c r="B45" t="str">
        <f>BIBLE!V73</f>
        <v>Parentification</v>
      </c>
      <c r="C45" s="55" t="str">
        <f>BIBLE!R73</f>
        <v>Confie à l'enfant ses peines</v>
      </c>
      <c r="D45" s="6" t="str">
        <f>IF(Test_Bible!B244="","",Test_Bible!Q244)</f>
        <v/>
      </c>
      <c r="E45" s="5"/>
      <c r="F45" s="1714">
        <f>IF(Test_Bible!B155="","",Test_Bible!Q155)</f>
        <v>0</v>
      </c>
      <c r="G45" s="2172">
        <f>IF(AND(D45="",E45="",F45=""),"",MAX(D45,E45)+F45)</f>
        <v>0</v>
      </c>
      <c r="H45" s="2395" t="str">
        <f>IF(G45="","",IF(OR(G45&gt;$G$48,G45&gt;20),"à inclure",""))</f>
        <v/>
      </c>
      <c r="I45" s="2395" t="str">
        <f>IF(G45="","",IF(OR(G45&gt;$G$48,G45&gt;20),M45,""))</f>
        <v/>
      </c>
      <c r="J45" s="2395" t="str">
        <f>IF(G45="","",IF(OR(G45&gt;$G$48,G45&gt;20),N45,""))</f>
        <v/>
      </c>
      <c r="K45" s="90"/>
      <c r="L45" s="2389"/>
      <c r="M45" s="2385"/>
      <c r="N45" s="2381"/>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711"/>
      <c r="G46" s="11" t="str">
        <f>IF(AND(D46="",E46="",F46=""),"",MAX(D46,E46)+F46)</f>
        <v/>
      </c>
      <c r="H46" s="2395" t="str">
        <f>IF(G46="","",IF(OR(G46&gt;$G$48,G46&gt;20),"à inclure",""))</f>
        <v/>
      </c>
      <c r="I46" s="2395" t="str">
        <f>IF(G46="","",IF(OR(G46&gt;$G$48,G46&gt;20),M46,""))</f>
        <v/>
      </c>
      <c r="J46" s="2395" t="str">
        <f>IF(G46="","",IF(OR(G46&gt;$G$48,G46&gt;20),N46,""))</f>
        <v/>
      </c>
      <c r="K46" s="90"/>
      <c r="L46" s="2389"/>
      <c r="M46" s="2385"/>
      <c r="N46" s="2385"/>
      <c r="P46" s="90"/>
      <c r="Q46" s="90"/>
      <c r="R46" s="90"/>
      <c r="S46" s="90"/>
      <c r="T46" s="90"/>
    </row>
    <row r="47" spans="1:20">
      <c r="A47" s="51" t="s">
        <v>1020</v>
      </c>
      <c r="B47" s="51" t="str">
        <f>BIBLE!V142</f>
        <v>Parentification</v>
      </c>
      <c r="C47" s="1708" t="str">
        <f>BIBLE!R142</f>
        <v>Fait lire à l'enfant des communications de l'autre parent</v>
      </c>
      <c r="D47" s="6">
        <f>IF(Test_Bible!B246="","",Test_Bible!Q246)</f>
        <v>0</v>
      </c>
      <c r="E47" s="51"/>
      <c r="F47" s="1712"/>
      <c r="G47" s="11">
        <f>IF(AND(D47="",E47="",F47=""),"",MAX(D47,E47)+F47)</f>
        <v>0</v>
      </c>
      <c r="H47" s="2395" t="str">
        <f>IF(G47="","",IF(OR(G47&gt;$G$48,G47&gt;20),"à inclure",""))</f>
        <v/>
      </c>
      <c r="I47" s="2395" t="str">
        <f>IF(G47="","",IF(OR(G47&gt;$G$48,G47&gt;20),M47,""))</f>
        <v/>
      </c>
      <c r="J47" s="2395" t="str">
        <f>IF(G47="","",IF(OR(G47&gt;$G$48,G47&gt;20),N47,""))</f>
        <v/>
      </c>
      <c r="K47" s="90"/>
      <c r="L47" s="2389"/>
      <c r="M47" s="2385"/>
      <c r="N47" s="2383"/>
      <c r="P47" s="90"/>
      <c r="Q47" s="90"/>
      <c r="R47" s="90"/>
      <c r="S47" s="90"/>
      <c r="T47" s="90"/>
    </row>
    <row r="48" spans="1:20" ht="139.5" customHeight="1">
      <c r="C48" s="55"/>
      <c r="D48" s="6"/>
      <c r="G48" s="2373">
        <f>AVERAGE(G44:G47)</f>
        <v>0</v>
      </c>
      <c r="H48" s="2396" t="str">
        <f>IF(G48&gt;=$G$54,HLOOKUP(1,$L$8:$L$56,41),"")</f>
        <v>Parentification : Lorsque les rôles parent-enfant sont inversé et où l’enfant est appelé à accueillir des responsabilités d’adultes ou à être responsable du bien-être de son parent. &lt;br/&gt;</v>
      </c>
      <c r="I48" s="2396"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6">
        <f>IF(G48&gt;=$G$54,N48,"")</f>
        <v>0</v>
      </c>
      <c r="K48" s="2359"/>
      <c r="L48" s="2390" t="s">
        <v>2090</v>
      </c>
      <c r="M48" s="2387" t="s">
        <v>2091</v>
      </c>
      <c r="N48" s="2382"/>
      <c r="P48" s="90"/>
      <c r="Q48" s="90"/>
      <c r="R48" s="90"/>
      <c r="S48" s="90"/>
      <c r="T48" s="90"/>
    </row>
    <row r="49" spans="1:20">
      <c r="A49" t="s">
        <v>738</v>
      </c>
      <c r="B49" t="str">
        <f>BIBLE!V84</f>
        <v>Rôle actif de l'enfant</v>
      </c>
      <c r="C49" s="55" t="str">
        <f>BIBLE!R84</f>
        <v>Demande à l'enfant de garder des secrets</v>
      </c>
      <c r="D49" s="6">
        <f>IF(Test_Bible!B170="","",Test_Bible!Q170)</f>
        <v>0</v>
      </c>
      <c r="F49" s="1711"/>
      <c r="G49" s="2172">
        <f>IF(AND(D49="",E49="",F49=""),"",MAX(D49,E49)+F49)</f>
        <v>0</v>
      </c>
      <c r="H49" s="2395" t="str">
        <f>IF(G49="","",IF(OR(G49&gt;$G$53,G49&gt;20),"à inclure",""))</f>
        <v/>
      </c>
      <c r="I49" s="2395" t="str">
        <f>IF(G49="","",IF(OR(G49&gt;$G$53,G49&gt;20),M49,""))</f>
        <v/>
      </c>
      <c r="J49" s="2395" t="str">
        <f>IF(G49="","",IF(OR(G49&gt;$G$53,G49&gt;20),N49,""))</f>
        <v/>
      </c>
      <c r="K49" s="90"/>
      <c r="L49" s="2389"/>
      <c r="M49" s="2385"/>
      <c r="N49" s="2218"/>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395" t="str">
        <f>IF(G50="","",IF(OR(G50&gt;$G$53,G50&gt;20),"à inclure",""))</f>
        <v/>
      </c>
      <c r="I50" s="2395" t="str">
        <f>IF(G50="","",IF(OR(G50&gt;$G$53,G50&gt;20),M50,""))</f>
        <v/>
      </c>
      <c r="J50" s="2395" t="str">
        <f>IF(G50="","",IF(OR(G50&gt;$G$53,G50&gt;20),N50,""))</f>
        <v/>
      </c>
      <c r="K50" s="90"/>
      <c r="L50" s="2389"/>
      <c r="M50" s="2385"/>
      <c r="N50" s="2218"/>
      <c r="P50" s="90"/>
      <c r="Q50" s="90"/>
      <c r="R50" s="90"/>
      <c r="S50" s="90"/>
      <c r="T50" s="90"/>
    </row>
    <row r="51" spans="1:20">
      <c r="A51" t="s">
        <v>2092</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395" t="str">
        <f>IF(G51="","",IF(OR(G51&gt;$G$53,G51&gt;20),"à inclure",""))</f>
        <v/>
      </c>
      <c r="I51" s="2395" t="str">
        <f>IF(G51="","",IF(OR(G51&gt;$G$53,G51&gt;20),M51,""))</f>
        <v/>
      </c>
      <c r="J51" s="2395" t="str">
        <f>IF(G51="","",IF(OR(G51&gt;$G$53,G51&gt;20),N51,""))</f>
        <v/>
      </c>
      <c r="K51" s="90"/>
      <c r="L51" s="2389"/>
      <c r="M51" s="2385"/>
      <c r="N51" s="2381"/>
      <c r="P51" s="90"/>
      <c r="Q51" s="90"/>
      <c r="R51" s="90"/>
      <c r="S51" s="90"/>
      <c r="T51" s="90"/>
    </row>
    <row r="52" spans="1:20">
      <c r="A52" s="51" t="s">
        <v>1031</v>
      </c>
      <c r="B52" s="51" t="str">
        <f>BIBLE!V145</f>
        <v>Rôle actif de l'enfant</v>
      </c>
      <c r="C52" s="1708" t="str">
        <f>BIBLE!R145</f>
        <v>Laisse l'enfant le droit de choisir</v>
      </c>
      <c r="D52" s="1710" t="str">
        <f>IF(Test_Bible!B249="","",Test_Bible!Q249)</f>
        <v/>
      </c>
      <c r="E52" s="51"/>
      <c r="F52" s="1712"/>
      <c r="G52" s="11" t="str">
        <f>IF(AND(D52="",E52="",F52=""),"",MAX(D52,E52)+F52)</f>
        <v/>
      </c>
      <c r="H52" s="2395" t="str">
        <f>IF(G52="","",IF(OR(G52&gt;$G$53,G52&gt;20),"à inclure",""))</f>
        <v/>
      </c>
      <c r="I52" s="2395" t="str">
        <f>IF(G52="","",IF(OR(G52&gt;$G$53,G52&gt;20),M52,""))</f>
        <v/>
      </c>
      <c r="J52" s="2395" t="str">
        <f>IF(G52="","",IF(OR(G52&gt;$G$53,G52&gt;20),N52,""))</f>
        <v/>
      </c>
      <c r="K52" s="90"/>
      <c r="L52" s="2389"/>
      <c r="M52" s="2385"/>
      <c r="N52" s="2383"/>
      <c r="P52" s="90"/>
      <c r="Q52" s="90"/>
      <c r="R52" s="90"/>
      <c r="S52" s="90"/>
      <c r="T52" s="90"/>
    </row>
    <row r="53" spans="1:20" ht="54" customHeight="1">
      <c r="C53" s="55"/>
      <c r="D53" s="6"/>
      <c r="G53" s="2373">
        <f>AVERAGE(G49:G52)</f>
        <v>0</v>
      </c>
      <c r="H53" s="2396"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6">
        <f>IF(G53&gt;=$G$54,M53,"")</f>
        <v>0</v>
      </c>
      <c r="J53" s="2396">
        <f>IF(G53&gt;=$G$54,N53,"")</f>
        <v>0</v>
      </c>
      <c r="K53" s="2359"/>
      <c r="L53" s="2387" t="s">
        <v>2093</v>
      </c>
      <c r="M53" s="2387"/>
      <c r="N53" s="2382"/>
      <c r="P53" s="90"/>
      <c r="Q53" s="90"/>
      <c r="R53" s="90"/>
      <c r="S53" s="90"/>
      <c r="T53" s="90"/>
    </row>
    <row r="54" spans="1:20" ht="32" customHeight="1">
      <c r="D54" s="6">
        <f>SUM(D9:D52)</f>
        <v>0</v>
      </c>
      <c r="E54" s="6">
        <f>SUM(E9:E52)</f>
        <v>0</v>
      </c>
      <c r="F54" s="6">
        <f>SUM(F9:F52)</f>
        <v>0</v>
      </c>
      <c r="G54" s="6">
        <f>(AVERAGE(G9:G14)+AVERAGE(G16:G21)+AVERAGE(G23:G26)+AVERAGE(G28:G36)+AVERAGE(G38:G42)+AVERAGE(G44:G47)+AVERAGE(G49:G52))/7</f>
        <v>0</v>
      </c>
      <c r="H54" s="67"/>
      <c r="I54" s="67"/>
      <c r="J54" s="67"/>
      <c r="K54" s="6"/>
      <c r="M54" s="54"/>
      <c r="N54" s="2384"/>
      <c r="O54" s="5"/>
      <c r="P54" s="90"/>
      <c r="Q54" s="90"/>
      <c r="R54" s="90"/>
      <c r="S54" s="90"/>
      <c r="T54" s="90"/>
    </row>
    <row r="55" spans="1:20" ht="76" customHeight="1">
      <c r="C55" s="55"/>
      <c r="H55" s="1810">
        <f>L55</f>
        <v>0</v>
      </c>
      <c r="K55" s="7" t="s">
        <v>2094</v>
      </c>
      <c r="L55" s="2121"/>
    </row>
    <row r="56" spans="1:20" ht="81" customHeight="1">
      <c r="A56" s="291"/>
      <c r="C56" s="55"/>
      <c r="H56" s="700"/>
      <c r="K56" s="5" t="s">
        <v>53</v>
      </c>
      <c r="L56" s="2377" t="s">
        <v>2095</v>
      </c>
    </row>
    <row r="57" spans="1:20" ht="57" customHeight="1">
      <c r="A57" s="1757"/>
      <c r="C57" s="55"/>
    </row>
    <row r="58" spans="1:20">
      <c r="A58" s="291"/>
      <c r="C58" s="55"/>
    </row>
    <row r="59" spans="1:20">
      <c r="A59" s="291"/>
    </row>
    <row r="60" spans="1:20">
      <c r="A60" s="1757"/>
      <c r="O60" s="9"/>
    </row>
    <row r="61" spans="1:20">
      <c r="A61" s="1757"/>
      <c r="O61" s="2260"/>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zoomScale="80" zoomScaleNormal="80" workbookViewId="0">
      <selection activeCell="H29" sqref="H29"/>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60" t="s">
        <v>2096</v>
      </c>
      <c r="E1" s="1446"/>
      <c r="F1" s="1446"/>
      <c r="G1" s="1447"/>
      <c r="H1" s="1447"/>
      <c r="I1" s="1447"/>
      <c r="J1" s="1447"/>
      <c r="K1" s="1447"/>
      <c r="L1" s="1447"/>
      <c r="M1" s="1447"/>
      <c r="N1" s="1446"/>
      <c r="O1" s="1446"/>
    </row>
    <row r="2" spans="1:35" ht="31" customHeight="1">
      <c r="B2" s="2348" t="s">
        <v>2097</v>
      </c>
      <c r="D2" s="80"/>
    </row>
    <row r="3" spans="1:35" ht="31" customHeight="1">
      <c r="B3" s="407"/>
      <c r="D3" s="80"/>
    </row>
    <row r="4" spans="1:35" ht="31" customHeight="1">
      <c r="B4" s="407"/>
      <c r="D4" s="80"/>
    </row>
    <row r="5" spans="1:35" ht="31" customHeight="1">
      <c r="B5" s="407"/>
      <c r="D5" s="80"/>
    </row>
    <row r="6" spans="1:35" ht="31" customHeight="1">
      <c r="B6" s="407" t="s">
        <v>1898</v>
      </c>
      <c r="D6" s="2160" t="s">
        <v>2098</v>
      </c>
      <c r="E6" s="1446"/>
      <c r="F6" s="1446"/>
      <c r="G6" s="1447"/>
      <c r="H6" s="1447"/>
      <c r="I6" s="1447"/>
      <c r="J6" s="1447"/>
      <c r="K6" s="1447"/>
      <c r="L6" s="1447"/>
      <c r="M6" s="1447"/>
      <c r="N6" s="1446"/>
      <c r="O6" s="1446"/>
    </row>
    <row r="7" spans="1:35" ht="31" customHeight="1"/>
    <row r="8" spans="1:35" ht="31" customHeight="1">
      <c r="B8" s="34" t="s">
        <v>2099</v>
      </c>
      <c r="P8" s="2561" t="s">
        <v>1906</v>
      </c>
      <c r="Q8" s="2458"/>
      <c r="R8" s="2501"/>
      <c r="S8" s="57" t="s">
        <v>1900</v>
      </c>
      <c r="U8" s="2553" t="s">
        <v>1988</v>
      </c>
      <c r="V8" s="2458"/>
    </row>
    <row r="9" spans="1:35" ht="62" customHeight="1" thickBot="1">
      <c r="H9" s="16"/>
      <c r="I9" s="2474" t="s">
        <v>2100</v>
      </c>
      <c r="J9" s="2474"/>
      <c r="K9" s="2474"/>
      <c r="L9" s="2474"/>
      <c r="M9" s="2474"/>
      <c r="P9" s="2090" t="s">
        <v>1913</v>
      </c>
      <c r="Q9" s="2056" t="s">
        <v>1914</v>
      </c>
      <c r="R9" s="2056" t="s">
        <v>1915</v>
      </c>
      <c r="S9" s="2569" t="s">
        <v>1987</v>
      </c>
      <c r="T9" s="2526"/>
      <c r="U9" s="2056" t="s">
        <v>1919</v>
      </c>
      <c r="V9" s="1309" t="s">
        <v>1920</v>
      </c>
      <c r="W9" s="2123"/>
      <c r="X9" s="2565" t="s">
        <v>1907</v>
      </c>
      <c r="Y9" s="2493"/>
      <c r="Z9" s="2493"/>
      <c r="AA9" s="2493"/>
      <c r="AB9" s="2493"/>
      <c r="AC9" s="2493"/>
      <c r="AD9" s="2493"/>
      <c r="AE9" s="2493"/>
    </row>
    <row r="10" spans="1:35" ht="62" customHeight="1">
      <c r="D10" s="1" t="s">
        <v>1726</v>
      </c>
      <c r="E10" s="25" t="s">
        <v>1909</v>
      </c>
      <c r="F10" s="2070" t="s">
        <v>2101</v>
      </c>
      <c r="G10" s="2071" t="s">
        <v>64</v>
      </c>
      <c r="H10" s="1295" t="s">
        <v>1910</v>
      </c>
      <c r="I10" s="1253" t="s">
        <v>717</v>
      </c>
      <c r="J10" s="1253" t="s">
        <v>1544</v>
      </c>
      <c r="K10" s="1253" t="s">
        <v>2102</v>
      </c>
      <c r="L10" s="1253" t="s">
        <v>2103</v>
      </c>
      <c r="M10" s="1253" t="s">
        <v>295</v>
      </c>
      <c r="N10" s="1253" t="s">
        <v>1911</v>
      </c>
      <c r="O10" s="1309" t="s">
        <v>1912</v>
      </c>
      <c r="P10" s="2053" t="s">
        <v>1923</v>
      </c>
      <c r="Q10" s="2055" t="s">
        <v>1924</v>
      </c>
      <c r="R10" s="2055" t="s">
        <v>1925</v>
      </c>
      <c r="S10" s="2055" t="s">
        <v>2104</v>
      </c>
      <c r="T10" s="2055" t="s">
        <v>2105</v>
      </c>
      <c r="U10" s="2158" t="s">
        <v>2106</v>
      </c>
      <c r="V10" s="2158" t="s">
        <v>2106</v>
      </c>
      <c r="W10" s="2437" t="s">
        <v>2107</v>
      </c>
      <c r="X10" s="2558" t="s">
        <v>717</v>
      </c>
      <c r="Y10" s="2559"/>
      <c r="Z10" s="2564" t="s">
        <v>1544</v>
      </c>
      <c r="AA10" s="2559"/>
      <c r="AB10" s="2568" t="s">
        <v>2108</v>
      </c>
      <c r="AC10" s="2559"/>
      <c r="AD10" s="2566" t="s">
        <v>2109</v>
      </c>
      <c r="AE10" s="2567"/>
    </row>
    <row r="11" spans="1:35" ht="20" customHeight="1">
      <c r="D11" s="1"/>
      <c r="E11" s="25"/>
      <c r="F11" s="2070"/>
      <c r="G11" s="2071"/>
      <c r="H11" s="1852"/>
      <c r="I11" s="1253"/>
      <c r="J11" s="1253"/>
      <c r="K11" s="1253"/>
      <c r="L11" s="1253"/>
      <c r="M11" s="1253"/>
      <c r="N11" s="1253"/>
      <c r="O11" s="1309"/>
      <c r="P11" s="2053"/>
      <c r="Q11" s="2055"/>
      <c r="R11" s="2055"/>
      <c r="S11" s="2055">
        <f>IF(AND($H$37&gt;=AG16,$H$37&lt;=AH16),1,0)</f>
        <v>0</v>
      </c>
      <c r="T11" s="2055">
        <f>IF(AND($H$37&gt;=AG17,$H$37&lt;=AH17),1,0)</f>
        <v>0</v>
      </c>
      <c r="U11" s="2158"/>
      <c r="V11" s="2158"/>
      <c r="W11" s="2095"/>
      <c r="X11" s="1906"/>
      <c r="Y11" s="1809"/>
      <c r="Z11" s="5"/>
      <c r="AA11" s="5"/>
      <c r="AB11" s="1809"/>
      <c r="AC11" s="1809"/>
      <c r="AD11" s="5"/>
      <c r="AE11" s="1903"/>
    </row>
    <row r="12" spans="1:35" ht="108.5" customHeight="1">
      <c r="D12" s="13"/>
      <c r="F12" s="1296"/>
      <c r="G12" s="1297"/>
      <c r="H12" s="1261"/>
      <c r="I12" s="587"/>
      <c r="J12" s="587"/>
      <c r="K12" s="587"/>
      <c r="L12" s="587"/>
      <c r="M12" s="587"/>
      <c r="N12" s="1"/>
      <c r="O12" s="1"/>
      <c r="S12" s="2233" t="s">
        <v>2110</v>
      </c>
      <c r="T12" s="2233" t="s">
        <v>2111</v>
      </c>
      <c r="U12" s="16" t="s">
        <v>2112</v>
      </c>
      <c r="V12" s="16" t="s">
        <v>2112</v>
      </c>
      <c r="X12" s="1906" t="s">
        <v>1585</v>
      </c>
      <c r="Y12" s="1809" t="s">
        <v>1488</v>
      </c>
      <c r="Z12" s="5" t="s">
        <v>1585</v>
      </c>
      <c r="AA12" s="5" t="s">
        <v>1488</v>
      </c>
      <c r="AB12" s="1809" t="s">
        <v>1585</v>
      </c>
      <c r="AC12" s="1809" t="s">
        <v>1488</v>
      </c>
      <c r="AD12" s="5" t="s">
        <v>1585</v>
      </c>
      <c r="AE12" s="1903" t="s">
        <v>1488</v>
      </c>
      <c r="AG12" t="s">
        <v>1921</v>
      </c>
    </row>
    <row r="13" spans="1:35" s="7" customFormat="1" ht="31" customHeight="1">
      <c r="A13" s="1912"/>
      <c r="B13" s="7" t="str">
        <f>BIBLE!E97</f>
        <v>PFA11</v>
      </c>
      <c r="C13" s="25" t="str">
        <f>Test_Bible!B183</f>
        <v xml:space="preserve">L'autre parent est d'avis que votre enfant est assez mature pour choisir où il doit vivre et avec quel parent.  </v>
      </c>
      <c r="D13" s="2562" t="s">
        <v>2113</v>
      </c>
      <c r="F13" s="2072">
        <f>Test_Bible!D183</f>
        <v>3</v>
      </c>
      <c r="G13" s="2073">
        <f>Test_Bible!P183</f>
        <v>0</v>
      </c>
      <c r="H13" s="1855">
        <f>G13</f>
        <v>0</v>
      </c>
      <c r="I13" s="553">
        <v>0</v>
      </c>
      <c r="J13" s="553" t="s">
        <v>1652</v>
      </c>
      <c r="K13" s="2060" t="s">
        <v>1937</v>
      </c>
      <c r="L13" s="553" t="s">
        <v>1938</v>
      </c>
      <c r="M13" s="2061">
        <v>10</v>
      </c>
      <c r="N13" s="8">
        <f>G13*F13</f>
        <v>0</v>
      </c>
      <c r="O13" s="8"/>
      <c r="P13" s="1895"/>
      <c r="Q13" s="501" t="str">
        <f>IF(OR(C13=" ",$P$17="")," ",IF(O$17&gt;=$P$38,IF(H13&gt;=7,U13," ")," "))</f>
        <v xml:space="preserve"> </v>
      </c>
      <c r="R13" s="501">
        <f>IF(OR(C13="",$P$17="")," ",IF(O$17&gt;=$P$38,IF(N13&gt;=O$17,V13," ")," "))</f>
        <v>0</v>
      </c>
      <c r="S13" s="2232"/>
      <c r="T13" s="25"/>
      <c r="U13" s="2296"/>
      <c r="V13" s="2296"/>
      <c r="W13" s="16"/>
      <c r="X13" s="2049">
        <v>0</v>
      </c>
      <c r="Y13" s="2050">
        <v>3</v>
      </c>
      <c r="Z13" s="7">
        <v>4</v>
      </c>
      <c r="AA13" s="7">
        <v>6</v>
      </c>
      <c r="AB13" s="590">
        <v>7</v>
      </c>
      <c r="AC13" s="590">
        <v>10</v>
      </c>
      <c r="AD13" s="7">
        <v>10</v>
      </c>
      <c r="AE13" s="2051">
        <v>10</v>
      </c>
      <c r="AG13" t="s">
        <v>1585</v>
      </c>
      <c r="AH13" t="s">
        <v>1488</v>
      </c>
      <c r="AI13" t="s">
        <v>2114</v>
      </c>
    </row>
    <row r="14" spans="1:35" s="7" customFormat="1" ht="118" customHeight="1">
      <c r="A14" s="1912"/>
      <c r="B14" s="21" t="str">
        <f>BIBLE!E98</f>
        <v>PFA11a</v>
      </c>
      <c r="C14" s="692" t="str">
        <f>Test_Bible!B184</f>
        <v/>
      </c>
      <c r="D14" s="2463"/>
      <c r="F14" s="2075">
        <f>Test_Bible!D184</f>
        <v>3</v>
      </c>
      <c r="G14" s="2073">
        <f>Test_Bible!P184</f>
        <v>0</v>
      </c>
      <c r="H14" s="1855">
        <f>G14</f>
        <v>0</v>
      </c>
      <c r="I14" s="1858" t="s">
        <v>2115</v>
      </c>
      <c r="J14" s="2032" t="s">
        <v>620</v>
      </c>
      <c r="K14" s="1858" t="s">
        <v>1937</v>
      </c>
      <c r="L14" s="1858" t="s">
        <v>1938</v>
      </c>
      <c r="M14" s="2067">
        <v>10</v>
      </c>
      <c r="N14" s="8">
        <f>G14*F14</f>
        <v>0</v>
      </c>
      <c r="O14" s="8"/>
      <c r="P14" s="1895"/>
      <c r="Q14" s="501" t="str">
        <f>IF(OR(C14=" ",$P$17="")," ",IF(O$17&gt;=$P$38,IF(H14&gt;=7,U14," ")," "))</f>
        <v xml:space="preserve"> </v>
      </c>
      <c r="R14" s="501" t="str">
        <f>IF(OR(C14="",$P$17="")," ",IF(O$17&gt;=$P$38,IF(N14&gt;=O$17,V14," ")," "))</f>
        <v xml:space="preserve"> </v>
      </c>
      <c r="S14" s="2232"/>
      <c r="T14" s="25"/>
      <c r="U14" s="2296"/>
      <c r="V14" s="2412" t="s">
        <v>2116</v>
      </c>
      <c r="W14" s="16"/>
      <c r="X14" s="2049">
        <v>0</v>
      </c>
      <c r="Y14" s="2050">
        <v>3</v>
      </c>
      <c r="Z14" s="7">
        <v>2</v>
      </c>
      <c r="AA14" s="7">
        <v>3</v>
      </c>
      <c r="AB14" s="590">
        <v>4</v>
      </c>
      <c r="AC14" s="590">
        <v>6</v>
      </c>
      <c r="AD14" s="7">
        <v>7</v>
      </c>
      <c r="AE14" s="2051">
        <v>10</v>
      </c>
      <c r="AG14" s="5">
        <v>0</v>
      </c>
      <c r="AH14" s="5">
        <f>Y39</f>
        <v>27</v>
      </c>
      <c r="AI14" t="s">
        <v>2117</v>
      </c>
    </row>
    <row r="15" spans="1:35" s="7" customFormat="1" ht="34" customHeight="1">
      <c r="A15" s="1912"/>
      <c r="B15" s="7" t="str">
        <f>Test_Bible!A250</f>
        <v>PFA36</v>
      </c>
      <c r="C15" s="25" t="str">
        <f>Test_Bible!B250</f>
        <v/>
      </c>
      <c r="D15" s="2463"/>
      <c r="F15" s="2072">
        <f>Test_Bible!D250</f>
        <v>3</v>
      </c>
      <c r="G15" s="2073">
        <f>Test_Bible!P250</f>
        <v>0</v>
      </c>
      <c r="H15" s="1855">
        <f>G15</f>
        <v>0</v>
      </c>
      <c r="I15" s="553" t="s">
        <v>1942</v>
      </c>
      <c r="J15" s="2060" t="s">
        <v>1943</v>
      </c>
      <c r="K15" s="2060" t="s">
        <v>1937</v>
      </c>
      <c r="L15" s="553" t="s">
        <v>1938</v>
      </c>
      <c r="M15" s="2067">
        <v>10</v>
      </c>
      <c r="N15" s="8">
        <f>G15*F15</f>
        <v>0</v>
      </c>
      <c r="O15" s="8"/>
      <c r="P15" s="1895"/>
      <c r="Q15" s="501" t="str">
        <f>IF(OR(C15=" ",$P$17="")," ",IF(O$17&gt;=$P$38,IF(H15&gt;=7,U15," ")," "))</f>
        <v xml:space="preserve"> </v>
      </c>
      <c r="R15" s="501" t="str">
        <f>IF(OR(C15="",$P$17="")," ",IF(O$17&gt;=$P$38,IF(N15&gt;=O$17,V15," ")," "))</f>
        <v xml:space="preserve"> </v>
      </c>
      <c r="S15" s="2232"/>
      <c r="T15" s="25"/>
      <c r="U15" s="2296"/>
      <c r="V15" s="2296"/>
      <c r="W15" s="16"/>
      <c r="X15" s="2049">
        <v>0</v>
      </c>
      <c r="Y15" s="2050">
        <v>1</v>
      </c>
      <c r="Z15" s="7">
        <v>2</v>
      </c>
      <c r="AA15" s="7">
        <v>3</v>
      </c>
      <c r="AB15" s="590">
        <v>4</v>
      </c>
      <c r="AC15" s="590">
        <v>6</v>
      </c>
      <c r="AD15" s="7">
        <v>7</v>
      </c>
      <c r="AE15" s="2051">
        <v>10</v>
      </c>
      <c r="AG15" s="5">
        <f>AH14+1</f>
        <v>28</v>
      </c>
      <c r="AH15" s="5">
        <f>AA39</f>
        <v>63</v>
      </c>
      <c r="AI15" t="s">
        <v>2118</v>
      </c>
    </row>
    <row r="16" spans="1:35" s="7" customFormat="1" ht="363" customHeight="1">
      <c r="A16" s="1912"/>
      <c r="B16" s="21" t="str">
        <f>BIBLE!E110</f>
        <v>PFA16b1</v>
      </c>
      <c r="C16" s="692" t="str">
        <f>Test_Bible!B196</f>
        <v/>
      </c>
      <c r="D16" s="2464"/>
      <c r="F16" s="2072">
        <f>Test_Bible!D196</f>
        <v>3</v>
      </c>
      <c r="G16" s="2073">
        <f>Test_Bible!P196</f>
        <v>0</v>
      </c>
      <c r="H16" s="1855">
        <f>G16</f>
        <v>0</v>
      </c>
      <c r="I16" s="553" t="s">
        <v>1942</v>
      </c>
      <c r="J16" s="2060" t="s">
        <v>1943</v>
      </c>
      <c r="K16" s="2060" t="s">
        <v>1937</v>
      </c>
      <c r="L16" s="553" t="s">
        <v>1938</v>
      </c>
      <c r="M16" s="2069">
        <v>10</v>
      </c>
      <c r="N16" s="8">
        <f>G16*F16</f>
        <v>0</v>
      </c>
      <c r="O16" s="8"/>
      <c r="P16" s="1895"/>
      <c r="Q16" s="501" t="str">
        <f>IF(OR(C16=" ",$P$17="")," ",IF(O$17&gt;=$P$38,IF(H16&gt;=7,U16," ")," "))</f>
        <v xml:space="preserve"> </v>
      </c>
      <c r="R16" s="501" t="str">
        <f>IF(OR(C16="",$P$17="")," ",IF(O$17&gt;=$P$38,IF(N16&gt;=O$17,V16," ")," "))</f>
        <v xml:space="preserve"> </v>
      </c>
      <c r="S16" s="2232"/>
      <c r="T16" s="25"/>
      <c r="U16" s="2385"/>
      <c r="V16" s="2385" t="s">
        <v>2119</v>
      </c>
      <c r="W16" s="16"/>
      <c r="X16" s="2049">
        <v>0</v>
      </c>
      <c r="Y16" s="2050">
        <v>1</v>
      </c>
      <c r="Z16" s="7">
        <v>2</v>
      </c>
      <c r="AA16" s="7">
        <v>3</v>
      </c>
      <c r="AB16" s="590">
        <v>4</v>
      </c>
      <c r="AC16" s="590">
        <v>6</v>
      </c>
      <c r="AD16" s="7">
        <v>7</v>
      </c>
      <c r="AE16" s="2051">
        <v>10</v>
      </c>
      <c r="AG16" s="5">
        <f>AH15+1</f>
        <v>64</v>
      </c>
      <c r="AH16" s="5">
        <f>AC39</f>
        <v>122</v>
      </c>
      <c r="AI16" t="s">
        <v>2120</v>
      </c>
    </row>
    <row r="17" spans="1:42" s="7" customFormat="1" ht="108" customHeight="1">
      <c r="C17" s="25"/>
      <c r="D17" s="2062"/>
      <c r="E17" s="2063"/>
      <c r="F17" s="2074"/>
      <c r="G17" s="2074"/>
      <c r="H17" s="2035"/>
      <c r="I17" s="2034"/>
      <c r="J17" s="2034"/>
      <c r="K17" s="2034"/>
      <c r="L17" s="2034"/>
      <c r="M17" s="2034"/>
      <c r="N17" s="2038"/>
      <c r="O17" s="2038">
        <f>AVERAGE(N13:N16)</f>
        <v>0</v>
      </c>
      <c r="P17" s="1895"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398">
        <f>IF(P17="","",U17)</f>
        <v>0</v>
      </c>
      <c r="R17" s="2398">
        <f>IF(P17="","",V17)</f>
        <v>0</v>
      </c>
      <c r="S17" s="2233" t="s">
        <v>2121</v>
      </c>
      <c r="T17" s="2233" t="s">
        <v>2122</v>
      </c>
      <c r="U17" s="2296"/>
      <c r="V17" s="2313"/>
      <c r="X17" s="2049"/>
      <c r="Y17" s="2050"/>
      <c r="AB17" s="590"/>
      <c r="AC17" s="590"/>
      <c r="AE17" s="2051"/>
      <c r="AG17" s="5">
        <f>AH16+1</f>
        <v>123</v>
      </c>
      <c r="AH17" s="5">
        <f>AE39</f>
        <v>180</v>
      </c>
      <c r="AI17" t="s">
        <v>2123</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62" t="s">
        <v>209</v>
      </c>
      <c r="F18" s="2072">
        <f>Test_Bible!D190</f>
        <v>1</v>
      </c>
      <c r="G18" s="2073">
        <f>Test_Bible!P190</f>
        <v>0</v>
      </c>
      <c r="H18" s="1855">
        <f>G18</f>
        <v>0</v>
      </c>
      <c r="I18" s="1858" t="s">
        <v>2115</v>
      </c>
      <c r="J18" s="1858" t="s">
        <v>1937</v>
      </c>
      <c r="K18" s="1858" t="s">
        <v>1938</v>
      </c>
      <c r="L18" s="1858"/>
      <c r="M18" s="2061">
        <v>10</v>
      </c>
      <c r="N18" s="8">
        <f>G18*F18</f>
        <v>0</v>
      </c>
      <c r="P18" s="1895"/>
      <c r="Q18" s="501" t="str">
        <f>IF(OR(C18=" ",$P$21="")," ",IF(O$21&gt;=$P$38,IF(H18&gt;=7,U18," ")," "))</f>
        <v xml:space="preserve"> </v>
      </c>
      <c r="R18" s="501">
        <f>IF(OR(C18=" ",$P$21="")," ",IF(O$21&gt;=$P$38,IF(N18&gt;=O$21,V18," ")," "))</f>
        <v>0</v>
      </c>
      <c r="S18" s="2232"/>
      <c r="T18" s="2232"/>
      <c r="U18" s="2296"/>
      <c r="V18" s="2296"/>
      <c r="W18" s="16"/>
      <c r="X18" s="2049">
        <v>0</v>
      </c>
      <c r="Y18" s="2050">
        <v>3</v>
      </c>
      <c r="Z18" s="7">
        <v>4</v>
      </c>
      <c r="AA18" s="7">
        <v>6</v>
      </c>
      <c r="AB18" s="590">
        <v>7</v>
      </c>
      <c r="AC18" s="590">
        <v>10</v>
      </c>
      <c r="AD18" s="7">
        <v>10</v>
      </c>
      <c r="AE18" s="2051">
        <v>10</v>
      </c>
    </row>
    <row r="19" spans="1:42" s="7" customFormat="1" ht="46.5" customHeight="1">
      <c r="A19" s="1912"/>
      <c r="B19" s="7" t="str">
        <f>BIBLE!E105</f>
        <v>PFA15</v>
      </c>
      <c r="C19" s="25" t="str">
        <f>Test_Bible!B191</f>
        <v>L'autre parent laisse entendre qu'il ou elle représente la vraie famille de votre enfant.</v>
      </c>
      <c r="D19" s="2463"/>
      <c r="F19" s="2072">
        <f>Test_Bible!D191</f>
        <v>2</v>
      </c>
      <c r="G19" s="2073">
        <f>Test_Bible!P191</f>
        <v>0</v>
      </c>
      <c r="H19" s="1855">
        <f>G19</f>
        <v>0</v>
      </c>
      <c r="I19" s="1858" t="s">
        <v>2115</v>
      </c>
      <c r="J19" s="1858" t="s">
        <v>1937</v>
      </c>
      <c r="K19" s="1858" t="s">
        <v>1938</v>
      </c>
      <c r="L19" s="1858"/>
      <c r="M19" s="2067">
        <v>10</v>
      </c>
      <c r="N19" s="8">
        <f>G19*F19</f>
        <v>0</v>
      </c>
      <c r="P19" s="1895"/>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2"/>
      <c r="T19" s="25"/>
      <c r="U19" s="2296"/>
      <c r="V19" s="2388" t="s">
        <v>2124</v>
      </c>
      <c r="W19" s="16"/>
      <c r="X19" s="2049">
        <v>0</v>
      </c>
      <c r="Y19" s="2050">
        <v>3</v>
      </c>
      <c r="Z19" s="7">
        <v>4</v>
      </c>
      <c r="AA19" s="7">
        <v>6</v>
      </c>
      <c r="AB19" s="590">
        <v>7</v>
      </c>
      <c r="AC19" s="590">
        <v>10</v>
      </c>
      <c r="AD19" s="7">
        <v>10</v>
      </c>
      <c r="AE19" s="2051">
        <v>10</v>
      </c>
    </row>
    <row r="20" spans="1:42" s="7" customFormat="1" ht="30" customHeight="1">
      <c r="A20" s="1912"/>
      <c r="B20" s="21" t="str">
        <f>BIBLE!E106</f>
        <v>PFA15a</v>
      </c>
      <c r="C20" s="692" t="str">
        <f>Test_Bible!B192</f>
        <v/>
      </c>
      <c r="D20" s="2464"/>
      <c r="F20" s="2075">
        <f>Test_Bible!D192</f>
        <v>3</v>
      </c>
      <c r="G20" s="2073">
        <f>Test_Bible!P192</f>
        <v>0</v>
      </c>
      <c r="H20" s="1855">
        <f>G20</f>
        <v>0</v>
      </c>
      <c r="I20" s="1858" t="s">
        <v>1942</v>
      </c>
      <c r="J20" s="2032" t="s">
        <v>1943</v>
      </c>
      <c r="K20" s="2032" t="s">
        <v>2125</v>
      </c>
      <c r="L20" s="1858" t="s">
        <v>2126</v>
      </c>
      <c r="M20" s="2069">
        <v>10</v>
      </c>
      <c r="N20" s="8">
        <f>G20*F20</f>
        <v>0</v>
      </c>
      <c r="P20" s="1895"/>
      <c r="Q20" s="501" t="str">
        <f>IF(OR(C20=" ",$P$21="")," ",IF(O$21&gt;=$P$38,IF(H20&gt;=7,U20," ")," "))</f>
        <v xml:space="preserve"> </v>
      </c>
      <c r="R20" s="501">
        <f>IF(OR(C20=" ",$P$21="")," ",IF(O$21&gt;=$P$38,IF(N20&gt;=O$21,V20," ")," "))</f>
        <v>0</v>
      </c>
      <c r="S20" s="2232"/>
      <c r="T20" s="25"/>
      <c r="U20" s="2296"/>
      <c r="V20" s="2296"/>
      <c r="W20" s="16"/>
      <c r="X20" s="2049">
        <v>0</v>
      </c>
      <c r="Y20" s="2050">
        <v>1</v>
      </c>
      <c r="Z20" s="7">
        <v>2</v>
      </c>
      <c r="AA20" s="7">
        <v>3</v>
      </c>
      <c r="AB20" s="590">
        <v>4</v>
      </c>
      <c r="AC20" s="590">
        <v>5</v>
      </c>
      <c r="AD20" s="7">
        <v>6</v>
      </c>
      <c r="AE20" s="2051">
        <v>10</v>
      </c>
    </row>
    <row r="21" spans="1:42" s="7" customFormat="1" ht="90" customHeight="1">
      <c r="C21" s="25"/>
      <c r="D21" s="2062"/>
      <c r="E21" s="2063"/>
      <c r="F21" s="2074"/>
      <c r="G21" s="2074"/>
      <c r="H21" s="2035"/>
      <c r="I21" s="2034"/>
      <c r="J21" s="2034"/>
      <c r="K21" s="2034"/>
      <c r="L21" s="2034"/>
      <c r="M21" s="2034"/>
      <c r="N21" s="2038"/>
      <c r="O21" s="2038">
        <f>AVERAGE(N18:N20)</f>
        <v>0</v>
      </c>
      <c r="P21" s="1895" t="str">
        <f>IF(O21&gt;=AVERAGE($O$17,$O$21,$O$26,$O$30,$O$34),HLOOKUP(1,$S$11:$T$42,11),"")</f>
        <v xml:space="preserve">L'autre parent laisse entendre à votre enfant qu'il ou elle représente la vraie famille.Ce qui pourrait créer de l'anxiété ou de la confusion chez votre enfant. </v>
      </c>
      <c r="Q21" s="2398">
        <f>IF(P21="","",U21)</f>
        <v>0</v>
      </c>
      <c r="R21" s="2398">
        <f>IF(P21="","",V21)</f>
        <v>0</v>
      </c>
      <c r="S21" s="2233" t="s">
        <v>2127</v>
      </c>
      <c r="T21" s="2233" t="s">
        <v>2127</v>
      </c>
      <c r="U21" s="2296"/>
      <c r="V21" s="2388"/>
      <c r="X21" s="2049"/>
      <c r="Y21" s="2050"/>
      <c r="AB21" s="590"/>
      <c r="AC21" s="590"/>
      <c r="AE21" s="2051"/>
    </row>
    <row r="22" spans="1:42" s="7" customFormat="1" ht="34" customHeight="1">
      <c r="A22" s="1912"/>
      <c r="B22" s="7" t="str">
        <f>Test_Bible!A199</f>
        <v>PFA19</v>
      </c>
      <c r="C22" s="25" t="str">
        <f>Test_Bible!B199</f>
        <v>L'autre parent vous communique les informations médicales, scolaires et liées aux activités sociales ou sportives de votre enfant.</v>
      </c>
      <c r="D22" s="2314" t="s">
        <v>210</v>
      </c>
      <c r="F22" s="2072">
        <f>Test_Bible!D199</f>
        <v>2</v>
      </c>
      <c r="G22" s="2073">
        <f>Test_Bible!P199</f>
        <v>0</v>
      </c>
      <c r="H22" s="1855">
        <f>G22</f>
        <v>0</v>
      </c>
      <c r="I22" s="553" t="s">
        <v>2115</v>
      </c>
      <c r="J22" s="2060" t="s">
        <v>1937</v>
      </c>
      <c r="K22" s="553" t="s">
        <v>1938</v>
      </c>
      <c r="L22" s="553"/>
      <c r="M22" s="2061">
        <v>10</v>
      </c>
      <c r="N22" s="8">
        <f>G22*F22</f>
        <v>0</v>
      </c>
      <c r="P22" s="1895"/>
      <c r="Q22" s="501" t="str">
        <f>IF(OR(C22=" ",$P$26="")," ",IF(O$26&gt;=$P$38,IF(H22&gt;=7,U22," ")," "))</f>
        <v xml:space="preserve"> </v>
      </c>
      <c r="R22" s="501" t="str">
        <f>IF(OR(D22=" ",$P$26="")," ",IF(O$26&gt;=$P$38,IF(H22&gt;=7,V22," ")," "))</f>
        <v xml:space="preserve"> </v>
      </c>
      <c r="S22" s="2232"/>
      <c r="T22" s="25"/>
      <c r="U22" s="2296"/>
      <c r="V22" s="2296"/>
      <c r="W22" s="16"/>
      <c r="X22" s="2049">
        <v>0</v>
      </c>
      <c r="Y22" s="2050">
        <v>3</v>
      </c>
      <c r="Z22" s="7">
        <v>4</v>
      </c>
      <c r="AA22" s="7">
        <v>6</v>
      </c>
      <c r="AB22" s="590">
        <v>7</v>
      </c>
      <c r="AC22" s="590">
        <v>10</v>
      </c>
      <c r="AD22" s="7">
        <v>10</v>
      </c>
      <c r="AE22" s="2051">
        <v>10</v>
      </c>
    </row>
    <row r="23" spans="1:42" s="7" customFormat="1" ht="46.5" customHeight="1">
      <c r="A23" s="1912"/>
      <c r="B23" s="21" t="str">
        <f>Test_Bible!A200</f>
        <v>PFA19a</v>
      </c>
      <c r="C23" s="692" t="str">
        <f>Test_Bible!B200</f>
        <v/>
      </c>
      <c r="D23" s="2222"/>
      <c r="F23" s="2075">
        <f>Test_Bible!D200</f>
        <v>3</v>
      </c>
      <c r="G23" s="2073">
        <f>Test_Bible!P200</f>
        <v>0</v>
      </c>
      <c r="H23" s="1855">
        <f>G23</f>
        <v>0</v>
      </c>
      <c r="I23" s="1858" t="s">
        <v>2115</v>
      </c>
      <c r="J23" s="2032" t="s">
        <v>1937</v>
      </c>
      <c r="K23" s="1858" t="s">
        <v>1938</v>
      </c>
      <c r="L23" s="553"/>
      <c r="M23" s="2067">
        <v>10</v>
      </c>
      <c r="N23" s="8">
        <f>G23*F23</f>
        <v>0</v>
      </c>
      <c r="P23" s="1895"/>
      <c r="Q23" s="501" t="str">
        <f>IF(OR(C23=" ",$P$26="")," ",IF(O$26&gt;=$P$38,IF(H23&gt;=7,U23," ")," "))</f>
        <v xml:space="preserve"> </v>
      </c>
      <c r="R23" s="501" t="str">
        <f>IF(OR(D23=" ",$P$26="")," ",IF(O$26&gt;=$P$38,IF(H23&gt;=7,V23," ")," "))</f>
        <v xml:space="preserve"> </v>
      </c>
      <c r="S23" s="2232"/>
      <c r="T23" s="25"/>
      <c r="U23" s="2296"/>
      <c r="V23" s="2296"/>
      <c r="W23" s="16"/>
      <c r="X23" s="2049">
        <v>0</v>
      </c>
      <c r="Y23" s="2050">
        <v>3</v>
      </c>
      <c r="Z23" s="7">
        <v>4</v>
      </c>
      <c r="AA23" s="7">
        <v>6</v>
      </c>
      <c r="AB23" s="590">
        <v>7</v>
      </c>
      <c r="AC23" s="590">
        <v>10</v>
      </c>
      <c r="AD23" s="7">
        <v>10</v>
      </c>
      <c r="AE23" s="2051">
        <v>10</v>
      </c>
    </row>
    <row r="24" spans="1:42" s="7" customFormat="1" ht="46.5" customHeight="1">
      <c r="A24" s="1912"/>
      <c r="B24" s="7" t="str">
        <f>Test_Bible!A423</f>
        <v>NC13</v>
      </c>
      <c r="C24" s="25" t="str">
        <f>Test_Bible!B423</f>
        <v>Le nouveau ou nouvelle conjoint·e demande aux personnes gravitant autour de votre enfant de ne PAS vous communiquer de l'information à son sujet.</v>
      </c>
      <c r="D24" s="2222"/>
      <c r="F24" s="2072">
        <f>Test_Bible!D423</f>
        <v>3</v>
      </c>
      <c r="G24" s="2073">
        <f>Test_Bible!P423</f>
        <v>0</v>
      </c>
      <c r="H24" s="1855">
        <f>G24</f>
        <v>0</v>
      </c>
      <c r="I24" s="1858" t="s">
        <v>2115</v>
      </c>
      <c r="J24" s="2032" t="s">
        <v>1937</v>
      </c>
      <c r="K24" s="1858" t="s">
        <v>1938</v>
      </c>
      <c r="L24" s="553"/>
      <c r="M24" s="2067">
        <v>10</v>
      </c>
      <c r="N24" s="8">
        <f>G24*F24</f>
        <v>0</v>
      </c>
      <c r="P24" s="1895"/>
      <c r="Q24" s="501" t="str">
        <f>IF(OR(C24=" ",$P$26="")," ",IF(O$26&gt;=$P$38,IF(H24&gt;=7,U24," ")," "))</f>
        <v xml:space="preserve"> </v>
      </c>
      <c r="R24" s="501" t="str">
        <f>IF(OR(D24=" ",$P$26="")," ",IF(O$26&gt;=$P$38,IF(H24&gt;=7,V24," ")," "))</f>
        <v xml:space="preserve"> </v>
      </c>
      <c r="S24" s="2232"/>
      <c r="T24" s="25"/>
      <c r="U24" s="2296"/>
      <c r="V24" s="2296"/>
      <c r="W24" s="16"/>
      <c r="X24" s="2049">
        <v>0</v>
      </c>
      <c r="Y24" s="2050">
        <v>3</v>
      </c>
      <c r="Z24" s="7">
        <v>4</v>
      </c>
      <c r="AA24" s="7">
        <v>6</v>
      </c>
      <c r="AB24" s="590">
        <v>7</v>
      </c>
      <c r="AC24" s="590">
        <v>10</v>
      </c>
      <c r="AD24" s="7">
        <v>10</v>
      </c>
      <c r="AE24" s="2051">
        <v>10</v>
      </c>
    </row>
    <row r="25" spans="1:42" s="7" customFormat="1" ht="93" customHeight="1">
      <c r="A25" s="287"/>
      <c r="B25" s="7" t="str">
        <f>BIBLE!E130</f>
        <v>PFA28a</v>
      </c>
      <c r="C25" s="25" t="str">
        <f>Test_Bible!B219</f>
        <v/>
      </c>
      <c r="D25" s="2222"/>
      <c r="F25" s="2072">
        <f>Test_Bible!D219</f>
        <v>3</v>
      </c>
      <c r="G25" s="2073">
        <f>Test_Bible!P219</f>
        <v>0</v>
      </c>
      <c r="H25" s="1855">
        <f>G25</f>
        <v>0</v>
      </c>
      <c r="I25" s="1858">
        <v>0</v>
      </c>
      <c r="J25" s="1858">
        <v>1</v>
      </c>
      <c r="K25" s="1858" t="s">
        <v>1943</v>
      </c>
      <c r="L25" s="1858" t="s">
        <v>1952</v>
      </c>
      <c r="M25" s="2067">
        <v>10</v>
      </c>
      <c r="N25" s="8">
        <f>G25*F25</f>
        <v>0</v>
      </c>
      <c r="P25" s="1895"/>
      <c r="Q25" s="501" t="str">
        <f>IF(OR(C25=" ",$P$26="")," ",IF(O$26&gt;=$P$38,IF(H25&gt;=7,U25," ")," "))</f>
        <v xml:space="preserve"> </v>
      </c>
      <c r="R25" s="501" t="str">
        <f>IF(OR(D25=" ",$P$26="")," ",IF(O$26&gt;=$P$38,IF(H25&gt;=7,V25," ")," "))</f>
        <v xml:space="preserve"> </v>
      </c>
      <c r="S25" s="2232"/>
      <c r="T25" s="25"/>
      <c r="U25" s="2296"/>
      <c r="V25" s="2388" t="s">
        <v>2128</v>
      </c>
      <c r="W25" s="16"/>
      <c r="X25" s="2049">
        <v>0</v>
      </c>
      <c r="Y25" s="2050">
        <v>0</v>
      </c>
      <c r="Z25" s="7">
        <v>1</v>
      </c>
      <c r="AA25" s="7">
        <v>1</v>
      </c>
      <c r="AB25" s="590">
        <v>2</v>
      </c>
      <c r="AC25" s="590">
        <v>3</v>
      </c>
      <c r="AD25" s="7">
        <v>4</v>
      </c>
      <c r="AE25" s="2051">
        <v>10</v>
      </c>
      <c r="AO25" s="8"/>
      <c r="AP25" s="8"/>
    </row>
    <row r="26" spans="1:42" s="7" customFormat="1" ht="94" customHeight="1">
      <c r="C26" s="25"/>
      <c r="D26" s="2063"/>
      <c r="E26" s="2063"/>
      <c r="F26" s="2074"/>
      <c r="G26" s="2076"/>
      <c r="H26" s="2077"/>
      <c r="I26" s="2034"/>
      <c r="J26" s="2034"/>
      <c r="K26" s="2034"/>
      <c r="L26" s="2034"/>
      <c r="M26" s="2034"/>
      <c r="N26" s="2036"/>
      <c r="O26" s="2038">
        <f>AVERAGE(N22:N25)</f>
        <v>0</v>
      </c>
      <c r="P26" s="1895"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98">
        <f>IF(P26="","",U26)</f>
        <v>0</v>
      </c>
      <c r="R26" s="2398">
        <f>IF(P26="","",V26)</f>
        <v>0</v>
      </c>
      <c r="S26" s="2233" t="s">
        <v>2129</v>
      </c>
      <c r="T26" s="2233" t="s">
        <v>2129</v>
      </c>
      <c r="U26" s="2296"/>
      <c r="V26" s="2313"/>
      <c r="X26" s="2049"/>
      <c r="Y26" s="2050"/>
      <c r="AB26" s="590"/>
      <c r="AC26" s="590"/>
      <c r="AE26" s="2051"/>
      <c r="AO26" s="8"/>
      <c r="AP26" s="8"/>
    </row>
    <row r="27" spans="1:42" s="7" customFormat="1" ht="32" customHeight="1">
      <c r="A27" s="287" t="s">
        <v>620</v>
      </c>
      <c r="B27" s="7" t="str">
        <f>BIBLE!E122</f>
        <v>PFA23</v>
      </c>
      <c r="C27" s="25" t="str">
        <f>Test_Bible!B208</f>
        <v>L'identité et la valeur sociale de l'autre parent passe par sa paternité ou sa maternité.</v>
      </c>
      <c r="D27" s="2314" t="s">
        <v>236</v>
      </c>
      <c r="F27" s="2072">
        <f>Test_Bible!D208</f>
        <v>1</v>
      </c>
      <c r="G27" s="2073">
        <f>Test_Bible!P208</f>
        <v>0</v>
      </c>
      <c r="H27" s="1855">
        <f>G27</f>
        <v>0</v>
      </c>
      <c r="I27" s="1858" t="s">
        <v>1942</v>
      </c>
      <c r="J27" s="1858" t="s">
        <v>1943</v>
      </c>
      <c r="K27" s="1858" t="s">
        <v>2125</v>
      </c>
      <c r="L27" s="1858" t="s">
        <v>2126</v>
      </c>
      <c r="M27" s="2061">
        <v>10</v>
      </c>
      <c r="N27" s="8">
        <f>G27*F27</f>
        <v>0</v>
      </c>
      <c r="O27" s="8"/>
      <c r="P27" s="1895"/>
      <c r="Q27" s="501" t="str">
        <f>IF(OR(C27=" ",$P$30="")," ",IF(O$30&gt;=$P$38,IF(H27&gt;=7,U27," ")," "))</f>
        <v xml:space="preserve"> </v>
      </c>
      <c r="R27" s="501" t="str">
        <f>IF(OR(D27=" ",$P$30="")," ",IF(O$30&gt;=$P$38,IF(H27&gt;=7,V27," ")," "))</f>
        <v xml:space="preserve"> </v>
      </c>
      <c r="S27" s="2232"/>
      <c r="T27" s="25"/>
      <c r="U27" s="2296"/>
      <c r="V27" s="2296"/>
      <c r="W27" s="16"/>
      <c r="X27" s="2049">
        <v>0</v>
      </c>
      <c r="Y27" s="2050">
        <v>1</v>
      </c>
      <c r="Z27" s="7">
        <v>2</v>
      </c>
      <c r="AA27" s="7">
        <v>3</v>
      </c>
      <c r="AB27" s="590">
        <v>4</v>
      </c>
      <c r="AC27" s="590">
        <v>5</v>
      </c>
      <c r="AD27" s="7">
        <v>6</v>
      </c>
      <c r="AE27" s="2051">
        <v>10</v>
      </c>
      <c r="AO27" s="8"/>
      <c r="AP27" s="8"/>
    </row>
    <row r="28" spans="1:42" s="7" customFormat="1" ht="32" customHeight="1">
      <c r="A28" s="1912"/>
      <c r="B28" s="7" t="str">
        <f>Test_Bible!A101</f>
        <v>H04a</v>
      </c>
      <c r="C28" s="25" t="str">
        <f>Test_Bible!B101</f>
        <v xml:space="preserve"> </v>
      </c>
      <c r="D28" s="2222"/>
      <c r="F28" s="2072">
        <f>Test_Bible!D101</f>
        <v>1</v>
      </c>
      <c r="G28" s="2073">
        <f>Test_Bible!P101</f>
        <v>0</v>
      </c>
      <c r="H28" s="1855">
        <f>G28</f>
        <v>0</v>
      </c>
      <c r="I28" s="1858" t="s">
        <v>1942</v>
      </c>
      <c r="J28" s="1858" t="s">
        <v>1943</v>
      </c>
      <c r="K28" s="1858" t="s">
        <v>2125</v>
      </c>
      <c r="L28" s="1858" t="s">
        <v>2126</v>
      </c>
      <c r="M28" s="2067">
        <v>10</v>
      </c>
      <c r="N28" s="8">
        <f>G28*F28</f>
        <v>0</v>
      </c>
      <c r="O28" s="1490"/>
      <c r="P28" s="1895"/>
      <c r="Q28" s="501" t="str">
        <f>IF(OR(C28=" ",$P$30="")," ",IF(O$30&gt;=$P$38,IF(H28&gt;=7,U28," ")," "))</f>
        <v xml:space="preserve"> </v>
      </c>
      <c r="R28" s="501" t="str">
        <f>IF(OR(D28=" ",$P$30="")," ",IF(O$30&gt;=$P$38,IF(H28&gt;=7,V28," ")," "))</f>
        <v xml:space="preserve"> </v>
      </c>
      <c r="S28" s="2232"/>
      <c r="T28" s="25"/>
      <c r="U28" s="2296"/>
      <c r="V28" s="2296"/>
      <c r="W28" s="16"/>
      <c r="X28" s="2049">
        <v>0</v>
      </c>
      <c r="Y28" s="2050">
        <v>1</v>
      </c>
      <c r="Z28" s="7">
        <v>2</v>
      </c>
      <c r="AA28" s="7">
        <v>3</v>
      </c>
      <c r="AB28" s="590">
        <v>4</v>
      </c>
      <c r="AC28" s="590">
        <v>5</v>
      </c>
      <c r="AD28" s="7">
        <v>6</v>
      </c>
      <c r="AE28" s="2051">
        <v>10</v>
      </c>
    </row>
    <row r="29" spans="1:42" s="7" customFormat="1" ht="32" customHeight="1" thickBot="1">
      <c r="A29" s="1912"/>
      <c r="B29" s="7" t="str">
        <f>Test_Bible!A166</f>
        <v>PFA02</v>
      </c>
      <c r="C29" s="25" t="str">
        <f>Test_Bible!B166</f>
        <v>Selon vous, dans quelle mesure l'autre parent entretien une relation fusionnelle avec votre enfant ?</v>
      </c>
      <c r="D29" s="2222"/>
      <c r="F29" s="2072">
        <f>Test_Bible!D166</f>
        <v>1</v>
      </c>
      <c r="G29" s="2073">
        <f>Test_Bible!P166</f>
        <v>0</v>
      </c>
      <c r="H29" s="1855">
        <f>G29</f>
        <v>0</v>
      </c>
      <c r="I29" s="1858" t="s">
        <v>1942</v>
      </c>
      <c r="J29" s="1858" t="s">
        <v>1943</v>
      </c>
      <c r="K29" s="1858" t="s">
        <v>2125</v>
      </c>
      <c r="L29" s="1858" t="s">
        <v>2126</v>
      </c>
      <c r="M29" s="2067">
        <v>10</v>
      </c>
      <c r="N29" s="8">
        <f>G29*F29</f>
        <v>0</v>
      </c>
      <c r="O29" s="1490"/>
      <c r="P29" s="1895"/>
      <c r="Q29" s="501" t="str">
        <f>IF(OR(C29=" ",$P$30="")," ",IF(O$30&gt;=$P$38,IF(H29&gt;=7,U29," ")," "))</f>
        <v xml:space="preserve"> </v>
      </c>
      <c r="R29" s="501" t="str">
        <f>IF(OR(D29=" ",$P$30="")," ",IF(O$30&gt;=$P$38,IF(H29&gt;=7,V29," ")," "))</f>
        <v xml:space="preserve"> </v>
      </c>
      <c r="S29" s="2232"/>
      <c r="T29" s="25"/>
      <c r="U29" s="2296"/>
      <c r="V29" s="2296"/>
      <c r="W29" s="16"/>
      <c r="X29" s="2049">
        <v>0</v>
      </c>
      <c r="Y29" s="2050">
        <v>1</v>
      </c>
      <c r="Z29" s="7">
        <v>2</v>
      </c>
      <c r="AA29" s="7">
        <v>3</v>
      </c>
      <c r="AB29" s="590">
        <v>4</v>
      </c>
      <c r="AC29" s="590">
        <v>5</v>
      </c>
      <c r="AD29" s="7">
        <v>6</v>
      </c>
      <c r="AE29" s="2051">
        <v>10</v>
      </c>
    </row>
    <row r="30" spans="1:42" s="7" customFormat="1" ht="102" customHeight="1">
      <c r="C30" s="25"/>
      <c r="D30" s="2063"/>
      <c r="E30" s="2063"/>
      <c r="F30" s="2063"/>
      <c r="G30" s="2034"/>
      <c r="H30" s="2065"/>
      <c r="I30" s="2034"/>
      <c r="J30" s="2034"/>
      <c r="K30" s="2034"/>
      <c r="L30" s="2034"/>
      <c r="M30" s="2034"/>
      <c r="N30" s="2036"/>
      <c r="O30" s="2038">
        <f>AVERAGE(N27:N29)</f>
        <v>0</v>
      </c>
      <c r="P30" s="1895"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398">
        <f>IF(P30="","",U30)</f>
        <v>0</v>
      </c>
      <c r="R30" s="2398">
        <f>IF(P30="","",V30)</f>
        <v>0</v>
      </c>
      <c r="S30" s="2233" t="s">
        <v>2130</v>
      </c>
      <c r="T30" s="2233" t="s">
        <v>2131</v>
      </c>
      <c r="U30" s="2296"/>
      <c r="V30" s="2313"/>
      <c r="X30" s="2049"/>
      <c r="Y30" s="2050"/>
      <c r="Z30" s="8"/>
      <c r="AA30" s="8"/>
      <c r="AB30" s="2050"/>
      <c r="AC30" s="2050"/>
      <c r="AD30" s="8"/>
      <c r="AE30" s="2064"/>
    </row>
    <row r="31" spans="1:42" s="7" customFormat="1" ht="41" customHeight="1">
      <c r="A31" s="1912"/>
      <c r="B31" s="21" t="str">
        <f>BIBLE!E95</f>
        <v>PFA09a</v>
      </c>
      <c r="C31" s="692" t="str">
        <f>Test_Bible!B181</f>
        <v/>
      </c>
      <c r="D31" s="2562" t="s">
        <v>237</v>
      </c>
      <c r="F31" s="2072">
        <f>Test_Bible!D181</f>
        <v>2</v>
      </c>
      <c r="G31" s="2073">
        <f>Test_Bible!P181</f>
        <v>0</v>
      </c>
      <c r="H31" s="1855">
        <f>G31</f>
        <v>0</v>
      </c>
      <c r="I31" s="553">
        <v>0</v>
      </c>
      <c r="J31" s="553">
        <v>1</v>
      </c>
      <c r="K31" s="553" t="s">
        <v>1943</v>
      </c>
      <c r="L31" s="553" t="s">
        <v>1952</v>
      </c>
      <c r="M31" s="2061">
        <v>10</v>
      </c>
      <c r="N31" s="8">
        <f>G31*F31</f>
        <v>0</v>
      </c>
      <c r="O31" s="8"/>
      <c r="P31" s="1895"/>
      <c r="Q31" s="501" t="str">
        <f>IF(OR(C31=" ",$P$34="")," ",IF(O$34&gt;=$P$38,IF(H31&gt;=7,U31," ")," "))</f>
        <v xml:space="preserve"> </v>
      </c>
      <c r="R31" s="501">
        <f>IF(OR(C31=" ",$P$34="")," ",IF(O$21&gt;=$P$38,IF(N31&gt;=O$17,V31," ")," "))</f>
        <v>0</v>
      </c>
      <c r="S31" s="2232"/>
      <c r="T31" s="25"/>
      <c r="U31" s="2296"/>
      <c r="V31" s="2296"/>
      <c r="W31" s="16"/>
      <c r="X31" s="2049">
        <v>0</v>
      </c>
      <c r="Y31" s="2050">
        <v>0</v>
      </c>
      <c r="Z31" s="7">
        <v>1</v>
      </c>
      <c r="AA31" s="7">
        <v>1</v>
      </c>
      <c r="AB31" s="590">
        <v>2</v>
      </c>
      <c r="AC31" s="590">
        <v>3</v>
      </c>
      <c r="AD31" s="7">
        <v>4</v>
      </c>
      <c r="AE31" s="2051">
        <v>10</v>
      </c>
    </row>
    <row r="32" spans="1:42" s="7" customFormat="1" ht="41" customHeight="1">
      <c r="A32" s="287"/>
      <c r="B32" s="7" t="str">
        <f>BIBLE!E132</f>
        <v>PFA29</v>
      </c>
      <c r="C32" s="25" t="str">
        <f>Test_Bible!B221</f>
        <v>L'autre parent prend des décisions sans vous consulter.</v>
      </c>
      <c r="D32" s="2463"/>
      <c r="F32" s="2072">
        <f>Test_Bible!D221</f>
        <v>2</v>
      </c>
      <c r="G32" s="2073">
        <f>Test_Bible!P221</f>
        <v>0</v>
      </c>
      <c r="H32" s="1855">
        <f>G32</f>
        <v>0</v>
      </c>
      <c r="I32" s="1858">
        <v>0</v>
      </c>
      <c r="J32" s="1858" t="s">
        <v>1953</v>
      </c>
      <c r="K32" s="1858" t="s">
        <v>2132</v>
      </c>
      <c r="L32" s="1858" t="s">
        <v>2133</v>
      </c>
      <c r="M32" s="2067">
        <v>10</v>
      </c>
      <c r="N32" s="8">
        <f>G32*F32</f>
        <v>0</v>
      </c>
      <c r="O32" s="8"/>
      <c r="P32" s="1895"/>
      <c r="Q32" s="501" t="str">
        <f>IF(OR(C32=" ",$P$34="")," ",IF(O$34&gt;=$P$38,IF(H32&gt;=7,U32," ")," "))</f>
        <v xml:space="preserve"> </v>
      </c>
      <c r="R32" s="501">
        <f>IF(OR(C32=" ",$P$34="")," ",IF(O$21&gt;=$P$38,IF(N32&gt;=O$17,V32," ")," "))</f>
        <v>0</v>
      </c>
      <c r="S32" s="2232"/>
      <c r="T32" s="25"/>
      <c r="U32" s="2296"/>
      <c r="V32" s="2296"/>
      <c r="W32" s="16"/>
      <c r="X32" s="2049">
        <v>0</v>
      </c>
      <c r="Y32" s="2050">
        <v>0</v>
      </c>
      <c r="Z32" s="7">
        <v>1</v>
      </c>
      <c r="AA32" s="7">
        <v>2</v>
      </c>
      <c r="AB32" s="590">
        <v>3</v>
      </c>
      <c r="AC32" s="590">
        <v>4</v>
      </c>
      <c r="AD32" s="7">
        <v>5</v>
      </c>
      <c r="AE32" s="2051">
        <v>10</v>
      </c>
      <c r="AO32" s="8"/>
      <c r="AP32" s="8"/>
    </row>
    <row r="33" spans="1:31" s="7" customFormat="1" ht="41" customHeight="1">
      <c r="A33" s="1912"/>
      <c r="B33" s="7" t="str">
        <f>BIBLE!E136</f>
        <v>PFA30a</v>
      </c>
      <c r="C33" s="25" t="str">
        <f>Test_Bible!B235</f>
        <v/>
      </c>
      <c r="D33" s="2464"/>
      <c r="F33" s="2072">
        <f>Test_Bible!D235</f>
        <v>3</v>
      </c>
      <c r="G33" s="2073">
        <f>Test_Bible!P235</f>
        <v>0</v>
      </c>
      <c r="H33" s="1855">
        <f>G33</f>
        <v>0</v>
      </c>
      <c r="I33" s="553">
        <v>0</v>
      </c>
      <c r="J33" s="553" t="s">
        <v>1953</v>
      </c>
      <c r="K33" s="553" t="s">
        <v>2132</v>
      </c>
      <c r="L33" s="553" t="s">
        <v>2133</v>
      </c>
      <c r="M33" s="2069">
        <v>10</v>
      </c>
      <c r="N33" s="8">
        <f>G33*F33</f>
        <v>0</v>
      </c>
      <c r="O33" s="8"/>
      <c r="P33" s="1895"/>
      <c r="Q33" s="501" t="str">
        <f>IF(OR(C33=" ",$P$34="")," ",IF(O$34&gt;=$P$38,IF(H33&gt;=7,U33," ")," "))</f>
        <v xml:space="preserve"> </v>
      </c>
      <c r="R33" s="501">
        <f>IF(OR(C33=" ",$P$34="")," ",IF(O$21&gt;=$P$38,IF(N33&gt;=O$17,V33," ")," "))</f>
        <v>0</v>
      </c>
      <c r="S33" s="2232"/>
      <c r="T33" s="25"/>
      <c r="U33" s="2296"/>
      <c r="V33" s="2296"/>
      <c r="W33" s="16"/>
      <c r="X33" s="2049">
        <v>0</v>
      </c>
      <c r="Y33" s="2050">
        <v>0</v>
      </c>
      <c r="Z33" s="7">
        <v>1</v>
      </c>
      <c r="AA33" s="7">
        <v>2</v>
      </c>
      <c r="AB33" s="590">
        <v>3</v>
      </c>
      <c r="AC33" s="590">
        <v>4</v>
      </c>
      <c r="AD33" s="7">
        <v>5</v>
      </c>
      <c r="AE33" s="2051">
        <v>10</v>
      </c>
    </row>
    <row r="34" spans="1:31" s="7" customFormat="1" ht="77.5" customHeight="1">
      <c r="C34" s="25"/>
      <c r="D34" s="2062"/>
      <c r="E34" s="2063"/>
      <c r="F34" s="2074"/>
      <c r="G34" s="2074"/>
      <c r="H34" s="2035"/>
      <c r="I34" s="2034"/>
      <c r="J34" s="2034"/>
      <c r="K34" s="2034"/>
      <c r="L34" s="2034"/>
      <c r="M34" s="2034"/>
      <c r="N34" s="2036"/>
      <c r="O34" s="2038">
        <f>AVERAGE(N31:N33)</f>
        <v>0</v>
      </c>
      <c r="P34" s="1895"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398">
        <f>IF(P34="","",U34)</f>
        <v>0</v>
      </c>
      <c r="R34" s="2398">
        <f>IF(P34="","",V34)</f>
        <v>0</v>
      </c>
      <c r="S34" s="2233" t="s">
        <v>2134</v>
      </c>
      <c r="T34" s="2233" t="s">
        <v>2135</v>
      </c>
      <c r="U34" s="2296"/>
      <c r="V34" s="2313"/>
      <c r="X34" s="2049"/>
      <c r="Y34" s="2050"/>
      <c r="AB34" s="590"/>
      <c r="AC34" s="590"/>
      <c r="AE34" s="2051"/>
    </row>
    <row r="35" spans="1:31" s="7" customFormat="1" ht="56" customHeight="1">
      <c r="A35" s="1912"/>
      <c r="B35" s="21" t="str">
        <f>Test_Bible!A167</f>
        <v>PFA02a</v>
      </c>
      <c r="C35" s="692" t="str">
        <f>Test_Bible!B167</f>
        <v/>
      </c>
      <c r="D35" s="2223"/>
      <c r="F35" s="1275" t="str">
        <f>IF(C35="","",IF(Test_Bible!E167=1,"intentionnelle","inconsciente"))</f>
        <v/>
      </c>
      <c r="G35" s="2073">
        <f>Test_Bible!P167</f>
        <v>0</v>
      </c>
      <c r="H35" s="2031">
        <f>IF(OR(J35="V",K35="V"),10,0)</f>
        <v>0</v>
      </c>
      <c r="I35" s="1275"/>
      <c r="J35" s="1275"/>
      <c r="K35" s="1275" t="str">
        <f>IF($F35="intentionnelle","V","F")</f>
        <v>F</v>
      </c>
      <c r="L35" s="1275" t="str">
        <f>IF($F35="intentionnelle","V","F")</f>
        <v>F</v>
      </c>
      <c r="M35" s="2068">
        <v>10</v>
      </c>
      <c r="N35" s="1275">
        <f>M35</f>
        <v>10</v>
      </c>
      <c r="O35" s="2066"/>
      <c r="P35" s="1895"/>
      <c r="Q35" s="501" t="str">
        <f>IF(C35=" ","",IF(F35="intentionnelle",U35,""))</f>
        <v/>
      </c>
      <c r="R35" s="501" t="str">
        <f>IF(C35=" ","",IF(F35="intentionnelle",V35,""))</f>
        <v/>
      </c>
      <c r="S35" s="2232"/>
      <c r="T35" s="25"/>
      <c r="U35" s="2296"/>
      <c r="V35" s="2296"/>
      <c r="W35" s="16"/>
      <c r="X35" s="2049"/>
      <c r="Y35" s="2050"/>
      <c r="Z35" s="8"/>
      <c r="AA35" s="8"/>
      <c r="AB35" s="2050">
        <v>10</v>
      </c>
      <c r="AC35" s="2050">
        <v>10</v>
      </c>
      <c r="AD35" s="8">
        <v>10</v>
      </c>
      <c r="AE35" s="2064">
        <v>10</v>
      </c>
    </row>
    <row r="36" spans="1:31" s="7" customFormat="1" ht="83" customHeight="1">
      <c r="A36" s="1912"/>
      <c r="B36" s="21" t="str">
        <f>BIBLE!E126</f>
        <v>PFA25a</v>
      </c>
      <c r="C36" s="692" t="str">
        <f>Test_Bible!B212</f>
        <v/>
      </c>
      <c r="D36" s="2223"/>
      <c r="F36" s="1275" t="str">
        <f>IF(C36="","",IF(Test_Bible!P212=1,"normal","nouveau"))</f>
        <v/>
      </c>
      <c r="G36" s="2073">
        <f>Test_Bible!P212</f>
        <v>0</v>
      </c>
      <c r="H36" s="2031">
        <f>IF(OR(J36="V",K36="V"),10,0)</f>
        <v>0</v>
      </c>
      <c r="I36" s="1275"/>
      <c r="J36" s="1275"/>
      <c r="K36" s="1275" t="str">
        <f>IF($F36="nouveau","V","F")</f>
        <v>F</v>
      </c>
      <c r="L36" s="1275" t="str">
        <f>IF($F36="nouveau","V","F")</f>
        <v>F</v>
      </c>
      <c r="M36" s="2068">
        <v>10</v>
      </c>
      <c r="N36" s="1275">
        <f>M36</f>
        <v>10</v>
      </c>
      <c r="O36" s="21"/>
      <c r="P36" s="1895"/>
      <c r="Q36" s="501" t="str">
        <f>IF(C36=" ","",IF(F36="nouveau",U36,""))</f>
        <v/>
      </c>
      <c r="R36" s="501" t="str">
        <f>IF(C36=" ","",IF(F36="nouveau",V36,""))</f>
        <v/>
      </c>
      <c r="S36" s="2232"/>
      <c r="T36" s="25"/>
      <c r="U36" s="2296"/>
      <c r="V36" s="2296" t="s">
        <v>2136</v>
      </c>
      <c r="W36" s="16"/>
      <c r="X36" s="2049"/>
      <c r="Y36" s="2050"/>
      <c r="Z36" s="8"/>
      <c r="AA36" s="8"/>
      <c r="AB36" s="2050">
        <v>10</v>
      </c>
      <c r="AC36" s="2050">
        <v>10</v>
      </c>
      <c r="AD36" s="8">
        <v>10</v>
      </c>
      <c r="AE36" s="2064">
        <v>10</v>
      </c>
    </row>
    <row r="37" spans="1:31" ht="23" customHeight="1" thickBot="1">
      <c r="G37" s="1901"/>
      <c r="H37" s="1311">
        <f>H13 + H14 + H15 + H16 + H17 + H18 + H19 + H20 + H21 + H22 + H23 + H24 + H25 + H26 + H27 + H28 + H29 + H30 + H31 + H32 + H33 + H34 + H35</f>
        <v>0</v>
      </c>
      <c r="I37" s="2554" t="s">
        <v>1967</v>
      </c>
      <c r="J37" s="2555"/>
      <c r="K37" s="2555"/>
      <c r="L37" s="2555"/>
      <c r="M37" s="2556"/>
      <c r="U37" s="2058" t="s">
        <v>1970</v>
      </c>
      <c r="X37" s="1906"/>
      <c r="Y37" s="1809"/>
      <c r="Z37" s="5"/>
      <c r="AA37" s="5"/>
      <c r="AB37" s="1809"/>
      <c r="AC37" s="1809"/>
      <c r="AD37" s="5"/>
      <c r="AE37" s="1903"/>
    </row>
    <row r="38" spans="1:31" ht="23" customHeight="1">
      <c r="H38" s="2147" t="str">
        <f>VLOOKUP(H37,AG14:AI30,3)</f>
        <v>Aucun signe</v>
      </c>
      <c r="I38" s="1902" t="str">
        <f>AG14&amp;" - "&amp;AH14</f>
        <v>0 - 27</v>
      </c>
      <c r="J38" s="1374" t="str">
        <f>AG15&amp;" - "&amp;AH15</f>
        <v>28 - 63</v>
      </c>
      <c r="K38" s="1374" t="str">
        <f>AG16&amp;" - "&amp;AH16</f>
        <v>64 - 122</v>
      </c>
      <c r="L38" s="1374" t="str">
        <f>AG17&amp;" - "&amp;AH17</f>
        <v>123 - 180</v>
      </c>
      <c r="M38" s="1298" t="s">
        <v>1968</v>
      </c>
      <c r="O38" t="s">
        <v>1971</v>
      </c>
      <c r="P38" s="90">
        <f>AVERAGE(O17,O21,O26,O30,O34)</f>
        <v>0</v>
      </c>
      <c r="U38" s="2058"/>
      <c r="X38" s="1906"/>
      <c r="Y38" s="1809"/>
      <c r="Z38" s="5"/>
      <c r="AA38" s="5"/>
      <c r="AB38" s="1809"/>
      <c r="AC38" s="1809"/>
      <c r="AD38" s="5"/>
      <c r="AE38" s="1903"/>
    </row>
    <row r="39" spans="1:31" ht="23" customHeight="1" thickBot="1">
      <c r="I39" s="1299"/>
      <c r="J39" s="64"/>
      <c r="K39" s="64"/>
      <c r="L39" s="64"/>
      <c r="M39" s="1300">
        <f>AE39</f>
        <v>180</v>
      </c>
      <c r="X39" s="1908">
        <f t="shared" ref="X39:AE39" si="0">SUM(X13:X35)</f>
        <v>0</v>
      </c>
      <c r="Y39" s="1909">
        <f t="shared" si="0"/>
        <v>27</v>
      </c>
      <c r="Z39" s="1904">
        <f t="shared" si="0"/>
        <v>42</v>
      </c>
      <c r="AA39" s="1904">
        <f t="shared" si="0"/>
        <v>63</v>
      </c>
      <c r="AB39" s="1909">
        <f t="shared" si="0"/>
        <v>90</v>
      </c>
      <c r="AC39" s="1909">
        <f t="shared" si="0"/>
        <v>122</v>
      </c>
      <c r="AD39" s="1904">
        <f t="shared" si="0"/>
        <v>133</v>
      </c>
      <c r="AE39" s="1905">
        <f t="shared" si="0"/>
        <v>180</v>
      </c>
    </row>
    <row r="40" spans="1:31" ht="24" customHeight="1">
      <c r="R40" s="57"/>
      <c r="S40" s="1253" t="str">
        <f>S10</f>
        <v>Résultat : "Possible"</v>
      </c>
      <c r="T40" s="1253" t="str">
        <f>T10</f>
        <v>Résultat : "Probable"</v>
      </c>
    </row>
    <row r="41" spans="1:31" ht="108" customHeight="1">
      <c r="I41" s="90"/>
      <c r="M41" s="7" t="s">
        <v>2094</v>
      </c>
      <c r="P41" s="1895">
        <f>IF(HLOOKUP(1,$S$11:$T$42,31),"",HLOOKUP(1,$S$11:$T$42,31))</f>
        <v>0</v>
      </c>
      <c r="Q41" s="2399"/>
      <c r="R41" s="2399"/>
      <c r="S41" s="2187"/>
      <c r="T41" s="2187"/>
    </row>
    <row r="42" spans="1:31" ht="105" customHeight="1">
      <c r="I42" s="90"/>
      <c r="M42" t="s">
        <v>53</v>
      </c>
      <c r="S42" s="2407" t="s">
        <v>2137</v>
      </c>
      <c r="T42" s="2408"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I37:M37"/>
    <mergeCell ref="U8:V8"/>
    <mergeCell ref="I9:M9"/>
    <mergeCell ref="D13:D16"/>
    <mergeCell ref="D31:D33"/>
    <mergeCell ref="P8:R8"/>
    <mergeCell ref="S9:T9"/>
    <mergeCell ref="X9:AE9"/>
    <mergeCell ref="D18:D20"/>
    <mergeCell ref="X10:Y10"/>
    <mergeCell ref="Z10:AA10"/>
    <mergeCell ref="AD10:AE10"/>
    <mergeCell ref="AB10:AC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workbookViewId="0">
      <selection activeCell="I8" sqref="I8"/>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7" t="s">
        <v>2055</v>
      </c>
    </row>
    <row r="2" spans="1:26" ht="53" customHeight="1">
      <c r="A2" s="407" t="s">
        <v>1895</v>
      </c>
      <c r="C2" s="2160" t="s">
        <v>2138</v>
      </c>
      <c r="D2" s="1446"/>
      <c r="E2" s="1447"/>
      <c r="F2" s="1446"/>
      <c r="G2" s="1446"/>
      <c r="H2" s="2413"/>
      <c r="I2" s="1752"/>
      <c r="J2" s="1752"/>
      <c r="K2" s="1752"/>
      <c r="L2" s="1752"/>
      <c r="M2" s="2452"/>
    </row>
    <row r="3" spans="1:26" ht="18" customHeight="1">
      <c r="A3" s="407"/>
      <c r="C3" s="80"/>
      <c r="H3" s="1752"/>
      <c r="I3" s="1752"/>
      <c r="J3" s="1752"/>
      <c r="K3" s="1752"/>
      <c r="L3" s="1752"/>
      <c r="M3" s="2452"/>
    </row>
    <row r="4" spans="1:26" ht="23" customHeight="1">
      <c r="A4" s="1717"/>
      <c r="D4" s="3" t="s">
        <v>1716</v>
      </c>
      <c r="E4" s="3"/>
      <c r="F4" s="3"/>
      <c r="G4" s="3"/>
      <c r="H4" s="3"/>
      <c r="I4" s="2146"/>
      <c r="J4" s="2146"/>
      <c r="K4" s="2146"/>
      <c r="L4" s="3"/>
      <c r="M4" s="1"/>
      <c r="N4" s="2415"/>
      <c r="O4" s="2415"/>
      <c r="P4" s="2415"/>
      <c r="Q4" s="5"/>
      <c r="R4" s="700"/>
      <c r="S4" s="2576" t="s">
        <v>2139</v>
      </c>
      <c r="T4" s="2122" t="s">
        <v>2140</v>
      </c>
      <c r="U4" s="277"/>
      <c r="V4" s="2122"/>
      <c r="W4" s="2192"/>
      <c r="X4" s="2122"/>
      <c r="Y4" s="2122"/>
      <c r="Z4" s="1752"/>
    </row>
    <row r="5" spans="1:26" ht="23" customHeight="1">
      <c r="A5" s="1717"/>
      <c r="C5" s="4"/>
      <c r="D5" s="700" t="s">
        <v>1675</v>
      </c>
      <c r="E5" s="700" t="s">
        <v>1676</v>
      </c>
      <c r="F5" s="5"/>
      <c r="G5" s="5"/>
      <c r="H5" s="291" t="s">
        <v>1488</v>
      </c>
      <c r="I5" s="1900"/>
      <c r="J5" s="1900"/>
      <c r="K5" s="1900"/>
      <c r="L5" s="291"/>
      <c r="N5" s="831"/>
      <c r="O5" s="831"/>
      <c r="P5" s="831"/>
      <c r="Q5" s="5"/>
      <c r="R5" s="700"/>
      <c r="S5" s="2458"/>
      <c r="T5" s="2122"/>
      <c r="U5" s="277"/>
      <c r="V5" s="2193" t="s">
        <v>2141</v>
      </c>
      <c r="W5" s="2193" t="s">
        <v>2142</v>
      </c>
      <c r="X5" s="2193" t="s">
        <v>2143</v>
      </c>
      <c r="Y5" s="2122"/>
      <c r="Z5" s="1752"/>
    </row>
    <row r="6" spans="1:26" ht="23" customHeight="1">
      <c r="A6" s="1717"/>
      <c r="C6" s="4"/>
      <c r="D6" s="700"/>
      <c r="E6" s="1798">
        <v>0.25</v>
      </c>
      <c r="F6" s="1798">
        <v>0.38</v>
      </c>
      <c r="G6" s="1798">
        <f>1-E6-F6</f>
        <v>0.37</v>
      </c>
      <c r="H6" s="291"/>
      <c r="I6" s="1900"/>
      <c r="J6" s="1900"/>
      <c r="K6" s="1900"/>
      <c r="L6" s="291"/>
      <c r="N6" s="831"/>
      <c r="O6" s="831"/>
      <c r="P6" s="831"/>
      <c r="Q6" s="5"/>
      <c r="R6" s="700"/>
      <c r="S6" s="2458"/>
      <c r="T6" s="2122"/>
      <c r="U6" s="277" t="s">
        <v>2144</v>
      </c>
      <c r="V6" s="2192">
        <f>'Modèle Calcul A-R + Sommaire'!AG28</f>
        <v>0</v>
      </c>
      <c r="W6" s="2192">
        <f>'Modèle Calcul A-R + Sommaire'!AH28</f>
        <v>0</v>
      </c>
      <c r="X6" s="2192">
        <f>'Modèle Calcul A-R + Sommaire'!AI28</f>
        <v>0</v>
      </c>
      <c r="Y6" s="2122"/>
      <c r="Z6" s="1752"/>
    </row>
    <row r="7" spans="1:26" ht="23" customHeight="1">
      <c r="A7" s="1717"/>
      <c r="C7" s="589" t="s">
        <v>10</v>
      </c>
      <c r="D7" s="700" t="s">
        <v>1681</v>
      </c>
      <c r="E7" s="700" t="s">
        <v>1682</v>
      </c>
      <c r="F7" s="5" t="s">
        <v>1683</v>
      </c>
      <c r="G7" s="5" t="s">
        <v>1684</v>
      </c>
      <c r="H7" s="1757"/>
      <c r="I7" s="2417"/>
      <c r="J7" s="2417"/>
      <c r="K7" s="2417"/>
      <c r="L7" s="1757"/>
      <c r="M7" s="90"/>
      <c r="N7" s="700"/>
      <c r="O7" s="700"/>
      <c r="P7" s="700"/>
      <c r="Q7" s="5"/>
      <c r="R7" s="700"/>
      <c r="S7" s="2458"/>
      <c r="T7" s="2122"/>
      <c r="U7" s="2122" t="s">
        <v>1705</v>
      </c>
      <c r="V7" s="2192">
        <f>'Modèle Calcul A-R + Sommaire'!AG27</f>
        <v>0</v>
      </c>
      <c r="W7" s="2192">
        <f>'Modèle Calcul A-R + Sommaire'!AH27</f>
        <v>0</v>
      </c>
      <c r="X7" s="2192">
        <f>'Modèle Calcul A-R + Sommaire'!AI27</f>
        <v>0</v>
      </c>
      <c r="Y7" s="2122"/>
    </row>
    <row r="8" spans="1:26" ht="23" customHeight="1">
      <c r="A8" s="1717"/>
      <c r="B8" t="s">
        <v>1717</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7">
        <f>IF(AND($C$8&gt;=E8,$C$8&lt;F8),2,IF(AND($C$8&gt;=F8,$C$8&lt;G8),3,IF($C$8&gt;=G8,4,1)))</f>
        <v>1</v>
      </c>
      <c r="J8" s="2417"/>
      <c r="K8" s="2417"/>
      <c r="L8" s="1757"/>
      <c r="M8" s="90"/>
      <c r="N8" s="700"/>
      <c r="O8" s="700"/>
      <c r="P8" s="700"/>
      <c r="Q8" s="5"/>
      <c r="R8" s="700"/>
    </row>
    <row r="9" spans="1:26" ht="33" customHeight="1">
      <c r="A9" s="1717"/>
      <c r="C9" s="1883" t="str">
        <f>IF(I8=1,"Stade léger",IF(I8=2,"Stade modéré",IF(I8=3,"Stade sévère","Ne semble pas contribuer négativement à la dynamique de coparentalité")))</f>
        <v>Stade léger</v>
      </c>
      <c r="H9" s="1752"/>
      <c r="I9" s="1752"/>
      <c r="J9" s="1752"/>
      <c r="K9" s="1752"/>
      <c r="L9" s="1752"/>
      <c r="M9" s="2452"/>
    </row>
    <row r="10" spans="1:26" ht="50" customHeight="1">
      <c r="A10" s="407" t="s">
        <v>1898</v>
      </c>
      <c r="C10" s="1446" t="s">
        <v>2145</v>
      </c>
      <c r="D10" s="1446"/>
      <c r="E10" s="1447"/>
      <c r="F10" s="2414"/>
      <c r="G10" s="2414"/>
      <c r="H10" s="2414"/>
      <c r="I10" s="2561" t="s">
        <v>1906</v>
      </c>
      <c r="J10" s="2574"/>
      <c r="K10" s="2501"/>
      <c r="L10" s="2149"/>
      <c r="M10" s="1751"/>
      <c r="Q10" s="2577"/>
      <c r="R10" s="2574"/>
    </row>
    <row r="11" spans="1:26" ht="21" customHeight="1">
      <c r="H11" s="291"/>
      <c r="I11" s="2183" t="s">
        <v>345</v>
      </c>
      <c r="J11" s="2183" t="s">
        <v>346</v>
      </c>
      <c r="K11" s="2183" t="s">
        <v>2061</v>
      </c>
      <c r="L11" s="2356"/>
      <c r="M11" s="2416" t="s">
        <v>1987</v>
      </c>
      <c r="N11" s="2416" t="s">
        <v>1987</v>
      </c>
      <c r="O11" s="2416" t="s">
        <v>1987</v>
      </c>
      <c r="P11" s="2416" t="s">
        <v>1987</v>
      </c>
      <c r="Q11" s="2553" t="s">
        <v>1988</v>
      </c>
      <c r="R11" s="2574"/>
      <c r="S11" s="16"/>
      <c r="T11" s="2185"/>
      <c r="U11" s="5"/>
      <c r="V11" s="13"/>
    </row>
    <row r="12" spans="1:26" ht="62" customHeight="1">
      <c r="B12" t="s">
        <v>289</v>
      </c>
      <c r="C12" s="8" t="s">
        <v>1709</v>
      </c>
      <c r="D12" s="2070" t="s">
        <v>2101</v>
      </c>
      <c r="E12" s="2071" t="s">
        <v>64</v>
      </c>
      <c r="F12" s="2182" t="s">
        <v>2146</v>
      </c>
      <c r="G12" s="2182" t="s">
        <v>2146</v>
      </c>
      <c r="H12" s="54" t="s">
        <v>2147</v>
      </c>
      <c r="I12" s="2262"/>
      <c r="J12" s="2262"/>
      <c r="K12" s="2262"/>
      <c r="L12" s="2262"/>
      <c r="M12" s="2345" t="s">
        <v>2148</v>
      </c>
      <c r="N12" s="16" t="s">
        <v>18</v>
      </c>
      <c r="O12" s="16" t="s">
        <v>19</v>
      </c>
      <c r="P12" s="16" t="s">
        <v>20</v>
      </c>
      <c r="Q12" s="8" t="s">
        <v>346</v>
      </c>
      <c r="R12" s="16" t="s">
        <v>2061</v>
      </c>
      <c r="T12" s="16"/>
      <c r="U12" s="16"/>
      <c r="V12" s="13"/>
    </row>
    <row r="13" spans="1:26" ht="18" customHeight="1">
      <c r="C13" s="8"/>
      <c r="D13" s="2070"/>
      <c r="E13" s="2071"/>
      <c r="F13" s="2182"/>
      <c r="G13" s="2182"/>
      <c r="H13" s="54"/>
      <c r="I13" s="2262"/>
      <c r="J13" s="2262"/>
      <c r="K13" s="2262"/>
      <c r="L13" s="2262"/>
      <c r="M13" s="2345">
        <v>1</v>
      </c>
      <c r="N13" s="16">
        <v>2</v>
      </c>
      <c r="O13" s="16">
        <v>3</v>
      </c>
      <c r="P13" s="16">
        <v>4</v>
      </c>
      <c r="Q13" s="8"/>
      <c r="R13" s="16"/>
      <c r="T13" s="16"/>
      <c r="U13" s="16"/>
      <c r="V13" s="13"/>
    </row>
    <row r="14" spans="1:26" ht="195" customHeight="1">
      <c r="C14" s="8"/>
      <c r="D14" s="2070"/>
      <c r="E14" s="2071"/>
      <c r="F14" s="2182"/>
      <c r="G14" s="2263" t="s">
        <v>1600</v>
      </c>
      <c r="H14" s="54"/>
      <c r="I14" s="2400" t="str">
        <f>IF($I$8,HLOOKUP($I$8,$M$13:$P$42,2),"")</f>
        <v>L’analyse des réponses obtenues aux questionnaires révèle une &lt;strong&gt;  implication saine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7" t="str">
        <f>BIBLE!R217</f>
        <v>Le nouveau ou nouvelle conjointe·e joue un rôle de confident</v>
      </c>
      <c r="D15" s="2171">
        <f>Test_Bible!D404</f>
        <v>0</v>
      </c>
      <c r="E15" s="2171">
        <f>Test_Bible!P404</f>
        <v>0</v>
      </c>
      <c r="F15" s="2172">
        <f>BIBLE!Q217</f>
        <v>0</v>
      </c>
      <c r="G15" s="2172">
        <f>MAX(F15:F16)</f>
        <v>0</v>
      </c>
      <c r="H15" s="2578" t="s">
        <v>239</v>
      </c>
      <c r="I15" s="826"/>
      <c r="J15" s="2400" t="e">
        <f>IF(OR($I$17="",Q15=""),"",Q15)</f>
        <v>#N/A</v>
      </c>
      <c r="K15" s="2400" t="e">
        <f>IF(OR($I$17="",R15=""),"",R15)</f>
        <v>#N/A</v>
      </c>
      <c r="M15" s="11"/>
      <c r="N15" s="826"/>
      <c r="O15" s="826"/>
      <c r="P15" s="826"/>
      <c r="Q15" s="826"/>
      <c r="R15" s="2172"/>
      <c r="S15" s="2172"/>
      <c r="T15" s="2172"/>
      <c r="U15" s="2172"/>
    </row>
    <row r="16" spans="1:26" s="82" customFormat="1" ht="62" customHeight="1">
      <c r="A16" s="2194" t="s">
        <v>1364</v>
      </c>
      <c r="B16" s="2194" t="str">
        <f>BIBLE!V218</f>
        <v>A:Alliance</v>
      </c>
      <c r="C16" s="2195" t="str">
        <f>BIBLE!R218</f>
        <v>Le rôle de confident de la nouveau ou nouvelle conjointe·e n'est pas sain</v>
      </c>
      <c r="D16" s="2196">
        <f>Test_Bible!D405</f>
        <v>2</v>
      </c>
      <c r="E16" s="2196">
        <f>Test_Bible!P405</f>
        <v>0</v>
      </c>
      <c r="F16" s="2197">
        <f>BIBLE!Q218</f>
        <v>0</v>
      </c>
      <c r="G16" s="2197"/>
      <c r="H16" s="2464"/>
      <c r="I16" s="1837"/>
      <c r="J16" s="2400" t="e">
        <f>IF(OR($I$17="",Q16=""),"",Q16)</f>
        <v>#N/A</v>
      </c>
      <c r="K16" s="2400" t="e">
        <f>IF(OR($I$17="",R16=""),"",R16)</f>
        <v>#N/A</v>
      </c>
      <c r="L16" s="2171"/>
      <c r="M16" s="2172"/>
      <c r="N16" s="826"/>
      <c r="O16" s="826"/>
      <c r="P16" s="826"/>
      <c r="Q16" s="826"/>
      <c r="R16" s="2278" t="s">
        <v>2153</v>
      </c>
      <c r="S16" s="2172"/>
      <c r="T16" s="2172"/>
      <c r="U16" s="2172"/>
    </row>
    <row r="17" spans="1:21" s="82" customFormat="1" ht="68" customHeight="1">
      <c r="A17" s="2173"/>
      <c r="B17" s="2173"/>
      <c r="C17" s="2174"/>
      <c r="D17" s="2174"/>
      <c r="E17" s="2174"/>
      <c r="F17" s="2175"/>
      <c r="G17" s="2172"/>
      <c r="H17" s="2170">
        <f>AVERAGE(G15:G16)</f>
        <v>0</v>
      </c>
      <c r="I17" s="2400" t="e">
        <f>IF(H17&gt;=$H$40,HLOOKUP($I$8,$N$13:$P$42,5),"")</f>
        <v>#N/A</v>
      </c>
      <c r="J17" s="2400" t="e">
        <f>IF(OR(I17="",Q17=""),"",Q17)</f>
        <v>#N/A</v>
      </c>
      <c r="K17" s="2400" t="e">
        <f>IF(OR(I17="",R17=""),"",R17)</f>
        <v>#N/A</v>
      </c>
      <c r="L17" s="2171"/>
      <c r="M17" s="2172"/>
      <c r="N17" s="2278" t="s">
        <v>2154</v>
      </c>
      <c r="O17" s="2278" t="s">
        <v>2155</v>
      </c>
      <c r="P17" s="2278" t="s">
        <v>2156</v>
      </c>
      <c r="Q17" s="826"/>
      <c r="R17" s="2172"/>
      <c r="S17" s="2172"/>
      <c r="T17" s="2172"/>
      <c r="U17" s="2172"/>
    </row>
    <row r="18" spans="1:21" s="82" customFormat="1" ht="49" customHeight="1">
      <c r="A18" s="2401" t="s">
        <v>1369</v>
      </c>
      <c r="B18" s="2176" t="str">
        <f>BIBLE!V87</f>
        <v>Altération ou dévoiement de la réalité</v>
      </c>
      <c r="C18" s="2177" t="str">
        <f>BIBLE!R87</f>
        <v>Laisse entendre à l'enfant qu'il n'est pas en sécurité avec l'autre parent</v>
      </c>
      <c r="D18" s="2178">
        <f>Test_Bible!D406</f>
        <v>2</v>
      </c>
      <c r="E18" s="2178">
        <f>Test_Bible!P406</f>
        <v>0</v>
      </c>
      <c r="F18" s="2179">
        <f>BIBLE!Q219</f>
        <v>0</v>
      </c>
      <c r="G18" s="2179">
        <f>F18</f>
        <v>0</v>
      </c>
      <c r="H18" s="2451" t="s">
        <v>240</v>
      </c>
      <c r="I18" s="826"/>
      <c r="J18" s="2400" t="e">
        <f>IF(OR($I$19="",Q18=""),"",Q18)</f>
        <v>#N/A</v>
      </c>
      <c r="K18" s="2400" t="e">
        <f>IF(OR($I$19="",R18=""),"",R18)</f>
        <v>#N/A</v>
      </c>
      <c r="M18" s="11"/>
      <c r="N18" s="826"/>
      <c r="O18" s="826"/>
      <c r="P18" s="826"/>
      <c r="Q18" s="826"/>
      <c r="R18" s="2278" t="s">
        <v>2157</v>
      </c>
      <c r="S18" s="2172"/>
      <c r="T18" s="2172"/>
      <c r="U18" s="2172"/>
    </row>
    <row r="19" spans="1:21" s="82" customFormat="1" ht="46.5" customHeight="1">
      <c r="A19" s="2176"/>
      <c r="B19" s="2176"/>
      <c r="C19" s="2177"/>
      <c r="D19" s="2178"/>
      <c r="E19" s="2178"/>
      <c r="F19" s="2179"/>
      <c r="G19" s="2172"/>
      <c r="H19" s="2170">
        <f>AVERAGE(G18)</f>
        <v>0</v>
      </c>
      <c r="I19" s="2400" t="e">
        <f>IF(H19&gt;=$H$40,HLOOKUP($I$8,$N$13:$P$42,7),"")</f>
        <v>#N/A</v>
      </c>
      <c r="J19" s="2400" t="e">
        <f>IF(OR(I19="",Q19=""),"",Q19)</f>
        <v>#N/A</v>
      </c>
      <c r="K19" s="2400" t="e">
        <f>IF(OR(I19="",R19=""),"",R19)</f>
        <v>#N/A</v>
      </c>
      <c r="L19" s="2171"/>
      <c r="M19" s="2172"/>
      <c r="N19" s="826"/>
      <c r="O19" s="2278" t="s">
        <v>2158</v>
      </c>
      <c r="P19" s="2278" t="s">
        <v>2159</v>
      </c>
      <c r="Q19" s="826"/>
      <c r="R19" s="2172"/>
      <c r="S19" s="2172"/>
      <c r="T19" s="2172"/>
      <c r="U19" s="2172"/>
    </row>
    <row r="20" spans="1:21" s="82" customFormat="1" ht="139.5" customHeight="1">
      <c r="A20" s="2176" t="s">
        <v>1374</v>
      </c>
      <c r="B20" s="2176" t="str">
        <f>BIBLE!V56</f>
        <v>Chantage affectif, manipulation</v>
      </c>
      <c r="C20" s="2180" t="str">
        <f>BIBLE!R56</f>
        <v>Ne salue pas l'autre arent lorsqu'il ou elle le croise</v>
      </c>
      <c r="D20" s="2176">
        <f>Test_Bible!D407</f>
        <v>1</v>
      </c>
      <c r="E20" s="2178">
        <f>Test_Bible!P407</f>
        <v>0</v>
      </c>
      <c r="F20" s="2179">
        <f>BIBLE!Q220</f>
        <v>0</v>
      </c>
      <c r="G20" s="2179">
        <f>F20</f>
        <v>0</v>
      </c>
      <c r="H20" s="2451" t="s">
        <v>241</v>
      </c>
      <c r="I20" s="826"/>
      <c r="J20" s="2400" t="e">
        <f>IF(OR($I$21="non prioritaire",Q20=""),"",Q20)</f>
        <v>#N/A</v>
      </c>
      <c r="K20" s="2400" t="e">
        <f>IF(OR($I$21="non prioritaire",R20=""),"",R20)</f>
        <v>#N/A</v>
      </c>
      <c r="M20" s="11"/>
      <c r="N20" s="826"/>
      <c r="O20" s="826"/>
      <c r="P20" s="826"/>
      <c r="Q20" s="826"/>
      <c r="R20" s="2441" t="s">
        <v>2160</v>
      </c>
      <c r="S20" s="2172"/>
      <c r="T20" s="2172"/>
      <c r="U20" s="2172"/>
    </row>
    <row r="21" spans="1:21" s="82" customFormat="1" ht="93" customHeight="1">
      <c r="C21" s="826"/>
      <c r="F21" s="2172"/>
      <c r="G21" s="2172"/>
      <c r="H21" s="2170">
        <f>AVERAGE(G20)</f>
        <v>0</v>
      </c>
      <c r="I21" s="2400" t="e">
        <f>IF(H21&gt;=$H$40,HLOOKUP($I$8,$N$13:$P$42,9),"")</f>
        <v>#N/A</v>
      </c>
      <c r="J21" s="2400" t="e">
        <f>IF(OR(I21="",Q21=""),"",Q21)</f>
        <v>#N/A</v>
      </c>
      <c r="K21" s="2400" t="e">
        <f>IF(OR(I21="",R21=""),"",R21)</f>
        <v>#N/A</v>
      </c>
      <c r="L21" s="2171"/>
      <c r="M21" s="2172"/>
      <c r="N21" s="2278" t="s">
        <v>2161</v>
      </c>
      <c r="O21" s="2278" t="s">
        <v>2162</v>
      </c>
      <c r="P21" s="2278" t="s">
        <v>2163</v>
      </c>
      <c r="Q21" s="2442"/>
      <c r="R21" s="2172"/>
      <c r="S21" s="2172"/>
      <c r="T21" s="2172"/>
      <c r="U21" s="2172"/>
    </row>
    <row r="22" spans="1:21" s="82" customFormat="1" ht="34" customHeight="1">
      <c r="A22" s="82" t="s">
        <v>1383</v>
      </c>
      <c r="B22" s="82" t="str">
        <f>BIBLE!V222</f>
        <v>Dénigrement</v>
      </c>
      <c r="C22" s="1837" t="str">
        <f>BIBLE!R222</f>
        <v>Dénigre les compétences parentales de l'autre</v>
      </c>
      <c r="D22" s="2171">
        <f>Test_Bible!D414</f>
        <v>3</v>
      </c>
      <c r="E22" s="2171">
        <f>Test_Bible!P414</f>
        <v>0</v>
      </c>
      <c r="F22" s="2172">
        <f>BIBLE!Q222</f>
        <v>0</v>
      </c>
      <c r="G22" s="2172">
        <f>MAX(F22:F23)</f>
        <v>0</v>
      </c>
      <c r="H22" s="2562" t="s">
        <v>242</v>
      </c>
      <c r="I22" s="1837"/>
      <c r="J22" s="2400" t="e">
        <f t="shared" ref="J22:K24" si="0">IF(OR($I$25="",Q22=""),"",Q22)</f>
        <v>#N/A</v>
      </c>
      <c r="K22" s="2400" t="e">
        <f t="shared" si="0"/>
        <v>#N/A</v>
      </c>
      <c r="L22" s="2171"/>
      <c r="M22" s="2172"/>
      <c r="N22" s="826"/>
      <c r="O22" s="826"/>
      <c r="P22" s="826"/>
      <c r="Q22" s="826"/>
      <c r="R22" s="2172"/>
      <c r="S22" s="2172"/>
      <c r="T22" s="2172"/>
      <c r="U22" s="2172"/>
    </row>
    <row r="23" spans="1:21" s="82" customFormat="1" ht="62" customHeight="1">
      <c r="A23" s="2402" t="s">
        <v>1389</v>
      </c>
      <c r="B23" s="2198" t="str">
        <f>BIBLE!V100</f>
        <v>Dénigrement</v>
      </c>
      <c r="C23" s="2199" t="str">
        <f>BIBLE!R100</f>
        <v>Dénigre l'autre parent devant l'enfant</v>
      </c>
      <c r="D23" s="2200">
        <f>Test_Bible!D415</f>
        <v>3</v>
      </c>
      <c r="E23" s="2200">
        <f>Test_Bible!P415</f>
        <v>0</v>
      </c>
      <c r="F23" s="2201">
        <f>BIBLE!Q223</f>
        <v>0</v>
      </c>
      <c r="G23" s="2201"/>
      <c r="H23" s="2463"/>
      <c r="I23" s="826"/>
      <c r="J23" s="2400" t="e">
        <f t="shared" si="0"/>
        <v>#N/A</v>
      </c>
      <c r="K23" s="2400" t="e">
        <f t="shared" si="0"/>
        <v>#N/A</v>
      </c>
      <c r="M23" s="11"/>
      <c r="N23" s="826"/>
      <c r="O23" s="826"/>
      <c r="P23" s="826"/>
      <c r="Q23" s="826"/>
      <c r="R23" s="2278" t="s">
        <v>2164</v>
      </c>
      <c r="S23" s="2172"/>
      <c r="T23" s="2172"/>
      <c r="U23" s="2172"/>
    </row>
    <row r="24" spans="1:21" s="82" customFormat="1" ht="34" customHeight="1">
      <c r="A24" s="2173" t="s">
        <v>1396</v>
      </c>
      <c r="B24" s="2173" t="str">
        <f>BIBLE!V104</f>
        <v>Dénigrement</v>
      </c>
      <c r="C24" s="2181" t="str">
        <f>BIBLE!R104</f>
        <v>Dénigre la nouvelle famille</v>
      </c>
      <c r="D24" s="2174">
        <f>Test_Bible!D416</f>
        <v>3</v>
      </c>
      <c r="E24" s="2174">
        <f>Test_Bible!P416</f>
        <v>0</v>
      </c>
      <c r="F24" s="2175">
        <f>BIBLE!Q224</f>
        <v>0</v>
      </c>
      <c r="G24" s="2175">
        <f>F24</f>
        <v>0</v>
      </c>
      <c r="H24" s="2464"/>
      <c r="I24" s="826"/>
      <c r="J24" s="2400" t="e">
        <f t="shared" si="0"/>
        <v>#N/A</v>
      </c>
      <c r="K24" s="2400" t="e">
        <f t="shared" si="0"/>
        <v>#N/A</v>
      </c>
      <c r="M24" s="11"/>
      <c r="N24" s="826"/>
      <c r="O24" s="826"/>
      <c r="P24" s="826"/>
      <c r="Q24" s="826"/>
      <c r="R24" s="2172"/>
      <c r="S24" s="2172"/>
      <c r="T24" s="2172"/>
      <c r="U24" s="2172"/>
    </row>
    <row r="25" spans="1:21" s="82" customFormat="1" ht="93" customHeight="1">
      <c r="C25" s="1837"/>
      <c r="D25" s="2171"/>
      <c r="E25" s="2171"/>
      <c r="F25" s="2172"/>
      <c r="G25" s="2172"/>
      <c r="H25" s="2170">
        <f>AVERAGE(G22:G24)</f>
        <v>0</v>
      </c>
      <c r="I25" s="2400" t="e">
        <f>IF(H25&gt;=$H$40,HLOOKUP($I$8,$N$13:$P$42,13),"")</f>
        <v>#N/A</v>
      </c>
      <c r="J25" s="2400" t="e">
        <f>IF(OR(I25="",Q25=""),"",Q25)</f>
        <v>#N/A</v>
      </c>
      <c r="K25" s="2400" t="e">
        <f>IF(OR(I25="",R25=""),"",R25)</f>
        <v>#N/A</v>
      </c>
      <c r="L25" s="2171"/>
      <c r="M25" s="2172"/>
      <c r="N25" s="826"/>
      <c r="O25" s="2278" t="s">
        <v>2165</v>
      </c>
      <c r="P25" s="2278" t="s">
        <v>2165</v>
      </c>
      <c r="Q25" s="826"/>
      <c r="R25" s="2172"/>
      <c r="S25" s="2172"/>
      <c r="T25" s="2172"/>
      <c r="U25" s="2172"/>
    </row>
    <row r="26" spans="1:21" s="82" customFormat="1" ht="34" customHeight="1">
      <c r="A26" s="2403" t="s">
        <v>1400</v>
      </c>
      <c r="B26" s="82" t="str">
        <f>BIBLE!V107</f>
        <v>Interférence temps et/ou communication</v>
      </c>
      <c r="C26" s="1837" t="str">
        <f>BIBLE!R107</f>
        <v>Change les horaires sans consulter l'autre parent</v>
      </c>
      <c r="D26" s="2171">
        <f>Test_Bible!D417</f>
        <v>2</v>
      </c>
      <c r="E26" s="2171">
        <f>Test_Bible!P417</f>
        <v>0</v>
      </c>
      <c r="F26" s="2172">
        <f>BIBLE!Q225</f>
        <v>0</v>
      </c>
      <c r="G26" s="2172">
        <f>MAX(F26:F27)</f>
        <v>0</v>
      </c>
      <c r="H26" s="2579" t="s">
        <v>243</v>
      </c>
      <c r="I26" s="826"/>
      <c r="J26" s="2400" t="e">
        <f t="shared" ref="J26:K32" si="1">IF(OR($I$33="",Q26=""),"",Q26)</f>
        <v>#N/A</v>
      </c>
      <c r="K26" s="2400" t="e">
        <f t="shared" si="1"/>
        <v>#N/A</v>
      </c>
      <c r="M26" s="11"/>
      <c r="N26" s="826"/>
      <c r="O26" s="826"/>
      <c r="P26" s="826"/>
      <c r="Q26" s="826"/>
      <c r="R26" s="2172"/>
      <c r="S26" s="2172"/>
      <c r="T26" s="2172"/>
      <c r="U26" s="2172"/>
    </row>
    <row r="27" spans="1:21" s="82" customFormat="1" ht="93" customHeight="1">
      <c r="A27" s="2402" t="s">
        <v>1405</v>
      </c>
      <c r="B27" s="2198" t="str">
        <f>BIBLE!V110</f>
        <v>Interférence temps et/ou communication</v>
      </c>
      <c r="C27" s="2199" t="str">
        <f>BIBLE!R110</f>
        <v>Organisme des activités irrésistibles lors du temps de garde de l'autre</v>
      </c>
      <c r="D27" s="2200">
        <f>Test_Bible!D418</f>
        <v>2</v>
      </c>
      <c r="E27" s="2200">
        <f>Test_Bible!P418</f>
        <v>0</v>
      </c>
      <c r="F27" s="2201">
        <f>BIBLE!Q226</f>
        <v>0</v>
      </c>
      <c r="G27" s="2201"/>
      <c r="H27" s="2463"/>
      <c r="I27" s="826"/>
      <c r="J27" s="2400" t="e">
        <f t="shared" si="1"/>
        <v>#N/A</v>
      </c>
      <c r="K27" s="2400" t="e">
        <f t="shared" si="1"/>
        <v>#N/A</v>
      </c>
      <c r="M27" s="11"/>
      <c r="N27" s="826"/>
      <c r="O27" s="826"/>
      <c r="P27" s="826"/>
      <c r="Q27" s="826"/>
      <c r="R27" s="2278" t="s">
        <v>2164</v>
      </c>
      <c r="S27" s="2172"/>
      <c r="T27" s="2172"/>
      <c r="U27" s="2172"/>
    </row>
    <row r="28" spans="1:21" s="82" customFormat="1" ht="34" customHeight="1">
      <c r="A28" s="82" t="s">
        <v>1409</v>
      </c>
      <c r="B28" s="82" t="str">
        <f>BIBLE!V111</f>
        <v>Interférence temps et/ou communication</v>
      </c>
      <c r="C28" s="1837" t="str">
        <f>BIBLE!R111</f>
        <v>Se présente à la sortie des classes sur le temps de garde de l'autre</v>
      </c>
      <c r="D28" s="2171">
        <f>Test_Bible!D419</f>
        <v>2</v>
      </c>
      <c r="E28" s="2171">
        <f>Test_Bible!P419</f>
        <v>0</v>
      </c>
      <c r="F28" s="2172">
        <f>BIBLE!Q227</f>
        <v>0</v>
      </c>
      <c r="G28" s="2172">
        <f>F28</f>
        <v>0</v>
      </c>
      <c r="H28" s="2463"/>
      <c r="I28" s="826"/>
      <c r="J28" s="2400" t="e">
        <f t="shared" si="1"/>
        <v>#N/A</v>
      </c>
      <c r="K28" s="2400" t="e">
        <f t="shared" si="1"/>
        <v>#N/A</v>
      </c>
      <c r="M28" s="11"/>
      <c r="N28" s="826"/>
      <c r="O28" s="826"/>
      <c r="P28" s="826"/>
      <c r="Q28" s="826"/>
      <c r="R28" s="2172"/>
      <c r="S28" s="2172"/>
      <c r="T28" s="2172"/>
      <c r="U28" s="2172"/>
    </row>
    <row r="29" spans="1:21" s="82" customFormat="1" ht="34" customHeight="1">
      <c r="A29" s="2403" t="s">
        <v>1412</v>
      </c>
      <c r="B29" s="82" t="str">
        <f>BIBLE!V116</f>
        <v>Interférence temps et/ou communication</v>
      </c>
      <c r="C29" s="1837" t="str">
        <f>BIBLE!R116</f>
        <v xml:space="preserve">Contrôle les conversations téléphoniques </v>
      </c>
      <c r="D29" s="2171">
        <f>Test_Bible!D420</f>
        <v>2</v>
      </c>
      <c r="E29" s="2171">
        <f>Test_Bible!P420</f>
        <v>0</v>
      </c>
      <c r="F29" s="2172">
        <f>BIBLE!Q228</f>
        <v>0</v>
      </c>
      <c r="G29" s="2172">
        <f>F29</f>
        <v>0</v>
      </c>
      <c r="H29" s="2463"/>
      <c r="I29" s="826"/>
      <c r="J29" s="2400" t="e">
        <f t="shared" si="1"/>
        <v>#N/A</v>
      </c>
      <c r="K29" s="2400" t="e">
        <f t="shared" si="1"/>
        <v>#N/A</v>
      </c>
      <c r="M29" s="11"/>
      <c r="N29" s="826"/>
      <c r="O29" s="826"/>
      <c r="P29" s="826"/>
      <c r="Q29" s="826"/>
      <c r="R29" s="2172"/>
      <c r="S29" s="2172"/>
      <c r="T29" s="2172"/>
      <c r="U29" s="2172"/>
    </row>
    <row r="30" spans="1:21" s="82" customFormat="1" ht="34" customHeight="1">
      <c r="A30" s="2403" t="s">
        <v>1415</v>
      </c>
      <c r="B30" s="82" t="str">
        <f>BIBLE!V229</f>
        <v>Interférence temps et/ou communication</v>
      </c>
      <c r="C30" s="1837" t="str">
        <f>BIBLE!R229</f>
        <v>S'impose responsable de la logistique familiale</v>
      </c>
      <c r="D30" s="2171">
        <f>Test_Bible!D421</f>
        <v>2</v>
      </c>
      <c r="E30" s="2171">
        <f>Test_Bible!P421</f>
        <v>0</v>
      </c>
      <c r="F30" s="2172">
        <f>BIBLE!Q229</f>
        <v>0</v>
      </c>
      <c r="G30" s="2172">
        <f>F30</f>
        <v>0</v>
      </c>
      <c r="H30" s="2463"/>
      <c r="I30" s="826"/>
      <c r="J30" s="2400" t="e">
        <f t="shared" si="1"/>
        <v>#N/A</v>
      </c>
      <c r="K30" s="2400" t="e">
        <f t="shared" si="1"/>
        <v>#N/A</v>
      </c>
      <c r="M30" s="11"/>
      <c r="N30" s="826"/>
      <c r="O30" s="826"/>
      <c r="P30" s="826"/>
      <c r="Q30" s="826"/>
      <c r="R30" s="2172"/>
      <c r="S30" s="2172"/>
      <c r="T30" s="2172"/>
      <c r="U30" s="2172"/>
    </row>
    <row r="31" spans="1:21" s="82" customFormat="1" ht="34" customHeight="1">
      <c r="A31" s="82" t="s">
        <v>1419</v>
      </c>
      <c r="B31" s="82" t="str">
        <f>BIBLE!V61</f>
        <v>Interférence temps et/ou communication</v>
      </c>
      <c r="C31" s="826" t="str">
        <f>BIBLE!R61</f>
        <v>Communique fréquemment avec l'enfant lorsqu'il est chez l'autre</v>
      </c>
      <c r="D31" s="2171">
        <f>Test_Bible!D422</f>
        <v>3</v>
      </c>
      <c r="E31" s="2171">
        <f>Test_Bible!P422</f>
        <v>0</v>
      </c>
      <c r="F31" s="2172">
        <f>BIBLE!Q230</f>
        <v>0</v>
      </c>
      <c r="G31" s="2172">
        <f>F31</f>
        <v>0</v>
      </c>
      <c r="H31" s="2463"/>
      <c r="I31" s="826"/>
      <c r="J31" s="2400" t="e">
        <f t="shared" si="1"/>
        <v>#N/A</v>
      </c>
      <c r="K31" s="2400" t="e">
        <f t="shared" si="1"/>
        <v>#N/A</v>
      </c>
      <c r="M31" s="11"/>
      <c r="N31" s="826"/>
      <c r="O31" s="826"/>
      <c r="P31" s="826"/>
      <c r="Q31" s="826"/>
      <c r="R31" s="2172"/>
      <c r="S31" s="2172"/>
      <c r="T31" s="2172"/>
      <c r="U31" s="2172"/>
    </row>
    <row r="32" spans="1:21" s="82" customFormat="1" ht="34" customHeight="1">
      <c r="A32" s="2404" t="s">
        <v>1423</v>
      </c>
      <c r="B32" s="2173" t="str">
        <f>BIBLE!V114</f>
        <v>Interférence temps et/ou communication</v>
      </c>
      <c r="C32" s="2181" t="str">
        <f>BIBLE!R114</f>
        <v>Bloque les communications de l'entourage de l'enfant à l'autre parent</v>
      </c>
      <c r="D32" s="2174">
        <f>Test_Bible!D423</f>
        <v>3</v>
      </c>
      <c r="E32" s="2174">
        <f>Test_Bible!P423</f>
        <v>0</v>
      </c>
      <c r="F32" s="2175">
        <f>BIBLE!Q231</f>
        <v>0</v>
      </c>
      <c r="G32" s="2175">
        <f>F32</f>
        <v>0</v>
      </c>
      <c r="H32" s="2464"/>
      <c r="I32" s="1837"/>
      <c r="J32" s="2400" t="e">
        <f t="shared" si="1"/>
        <v>#N/A</v>
      </c>
      <c r="K32" s="2400" t="e">
        <f t="shared" si="1"/>
        <v>#N/A</v>
      </c>
      <c r="L32" s="2171"/>
      <c r="M32" s="2172"/>
      <c r="N32" s="826"/>
      <c r="O32" s="826"/>
      <c r="P32" s="826"/>
      <c r="Q32" s="826"/>
      <c r="R32" s="2172"/>
      <c r="S32" s="2172"/>
      <c r="T32" s="2172"/>
      <c r="U32" s="2172"/>
    </row>
    <row r="33" spans="1:21" s="82" customFormat="1" ht="93" customHeight="1">
      <c r="C33" s="1837"/>
      <c r="D33" s="2171"/>
      <c r="E33" s="2171"/>
      <c r="F33" s="2172"/>
      <c r="G33" s="2172"/>
      <c r="H33" s="2170">
        <f>AVERAGE(G26:G32)</f>
        <v>0</v>
      </c>
      <c r="I33" s="2400" t="e">
        <f>IF(H33&gt;=$H$40,HLOOKUP($I$8,$N$13:$P$42,21),"")</f>
        <v>#N/A</v>
      </c>
      <c r="J33" s="2400" t="e">
        <f>IF(OR(I33="",Q33=""),"",Q33)</f>
        <v>#N/A</v>
      </c>
      <c r="K33" s="2400" t="e">
        <f>IF(OR(I33="",R33=""),"",R33)</f>
        <v>#N/A</v>
      </c>
      <c r="L33" s="2171"/>
      <c r="M33" s="2172"/>
      <c r="N33" s="2321" t="s">
        <v>2166</v>
      </c>
      <c r="O33" s="2321" t="s">
        <v>2167</v>
      </c>
      <c r="P33" s="2321" t="s">
        <v>2168</v>
      </c>
      <c r="Q33" s="826"/>
      <c r="R33" s="2172"/>
      <c r="S33" s="2172"/>
      <c r="T33" s="2172"/>
      <c r="U33" s="2172"/>
    </row>
    <row r="34" spans="1:21" s="82" customFormat="1" ht="34" customHeight="1">
      <c r="A34" s="2403" t="s">
        <v>1426</v>
      </c>
      <c r="B34" s="82" t="str">
        <f>BIBLE!V232</f>
        <v>Interférence lien affectif ou symbolique</v>
      </c>
      <c r="C34" s="1837" t="str">
        <f>BIBLE!R232</f>
        <v>Le nouveau ou la nouvelle conjoint·e demande de se faire appeler maman ou papa</v>
      </c>
      <c r="D34" s="2171">
        <f>Test_Bible!D424</f>
        <v>2</v>
      </c>
      <c r="E34" s="2171">
        <f>Test_Bible!P424</f>
        <v>0</v>
      </c>
      <c r="F34" s="2172">
        <f>BIBLE!Q232</f>
        <v>0</v>
      </c>
      <c r="G34" s="2172">
        <f>F34</f>
        <v>0</v>
      </c>
      <c r="H34" s="2562" t="s">
        <v>244</v>
      </c>
      <c r="I34" s="826"/>
      <c r="J34" s="2400" t="e">
        <f>IF(OR($I$36="",Q34=""),"",Q34)</f>
        <v>#N/A</v>
      </c>
      <c r="K34" s="2400" t="e">
        <f>IF(OR($I$36="",R34=""),"",R34)</f>
        <v>#N/A</v>
      </c>
      <c r="M34" s="11"/>
      <c r="N34" s="826"/>
      <c r="O34" s="826"/>
      <c r="P34" s="826"/>
      <c r="Q34" s="826"/>
      <c r="R34" s="2172"/>
      <c r="S34" s="2172"/>
      <c r="T34" s="2172"/>
      <c r="U34" s="2172"/>
    </row>
    <row r="35" spans="1:21" s="82" customFormat="1" ht="93" customHeight="1">
      <c r="A35" s="2405" t="s">
        <v>1431</v>
      </c>
      <c r="B35" s="2173" t="str">
        <f>BIBLE!V233</f>
        <v>Interférence lien affectif ou symbolique</v>
      </c>
      <c r="C35" s="2181" t="str">
        <f>BIBLE!R233</f>
        <v>Le nouveau ou la nouvelle conjoint·e fragilise la relation de l'enfant avec l'autre parent</v>
      </c>
      <c r="D35" s="2174">
        <f>Test_Bible!D425</f>
        <v>2</v>
      </c>
      <c r="E35" s="2174">
        <f>Test_Bible!P425</f>
        <v>0</v>
      </c>
      <c r="F35" s="2175">
        <f>BIBLE!Q233</f>
        <v>0</v>
      </c>
      <c r="G35" s="2175">
        <f>F35</f>
        <v>0</v>
      </c>
      <c r="H35" s="2464"/>
      <c r="I35" s="1837"/>
      <c r="J35" s="2400" t="e">
        <f>IF(OR($I$36="",Q35=""),"",Q35)</f>
        <v>#N/A</v>
      </c>
      <c r="K35" s="2400" t="e">
        <f>IF(OR($I$36="",R35=""),"",R35)</f>
        <v>#N/A</v>
      </c>
      <c r="L35" s="2171"/>
      <c r="M35" s="2172"/>
      <c r="N35" s="826"/>
      <c r="O35" s="826"/>
      <c r="P35" s="826"/>
      <c r="Q35" s="826"/>
      <c r="R35" s="2278" t="s">
        <v>2164</v>
      </c>
      <c r="S35" s="2172"/>
      <c r="T35" s="2172"/>
      <c r="U35" s="2172"/>
    </row>
    <row r="36" spans="1:21" s="82" customFormat="1" ht="82" customHeight="1">
      <c r="C36" s="1837"/>
      <c r="D36" s="2171"/>
      <c r="E36" s="2171"/>
      <c r="F36" s="2172"/>
      <c r="G36" s="2172"/>
      <c r="H36" s="2170">
        <f>AVERAGE(G34:G35)</f>
        <v>0</v>
      </c>
      <c r="I36" s="2400" t="e">
        <f>IF(H36&gt;=$H$40,HLOOKUP($I$8,$N$13:$P$42,24),"")</f>
        <v>#N/A</v>
      </c>
      <c r="J36" s="2400" t="e">
        <f>IF(OR(I36="",Q36=""),"",Q36)</f>
        <v>#N/A</v>
      </c>
      <c r="K36" s="2400" t="e">
        <f>IF(OR(I36="",R36=""),"",R36)</f>
        <v>#N/A</v>
      </c>
      <c r="L36" s="2171"/>
      <c r="M36" s="2172"/>
      <c r="N36" s="2278" t="s">
        <v>2169</v>
      </c>
      <c r="O36" s="2278" t="s">
        <v>2170</v>
      </c>
      <c r="P36" s="2278" t="s">
        <v>2171</v>
      </c>
      <c r="Q36" s="826"/>
      <c r="R36" s="2172"/>
      <c r="S36" s="2172"/>
      <c r="T36" s="2172"/>
      <c r="U36" s="2172"/>
    </row>
    <row r="37" spans="1:21" s="82" customFormat="1" ht="38" customHeight="1">
      <c r="A37" s="2173" t="s">
        <v>1436</v>
      </c>
      <c r="B37" s="2173" t="str">
        <f>BIBLE!V98</f>
        <v>Rôle actif de l'enfant</v>
      </c>
      <c r="C37" s="2181" t="str">
        <f>BIBLE!R98</f>
        <v xml:space="preserve">Demande à ce que les désirs de l'enfant soient respectés </v>
      </c>
      <c r="D37" s="2174">
        <f>Test_Bible!D426</f>
        <v>3</v>
      </c>
      <c r="E37" s="2174">
        <f>Test_Bible!P426</f>
        <v>0</v>
      </c>
      <c r="F37" s="2175">
        <f>BIBLE!Q234</f>
        <v>0</v>
      </c>
      <c r="G37" s="2175">
        <f>F37</f>
        <v>0</v>
      </c>
      <c r="H37" s="37" t="s">
        <v>245</v>
      </c>
      <c r="I37" s="826"/>
      <c r="J37" s="2400" t="e">
        <f>IF(OR($I$38="",Q37=""),"",Q37)</f>
        <v>#N/A</v>
      </c>
      <c r="K37" s="2400" t="e">
        <f>IF(OR($I$38="",R37=""),"",R37)</f>
        <v>#N/A</v>
      </c>
      <c r="M37" s="11"/>
      <c r="N37" s="826"/>
      <c r="O37" s="826"/>
      <c r="P37" s="826"/>
      <c r="Q37" s="826"/>
      <c r="R37" s="2172"/>
      <c r="S37" s="2172"/>
      <c r="T37" s="2172"/>
      <c r="U37" s="2172"/>
    </row>
    <row r="38" spans="1:21" ht="98" customHeight="1">
      <c r="H38" s="1057">
        <f>AVERAGE(G37)</f>
        <v>0</v>
      </c>
      <c r="I38" s="2400" t="e">
        <f>IF(H38&gt;=$H$40,HLOOKUP($I$8,$N$13:$P$42,26),"")</f>
        <v>#N/A</v>
      </c>
      <c r="J38" s="2400" t="e">
        <f>IF(OR(I38="",Q38=""),"",Q38)</f>
        <v>#N/A</v>
      </c>
      <c r="K38" s="2400" t="e">
        <f>IF(OR(I38="",R38=""),"",R38)</f>
        <v>#N/A</v>
      </c>
      <c r="L38" s="2171"/>
      <c r="M38" s="2172"/>
      <c r="N38" s="2321"/>
      <c r="O38" s="2321" t="s">
        <v>2172</v>
      </c>
      <c r="P38" s="2321" t="s">
        <v>2172</v>
      </c>
      <c r="Q38" s="826"/>
      <c r="R38" s="2172"/>
      <c r="S38" s="90"/>
      <c r="T38" s="90"/>
      <c r="U38" s="90"/>
    </row>
    <row r="39" spans="1:21" ht="21" customHeight="1">
      <c r="E39" t="s">
        <v>342</v>
      </c>
      <c r="F39" s="6"/>
      <c r="G39" s="6">
        <f>SUM(G15:G37)</f>
        <v>0</v>
      </c>
      <c r="H39" s="5"/>
    </row>
    <row r="40" spans="1:21" ht="24" customHeight="1">
      <c r="D40" s="2168"/>
      <c r="E40" s="55"/>
      <c r="G40" t="s">
        <v>1971</v>
      </c>
      <c r="H40" s="2169">
        <f>AVERAGE(H17,H19,H21,H25,H33,H36,H38)</f>
        <v>0</v>
      </c>
      <c r="J40" s="1803"/>
      <c r="K40" s="1803"/>
      <c r="L40" s="57" t="s">
        <v>2173</v>
      </c>
      <c r="M40" s="4"/>
      <c r="N40" s="32"/>
      <c r="O40" s="32"/>
      <c r="P40" s="32"/>
      <c r="Q40" s="32"/>
    </row>
    <row r="41" spans="1:21" ht="114" customHeight="1">
      <c r="H41" t="s">
        <v>2174</v>
      </c>
      <c r="I41" s="2400" t="e">
        <f>IF(HLOOKUP($I$8,$N$13:$P$42,29)="","",HLOOKUP($I$8,$N$13:$P$42,29))</f>
        <v>#N/A</v>
      </c>
      <c r="J41" s="25"/>
      <c r="K41" s="25"/>
      <c r="L41" s="7" t="s">
        <v>2094</v>
      </c>
      <c r="M41" s="8"/>
      <c r="N41" s="1823"/>
      <c r="O41" s="1823"/>
      <c r="P41" s="1823"/>
    </row>
    <row r="42" spans="1:21" ht="104" customHeight="1">
      <c r="J42" s="32"/>
      <c r="K42" s="32"/>
      <c r="L42" s="2315" t="s">
        <v>53</v>
      </c>
      <c r="M42" s="15"/>
      <c r="N42" s="2380" t="s">
        <v>2175</v>
      </c>
      <c r="O42" s="2380" t="s">
        <v>2175</v>
      </c>
      <c r="P42" s="2380"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3" zoomScale="119" zoomScaleNormal="119" workbookViewId="0">
      <selection activeCell="D611" sqref="D611"/>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70" t="s">
        <v>2176</v>
      </c>
      <c r="BE1" s="1446"/>
      <c r="BF1" s="1446"/>
      <c r="BG1" s="1446"/>
      <c r="BH1" s="1446"/>
      <c r="BI1" s="1446"/>
    </row>
    <row r="2" spans="3:95">
      <c r="BA2" s="49"/>
      <c r="BB2" s="49"/>
      <c r="BC2" s="49"/>
      <c r="BD2" s="49"/>
    </row>
    <row r="3" spans="3:95">
      <c r="BA3" s="34" t="s">
        <v>2177</v>
      </c>
      <c r="BB3" s="49"/>
      <c r="BC3" s="49"/>
      <c r="BD3" s="2418" t="s">
        <v>2178</v>
      </c>
      <c r="BE3" s="1446"/>
      <c r="BF3" s="1446"/>
      <c r="BG3" s="1446"/>
      <c r="BH3" s="1446"/>
      <c r="BI3" s="1446"/>
    </row>
    <row r="5" spans="3:95">
      <c r="BL5" s="2420" t="s">
        <v>1900</v>
      </c>
      <c r="BM5" s="2420"/>
    </row>
    <row r="6" spans="3:95">
      <c r="C6" s="522"/>
      <c r="D6" s="36"/>
      <c r="E6" s="36"/>
      <c r="F6" s="36"/>
      <c r="G6" s="36"/>
      <c r="H6" s="36"/>
      <c r="I6" s="36"/>
      <c r="J6" s="36"/>
      <c r="K6" s="36"/>
      <c r="L6" s="36"/>
      <c r="M6" s="36"/>
      <c r="N6" s="49"/>
      <c r="AY6" s="288" t="s">
        <v>2179</v>
      </c>
      <c r="BC6" s="49" t="s">
        <v>2180</v>
      </c>
      <c r="BF6" s="49"/>
      <c r="BI6" s="49"/>
      <c r="BL6" s="2592" t="s">
        <v>2181</v>
      </c>
      <c r="BM6" s="2593"/>
      <c r="BN6" s="2574"/>
      <c r="BO6" s="2593"/>
      <c r="BP6" s="2164"/>
      <c r="BQ6" s="2164"/>
      <c r="BR6" s="2164"/>
      <c r="BS6" s="2164"/>
      <c r="BT6" s="2164"/>
      <c r="BU6" s="2164"/>
      <c r="BV6" s="2164"/>
      <c r="BW6" s="2164"/>
      <c r="BX6" s="2164"/>
      <c r="BY6" s="2164"/>
      <c r="BZ6" s="2164"/>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30" t="s">
        <v>315</v>
      </c>
      <c r="BC8" s="441" t="s">
        <v>316</v>
      </c>
      <c r="BD8" s="7"/>
      <c r="BE8" s="730" t="s">
        <v>315</v>
      </c>
      <c r="BF8" s="729" t="s">
        <v>2189</v>
      </c>
      <c r="BG8" s="728"/>
      <c r="BH8" s="730" t="s">
        <v>315</v>
      </c>
      <c r="BI8" s="430" t="s">
        <v>318</v>
      </c>
      <c r="BL8" s="2594" t="s">
        <v>2141</v>
      </c>
      <c r="BM8" s="2593"/>
      <c r="BN8" s="2574"/>
      <c r="BO8" s="2593"/>
      <c r="BP8" s="2165"/>
      <c r="BQ8" s="2165"/>
      <c r="BR8" s="2165"/>
      <c r="BS8" s="2165"/>
      <c r="BT8" s="2165"/>
      <c r="BU8" s="2165"/>
      <c r="BV8" s="2165"/>
      <c r="BW8" s="2165"/>
      <c r="BX8" s="2165"/>
      <c r="BY8" s="2165"/>
      <c r="BZ8" s="2165"/>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3"/>
      <c r="BL9" s="2421" t="s">
        <v>1726</v>
      </c>
      <c r="BM9" s="2421" t="s">
        <v>386</v>
      </c>
      <c r="BN9" s="2406" t="s">
        <v>346</v>
      </c>
      <c r="BO9" s="2421"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0</v>
      </c>
      <c r="AU10">
        <f>AE66</f>
        <v>0</v>
      </c>
      <c r="AV10">
        <f>AF66</f>
        <v>0</v>
      </c>
      <c r="AX10" s="90">
        <v>1</v>
      </c>
      <c r="AY10" s="733" t="str">
        <f>D49</f>
        <v>Demande de garder des secrets</v>
      </c>
      <c r="AZ10" s="2134">
        <f>H61</f>
        <v>0</v>
      </c>
      <c r="BA10" s="732" t="s">
        <v>2191</v>
      </c>
      <c r="BB10" s="734" t="str">
        <f t="shared" ref="BB10:BB35" si="0">IF(BC10&lt;&gt;"",AZ10,"")</f>
        <v/>
      </c>
      <c r="BC10" s="733" t="str">
        <f>IF(L61="","",L61)</f>
        <v/>
      </c>
      <c r="BD10" s="734" t="s">
        <v>2192</v>
      </c>
      <c r="BE10" s="734" t="str">
        <f t="shared" ref="BE10:BE39" si="1">IF(BF10&lt;&gt;"",AZ10,"")</f>
        <v/>
      </c>
      <c r="BF10" s="733" t="str">
        <f>IF(N61="","",N61)</f>
        <v/>
      </c>
      <c r="BG10" s="735" t="s">
        <v>3</v>
      </c>
      <c r="BH10" s="734" t="str">
        <f t="shared" ref="BH10:BH35" si="2">IF(BI10&lt;&gt;"",AZ10,"")</f>
        <v/>
      </c>
      <c r="BI10" s="733" t="str">
        <f>IF(M61="","",M61)</f>
        <v/>
      </c>
      <c r="BL10" s="2422" t="s">
        <v>2193</v>
      </c>
      <c r="BM10" s="2426"/>
      <c r="BN10" s="2419"/>
      <c r="BO10" s="2321"/>
      <c r="CA10" s="15"/>
      <c r="CB10" s="81" t="s">
        <v>2194</v>
      </c>
      <c r="CL10" s="470"/>
      <c r="CM10" s="470"/>
      <c r="CN10" s="470"/>
      <c r="CO10" s="470"/>
      <c r="CP10" s="471"/>
      <c r="CQ10" s="471"/>
    </row>
    <row r="11" spans="3:95" ht="100" customHeight="1">
      <c r="C11" s="36"/>
      <c r="D11" s="36" t="s">
        <v>2195</v>
      </c>
      <c r="E11" s="523"/>
      <c r="N11" s="49"/>
      <c r="AS11" s="2" t="str">
        <f>D69</f>
        <v>Abandon de la famille</v>
      </c>
      <c r="AT11">
        <f>AD86</f>
        <v>0</v>
      </c>
      <c r="AU11">
        <f>AE86</f>
        <v>0</v>
      </c>
      <c r="AV11">
        <f>AF86</f>
        <v>0</v>
      </c>
      <c r="AX11" s="5">
        <v>2</v>
      </c>
      <c r="AY11" s="737" t="str">
        <f>D69</f>
        <v>Abandon de la famille</v>
      </c>
      <c r="AZ11" s="2135">
        <f>H81</f>
        <v>0</v>
      </c>
      <c r="BA11" s="736" t="s">
        <v>2191</v>
      </c>
      <c r="BB11" s="734" t="str">
        <f t="shared" si="0"/>
        <v/>
      </c>
      <c r="BC11" s="737" t="str">
        <f>IF(L81="","",L81)</f>
        <v/>
      </c>
      <c r="BD11" s="738" t="s">
        <v>2192</v>
      </c>
      <c r="BE11" s="734" t="str">
        <f t="shared" si="1"/>
        <v/>
      </c>
      <c r="BF11" s="737" t="str">
        <f>IF(N81="","",N81)</f>
        <v/>
      </c>
      <c r="BG11" s="739" t="s">
        <v>3</v>
      </c>
      <c r="BH11" s="734" t="str">
        <f t="shared" si="2"/>
        <v/>
      </c>
      <c r="BI11" s="737" t="str">
        <f>IF(M81="","",M81)</f>
        <v/>
      </c>
      <c r="BJ11" s="55"/>
      <c r="BL11" s="2423" t="s">
        <v>2196</v>
      </c>
      <c r="BM11" s="2427"/>
      <c r="BN11" s="2419"/>
      <c r="BO11" s="2430"/>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32"/>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5">
        <f>H100</f>
        <v>0</v>
      </c>
      <c r="BA12" s="736" t="s">
        <v>2191</v>
      </c>
      <c r="BB12" s="734" t="str">
        <f t="shared" si="0"/>
        <v/>
      </c>
      <c r="BC12" s="737" t="str">
        <f>IF(L100="","",L100)</f>
        <v/>
      </c>
      <c r="BD12" s="738" t="s">
        <v>2192</v>
      </c>
      <c r="BE12" s="734" t="str">
        <f t="shared" si="1"/>
        <v/>
      </c>
      <c r="BF12" s="737" t="str">
        <f>IF(N100="","",N100)</f>
        <v/>
      </c>
      <c r="BG12" s="739" t="s">
        <v>3</v>
      </c>
      <c r="BH12" s="734" t="str">
        <f t="shared" si="2"/>
        <v/>
      </c>
      <c r="BI12" s="737" t="str">
        <f>IF(M100="","",M100)</f>
        <v/>
      </c>
      <c r="BJ12" s="55"/>
      <c r="BL12" s="2423" t="s">
        <v>2204</v>
      </c>
      <c r="BM12" s="2427"/>
      <c r="BN12" s="2419"/>
      <c r="BO12" s="2430"/>
      <c r="CA12" s="75"/>
      <c r="CB12" s="16" t="s">
        <v>2205</v>
      </c>
      <c r="CC12" s="7"/>
      <c r="CD12" s="68" t="s">
        <v>2206</v>
      </c>
      <c r="CE12" s="7"/>
      <c r="CF12" s="7"/>
      <c r="CG12" s="7" t="s">
        <v>2207</v>
      </c>
      <c r="CH12" s="7"/>
      <c r="CI12" s="7"/>
      <c r="CJ12" s="2595" t="s">
        <v>2208</v>
      </c>
      <c r="CK12" s="2468"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9" t="s">
        <v>1585</v>
      </c>
      <c r="AK13" s="1729" t="s">
        <v>1488</v>
      </c>
      <c r="AL13" s="1730" t="s">
        <v>1585</v>
      </c>
      <c r="AM13" s="1730" t="s">
        <v>1488</v>
      </c>
      <c r="AN13" s="1731" t="s">
        <v>1585</v>
      </c>
      <c r="AO13" s="1731" t="s">
        <v>1488</v>
      </c>
      <c r="AS13" s="2" t="str">
        <f>D107</f>
        <v>Manque de sécurité</v>
      </c>
      <c r="AT13">
        <f>AD124</f>
        <v>0</v>
      </c>
      <c r="AU13">
        <f>AE124</f>
        <v>0</v>
      </c>
      <c r="AV13">
        <f>AF124</f>
        <v>0</v>
      </c>
      <c r="AX13" s="5">
        <v>4</v>
      </c>
      <c r="AY13" s="737" t="str">
        <f>D107</f>
        <v>Manque de sécurité</v>
      </c>
      <c r="AZ13" s="2135">
        <f>H119</f>
        <v>0</v>
      </c>
      <c r="BA13" s="736" t="s">
        <v>2191</v>
      </c>
      <c r="BB13" s="734" t="str">
        <f t="shared" si="0"/>
        <v/>
      </c>
      <c r="BC13" s="737" t="str">
        <f>IF(L119="","",L119)</f>
        <v/>
      </c>
      <c r="BD13" s="738" t="s">
        <v>2192</v>
      </c>
      <c r="BE13" s="734" t="str">
        <f t="shared" si="1"/>
        <v/>
      </c>
      <c r="BF13" s="737" t="str">
        <f>IF(N119="","",N119)</f>
        <v/>
      </c>
      <c r="BG13" s="739" t="s">
        <v>3</v>
      </c>
      <c r="BH13" s="734" t="str">
        <f t="shared" si="2"/>
        <v/>
      </c>
      <c r="BI13" s="737" t="str">
        <f>IF(M119="","",M119)</f>
        <v/>
      </c>
      <c r="BJ13" s="55"/>
      <c r="BL13" s="2423" t="s">
        <v>2213</v>
      </c>
      <c r="BM13" s="2427"/>
      <c r="BN13" s="2419"/>
      <c r="BO13" s="2321"/>
      <c r="CA13" s="7"/>
      <c r="CD13" s="68" t="s">
        <v>2214</v>
      </c>
      <c r="CE13" s="7"/>
      <c r="CF13" s="7"/>
      <c r="CG13" s="7" t="s">
        <v>2215</v>
      </c>
      <c r="CH13" s="7" t="s">
        <v>2216</v>
      </c>
      <c r="CJ13" s="2458"/>
      <c r="CK13" s="2458"/>
    </row>
    <row r="14" spans="3:95" ht="31" customHeight="1">
      <c r="C14" s="36"/>
      <c r="D14" s="36" t="s">
        <v>2217</v>
      </c>
      <c r="N14" s="49"/>
      <c r="X14" s="1732"/>
      <c r="Y14" s="620"/>
      <c r="Z14" s="1733" t="s">
        <v>1705</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5">
        <f>H138</f>
        <v>0</v>
      </c>
      <c r="BA14" s="736" t="s">
        <v>2191</v>
      </c>
      <c r="BB14" s="734" t="str">
        <f t="shared" si="0"/>
        <v/>
      </c>
      <c r="BC14" s="737" t="str">
        <f>IF(L138="","",L138)</f>
        <v/>
      </c>
      <c r="BD14" s="738" t="s">
        <v>2192</v>
      </c>
      <c r="BE14" s="734" t="str">
        <f t="shared" si="1"/>
        <v/>
      </c>
      <c r="BF14" s="737" t="str">
        <f>IF(N138="","",N138)</f>
        <v/>
      </c>
      <c r="BG14" s="739" t="s">
        <v>3</v>
      </c>
      <c r="BH14" s="734" t="str">
        <f t="shared" si="2"/>
        <v/>
      </c>
      <c r="BI14" s="737" t="str">
        <f>IF(M138="","",M138)</f>
        <v/>
      </c>
      <c r="BJ14" s="55"/>
      <c r="BL14" s="2423" t="s">
        <v>2218</v>
      </c>
      <c r="BM14" s="2427"/>
      <c r="BN14" s="2419"/>
      <c r="BO14" s="2321"/>
      <c r="CA14" s="75"/>
      <c r="CD14" s="38" t="s">
        <v>2219</v>
      </c>
      <c r="CG14" s="7" t="s">
        <v>2220</v>
      </c>
      <c r="CH14" s="7"/>
      <c r="CI14" s="7"/>
      <c r="CJ14" s="2596" t="s">
        <v>2221</v>
      </c>
      <c r="CK14" s="2468"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5">
        <f>H158</f>
        <v>0</v>
      </c>
      <c r="BA15" s="736" t="s">
        <v>2191</v>
      </c>
      <c r="BB15" s="734" t="str">
        <f t="shared" si="0"/>
        <v/>
      </c>
      <c r="BC15" s="737" t="str">
        <f>IF(L158="","",L158)</f>
        <v/>
      </c>
      <c r="BD15" s="738" t="s">
        <v>2192</v>
      </c>
      <c r="BE15" s="734" t="str">
        <f t="shared" si="1"/>
        <v/>
      </c>
      <c r="BF15" s="737" t="str">
        <f>IF(N158="","",N158)</f>
        <v/>
      </c>
      <c r="BG15" s="739" t="s">
        <v>3</v>
      </c>
      <c r="BH15" s="734" t="str">
        <f t="shared" si="2"/>
        <v/>
      </c>
      <c r="BI15" s="737" t="str">
        <f>IF(M158="","",M158)</f>
        <v/>
      </c>
      <c r="BJ15" s="55"/>
      <c r="BL15" s="2423" t="s">
        <v>2225</v>
      </c>
      <c r="BM15" s="2427" t="s">
        <v>620</v>
      </c>
      <c r="BN15" s="2419"/>
      <c r="BO15" s="2430"/>
      <c r="CA15" s="6"/>
      <c r="CB15" s="35"/>
      <c r="CD15" s="38" t="s">
        <v>2214</v>
      </c>
      <c r="CG15" s="2597" t="s">
        <v>2226</v>
      </c>
      <c r="CH15" s="2458"/>
      <c r="CI15" s="2458"/>
      <c r="CJ15" s="2458"/>
      <c r="CK15" s="2458"/>
      <c r="CL15" s="7"/>
    </row>
    <row r="16" spans="3:95" ht="90" customHeight="1" thickBot="1">
      <c r="C16" s="36"/>
      <c r="D16" s="36"/>
      <c r="E16" s="36"/>
      <c r="F16" s="36" t="s">
        <v>2227</v>
      </c>
      <c r="G16" s="36"/>
      <c r="H16" s="36"/>
      <c r="I16" s="36"/>
      <c r="J16" s="36"/>
      <c r="K16" s="36"/>
      <c r="L16" s="36" t="s">
        <v>2228</v>
      </c>
      <c r="M16" s="36" t="s">
        <v>2229</v>
      </c>
      <c r="N16" s="49"/>
      <c r="X16" s="293"/>
      <c r="Y16" s="294"/>
      <c r="Z16" s="1734" t="s">
        <v>2230</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5">
        <f>H177</f>
        <v>0</v>
      </c>
      <c r="BA16" s="736" t="s">
        <v>2191</v>
      </c>
      <c r="BB16" s="734" t="str">
        <f t="shared" si="0"/>
        <v/>
      </c>
      <c r="BC16" s="737" t="str">
        <f>IF(L177="","",L177)</f>
        <v/>
      </c>
      <c r="BD16" s="738" t="s">
        <v>2192</v>
      </c>
      <c r="BE16" s="734" t="str">
        <f t="shared" si="1"/>
        <v/>
      </c>
      <c r="BF16" s="737" t="str">
        <f>IF(N177="","",N177)</f>
        <v/>
      </c>
      <c r="BG16" s="739" t="s">
        <v>3</v>
      </c>
      <c r="BH16" s="734" t="str">
        <f t="shared" si="2"/>
        <v/>
      </c>
      <c r="BI16" s="737" t="str">
        <f>IF(M177="","",M177)</f>
        <v/>
      </c>
      <c r="BL16" s="2423" t="s">
        <v>2231</v>
      </c>
      <c r="BM16" s="2427"/>
      <c r="BN16" s="2419"/>
      <c r="BO16" s="2430"/>
      <c r="CB16" s="16"/>
      <c r="CD16" s="68" t="s">
        <v>2206</v>
      </c>
      <c r="CG16" s="7" t="s">
        <v>2207</v>
      </c>
      <c r="CJ16" s="2595" t="s">
        <v>2232</v>
      </c>
      <c r="CK16" s="2468" t="b">
        <v>1</v>
      </c>
    </row>
    <row r="17" spans="3:89" ht="175" customHeight="1" thickBot="1">
      <c r="C17" s="36"/>
      <c r="D17" s="36"/>
      <c r="E17" s="36"/>
      <c r="F17" s="36"/>
      <c r="G17" s="36"/>
      <c r="H17" s="36"/>
      <c r="I17" s="36"/>
      <c r="J17" s="36"/>
      <c r="K17" s="36"/>
      <c r="L17" s="36"/>
      <c r="M17" s="36"/>
      <c r="N17" s="49"/>
      <c r="X17" s="1736"/>
      <c r="Y17" s="612"/>
      <c r="Z17" s="1737" t="s">
        <v>51</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5">
        <f>H196</f>
        <v>0</v>
      </c>
      <c r="BA17" s="736" t="s">
        <v>2191</v>
      </c>
      <c r="BB17" s="734" t="str">
        <f t="shared" si="0"/>
        <v/>
      </c>
      <c r="BC17" s="737" t="str">
        <f>IF(L196="","",L196)</f>
        <v/>
      </c>
      <c r="BD17" s="738" t="s">
        <v>2192</v>
      </c>
      <c r="BE17" s="734" t="str">
        <f t="shared" si="1"/>
        <v/>
      </c>
      <c r="BF17" s="737" t="str">
        <f>IF(N196="","",N196)</f>
        <v/>
      </c>
      <c r="BG17" s="739" t="s">
        <v>3</v>
      </c>
      <c r="BH17" s="734" t="str">
        <f t="shared" si="2"/>
        <v/>
      </c>
      <c r="BI17" s="737" t="str">
        <f>IF(M196="","",M196)</f>
        <v/>
      </c>
      <c r="BL17" s="2423" t="s">
        <v>2233</v>
      </c>
      <c r="BM17" s="2427"/>
      <c r="BN17" s="2419"/>
      <c r="BO17" s="2430"/>
      <c r="CA17" s="15"/>
      <c r="CD17" s="69" t="s">
        <v>2234</v>
      </c>
      <c r="CG17" s="7" t="s">
        <v>2220</v>
      </c>
      <c r="CJ17" s="2458"/>
      <c r="CK17" s="2458"/>
    </row>
    <row r="18" spans="3:89" ht="77.5" customHeight="1">
      <c r="C18" s="36" t="s">
        <v>2235</v>
      </c>
      <c r="D18" s="36"/>
      <c r="E18" s="36"/>
      <c r="F18" s="36"/>
      <c r="G18" s="36"/>
      <c r="H18" s="36"/>
      <c r="I18" s="36"/>
      <c r="J18" s="36"/>
      <c r="K18" s="36"/>
      <c r="L18" s="36"/>
      <c r="M18" s="36"/>
      <c r="N18" s="49"/>
      <c r="X18" s="1732"/>
      <c r="Y18" s="1739"/>
      <c r="Z18" s="1740" t="s">
        <v>2236</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5">
        <f>H215</f>
        <v>0</v>
      </c>
      <c r="BA18" s="736" t="s">
        <v>2191</v>
      </c>
      <c r="BB18" s="734" t="str">
        <f t="shared" si="0"/>
        <v/>
      </c>
      <c r="BC18" s="737" t="str">
        <f>IF(L215="","",L215)</f>
        <v/>
      </c>
      <c r="BD18" s="738" t="s">
        <v>2192</v>
      </c>
      <c r="BE18" s="734" t="str">
        <f t="shared" si="1"/>
        <v/>
      </c>
      <c r="BF18" s="737" t="str">
        <f>IF(N215="","",N215)</f>
        <v/>
      </c>
      <c r="BG18" s="739" t="s">
        <v>3</v>
      </c>
      <c r="BH18" s="734" t="str">
        <f t="shared" si="2"/>
        <v/>
      </c>
      <c r="BI18" s="737" t="str">
        <f>IF(M215="","",M215)</f>
        <v/>
      </c>
      <c r="BL18" s="2423" t="s">
        <v>2237</v>
      </c>
      <c r="BM18" s="2427"/>
      <c r="BN18" s="2419"/>
      <c r="BO18" s="2430"/>
      <c r="CA18" s="32"/>
      <c r="CB18" s="291"/>
      <c r="CD18" s="38" t="s">
        <v>2219</v>
      </c>
      <c r="CG18" s="7" t="s">
        <v>2220</v>
      </c>
      <c r="CJ18" s="2596" t="s">
        <v>2238</v>
      </c>
      <c r="CK18" s="2468"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5">
        <f>H234</f>
        <v>0</v>
      </c>
      <c r="BA19" s="736" t="s">
        <v>2191</v>
      </c>
      <c r="BB19" s="734" t="str">
        <f t="shared" si="0"/>
        <v/>
      </c>
      <c r="BC19" s="737" t="str">
        <f>IF(L234="","",L234)</f>
        <v/>
      </c>
      <c r="BD19" s="738" t="s">
        <v>2192</v>
      </c>
      <c r="BE19" s="734" t="str">
        <f t="shared" si="1"/>
        <v/>
      </c>
      <c r="BF19" s="737" t="str">
        <f>IF(N234="","",N234)</f>
        <v/>
      </c>
      <c r="BG19" s="739" t="s">
        <v>3</v>
      </c>
      <c r="BH19" s="734" t="str">
        <f t="shared" si="2"/>
        <v/>
      </c>
      <c r="BI19" s="737" t="str">
        <f>IF(M234="","",M234)</f>
        <v/>
      </c>
      <c r="BL19" s="2423" t="s">
        <v>2240</v>
      </c>
      <c r="BM19" s="2427"/>
      <c r="BN19" s="2419"/>
      <c r="BO19" s="2321"/>
      <c r="CA19" s="75"/>
      <c r="CD19" s="38" t="s">
        <v>2234</v>
      </c>
      <c r="CG19" s="7" t="s">
        <v>2220</v>
      </c>
      <c r="CJ19" s="2458"/>
      <c r="CK19" s="2458"/>
    </row>
    <row r="20" spans="3:89" ht="56" customHeight="1" thickBot="1">
      <c r="C20" s="36" t="s">
        <v>2241</v>
      </c>
      <c r="D20" s="36"/>
      <c r="E20" s="36"/>
      <c r="F20" s="36"/>
      <c r="G20" s="36"/>
      <c r="H20" s="36"/>
      <c r="I20" s="36"/>
      <c r="J20" s="36"/>
      <c r="K20" s="36"/>
      <c r="L20" s="36"/>
      <c r="M20" s="36"/>
      <c r="N20" s="49"/>
      <c r="X20" s="293"/>
      <c r="Y20" s="294"/>
      <c r="Z20" s="1734" t="s">
        <v>2242</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5">
        <f>H253</f>
        <v>0</v>
      </c>
      <c r="BA20" s="736" t="s">
        <v>2191</v>
      </c>
      <c r="BB20" s="734" t="str">
        <f t="shared" si="0"/>
        <v/>
      </c>
      <c r="BC20" s="737" t="str">
        <f>IF(L253="","",L253)</f>
        <v/>
      </c>
      <c r="BD20" s="738" t="s">
        <v>2192</v>
      </c>
      <c r="BE20" s="734" t="str">
        <f t="shared" si="1"/>
        <v/>
      </c>
      <c r="BF20" s="737" t="str">
        <f>IF(N253="","",N253)</f>
        <v/>
      </c>
      <c r="BG20" s="739" t="s">
        <v>3</v>
      </c>
      <c r="BH20" s="734" t="str">
        <f t="shared" si="2"/>
        <v/>
      </c>
      <c r="BI20" s="737" t="str">
        <f>IF(M253="","",M253)</f>
        <v/>
      </c>
      <c r="BL20" s="2423" t="s">
        <v>2243</v>
      </c>
      <c r="BM20" s="2427"/>
      <c r="BN20" s="2419"/>
      <c r="BO20" s="2321"/>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5">
        <f>H272</f>
        <v>0</v>
      </c>
      <c r="BA21" s="736" t="s">
        <v>2191</v>
      </c>
      <c r="BB21" s="734" t="str">
        <f t="shared" si="0"/>
        <v/>
      </c>
      <c r="BC21" s="737" t="str">
        <f>IF(L272="","",L272)</f>
        <v/>
      </c>
      <c r="BD21" s="738" t="s">
        <v>2192</v>
      </c>
      <c r="BE21" s="734" t="str">
        <f t="shared" si="1"/>
        <v/>
      </c>
      <c r="BF21" s="737" t="str">
        <f>IF(N272="","",N272)</f>
        <v/>
      </c>
      <c r="BG21" s="739" t="s">
        <v>3</v>
      </c>
      <c r="BH21" s="734" t="str">
        <f t="shared" si="2"/>
        <v/>
      </c>
      <c r="BI21" s="737" t="str">
        <f>IF(M272="","",M272)</f>
        <v/>
      </c>
      <c r="BL21" s="2423" t="s">
        <v>2248</v>
      </c>
      <c r="BM21" s="2427"/>
      <c r="BN21" s="2419"/>
      <c r="BO21" s="2321"/>
      <c r="CA21" s="75"/>
      <c r="CB21" s="35"/>
      <c r="CD21" s="68" t="s">
        <v>2206</v>
      </c>
      <c r="CE21" s="7"/>
      <c r="CF21" s="7"/>
      <c r="CG21" s="7" t="s">
        <v>2249</v>
      </c>
      <c r="CH21" s="7"/>
      <c r="CI21" s="7"/>
      <c r="CJ21" s="2595" t="s">
        <v>2250</v>
      </c>
      <c r="CK21" s="2468"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5">
        <f>H291</f>
        <v>0</v>
      </c>
      <c r="BA22" s="736" t="s">
        <v>2191</v>
      </c>
      <c r="BB22" s="734" t="str">
        <f t="shared" si="0"/>
        <v/>
      </c>
      <c r="BC22" s="737" t="str">
        <f>IF(L291="","",L291)</f>
        <v/>
      </c>
      <c r="BD22" s="738" t="s">
        <v>2192</v>
      </c>
      <c r="BE22" s="734" t="str">
        <f t="shared" si="1"/>
        <v/>
      </c>
      <c r="BF22" s="737" t="str">
        <f>IF(N291="","",N291)</f>
        <v/>
      </c>
      <c r="BG22" s="739" t="s">
        <v>3</v>
      </c>
      <c r="BH22" s="734" t="str">
        <f t="shared" si="2"/>
        <v/>
      </c>
      <c r="BI22" s="737" t="str">
        <f>IF(M291="","",M291)</f>
        <v/>
      </c>
      <c r="BL22" s="2423" t="s">
        <v>2251</v>
      </c>
      <c r="BM22" s="2427"/>
      <c r="BN22" s="2419"/>
      <c r="BO22" s="2430"/>
      <c r="CA22" s="6"/>
      <c r="CD22" s="68" t="s">
        <v>2214</v>
      </c>
      <c r="CE22" s="7"/>
      <c r="CF22" s="7"/>
      <c r="CG22" s="7" t="s">
        <v>2252</v>
      </c>
      <c r="CH22" s="7"/>
      <c r="CJ22" s="2458"/>
      <c r="CK22" s="2458"/>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5">
        <f>H310</f>
        <v>0</v>
      </c>
      <c r="BA23" s="736" t="s">
        <v>2191</v>
      </c>
      <c r="BB23" s="734" t="str">
        <f t="shared" si="0"/>
        <v/>
      </c>
      <c r="BC23" s="737" t="str">
        <f>IF(L310="","",L310)</f>
        <v/>
      </c>
      <c r="BD23" s="738" t="s">
        <v>2192</v>
      </c>
      <c r="BE23" s="734" t="str">
        <f t="shared" si="1"/>
        <v/>
      </c>
      <c r="BF23" s="737" t="str">
        <f>IF(N310="","",N310)</f>
        <v/>
      </c>
      <c r="BG23" s="739" t="s">
        <v>3</v>
      </c>
      <c r="BH23" s="734" t="str">
        <f t="shared" si="2"/>
        <v/>
      </c>
      <c r="BI23" s="737" t="str">
        <f>IF(M310="","",M310)</f>
        <v/>
      </c>
      <c r="BL23" s="2423" t="s">
        <v>2253</v>
      </c>
      <c r="BM23" s="2427"/>
      <c r="BN23" s="2419"/>
      <c r="BO23" s="2430"/>
      <c r="CD23" s="38" t="s">
        <v>2219</v>
      </c>
      <c r="CG23" s="7" t="s">
        <v>2220</v>
      </c>
      <c r="CH23" s="7"/>
      <c r="CI23" s="7"/>
      <c r="CJ23" s="2596" t="s">
        <v>2254</v>
      </c>
      <c r="CK23" s="2468" t="b">
        <v>0</v>
      </c>
    </row>
    <row r="24" spans="3:89" ht="37" customHeight="1">
      <c r="C24" s="49"/>
      <c r="D24" s="49"/>
      <c r="E24" s="49"/>
      <c r="F24" s="49"/>
      <c r="G24" s="49"/>
      <c r="H24" s="49"/>
      <c r="I24" s="49"/>
      <c r="J24" s="49"/>
      <c r="K24" s="49"/>
      <c r="L24" s="49"/>
      <c r="M24" s="49"/>
      <c r="N24" s="49"/>
      <c r="X24" s="1717" t="s">
        <v>2255</v>
      </c>
      <c r="AS24" s="2" t="str">
        <f>D317</f>
        <v>Impose sa présence (appel, texto)</v>
      </c>
      <c r="AT24">
        <f>AD334</f>
        <v>0</v>
      </c>
      <c r="AU24">
        <f>AE334</f>
        <v>0</v>
      </c>
      <c r="AV24">
        <f>AF334</f>
        <v>0</v>
      </c>
      <c r="AX24" s="5">
        <v>15</v>
      </c>
      <c r="AY24" s="737" t="str">
        <f>D317</f>
        <v>Impose sa présence (appel, texto)</v>
      </c>
      <c r="AZ24" s="2135">
        <f>H329</f>
        <v>0</v>
      </c>
      <c r="BA24" s="736" t="s">
        <v>2191</v>
      </c>
      <c r="BB24" s="734" t="str">
        <f t="shared" si="0"/>
        <v/>
      </c>
      <c r="BC24" s="737" t="str">
        <f>IF(L329="","",L329)</f>
        <v/>
      </c>
      <c r="BD24" s="738" t="s">
        <v>2192</v>
      </c>
      <c r="BE24" s="734" t="str">
        <f t="shared" si="1"/>
        <v/>
      </c>
      <c r="BF24" s="737" t="str">
        <f>IF(N329="","",N329)</f>
        <v/>
      </c>
      <c r="BG24" s="739" t="s">
        <v>3</v>
      </c>
      <c r="BH24" s="734" t="str">
        <f t="shared" si="2"/>
        <v/>
      </c>
      <c r="BI24" s="737" t="str">
        <f>IF(M329="","",M329)</f>
        <v/>
      </c>
      <c r="BL24" s="2423" t="s">
        <v>2256</v>
      </c>
      <c r="BM24" s="2427"/>
      <c r="BN24" s="2419"/>
      <c r="BO24" s="2430"/>
      <c r="CA24" s="15"/>
      <c r="CD24" s="38" t="s">
        <v>2214</v>
      </c>
      <c r="CG24" s="2597" t="s">
        <v>2226</v>
      </c>
      <c r="CH24" s="2458"/>
      <c r="CI24" s="2458"/>
      <c r="CJ24" s="2458"/>
      <c r="CK24" s="2458"/>
    </row>
    <row r="25" spans="3:89" ht="37" customHeight="1">
      <c r="C25" s="49"/>
      <c r="D25" s="49"/>
      <c r="E25" s="49"/>
      <c r="F25" s="49"/>
      <c r="G25" s="49"/>
      <c r="H25" s="49"/>
      <c r="I25" s="49"/>
      <c r="J25" s="49"/>
      <c r="K25" s="49"/>
      <c r="L25" s="49"/>
      <c r="M25" s="49"/>
      <c r="N25" s="49"/>
      <c r="X25" s="49" t="s">
        <v>2257</v>
      </c>
      <c r="AS25" s="2" t="str">
        <f>D336</f>
        <v>Contrôle des communications</v>
      </c>
      <c r="AT25">
        <f>AD353</f>
        <v>0</v>
      </c>
      <c r="AU25">
        <f>AE353</f>
        <v>0</v>
      </c>
      <c r="AV25">
        <f>AF353</f>
        <v>0</v>
      </c>
      <c r="AX25" s="5">
        <v>16</v>
      </c>
      <c r="AY25" s="737" t="str">
        <f>D336</f>
        <v>Contrôle des communications</v>
      </c>
      <c r="AZ25" s="2135">
        <f>H348</f>
        <v>0</v>
      </c>
      <c r="BA25" s="736" t="s">
        <v>2191</v>
      </c>
      <c r="BB25" s="734" t="str">
        <f t="shared" si="0"/>
        <v/>
      </c>
      <c r="BC25" s="737" t="str">
        <f>IF(L348="","",L348)</f>
        <v/>
      </c>
      <c r="BD25" s="738" t="s">
        <v>2192</v>
      </c>
      <c r="BE25" s="734" t="str">
        <f t="shared" si="1"/>
        <v/>
      </c>
      <c r="BF25" s="737" t="str">
        <f>IF(N348="","",N348)</f>
        <v/>
      </c>
      <c r="BG25" s="739" t="s">
        <v>3</v>
      </c>
      <c r="BH25" s="734" t="str">
        <f t="shared" si="2"/>
        <v/>
      </c>
      <c r="BI25" s="737" t="str">
        <f>IF(M348="","",M348)</f>
        <v/>
      </c>
      <c r="BL25" s="2423" t="s">
        <v>2258</v>
      </c>
      <c r="BM25" s="2427"/>
      <c r="BN25" s="2419"/>
      <c r="BO25" s="2430"/>
      <c r="CA25" s="32"/>
      <c r="CD25" s="68" t="s">
        <v>2206</v>
      </c>
      <c r="CG25" s="7" t="s">
        <v>2249</v>
      </c>
      <c r="CJ25" s="2595" t="s">
        <v>2250</v>
      </c>
      <c r="CK25" s="2468"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9" t="s">
        <v>1585</v>
      </c>
      <c r="AK26" s="1729" t="s">
        <v>1488</v>
      </c>
      <c r="AL26" s="1730" t="s">
        <v>1585</v>
      </c>
      <c r="AM26" s="1730" t="s">
        <v>1488</v>
      </c>
      <c r="AN26" s="1731" t="s">
        <v>1585</v>
      </c>
      <c r="AO26" s="1731" t="s">
        <v>1488</v>
      </c>
      <c r="AS26" s="2" t="str">
        <f>D355</f>
        <v>Contact de l'enfant avec la famille élargie</v>
      </c>
      <c r="AT26">
        <f>AD372</f>
        <v>0</v>
      </c>
      <c r="AU26">
        <f>AE372</f>
        <v>0</v>
      </c>
      <c r="AV26">
        <f>AF372</f>
        <v>0</v>
      </c>
      <c r="AX26" s="5">
        <v>17</v>
      </c>
      <c r="AY26" s="737" t="str">
        <f>D355</f>
        <v>Contact de l'enfant avec la famille élargie</v>
      </c>
      <c r="AZ26" s="2135">
        <f>H367</f>
        <v>0</v>
      </c>
      <c r="BA26" s="736" t="s">
        <v>2191</v>
      </c>
      <c r="BB26" s="734" t="str">
        <f t="shared" si="0"/>
        <v/>
      </c>
      <c r="BC26" s="737" t="str">
        <f>IF(L367="","",L367)</f>
        <v/>
      </c>
      <c r="BD26" s="738" t="s">
        <v>2192</v>
      </c>
      <c r="BE26" s="734" t="str">
        <f t="shared" si="1"/>
        <v/>
      </c>
      <c r="BF26" s="737" t="str">
        <f>IF(N367="","",N367)</f>
        <v/>
      </c>
      <c r="BG26" s="739" t="s">
        <v>3</v>
      </c>
      <c r="BH26" s="734" t="str">
        <f t="shared" si="2"/>
        <v/>
      </c>
      <c r="BI26" s="737" t="str">
        <f>IF(M367="","",M367)</f>
        <v/>
      </c>
      <c r="BL26" s="2423" t="s">
        <v>2259</v>
      </c>
      <c r="BM26" s="2427"/>
      <c r="BN26" s="2419"/>
      <c r="BO26" s="2321"/>
      <c r="CA26" s="32"/>
      <c r="CD26" s="68"/>
      <c r="CG26" s="7"/>
      <c r="CJ26" s="2458"/>
      <c r="CK26" s="2458"/>
    </row>
    <row r="27" spans="3:89">
      <c r="C27" s="49"/>
      <c r="D27" s="49"/>
      <c r="E27" s="49"/>
      <c r="F27" s="49"/>
      <c r="G27" s="49"/>
      <c r="H27" s="49"/>
      <c r="I27" s="49"/>
      <c r="J27" s="49"/>
      <c r="K27" s="49"/>
      <c r="L27" s="49"/>
      <c r="M27" s="49"/>
      <c r="N27" s="49"/>
      <c r="X27" s="1732"/>
      <c r="Y27" s="620"/>
      <c r="Z27" s="1733" t="s">
        <v>1705</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5">
        <f>H386</f>
        <v>0</v>
      </c>
      <c r="BA27" s="736" t="s">
        <v>2191</v>
      </c>
      <c r="BB27" s="734" t="str">
        <f t="shared" si="0"/>
        <v/>
      </c>
      <c r="BC27" s="737" t="str">
        <f>IF(L386="","",L386)</f>
        <v/>
      </c>
      <c r="BD27" s="738" t="s">
        <v>2192</v>
      </c>
      <c r="BE27" s="734" t="str">
        <f t="shared" si="1"/>
        <v/>
      </c>
      <c r="BF27" s="737" t="str">
        <f>IF(N386="","",N386)</f>
        <v/>
      </c>
      <c r="BG27" s="739" t="s">
        <v>3</v>
      </c>
      <c r="BH27" s="734" t="str">
        <f t="shared" si="2"/>
        <v/>
      </c>
      <c r="BI27" s="737" t="str">
        <f>IF(M386="","",M386)</f>
        <v/>
      </c>
      <c r="BL27" s="2423" t="s">
        <v>2260</v>
      </c>
      <c r="BM27" s="2427"/>
      <c r="BN27" s="2419"/>
      <c r="BO27" s="2430"/>
      <c r="CA27" s="32"/>
      <c r="CD27" s="68"/>
      <c r="CG27" s="7"/>
      <c r="CJ27" s="2458"/>
      <c r="CK27" s="2458"/>
    </row>
    <row r="28" spans="3:89" ht="31.5" customHeight="1" thickBot="1">
      <c r="C28" s="49"/>
      <c r="D28" s="49"/>
      <c r="E28" s="49"/>
      <c r="F28" s="49"/>
      <c r="G28" s="49"/>
      <c r="H28" s="49"/>
      <c r="I28" s="49"/>
      <c r="J28" s="49"/>
      <c r="K28" s="49"/>
      <c r="L28" s="49"/>
      <c r="M28" s="49"/>
      <c r="N28" s="49"/>
      <c r="X28" s="293"/>
      <c r="Y28" s="294"/>
      <c r="Z28" s="1734" t="s">
        <v>270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5">
        <f>H406</f>
        <v>0</v>
      </c>
      <c r="BA28" s="736" t="s">
        <v>2191</v>
      </c>
      <c r="BB28" s="734" t="str">
        <f t="shared" si="0"/>
        <v/>
      </c>
      <c r="BC28" s="737" t="str">
        <f>IF(L406="","",L406)</f>
        <v/>
      </c>
      <c r="BD28" s="738" t="s">
        <v>2192</v>
      </c>
      <c r="BE28" s="734" t="str">
        <f t="shared" si="1"/>
        <v/>
      </c>
      <c r="BF28" s="737" t="str">
        <f>IF(N406="","",N406)</f>
        <v/>
      </c>
      <c r="BG28" s="739" t="s">
        <v>3</v>
      </c>
      <c r="BH28" s="734" t="str">
        <f t="shared" si="2"/>
        <v/>
      </c>
      <c r="BI28" s="737" t="str">
        <f>IF(M406="","",M406)</f>
        <v/>
      </c>
      <c r="BL28" s="2423" t="s">
        <v>2261</v>
      </c>
      <c r="BM28" s="2427"/>
      <c r="BN28" s="2419"/>
      <c r="BO28" s="2430"/>
      <c r="CA28" s="32"/>
      <c r="CD28" s="68"/>
      <c r="CG28" s="7"/>
      <c r="CJ28" s="2458"/>
      <c r="CK28" s="2458"/>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5">
        <f>H426</f>
        <v>0</v>
      </c>
      <c r="BA29" s="736" t="s">
        <v>2191</v>
      </c>
      <c r="BB29" s="734" t="str">
        <f t="shared" si="0"/>
        <v/>
      </c>
      <c r="BC29" s="737" t="str">
        <f>IF(L426="","",L426)</f>
        <v/>
      </c>
      <c r="BD29" s="738" t="s">
        <v>2192</v>
      </c>
      <c r="BE29" s="734" t="str">
        <f t="shared" si="1"/>
        <v/>
      </c>
      <c r="BF29" s="737" t="str">
        <f>IF(N426="","",N426)</f>
        <v/>
      </c>
      <c r="BG29" s="739" t="s">
        <v>3</v>
      </c>
      <c r="BH29" s="734" t="str">
        <f t="shared" si="2"/>
        <v/>
      </c>
      <c r="BI29" s="737" t="str">
        <f>IF(M426="","",M426)</f>
        <v/>
      </c>
      <c r="BL29" s="2423" t="s">
        <v>2262</v>
      </c>
      <c r="BM29" s="2428"/>
      <c r="BN29" s="2419"/>
      <c r="BO29" s="2430"/>
      <c r="CA29" s="32"/>
      <c r="CD29" s="68"/>
      <c r="CG29" s="7"/>
      <c r="CJ29" s="2458"/>
      <c r="CK29" s="2458"/>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7" t="str">
        <f>D433</f>
        <v>Liberté du choix de l'enfant</v>
      </c>
      <c r="AZ30" s="2135">
        <f>H445</f>
        <v>0</v>
      </c>
      <c r="BA30" s="736" t="s">
        <v>2191</v>
      </c>
      <c r="BB30" s="734" t="str">
        <f t="shared" si="0"/>
        <v/>
      </c>
      <c r="BC30" s="737" t="str">
        <f>IF(L445="","",L445)</f>
        <v/>
      </c>
      <c r="BD30" s="738" t="s">
        <v>2192</v>
      </c>
      <c r="BE30" s="734" t="str">
        <f t="shared" si="1"/>
        <v/>
      </c>
      <c r="BF30" s="737" t="str">
        <f>IF(N445="","",N445)</f>
        <v/>
      </c>
      <c r="BG30" s="739" t="s">
        <v>3</v>
      </c>
      <c r="BH30" s="734" t="str">
        <f t="shared" si="2"/>
        <v/>
      </c>
      <c r="BI30" s="737" t="str">
        <f>IF(M445="","",M445)</f>
        <v/>
      </c>
      <c r="BL30" s="2423" t="s">
        <v>2263</v>
      </c>
      <c r="BM30" s="2427"/>
      <c r="BN30" s="2419"/>
      <c r="BO30" s="2321"/>
      <c r="CA30" s="75"/>
      <c r="CD30" s="69" t="s">
        <v>2234</v>
      </c>
      <c r="CG30" s="7" t="s">
        <v>2220</v>
      </c>
      <c r="CJ30" s="2458"/>
      <c r="CK30" s="2458"/>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0</v>
      </c>
      <c r="AU31">
        <f>AE469</f>
        <v>0</v>
      </c>
      <c r="AV31">
        <f>AF469</f>
        <v>0</v>
      </c>
      <c r="AX31" s="5">
        <v>22</v>
      </c>
      <c r="AY31" s="737" t="str">
        <f>D452</f>
        <v>Maturité de l'enfant de choisir</v>
      </c>
      <c r="AZ31" s="2135">
        <f>H464</f>
        <v>0</v>
      </c>
      <c r="BA31" s="736" t="s">
        <v>2191</v>
      </c>
      <c r="BB31" s="734" t="str">
        <f t="shared" si="0"/>
        <v/>
      </c>
      <c r="BC31" s="737" t="str">
        <f>IF(L464="","",L464)</f>
        <v/>
      </c>
      <c r="BD31" s="738" t="s">
        <v>2192</v>
      </c>
      <c r="BE31" s="734" t="str">
        <f t="shared" si="1"/>
        <v/>
      </c>
      <c r="BF31" s="737" t="str">
        <f>IF(N464="","",N464)</f>
        <v/>
      </c>
      <c r="BG31" s="739" t="s">
        <v>3</v>
      </c>
      <c r="BH31" s="734" t="str">
        <f t="shared" si="2"/>
        <v/>
      </c>
      <c r="BI31" s="737" t="str">
        <f>IF(M464="","",M464)</f>
        <v/>
      </c>
      <c r="BL31" s="2423" t="s">
        <v>2264</v>
      </c>
      <c r="BM31" s="2427"/>
      <c r="BN31" s="2419"/>
      <c r="BO31" s="2321"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5">
        <f>H483</f>
        <v>0</v>
      </c>
      <c r="BA32" s="736" t="s">
        <v>2191</v>
      </c>
      <c r="BB32" s="734" t="str">
        <f t="shared" si="0"/>
        <v/>
      </c>
      <c r="BC32" s="737" t="str">
        <f>IF(L483="","",L483)</f>
        <v/>
      </c>
      <c r="BD32" s="738" t="s">
        <v>2192</v>
      </c>
      <c r="BE32" s="734" t="str">
        <f t="shared" si="1"/>
        <v/>
      </c>
      <c r="BF32" s="737" t="str">
        <f>IF(N483="","",N483)</f>
        <v/>
      </c>
      <c r="BG32" s="739" t="s">
        <v>3</v>
      </c>
      <c r="BH32" s="734" t="str">
        <f t="shared" si="2"/>
        <v/>
      </c>
      <c r="BI32" s="737" t="str">
        <f>IF(M483="","",M483)</f>
        <v/>
      </c>
      <c r="BL32" s="2423" t="s">
        <v>2266</v>
      </c>
      <c r="BM32" s="2427"/>
      <c r="BN32" s="2419"/>
      <c r="BO32" s="2321"/>
      <c r="CA32" s="75"/>
      <c r="CD32" s="69"/>
      <c r="CG32" s="7"/>
      <c r="CJ32" s="698"/>
      <c r="CK32" s="8"/>
    </row>
    <row r="33" spans="1:105" ht="31" customHeight="1">
      <c r="C33" s="49"/>
      <c r="D33" s="49"/>
      <c r="E33" s="49"/>
      <c r="F33" s="49"/>
      <c r="G33" s="49"/>
      <c r="H33" s="49"/>
      <c r="I33" s="49"/>
      <c r="J33" s="49"/>
      <c r="K33" s="49"/>
      <c r="L33" s="49"/>
      <c r="M33" s="49"/>
      <c r="N33" s="49"/>
      <c r="X33" s="36"/>
      <c r="AG33" s="1672"/>
      <c r="AH33" s="700" t="s">
        <v>1681</v>
      </c>
      <c r="AI33" s="700" t="s">
        <v>1682</v>
      </c>
      <c r="AJ33" s="5" t="s">
        <v>1683</v>
      </c>
      <c r="AK33" s="5" t="s">
        <v>1684</v>
      </c>
      <c r="AL33" s="90"/>
      <c r="AS33" s="2" t="str">
        <f>D490</f>
        <v>Demande / force l'enfant à choisir</v>
      </c>
      <c r="AT33">
        <f>AD507</f>
        <v>0</v>
      </c>
      <c r="AU33">
        <f>AE507</f>
        <v>0</v>
      </c>
      <c r="AV33">
        <f>AF507</f>
        <v>0</v>
      </c>
      <c r="AX33" s="5">
        <v>24</v>
      </c>
      <c r="AY33" s="737" t="str">
        <f>D490</f>
        <v>Demande / force l'enfant à choisir</v>
      </c>
      <c r="AZ33" s="2135">
        <f>H502</f>
        <v>0</v>
      </c>
      <c r="BA33" s="736" t="s">
        <v>2191</v>
      </c>
      <c r="BB33" s="734" t="str">
        <f t="shared" si="0"/>
        <v/>
      </c>
      <c r="BC33" s="737" t="str">
        <f>IF(L502="","",L502)</f>
        <v/>
      </c>
      <c r="BD33" s="738" t="s">
        <v>2192</v>
      </c>
      <c r="BE33" s="734" t="str">
        <f t="shared" si="1"/>
        <v/>
      </c>
      <c r="BF33" s="737" t="str">
        <f>IF(N502="","",N502)</f>
        <v/>
      </c>
      <c r="BG33" s="739" t="s">
        <v>3</v>
      </c>
      <c r="BH33" s="734" t="str">
        <f t="shared" si="2"/>
        <v/>
      </c>
      <c r="BI33" s="737" t="str">
        <f>IF(M502="","",M502)</f>
        <v/>
      </c>
      <c r="BL33" s="2423" t="s">
        <v>2267</v>
      </c>
      <c r="BM33" s="2427"/>
      <c r="BN33" s="2419"/>
      <c r="BO33" s="2430"/>
      <c r="CA33" s="75"/>
      <c r="CD33" s="69"/>
      <c r="CG33" s="7"/>
      <c r="CJ33" s="698"/>
      <c r="CK33" s="8"/>
    </row>
    <row r="34" spans="1:105" ht="31" customHeight="1">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5">
        <f>H521</f>
        <v>0</v>
      </c>
      <c r="BA34" s="736" t="s">
        <v>2191</v>
      </c>
      <c r="BB34" s="734" t="str">
        <f t="shared" si="0"/>
        <v/>
      </c>
      <c r="BC34" s="737" t="str">
        <f>IF(L521="","",L521)</f>
        <v/>
      </c>
      <c r="BD34" s="738" t="s">
        <v>2192</v>
      </c>
      <c r="BE34" s="734" t="str">
        <f t="shared" si="1"/>
        <v/>
      </c>
      <c r="BF34" s="737" t="str">
        <f>IF(N521="","",N521)</f>
        <v/>
      </c>
      <c r="BG34" s="739" t="s">
        <v>3</v>
      </c>
      <c r="BH34" s="734" t="str">
        <f t="shared" si="2"/>
        <v/>
      </c>
      <c r="BI34" s="737" t="str">
        <f>IF(M521="","",M521)</f>
        <v/>
      </c>
      <c r="BL34" s="2423" t="s">
        <v>2268</v>
      </c>
      <c r="BM34" s="2427"/>
      <c r="BN34" s="2419"/>
      <c r="BO34" s="2430"/>
      <c r="CA34" s="75"/>
      <c r="CD34" s="38" t="s">
        <v>2219</v>
      </c>
      <c r="CG34" s="7" t="s">
        <v>2220</v>
      </c>
      <c r="CJ34" s="2596" t="s">
        <v>2269</v>
      </c>
      <c r="CK34" s="2468"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5">
        <f>H541</f>
        <v>0</v>
      </c>
      <c r="BA35" s="736" t="s">
        <v>2191</v>
      </c>
      <c r="BB35" s="734" t="str">
        <f t="shared" si="0"/>
        <v/>
      </c>
      <c r="BC35" s="737" t="str">
        <f>IF(L541="","",L541)</f>
        <v/>
      </c>
      <c r="BD35" s="738" t="s">
        <v>2192</v>
      </c>
      <c r="BE35" s="734" t="str">
        <f t="shared" si="1"/>
        <v/>
      </c>
      <c r="BF35" s="737" t="str">
        <f>IF(N541="","",N541)</f>
        <v/>
      </c>
      <c r="BG35" s="739" t="s">
        <v>3</v>
      </c>
      <c r="BH35" s="734" t="str">
        <f t="shared" si="2"/>
        <v/>
      </c>
      <c r="BI35" s="737" t="str">
        <f>IF(M541="","",M541)</f>
        <v/>
      </c>
      <c r="BL35" s="2423" t="s">
        <v>2271</v>
      </c>
      <c r="BM35" s="2427"/>
      <c r="BN35" s="2419"/>
      <c r="BO35" s="2430"/>
      <c r="CA35" s="6"/>
      <c r="CD35" s="38" t="s">
        <v>2234</v>
      </c>
      <c r="CG35" s="7" t="s">
        <v>2220</v>
      </c>
      <c r="CJ35" s="2458"/>
      <c r="CK35" s="2458"/>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136">
        <f>H706</f>
        <v>0</v>
      </c>
      <c r="BA36" s="87"/>
      <c r="BB36" s="438"/>
      <c r="BC36" s="737"/>
      <c r="BD36" s="738" t="s">
        <v>2192</v>
      </c>
      <c r="BE36" s="734" t="str">
        <f t="shared" si="1"/>
        <v/>
      </c>
      <c r="BF36" s="737" t="str">
        <f>IF(N706="","",N706)</f>
        <v/>
      </c>
      <c r="BG36" s="443"/>
      <c r="BH36" s="734"/>
      <c r="BI36" s="737"/>
      <c r="BL36" s="2423" t="s">
        <v>2271</v>
      </c>
      <c r="BM36" s="2427"/>
      <c r="BN36" s="2419"/>
      <c r="BO36" s="2321"/>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0</v>
      </c>
      <c r="AX37" s="5">
        <v>28</v>
      </c>
      <c r="AY37" s="89" t="str">
        <f>D713</f>
        <v>Manque d'ambivalence</v>
      </c>
      <c r="AZ37" s="2136">
        <f>H726</f>
        <v>0</v>
      </c>
      <c r="BA37" s="87"/>
      <c r="BB37" s="438"/>
      <c r="BC37" s="737"/>
      <c r="BD37" s="738" t="s">
        <v>2192</v>
      </c>
      <c r="BE37" s="734" t="str">
        <f t="shared" si="1"/>
        <v/>
      </c>
      <c r="BF37" s="737" t="str">
        <f>IF(N726="","",N726)</f>
        <v/>
      </c>
      <c r="BG37" s="443"/>
      <c r="BH37" s="734"/>
      <c r="BI37" s="737"/>
      <c r="BL37" s="2423" t="s">
        <v>2276</v>
      </c>
      <c r="BM37" s="2427"/>
      <c r="BN37" s="2419"/>
      <c r="BO37" s="2321"/>
      <c r="CZ37" t="s">
        <v>2277</v>
      </c>
    </row>
    <row r="38" spans="1:105" ht="46.5" customHeight="1">
      <c r="C38" s="49"/>
      <c r="D38" s="49"/>
      <c r="E38" s="49"/>
      <c r="F38" s="49"/>
      <c r="G38" s="49"/>
      <c r="H38" s="49"/>
      <c r="I38" s="49"/>
      <c r="J38" s="49"/>
      <c r="K38" s="49"/>
      <c r="L38" s="49"/>
      <c r="M38" s="49"/>
      <c r="N38" s="49"/>
      <c r="AG38" s="589"/>
      <c r="AH38" s="700"/>
      <c r="AI38" s="1798">
        <v>0.25</v>
      </c>
      <c r="AJ38" s="1798">
        <v>0.38</v>
      </c>
      <c r="AK38" s="1798">
        <f>1-AI38-AJ38</f>
        <v>0.37</v>
      </c>
      <c r="AS38" s="2" t="str">
        <f>D591</f>
        <v>Respecte la valeur coparentale du coparent</v>
      </c>
      <c r="AT38">
        <f>AD608</f>
        <v>0</v>
      </c>
      <c r="AU38">
        <f>AE608</f>
        <v>0</v>
      </c>
      <c r="AV38">
        <f>AF608</f>
        <v>0</v>
      </c>
      <c r="AX38" s="5">
        <v>29</v>
      </c>
      <c r="AY38" s="89" t="str">
        <f>D733</f>
        <v>Propos d'adulte</v>
      </c>
      <c r="AZ38" s="2136">
        <f>H745</f>
        <v>0</v>
      </c>
      <c r="BA38" s="87"/>
      <c r="BB38" s="438"/>
      <c r="BC38" s="737"/>
      <c r="BD38" s="738" t="s">
        <v>2192</v>
      </c>
      <c r="BE38" s="734" t="str">
        <f t="shared" si="1"/>
        <v/>
      </c>
      <c r="BF38" s="737" t="str">
        <f>IF(N745="","",N745)</f>
        <v/>
      </c>
      <c r="BG38" s="443"/>
      <c r="BH38" s="734"/>
      <c r="BI38" s="737"/>
      <c r="BL38" s="2423" t="s">
        <v>2278</v>
      </c>
      <c r="BM38" s="2427"/>
      <c r="BO38" s="2321"/>
      <c r="CY38" t="s">
        <v>2279</v>
      </c>
    </row>
    <row r="39" spans="1:105" ht="31" customHeight="1">
      <c r="C39" s="49"/>
      <c r="D39" s="49"/>
      <c r="E39" s="49"/>
      <c r="F39" s="49"/>
      <c r="G39" s="49"/>
      <c r="H39" s="49"/>
      <c r="I39" s="49"/>
      <c r="J39" s="49"/>
      <c r="K39" s="49"/>
      <c r="L39" s="49"/>
      <c r="M39" s="49"/>
      <c r="N39" s="49"/>
      <c r="AG39" s="1672"/>
      <c r="AH39" s="700" t="s">
        <v>1681</v>
      </c>
      <c r="AI39" s="700"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136">
        <f>H764</f>
        <v>0</v>
      </c>
      <c r="BA39" s="87"/>
      <c r="BB39" s="438"/>
      <c r="BC39" s="2190"/>
      <c r="BD39" s="2191" t="s">
        <v>2192</v>
      </c>
      <c r="BE39" s="442" t="str">
        <f t="shared" si="1"/>
        <v/>
      </c>
      <c r="BF39" s="2190" t="str">
        <f>IF(N764="","",N764)</f>
        <v/>
      </c>
      <c r="BG39" s="443"/>
      <c r="BH39" s="442"/>
      <c r="BI39" s="2190"/>
      <c r="BL39" s="2424" t="s">
        <v>2280</v>
      </c>
      <c r="BM39" s="2429"/>
      <c r="BO39" s="2321"/>
    </row>
    <row r="40" spans="1:105">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25" t="s">
        <v>2281</v>
      </c>
      <c r="BM40" s="2425"/>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6">
        <f>AVERAGE(AZ10:AZ39)</f>
        <v>0</v>
      </c>
      <c r="AZ41" s="728"/>
      <c r="BA41" s="87"/>
      <c r="BB41" s="438"/>
      <c r="BC41" s="89"/>
      <c r="BD41" s="442"/>
      <c r="BE41" s="442"/>
      <c r="BF41" s="89"/>
      <c r="BG41" s="443"/>
      <c r="BH41" s="443"/>
      <c r="BI41" s="439"/>
      <c r="BL41" s="25" t="s">
        <v>2282</v>
      </c>
      <c r="BN41" s="25"/>
      <c r="BO41" s="2431"/>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2"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8"/>
      <c r="C47" s="429" t="s">
        <v>2285</v>
      </c>
      <c r="F47" s="91"/>
      <c r="G47" s="1046"/>
      <c r="H47" s="91"/>
      <c r="AB47" s="9" t="s">
        <v>2286</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8"/>
      <c r="E48" s="85" t="s">
        <v>2287</v>
      </c>
      <c r="F48" s="1326"/>
      <c r="G48" s="1326"/>
      <c r="H48" s="1326"/>
      <c r="I48" s="2589" t="s">
        <v>2288</v>
      </c>
      <c r="J48" s="2559"/>
      <c r="K48" s="2567"/>
      <c r="L48" s="2581"/>
      <c r="M48" s="2559"/>
      <c r="N48" s="2559"/>
      <c r="O48" s="1333"/>
      <c r="P48" s="2586" t="s">
        <v>2289</v>
      </c>
      <c r="Q48" s="2559"/>
      <c r="R48" s="2567"/>
      <c r="S48" s="1380" t="s">
        <v>2290</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82" t="s">
        <v>2141</v>
      </c>
      <c r="J49" s="2458"/>
      <c r="K49" s="2458"/>
      <c r="L49" s="2585" t="s">
        <v>2291</v>
      </c>
      <c r="M49" s="2458"/>
      <c r="N49" s="2458"/>
      <c r="O49" s="2584"/>
      <c r="P49" s="2587" t="s">
        <v>2142</v>
      </c>
      <c r="Q49" s="2458"/>
      <c r="R49" s="2584"/>
      <c r="S49" s="2583" t="s">
        <v>2143</v>
      </c>
      <c r="T49" s="2458"/>
      <c r="U49" s="2584"/>
      <c r="V49" s="15"/>
      <c r="W49" s="809"/>
      <c r="X49" s="809"/>
      <c r="Y49" s="809"/>
      <c r="Z49" s="809"/>
      <c r="AA49" s="809"/>
      <c r="AB49" s="810"/>
      <c r="AD49" s="10"/>
      <c r="AE49" s="10"/>
      <c r="AF49" s="10"/>
      <c r="AG49" s="1372" t="s">
        <v>2141</v>
      </c>
      <c r="AH49" s="1372" t="s">
        <v>2142</v>
      </c>
      <c r="AI49" s="1372" t="s">
        <v>2143</v>
      </c>
      <c r="AJ49" s="2580" t="s">
        <v>2141</v>
      </c>
      <c r="AK49" s="2474"/>
      <c r="AL49" s="2580" t="s">
        <v>2142</v>
      </c>
      <c r="AM49" s="2474"/>
      <c r="AN49" s="2580" t="s">
        <v>2143</v>
      </c>
      <c r="AO49" s="2474"/>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6"/>
      <c r="D50" s="79" t="s">
        <v>2292</v>
      </c>
      <c r="E50" s="827" t="s">
        <v>2293</v>
      </c>
      <c r="F50" s="26" t="s">
        <v>64</v>
      </c>
      <c r="G50" s="26" t="s">
        <v>453</v>
      </c>
      <c r="H50" s="26" t="s">
        <v>2294</v>
      </c>
      <c r="I50" s="1334" t="s">
        <v>2295</v>
      </c>
      <c r="J50" s="29" t="s">
        <v>2296</v>
      </c>
      <c r="K50" s="29" t="s">
        <v>2297</v>
      </c>
      <c r="L50" s="29" t="s">
        <v>2298</v>
      </c>
      <c r="M50" s="29" t="s">
        <v>2299</v>
      </c>
      <c r="N50" s="29" t="s">
        <v>2300</v>
      </c>
      <c r="O50" s="1335" t="s">
        <v>2301</v>
      </c>
      <c r="P50" s="1334" t="s">
        <v>2295</v>
      </c>
      <c r="Q50" s="29" t="s">
        <v>2296</v>
      </c>
      <c r="R50" s="1335" t="s">
        <v>2297</v>
      </c>
      <c r="S50" s="1334" t="s">
        <v>2295</v>
      </c>
      <c r="T50" s="29" t="s">
        <v>2296</v>
      </c>
      <c r="U50" s="1335" t="s">
        <v>2297</v>
      </c>
      <c r="V50" s="730"/>
      <c r="W50" s="819" t="s">
        <v>2141</v>
      </c>
      <c r="X50" s="820" t="s">
        <v>2302</v>
      </c>
      <c r="Y50" s="819" t="s">
        <v>2142</v>
      </c>
      <c r="Z50" s="820" t="s">
        <v>2303</v>
      </c>
      <c r="AA50" s="819" t="s">
        <v>2143</v>
      </c>
      <c r="AB50" s="820" t="s">
        <v>2304</v>
      </c>
      <c r="AD50" s="10"/>
      <c r="AE50" s="10"/>
      <c r="AF50" s="10"/>
      <c r="AG50" s="10"/>
      <c r="AH50" s="10"/>
      <c r="AI50" s="10"/>
      <c r="AJ50" s="1476" t="s">
        <v>1585</v>
      </c>
      <c r="AK50" s="1476" t="s">
        <v>1488</v>
      </c>
      <c r="AL50" s="1476" t="s">
        <v>1585</v>
      </c>
      <c r="AM50" s="1476" t="s">
        <v>1488</v>
      </c>
      <c r="AN50" s="1476" t="s">
        <v>1585</v>
      </c>
      <c r="AO50" s="1476" t="s">
        <v>1488</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1"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8.5"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1" customHeight="1">
      <c r="B53" s="1686"/>
      <c r="C53" s="704" t="s">
        <v>2306</v>
      </c>
      <c r="D53" s="705" t="str">
        <f>_xlfn.XLOOKUP(H53,H51:H52,D51:D52)</f>
        <v>Selon vous, dans quelle mesure l'autre parent demande à votre enfant de garder des secrets ou de vous cacher des choses ?</v>
      </c>
      <c r="E53" s="706" t="str">
        <f>_xlfn.XLOOKUP(H53,H51:H52,E51:E52)</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8.5"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8.5"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19" customHeight="1" thickBot="1">
      <c r="B56" s="1686"/>
      <c r="C56" s="710" t="s">
        <v>2307</v>
      </c>
      <c r="D56" s="711">
        <f>_xlfn.XLOOKUP(H56,H54:H55,D54:D55)</f>
        <v>0</v>
      </c>
      <c r="E56" s="712">
        <f>_xlfn.XLOOKUP(H56,H54:H55,E54:E55)</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6"/>
      <c r="C57" s="716" t="s">
        <v>2308</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t="s">
        <v>620</v>
      </c>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1.5" customHeight="1" thickBot="1">
      <c r="B60" s="1686"/>
      <c r="C60" s="721" t="s">
        <v>2311</v>
      </c>
      <c r="D60" s="722" t="str">
        <f>_xlfn.XLOOKUP(H60,H58:H59,D58:D59)</f>
        <v>Votre enfant garde des secrets et vous cache de l'information concernant sa relation avec l'autre parent.</v>
      </c>
      <c r="E60" s="722" t="str">
        <f>_xlfn.XLOOKUP(H60,H58:H59,E58:E59)</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46.5" customHeight="1">
      <c r="B61" s="1686"/>
      <c r="D61" s="383" t="s">
        <v>2312</v>
      </c>
      <c r="E61" s="699"/>
      <c r="F61" s="435" t="s">
        <v>2313</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42</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6.5"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6.5" customHeight="1" thickBot="1">
      <c r="C65" s="1354"/>
      <c r="D65" s="1355"/>
      <c r="E65" s="1356"/>
      <c r="F65" s="435" t="s">
        <v>2313</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6.5"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9" t="s">
        <v>2288</v>
      </c>
      <c r="J68" s="2559"/>
      <c r="K68" s="2567"/>
      <c r="L68" s="2581"/>
      <c r="M68" s="2559"/>
      <c r="N68" s="2559"/>
      <c r="O68" s="1333"/>
      <c r="P68" s="2586" t="s">
        <v>2289</v>
      </c>
      <c r="Q68" s="2559"/>
      <c r="R68" s="2567"/>
      <c r="S68" s="1380" t="s">
        <v>2290</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82" t="s">
        <v>2141</v>
      </c>
      <c r="J69" s="2458"/>
      <c r="K69" s="2458"/>
      <c r="L69" s="2585" t="s">
        <v>2291</v>
      </c>
      <c r="M69" s="2458"/>
      <c r="N69" s="2458"/>
      <c r="O69" s="2584"/>
      <c r="P69" s="2587" t="s">
        <v>2142</v>
      </c>
      <c r="Q69" s="2458"/>
      <c r="R69" s="2584"/>
      <c r="S69" s="2583" t="s">
        <v>2143</v>
      </c>
      <c r="T69" s="2458"/>
      <c r="U69" s="2584"/>
      <c r="V69" s="15"/>
      <c r="W69" s="809"/>
      <c r="X69" s="809"/>
      <c r="Y69" s="809"/>
      <c r="Z69" s="809"/>
      <c r="AA69" s="809"/>
      <c r="AB69" s="810"/>
      <c r="AD69" s="10"/>
      <c r="AE69" s="10"/>
      <c r="AF69" s="10"/>
      <c r="AG69" s="1372" t="s">
        <v>2141</v>
      </c>
      <c r="AH69" s="1372" t="s">
        <v>2142</v>
      </c>
      <c r="AI69" s="1372" t="s">
        <v>2143</v>
      </c>
      <c r="AJ69" s="2580" t="s">
        <v>2141</v>
      </c>
      <c r="AK69" s="2474"/>
      <c r="AL69" s="2580" t="s">
        <v>2142</v>
      </c>
      <c r="AM69" s="2474"/>
      <c r="AN69" s="2580" t="s">
        <v>2143</v>
      </c>
      <c r="AO69" s="2474"/>
      <c r="AY69" s="728"/>
      <c r="AZ69" s="728"/>
      <c r="BA69" s="87"/>
      <c r="BB69" s="438"/>
      <c r="BC69" s="89"/>
      <c r="BD69" s="442"/>
      <c r="BE69" s="442"/>
      <c r="BF69" s="89"/>
      <c r="BG69" s="443"/>
      <c r="BH69" s="443"/>
      <c r="BI69" s="439"/>
    </row>
    <row r="70" spans="1:78" ht="31" customHeight="1">
      <c r="B70" s="1686"/>
      <c r="D70" s="79" t="s">
        <v>2292</v>
      </c>
      <c r="E70" s="827" t="s">
        <v>2293</v>
      </c>
      <c r="F70" s="26" t="s">
        <v>64</v>
      </c>
      <c r="G70" s="26" t="s">
        <v>453</v>
      </c>
      <c r="H70" s="26" t="s">
        <v>2294</v>
      </c>
      <c r="I70" s="1334" t="s">
        <v>2295</v>
      </c>
      <c r="J70" s="29" t="s">
        <v>2296</v>
      </c>
      <c r="K70" s="29" t="s">
        <v>2297</v>
      </c>
      <c r="L70" s="29" t="s">
        <v>2298</v>
      </c>
      <c r="M70" s="29" t="s">
        <v>2299</v>
      </c>
      <c r="N70" s="29" t="s">
        <v>2300</v>
      </c>
      <c r="O70" s="1335" t="s">
        <v>2301</v>
      </c>
      <c r="P70" s="1334" t="s">
        <v>2295</v>
      </c>
      <c r="Q70" s="29" t="s">
        <v>2296</v>
      </c>
      <c r="R70" s="1335" t="s">
        <v>2297</v>
      </c>
      <c r="S70" s="1334" t="s">
        <v>2295</v>
      </c>
      <c r="T70" s="29" t="s">
        <v>2296</v>
      </c>
      <c r="U70" s="1335" t="s">
        <v>2297</v>
      </c>
      <c r="V70" s="730"/>
      <c r="W70" s="819" t="s">
        <v>2141</v>
      </c>
      <c r="X70" s="820" t="s">
        <v>2302</v>
      </c>
      <c r="Y70" s="819" t="s">
        <v>2142</v>
      </c>
      <c r="Z70" s="820" t="s">
        <v>2303</v>
      </c>
      <c r="AA70" s="819" t="s">
        <v>2143</v>
      </c>
      <c r="AB70" s="820" t="s">
        <v>2304</v>
      </c>
      <c r="AD70" s="10"/>
      <c r="AE70" s="10"/>
      <c r="AF70" s="10"/>
      <c r="AG70" s="10"/>
      <c r="AH70" s="10"/>
      <c r="AI70" s="10"/>
      <c r="AJ70" s="1476" t="s">
        <v>1585</v>
      </c>
      <c r="AK70" s="1476" t="s">
        <v>1488</v>
      </c>
      <c r="AL70" s="1476" t="s">
        <v>1585</v>
      </c>
      <c r="AM70" s="1476" t="s">
        <v>1488</v>
      </c>
      <c r="AN70" s="1476" t="s">
        <v>1585</v>
      </c>
      <c r="AO70" s="1476" t="s">
        <v>1488</v>
      </c>
      <c r="AY70" s="728"/>
      <c r="AZ70" s="728"/>
      <c r="BA70" s="87"/>
      <c r="BB70" s="438"/>
      <c r="BC70" s="89"/>
      <c r="BD70" s="442"/>
      <c r="BE70" s="442"/>
      <c r="BF70" s="89"/>
      <c r="BG70" s="443"/>
      <c r="BH70" s="443"/>
      <c r="BI70" s="439"/>
    </row>
    <row r="71" spans="1:78" ht="43.5"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3.5" customHeight="1">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1" customHeight="1">
      <c r="B73" s="1517"/>
      <c r="C73" s="704" t="s">
        <v>2306</v>
      </c>
      <c r="D73" s="705" t="str">
        <f>_xlfn.XLOOKUP(H73,H71:H72,D71:D72)</f>
        <v>L’autre parent laisse entendre à votre enfant que vous avez abandonné la famille.</v>
      </c>
      <c r="E73" s="706" t="str">
        <f>_xlfn.XLOOKUP(H73,H71:H72,E71:E72)</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8.5"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8.5"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6"/>
      <c r="C76" s="710" t="s">
        <v>2307</v>
      </c>
      <c r="D76" s="711">
        <f>_xlfn.XLOOKUP(H76,H74:H75,D74:D75)</f>
        <v>0</v>
      </c>
      <c r="E76" s="712">
        <f>_xlfn.XLOOKUP(H76,H74:H75,E74:E75)</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6"/>
      <c r="C77" s="716" t="s">
        <v>2308</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t="s">
        <v>620</v>
      </c>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19"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1.5" customHeight="1" thickBot="1">
      <c r="B80" s="1686"/>
      <c r="C80" s="721" t="s">
        <v>2311</v>
      </c>
      <c r="D80" s="722" t="str">
        <f>_xlfn.XLOOKUP(H80,H78:H79,D78:D79)</f>
        <v>Votre enfant vous accuse ou vous reproche d'avoir brisé ou abandonné la famille.</v>
      </c>
      <c r="E80" s="722" t="str">
        <f>_xlfn.XLOOKUP(H80,H78:H79,E78:E79)</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46.5" customHeight="1">
      <c r="B81" s="1686"/>
      <c r="D81" s="383" t="s">
        <v>2312</v>
      </c>
      <c r="E81" s="699"/>
      <c r="F81" s="435" t="s">
        <v>2313</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8.5" customHeight="1">
      <c r="B82" s="1686"/>
      <c r="C82" t="s">
        <v>42</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8.5"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19"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6.5"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6.5" customHeight="1" thickBot="1">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9" t="s">
        <v>2288</v>
      </c>
      <c r="J87" s="2559"/>
      <c r="K87" s="2567"/>
      <c r="L87" s="2581"/>
      <c r="M87" s="2559"/>
      <c r="N87" s="2559"/>
      <c r="O87" s="1333"/>
      <c r="P87" s="2586" t="s">
        <v>2289</v>
      </c>
      <c r="Q87" s="2559"/>
      <c r="R87" s="2567"/>
      <c r="S87" s="1380" t="s">
        <v>2290</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82" t="s">
        <v>2141</v>
      </c>
      <c r="J88" s="2458"/>
      <c r="K88" s="2458"/>
      <c r="L88" s="2585" t="s">
        <v>2291</v>
      </c>
      <c r="M88" s="2458"/>
      <c r="N88" s="2458"/>
      <c r="O88" s="2584"/>
      <c r="P88" s="2587" t="s">
        <v>2142</v>
      </c>
      <c r="Q88" s="2458"/>
      <c r="R88" s="2584"/>
      <c r="S88" s="2583" t="s">
        <v>2143</v>
      </c>
      <c r="T88" s="2458"/>
      <c r="U88" s="2584"/>
      <c r="V88" s="15"/>
      <c r="W88" s="809"/>
      <c r="X88" s="809"/>
      <c r="Y88" s="809"/>
      <c r="Z88" s="809"/>
      <c r="AA88" s="809"/>
      <c r="AB88" s="810"/>
      <c r="AD88" s="10"/>
      <c r="AE88" s="10"/>
      <c r="AF88" s="10"/>
      <c r="AG88" s="1372" t="s">
        <v>2141</v>
      </c>
      <c r="AH88" s="1372" t="s">
        <v>2142</v>
      </c>
      <c r="AI88" s="1372" t="s">
        <v>2143</v>
      </c>
      <c r="AJ88" s="2580" t="s">
        <v>2141</v>
      </c>
      <c r="AK88" s="2474"/>
      <c r="AL88" s="2580" t="s">
        <v>2142</v>
      </c>
      <c r="AM88" s="2474"/>
      <c r="AN88" s="2580" t="s">
        <v>2143</v>
      </c>
      <c r="AO88" s="2474"/>
      <c r="AY88" s="728"/>
      <c r="AZ88" s="728"/>
      <c r="BA88" s="87"/>
      <c r="BB88" s="438"/>
      <c r="BC88" s="89"/>
      <c r="BD88" s="442"/>
      <c r="BE88" s="442"/>
      <c r="BF88" s="89"/>
      <c r="BG88" s="443"/>
      <c r="BH88" s="443"/>
      <c r="BI88" s="439"/>
    </row>
    <row r="89" spans="1:78" ht="31" customHeight="1">
      <c r="B89" s="1686"/>
      <c r="D89" s="79" t="s">
        <v>2292</v>
      </c>
      <c r="E89" s="827" t="s">
        <v>2293</v>
      </c>
      <c r="F89" s="26" t="s">
        <v>64</v>
      </c>
      <c r="G89" s="26" t="s">
        <v>453</v>
      </c>
      <c r="H89" s="26" t="s">
        <v>2294</v>
      </c>
      <c r="I89" s="1334" t="s">
        <v>2295</v>
      </c>
      <c r="J89" s="29" t="s">
        <v>2296</v>
      </c>
      <c r="K89" s="29" t="s">
        <v>2297</v>
      </c>
      <c r="L89" s="29" t="s">
        <v>2298</v>
      </c>
      <c r="M89" s="29" t="s">
        <v>2299</v>
      </c>
      <c r="N89" s="29" t="s">
        <v>2300</v>
      </c>
      <c r="O89" s="1335" t="s">
        <v>2301</v>
      </c>
      <c r="P89" s="1334" t="s">
        <v>2295</v>
      </c>
      <c r="Q89" s="29" t="s">
        <v>2296</v>
      </c>
      <c r="R89" s="1335" t="s">
        <v>2297</v>
      </c>
      <c r="S89" s="1334" t="s">
        <v>2295</v>
      </c>
      <c r="T89" s="29" t="s">
        <v>2296</v>
      </c>
      <c r="U89" s="1335" t="s">
        <v>2297</v>
      </c>
      <c r="V89" s="730"/>
      <c r="W89" s="819" t="s">
        <v>2141</v>
      </c>
      <c r="X89" s="820" t="s">
        <v>2302</v>
      </c>
      <c r="Y89" s="819" t="s">
        <v>2142</v>
      </c>
      <c r="Z89" s="820" t="s">
        <v>2303</v>
      </c>
      <c r="AA89" s="819" t="s">
        <v>2143</v>
      </c>
      <c r="AB89" s="820" t="s">
        <v>2304</v>
      </c>
      <c r="AD89" s="10"/>
      <c r="AE89" s="10"/>
      <c r="AF89" s="10"/>
      <c r="AG89" s="10"/>
      <c r="AH89" s="10"/>
      <c r="AI89" s="10"/>
      <c r="AJ89" s="1476" t="s">
        <v>1585</v>
      </c>
      <c r="AK89" s="1476" t="s">
        <v>1488</v>
      </c>
      <c r="AL89" s="1476" t="s">
        <v>1585</v>
      </c>
      <c r="AM89" s="1476" t="s">
        <v>1488</v>
      </c>
      <c r="AN89" s="1476" t="s">
        <v>1585</v>
      </c>
      <c r="AO89" s="1476" t="s">
        <v>1488</v>
      </c>
      <c r="AY89" s="728"/>
      <c r="AZ89" s="728"/>
      <c r="BA89" s="87"/>
      <c r="BB89" s="438"/>
      <c r="BC89" s="89"/>
      <c r="BD89" s="442"/>
      <c r="BE89" s="442"/>
      <c r="BF89" s="89"/>
      <c r="BG89" s="443"/>
      <c r="BH89" s="443"/>
      <c r="BI89" s="439"/>
    </row>
    <row r="90" spans="1:78" ht="43.5" customHeight="1">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8.5"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31" customHeight="1">
      <c r="B92" s="1517"/>
      <c r="C92" s="704" t="s">
        <v>2306</v>
      </c>
      <c r="D92" s="705" t="str">
        <f>_xlfn.XLOOKUP(H92,H90:H91,D90:D91)</f>
        <v>L’autre parent laisse entendre à votre enfant que vous souffrez d’une maladie mentale ou que vous êtes instable psychologiquement.</v>
      </c>
      <c r="E92" s="706" t="str">
        <f>_xlfn.XLOOKUP(H92,H90:H91,E90:E91)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8.5"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8.5"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6"/>
      <c r="C95" s="710" t="s">
        <v>2307</v>
      </c>
      <c r="D95" s="711">
        <f>_xlfn.XLOOKUP(H95,H93:H94,D93:D94)</f>
        <v>0</v>
      </c>
      <c r="E95" s="712">
        <f>_xlfn.XLOOKUP(H95,H93:H94,E93:E94)</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6"/>
      <c r="C96" s="716" t="s">
        <v>2308</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t="s">
        <v>620</v>
      </c>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19"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1.5" customHeight="1" thickBot="1">
      <c r="B99" s="1686"/>
      <c r="C99" s="721" t="s">
        <v>2311</v>
      </c>
      <c r="D99" s="722" t="str">
        <f>_xlfn.XLOOKUP(H99,H97:H98,D97:D98)</f>
        <v>Votre enfant croit que vous souffrez d’une maladie mentale ou que vous êtes instable psychologiquement.</v>
      </c>
      <c r="E99" s="722" t="str">
        <f>_xlfn.XLOOKUP(H99,H97:H98,E97:E98)</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46.5" customHeight="1">
      <c r="B100" s="1686"/>
      <c r="D100" s="383" t="s">
        <v>2312</v>
      </c>
      <c r="E100" s="699"/>
      <c r="F100" s="435" t="s">
        <v>2313</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8.5" customHeight="1">
      <c r="B101" s="1686"/>
      <c r="C101" t="s">
        <v>42</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8.5"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19"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6.5"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6.5"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9" t="s">
        <v>2288</v>
      </c>
      <c r="J106" s="2559"/>
      <c r="K106" s="2567"/>
      <c r="L106" s="2581"/>
      <c r="M106" s="2559"/>
      <c r="N106" s="2559"/>
      <c r="O106" s="1333"/>
      <c r="P106" s="2586" t="s">
        <v>2289</v>
      </c>
      <c r="Q106" s="2559"/>
      <c r="R106" s="2567"/>
      <c r="S106" s="1380" t="s">
        <v>2290</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82" t="s">
        <v>2141</v>
      </c>
      <c r="J107" s="2458"/>
      <c r="K107" s="2458"/>
      <c r="L107" s="2585" t="s">
        <v>2291</v>
      </c>
      <c r="M107" s="2458"/>
      <c r="N107" s="2458"/>
      <c r="O107" s="2584"/>
      <c r="P107" s="2587" t="s">
        <v>2142</v>
      </c>
      <c r="Q107" s="2458"/>
      <c r="R107" s="2584"/>
      <c r="S107" s="2583" t="s">
        <v>2143</v>
      </c>
      <c r="T107" s="2458"/>
      <c r="U107" s="2584"/>
      <c r="V107" s="15"/>
      <c r="W107" s="809"/>
      <c r="X107" s="809"/>
      <c r="Y107" s="809"/>
      <c r="Z107" s="809"/>
      <c r="AA107" s="809"/>
      <c r="AB107" s="810"/>
      <c r="AD107" s="10"/>
      <c r="AE107" s="10"/>
      <c r="AF107" s="10"/>
      <c r="AG107" s="1372" t="s">
        <v>2141</v>
      </c>
      <c r="AH107" s="1372" t="s">
        <v>2142</v>
      </c>
      <c r="AI107" s="1372" t="s">
        <v>2143</v>
      </c>
      <c r="AJ107" s="2580" t="s">
        <v>2141</v>
      </c>
      <c r="AK107" s="2474"/>
      <c r="AL107" s="2580" t="s">
        <v>2142</v>
      </c>
      <c r="AM107" s="2474"/>
      <c r="AN107" s="2580" t="s">
        <v>2143</v>
      </c>
      <c r="AO107" s="2474"/>
      <c r="AY107" s="728"/>
      <c r="AZ107" s="728"/>
      <c r="BA107" s="87"/>
      <c r="BB107" s="438"/>
      <c r="BC107" s="89"/>
      <c r="BD107" s="442"/>
      <c r="BE107" s="442"/>
      <c r="BF107" s="89"/>
      <c r="BG107" s="443"/>
      <c r="BH107" s="443"/>
      <c r="BI107" s="439"/>
    </row>
    <row r="108" spans="1:61" ht="33.5" customHeight="1">
      <c r="D108" s="79" t="s">
        <v>2292</v>
      </c>
      <c r="E108" s="827" t="s">
        <v>2293</v>
      </c>
      <c r="F108" s="26" t="s">
        <v>64</v>
      </c>
      <c r="G108" s="26" t="s">
        <v>453</v>
      </c>
      <c r="H108" s="26" t="s">
        <v>2294</v>
      </c>
      <c r="I108" s="1334" t="s">
        <v>2295</v>
      </c>
      <c r="J108" s="29" t="s">
        <v>2296</v>
      </c>
      <c r="K108" s="29" t="s">
        <v>2297</v>
      </c>
      <c r="L108" s="29" t="s">
        <v>2298</v>
      </c>
      <c r="M108" s="29" t="s">
        <v>2299</v>
      </c>
      <c r="N108" s="29" t="s">
        <v>2300</v>
      </c>
      <c r="O108" s="1335" t="s">
        <v>2301</v>
      </c>
      <c r="P108" s="1334" t="s">
        <v>2295</v>
      </c>
      <c r="Q108" s="29" t="s">
        <v>2296</v>
      </c>
      <c r="R108" s="1335" t="s">
        <v>2297</v>
      </c>
      <c r="S108" s="1334" t="s">
        <v>2295</v>
      </c>
      <c r="T108" s="29" t="s">
        <v>2296</v>
      </c>
      <c r="U108" s="1335" t="s">
        <v>2297</v>
      </c>
      <c r="V108" s="730"/>
      <c r="W108" s="819" t="s">
        <v>2141</v>
      </c>
      <c r="X108" s="820" t="s">
        <v>2302</v>
      </c>
      <c r="Y108" s="819" t="s">
        <v>2142</v>
      </c>
      <c r="Z108" s="820" t="s">
        <v>2303</v>
      </c>
      <c r="AA108" s="819" t="s">
        <v>2143</v>
      </c>
      <c r="AB108" s="820" t="s">
        <v>2304</v>
      </c>
      <c r="AD108" s="10"/>
      <c r="AE108" s="10"/>
      <c r="AF108" s="10"/>
      <c r="AG108" s="10"/>
      <c r="AH108" s="10"/>
      <c r="AI108" s="10"/>
      <c r="AJ108" s="1476" t="s">
        <v>1585</v>
      </c>
      <c r="AK108" s="1476" t="s">
        <v>1488</v>
      </c>
      <c r="AL108" s="1476" t="s">
        <v>1585</v>
      </c>
      <c r="AM108" s="1476" t="s">
        <v>1488</v>
      </c>
      <c r="AN108" s="1476" t="s">
        <v>1585</v>
      </c>
      <c r="AO108" s="1476" t="s">
        <v>1488</v>
      </c>
      <c r="AY108" s="728"/>
      <c r="AZ108" s="728"/>
      <c r="BA108" s="87"/>
      <c r="BB108" s="438"/>
      <c r="BC108" s="89"/>
      <c r="BD108" s="442"/>
      <c r="BE108" s="442"/>
      <c r="BF108" s="89"/>
      <c r="BG108" s="443"/>
      <c r="BH108" s="443"/>
      <c r="BI108" s="439"/>
    </row>
    <row r="109" spans="1:61" ht="43.5"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8.5"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1" customHeight="1">
      <c r="B111" s="1688"/>
      <c r="C111" s="704" t="s">
        <v>2306</v>
      </c>
      <c r="D111" s="705" t="str">
        <f>_xlfn.XLOOKUP(H111,H109:H110,D109:D110)</f>
        <v>L'autre parent laisse entendre à votre enfant qu’il ou elle n’est pas en sécurité avec vous.</v>
      </c>
      <c r="E111" s="706" t="str">
        <f>_xlfn.XLOOKUP(H111,H109:H110,E109:E110)</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46.5" customHeight="1">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8.5"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6"/>
      <c r="C114" s="710" t="s">
        <v>2307</v>
      </c>
      <c r="D114" s="711" t="str">
        <f>_xlfn.XLOOKUP(H114,H112:H113,D112:D113)</f>
        <v>Le nouveau ou nouvelle conjoint·e laisse entendre à votre enfant qu’il ou elle n’est pas en sécurité avec vous.</v>
      </c>
      <c r="E114" s="712" t="str">
        <f>_xlfn.XLOOKUP(H114,H112:H113,E112:E113)</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6"/>
      <c r="C115" s="716" t="s">
        <v>2308</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t="s">
        <v>620</v>
      </c>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19" customHeight="1" thickBot="1">
      <c r="B117" s="1686"/>
      <c r="C117" s="287" t="s">
        <v>2322</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1.5" customHeight="1" thickBot="1">
      <c r="B118" s="1686"/>
      <c r="C118" s="721" t="s">
        <v>2311</v>
      </c>
      <c r="D118" s="722" t="str">
        <f>_xlfn.XLOOKUP(H118,H116:H117,D116:D117)</f>
        <v>Arrive-t-il à votre enfant de vous reprocher d'être dangereux·se ou de présenter un danger pour sa sécurité ?</v>
      </c>
      <c r="E118" s="722" t="str">
        <f>_xlfn.XLOOKUP(H118,H116:H117,E116:E117)</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2" customHeight="1">
      <c r="B119" s="1686"/>
      <c r="D119" s="383" t="s">
        <v>2312</v>
      </c>
      <c r="E119" s="699"/>
      <c r="F119" s="435" t="s">
        <v>2313</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8.5" customHeight="1">
      <c r="B120" s="1686"/>
      <c r="C120" t="s">
        <v>42</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8.5"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19"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1.5"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9" t="s">
        <v>2288</v>
      </c>
      <c r="J125" s="2559"/>
      <c r="K125" s="2567"/>
      <c r="L125" s="2581"/>
      <c r="M125" s="2559"/>
      <c r="N125" s="2559"/>
      <c r="O125" s="1333"/>
      <c r="P125" s="2586" t="s">
        <v>2289</v>
      </c>
      <c r="Q125" s="2559"/>
      <c r="R125" s="2567"/>
      <c r="S125" s="1380" t="s">
        <v>2290</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82" t="s">
        <v>2141</v>
      </c>
      <c r="J126" s="2458"/>
      <c r="K126" s="2458"/>
      <c r="L126" s="2585" t="s">
        <v>2291</v>
      </c>
      <c r="M126" s="2458"/>
      <c r="N126" s="2458"/>
      <c r="O126" s="2584"/>
      <c r="P126" s="2587" t="s">
        <v>2142</v>
      </c>
      <c r="Q126" s="2458"/>
      <c r="R126" s="2584"/>
      <c r="S126" s="2583" t="s">
        <v>2143</v>
      </c>
      <c r="T126" s="2458"/>
      <c r="U126" s="2584"/>
      <c r="V126" s="15"/>
      <c r="W126" s="809"/>
      <c r="X126" s="809"/>
      <c r="Y126" s="809"/>
      <c r="Z126" s="809"/>
      <c r="AA126" s="809"/>
      <c r="AB126" s="810"/>
      <c r="AD126" s="10"/>
      <c r="AE126" s="10"/>
      <c r="AF126" s="10"/>
      <c r="AG126" s="1372" t="s">
        <v>2141</v>
      </c>
      <c r="AH126" s="1372" t="s">
        <v>2142</v>
      </c>
      <c r="AI126" s="1372" t="s">
        <v>2143</v>
      </c>
      <c r="AJ126" s="2580" t="s">
        <v>2141</v>
      </c>
      <c r="AK126" s="2474"/>
      <c r="AL126" s="2580" t="s">
        <v>2142</v>
      </c>
      <c r="AM126" s="2474"/>
      <c r="AN126" s="2580" t="s">
        <v>2143</v>
      </c>
      <c r="AO126" s="2474"/>
      <c r="AY126" s="728"/>
      <c r="AZ126" s="728"/>
      <c r="BA126" s="87"/>
      <c r="BB126" s="438"/>
      <c r="BC126" s="89"/>
      <c r="BD126" s="442"/>
      <c r="BE126" s="442"/>
      <c r="BF126" s="89"/>
      <c r="BG126" s="443"/>
      <c r="BH126" s="443"/>
      <c r="BI126" s="439"/>
    </row>
    <row r="127" spans="1:78" ht="31" customHeight="1">
      <c r="B127" s="1686"/>
      <c r="D127" s="79" t="s">
        <v>2292</v>
      </c>
      <c r="E127" s="827" t="s">
        <v>2293</v>
      </c>
      <c r="F127" s="26" t="s">
        <v>64</v>
      </c>
      <c r="G127" s="26" t="s">
        <v>453</v>
      </c>
      <c r="H127" s="26" t="s">
        <v>2294</v>
      </c>
      <c r="I127" s="1334" t="s">
        <v>2295</v>
      </c>
      <c r="J127" s="29" t="s">
        <v>2296</v>
      </c>
      <c r="K127" s="29" t="s">
        <v>2297</v>
      </c>
      <c r="L127" s="29" t="s">
        <v>2298</v>
      </c>
      <c r="M127" s="29" t="s">
        <v>2299</v>
      </c>
      <c r="N127" s="29" t="s">
        <v>2300</v>
      </c>
      <c r="O127" s="1335" t="s">
        <v>2301</v>
      </c>
      <c r="P127" s="1334" t="s">
        <v>2295</v>
      </c>
      <c r="Q127" s="29" t="s">
        <v>2296</v>
      </c>
      <c r="R127" s="1335" t="s">
        <v>2297</v>
      </c>
      <c r="S127" s="1334" t="s">
        <v>2295</v>
      </c>
      <c r="T127" s="29" t="s">
        <v>2296</v>
      </c>
      <c r="U127" s="1335" t="s">
        <v>2297</v>
      </c>
      <c r="V127" s="730"/>
      <c r="W127" s="819" t="s">
        <v>2141</v>
      </c>
      <c r="X127" s="820" t="s">
        <v>2302</v>
      </c>
      <c r="Y127" s="819" t="s">
        <v>2142</v>
      </c>
      <c r="Z127" s="820" t="s">
        <v>2303</v>
      </c>
      <c r="AA127" s="819" t="s">
        <v>2143</v>
      </c>
      <c r="AB127" s="820" t="s">
        <v>2304</v>
      </c>
      <c r="AD127" s="10"/>
      <c r="AE127" s="10"/>
      <c r="AF127" s="10"/>
      <c r="AG127" s="10"/>
      <c r="AH127" s="10"/>
      <c r="AI127" s="10"/>
      <c r="AJ127" s="1476" t="s">
        <v>1585</v>
      </c>
      <c r="AK127" s="1476" t="s">
        <v>1488</v>
      </c>
      <c r="AL127" s="1476" t="s">
        <v>1585</v>
      </c>
      <c r="AM127" s="1476" t="s">
        <v>1488</v>
      </c>
      <c r="AN127" s="1476" t="s">
        <v>1585</v>
      </c>
      <c r="AO127" s="1476" t="s">
        <v>1488</v>
      </c>
      <c r="AY127" s="728"/>
      <c r="AZ127" s="728"/>
      <c r="BA127" s="87"/>
      <c r="BB127" s="438"/>
      <c r="BC127" s="89"/>
      <c r="BD127" s="442"/>
      <c r="BE127" s="442"/>
      <c r="BF127" s="89"/>
      <c r="BG127" s="443"/>
      <c r="BH127" s="443"/>
      <c r="BI127" s="439"/>
    </row>
    <row r="128" spans="1:78" ht="43.5"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3.5" customHeight="1">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1" customHeight="1">
      <c r="B130" s="1517"/>
      <c r="C130" s="704" t="s">
        <v>2306</v>
      </c>
      <c r="D130" s="705" t="str">
        <f>_xlfn.XLOOKUP(H130,H128:H129,D128:D129)</f>
        <v>L'autre parent modifie certains faits concernant votre passé à son avantage ou à votre désavantage.</v>
      </c>
      <c r="E130" s="706" t="str">
        <f>_xlfn.XLOOKUP(H130,H128:H129,E128:E129)</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8.5"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8.5"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19" customHeight="1" thickBot="1">
      <c r="B133" s="1686"/>
      <c r="C133" s="710" t="s">
        <v>2307</v>
      </c>
      <c r="D133" s="711">
        <f>_xlfn.XLOOKUP(H133,H131:H132,D131:D132)</f>
        <v>0</v>
      </c>
      <c r="E133" s="712">
        <f>_xlfn.XLOOKUP(H133,H131:H132,E131:E132)</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6"/>
      <c r="C134" s="716" t="s">
        <v>2308</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t="s">
        <v>620</v>
      </c>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6"/>
      <c r="C137" s="721" t="s">
        <v>2311</v>
      </c>
      <c r="D137" s="722" t="str">
        <f>_xlfn.XLOOKUP(H137,H135:H136,D135:D136)</f>
        <v>Dans quelle mesure les souvenirs de votre enfant vous semblent-ils être déformés ? (ex.: souvenirs de la petite enfance vus aujourd'hui différement)</v>
      </c>
      <c r="E137" s="722" t="str">
        <f>_xlfn.XLOOKUP(H137,H135:H136,E135:E136)</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8.5" customHeight="1">
      <c r="B138" s="1686"/>
      <c r="D138" s="383" t="s">
        <v>2312</v>
      </c>
      <c r="E138" s="699"/>
      <c r="F138" s="435" t="s">
        <v>2313</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8.5" customHeight="1">
      <c r="B139" s="1686"/>
      <c r="C139" t="s">
        <v>42</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8.5"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19"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9" t="s">
        <v>2288</v>
      </c>
      <c r="J144" s="2559"/>
      <c r="K144" s="2567"/>
      <c r="L144" s="2581"/>
      <c r="M144" s="2559"/>
      <c r="N144" s="2559"/>
      <c r="O144" s="1333"/>
      <c r="P144" s="2586" t="s">
        <v>2289</v>
      </c>
      <c r="Q144" s="2559"/>
      <c r="R144" s="2567"/>
      <c r="S144" s="1380" t="s">
        <v>2290</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82" t="s">
        <v>2141</v>
      </c>
      <c r="J145" s="2458"/>
      <c r="K145" s="2458"/>
      <c r="L145" s="2585" t="s">
        <v>2291</v>
      </c>
      <c r="M145" s="2458"/>
      <c r="N145" s="2458"/>
      <c r="O145" s="2584"/>
      <c r="P145" s="2587" t="s">
        <v>2142</v>
      </c>
      <c r="Q145" s="2458"/>
      <c r="R145" s="2584"/>
      <c r="S145" s="2583" t="s">
        <v>2143</v>
      </c>
      <c r="T145" s="2458"/>
      <c r="U145" s="2584"/>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1" customHeight="1">
      <c r="B146" s="1686"/>
      <c r="D146" s="79" t="s">
        <v>2292</v>
      </c>
      <c r="E146" s="827" t="s">
        <v>2293</v>
      </c>
      <c r="F146" s="26" t="s">
        <v>64</v>
      </c>
      <c r="G146" s="26" t="s">
        <v>453</v>
      </c>
      <c r="H146" s="26" t="s">
        <v>2294</v>
      </c>
      <c r="I146" s="1334" t="s">
        <v>2295</v>
      </c>
      <c r="J146" s="29" t="s">
        <v>2296</v>
      </c>
      <c r="K146" s="29" t="s">
        <v>2297</v>
      </c>
      <c r="L146" s="29" t="s">
        <v>2298</v>
      </c>
      <c r="M146" s="29" t="s">
        <v>2299</v>
      </c>
      <c r="N146" s="29" t="s">
        <v>2300</v>
      </c>
      <c r="O146" s="1335" t="s">
        <v>2301</v>
      </c>
      <c r="P146" s="1334" t="s">
        <v>2295</v>
      </c>
      <c r="Q146" s="29" t="s">
        <v>2296</v>
      </c>
      <c r="R146" s="1335" t="s">
        <v>2297</v>
      </c>
      <c r="S146" s="1334" t="s">
        <v>2295</v>
      </c>
      <c r="T146" s="29" t="s">
        <v>2296</v>
      </c>
      <c r="U146" s="1335" t="s">
        <v>2297</v>
      </c>
      <c r="V146" s="730"/>
      <c r="W146" s="819" t="s">
        <v>2141</v>
      </c>
      <c r="X146" s="820" t="s">
        <v>2302</v>
      </c>
      <c r="Y146" s="819" t="s">
        <v>2142</v>
      </c>
      <c r="Z146" s="820" t="s">
        <v>2303</v>
      </c>
      <c r="AA146" s="819" t="s">
        <v>2143</v>
      </c>
      <c r="AB146" s="820" t="s">
        <v>2304</v>
      </c>
      <c r="AD146" s="10"/>
      <c r="AE146" s="10"/>
      <c r="AF146" s="10"/>
      <c r="AY146" s="728"/>
      <c r="AZ146" s="728"/>
      <c r="BA146" s="87"/>
      <c r="BB146" s="438"/>
      <c r="BC146" s="89"/>
      <c r="BD146" s="442"/>
      <c r="BE146" s="442"/>
      <c r="BF146" s="89"/>
      <c r="BG146" s="443"/>
      <c r="BH146" s="443"/>
      <c r="BI146" s="439"/>
    </row>
    <row r="147" spans="1:78" ht="31"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46.5" customHeight="1">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1" customHeight="1">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1" customHeight="1">
      <c r="B150" s="1686"/>
      <c r="C150" s="704" t="s">
        <v>2306</v>
      </c>
      <c r="D150" s="705" t="str">
        <f>_xlfn.XLOOKUP(H150,H147:H149,D147:D149)</f>
        <v>L’autre parent culpabilise votre enfant de sa relation ou de son amour pour vous.</v>
      </c>
      <c r="E150" s="706" t="str">
        <f>_xlfn.XLOOKUP(H150,H147:H149,E147:E149)</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8.5"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8.5"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19" customHeight="1" thickBot="1">
      <c r="B153" s="1686"/>
      <c r="C153" s="710" t="s">
        <v>2307</v>
      </c>
      <c r="D153" s="711">
        <f>_xlfn.XLOOKUP(H153,H151:H152,D151:D152)</f>
        <v>0</v>
      </c>
      <c r="E153" s="712">
        <f>_xlfn.XLOOKUP(H153,H151:H152,E151:E152)</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1.5" customHeight="1" thickBot="1">
      <c r="B154" s="1686"/>
      <c r="C154" s="716" t="s">
        <v>2308</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46.5"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t="s">
        <v>620</v>
      </c>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19"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6"/>
      <c r="C157" s="721" t="s">
        <v>2311</v>
      </c>
      <c r="D157" s="722" t="str">
        <f>_xlfn.XLOOKUP(H157,H155:H156,D155:D156)</f>
        <v>Votre enfant se sent coupable de passer du temps avec vous car cela pourrait indisposer, contrarier ou faire de la peine à l'autre parent.</v>
      </c>
      <c r="E157" s="722" t="str">
        <f>_xlfn.XLOOKUP(H157,H155:H156,E155:E156)</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46.5" customHeight="1">
      <c r="B158" s="1686"/>
      <c r="D158" s="383" t="s">
        <v>2312</v>
      </c>
      <c r="E158" s="699"/>
      <c r="F158" s="435" t="s">
        <v>2313</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8.5" customHeight="1">
      <c r="B159" s="1686"/>
      <c r="C159" t="s">
        <v>42</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8.5"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6.5"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9" t="s">
        <v>2288</v>
      </c>
      <c r="J164" s="2559"/>
      <c r="K164" s="2567"/>
      <c r="L164" s="2581"/>
      <c r="M164" s="2559"/>
      <c r="N164" s="2559"/>
      <c r="O164" s="1333"/>
      <c r="P164" s="2586" t="s">
        <v>2289</v>
      </c>
      <c r="Q164" s="2559"/>
      <c r="R164" s="2567"/>
      <c r="S164" s="1380" t="s">
        <v>2290</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82" t="s">
        <v>2141</v>
      </c>
      <c r="J165" s="2458"/>
      <c r="K165" s="2458"/>
      <c r="L165" s="2585" t="s">
        <v>2291</v>
      </c>
      <c r="M165" s="2458"/>
      <c r="N165" s="2458"/>
      <c r="O165" s="2584"/>
      <c r="P165" s="2587" t="s">
        <v>2142</v>
      </c>
      <c r="Q165" s="2458"/>
      <c r="R165" s="2584"/>
      <c r="S165" s="2583" t="s">
        <v>2143</v>
      </c>
      <c r="T165" s="2458"/>
      <c r="U165" s="2584"/>
      <c r="V165" s="15"/>
      <c r="W165" s="809"/>
      <c r="X165" s="809"/>
      <c r="Y165" s="809"/>
      <c r="Z165" s="809"/>
      <c r="AA165" s="809"/>
      <c r="AB165" s="810"/>
      <c r="AD165" s="10"/>
      <c r="AE165" s="10"/>
      <c r="AF165" s="10"/>
      <c r="AG165" s="1372" t="s">
        <v>2141</v>
      </c>
      <c r="AH165" s="1372" t="s">
        <v>2142</v>
      </c>
      <c r="AI165" s="1372" t="s">
        <v>2143</v>
      </c>
      <c r="AJ165" s="2580" t="s">
        <v>2141</v>
      </c>
      <c r="AK165" s="2474"/>
      <c r="AL165" s="2580" t="s">
        <v>2142</v>
      </c>
      <c r="AM165" s="2474"/>
      <c r="AN165" s="2580" t="s">
        <v>2143</v>
      </c>
      <c r="AO165" s="2474"/>
      <c r="AY165" s="728"/>
      <c r="AZ165" s="728"/>
      <c r="BA165" s="87"/>
      <c r="BB165" s="438"/>
      <c r="BC165" s="89"/>
      <c r="BD165" s="442"/>
      <c r="BE165" s="442"/>
      <c r="BF165" s="89"/>
      <c r="BG165" s="443"/>
      <c r="BH165" s="443"/>
      <c r="BI165" s="439"/>
    </row>
    <row r="166" spans="1:78" ht="31" customHeight="1">
      <c r="B166" s="1686"/>
      <c r="D166" s="79" t="s">
        <v>2292</v>
      </c>
      <c r="E166" s="827" t="s">
        <v>2293</v>
      </c>
      <c r="F166" s="26" t="s">
        <v>64</v>
      </c>
      <c r="G166" s="26" t="s">
        <v>453</v>
      </c>
      <c r="H166" s="26" t="s">
        <v>2294</v>
      </c>
      <c r="I166" s="1334" t="s">
        <v>2295</v>
      </c>
      <c r="J166" s="29" t="s">
        <v>2296</v>
      </c>
      <c r="K166" s="29" t="s">
        <v>2297</v>
      </c>
      <c r="L166" s="29" t="s">
        <v>2298</v>
      </c>
      <c r="M166" s="29" t="s">
        <v>2299</v>
      </c>
      <c r="N166" s="29" t="s">
        <v>2300</v>
      </c>
      <c r="O166" s="1335" t="s">
        <v>2301</v>
      </c>
      <c r="P166" s="1334" t="s">
        <v>2295</v>
      </c>
      <c r="Q166" s="29" t="s">
        <v>2296</v>
      </c>
      <c r="R166" s="1335" t="s">
        <v>2297</v>
      </c>
      <c r="S166" s="1334" t="s">
        <v>2295</v>
      </c>
      <c r="T166" s="29" t="s">
        <v>2296</v>
      </c>
      <c r="U166" s="1335" t="s">
        <v>2297</v>
      </c>
      <c r="V166" s="730"/>
      <c r="W166" s="819" t="s">
        <v>2141</v>
      </c>
      <c r="X166" s="820" t="s">
        <v>2302</v>
      </c>
      <c r="Y166" s="819" t="s">
        <v>2142</v>
      </c>
      <c r="Z166" s="820" t="s">
        <v>2303</v>
      </c>
      <c r="AA166" s="819" t="s">
        <v>2143</v>
      </c>
      <c r="AB166" s="820" t="s">
        <v>2304</v>
      </c>
      <c r="AD166" s="10"/>
      <c r="AE166" s="10"/>
      <c r="AF166" s="10"/>
      <c r="AG166" s="10"/>
      <c r="AH166" s="10"/>
      <c r="AI166" s="10"/>
      <c r="AJ166" s="1476" t="s">
        <v>1585</v>
      </c>
      <c r="AK166" s="1476" t="s">
        <v>1488</v>
      </c>
      <c r="AL166" s="1476" t="s">
        <v>1585</v>
      </c>
      <c r="AM166" s="1476" t="s">
        <v>1488</v>
      </c>
      <c r="AN166" s="1476" t="s">
        <v>1585</v>
      </c>
      <c r="AO166" s="1476" t="s">
        <v>1488</v>
      </c>
      <c r="AY166" s="728"/>
      <c r="AZ166" s="728"/>
      <c r="BA166" s="87"/>
      <c r="BB166" s="438"/>
      <c r="BC166" s="89"/>
      <c r="BD166" s="442"/>
      <c r="BE166" s="442"/>
      <c r="BF166" s="89"/>
      <c r="BG166" s="443"/>
      <c r="BH166" s="443"/>
      <c r="BI166" s="439"/>
    </row>
    <row r="167" spans="1:78" ht="31"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8.5"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1" customHeight="1">
      <c r="B169" s="1517"/>
      <c r="C169" s="704" t="s">
        <v>2306</v>
      </c>
      <c r="D169" s="705" t="str">
        <f>_xlfn.XLOOKUP(H169,H167:H168,D167:D168)</f>
        <v>Arrive-t-il que l'autre parent vous accable de reproches par courriel ou texto au retour des enfants (après votre tour de garde) ?</v>
      </c>
      <c r="E169" s="706" t="str">
        <f>_xlfn.XLOOKUP(H169,H167:H168,E167:E168)</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8.5"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8.5"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6"/>
      <c r="C172" s="710" t="s">
        <v>2307</v>
      </c>
      <c r="D172" s="711">
        <f>_xlfn.XLOOKUP(H172,H170:H171,D170:D171)</f>
        <v>0</v>
      </c>
      <c r="E172" s="712">
        <f>_xlfn.XLOOKUP(H172,H170:H171,E170:E171)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6"/>
      <c r="C173" s="716" t="s">
        <v>2308</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t="s">
        <v>620</v>
      </c>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47" customHeight="1" thickBot="1">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1.5" customHeight="1" thickBot="1">
      <c r="B176" s="1686"/>
      <c r="C176" s="721" t="s">
        <v>2311</v>
      </c>
      <c r="D176" s="722" t="str">
        <f>_xlfn.XLOOKUP(H176,H174:H175,D174:D175)</f>
        <v>Dans quelle mesure notez-vous un changement au niveau du comportement de votre enfant à son retour de garde ?</v>
      </c>
      <c r="E176" s="722" t="str">
        <f>_xlfn.XLOOKUP(H176,H174:H175,E174:E175)</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2" customHeight="1">
      <c r="B177" s="1686"/>
      <c r="D177" s="383" t="s">
        <v>2312</v>
      </c>
      <c r="E177" s="699"/>
      <c r="F177" s="435" t="s">
        <v>2313</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8.5" customHeight="1">
      <c r="B178" s="1686"/>
      <c r="C178" t="s">
        <v>42</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8.5"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47"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7"/>
      <c r="X182" s="2138">
        <f>IF(AND(W181="V",W173="V"),X177-1,X177)</f>
        <v>0</v>
      </c>
      <c r="Y182" s="2137"/>
      <c r="Z182" s="2138">
        <f>IF(OR(Y173="V",Y176="V",Y181="V"),1,0)</f>
        <v>0</v>
      </c>
      <c r="AA182" s="2137"/>
      <c r="AB182" s="2138">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9" t="s">
        <v>2288</v>
      </c>
      <c r="J183" s="2559"/>
      <c r="K183" s="2567"/>
      <c r="L183" s="2581"/>
      <c r="M183" s="2559"/>
      <c r="N183" s="2559"/>
      <c r="O183" s="1333"/>
      <c r="P183" s="2586" t="s">
        <v>2289</v>
      </c>
      <c r="Q183" s="2559"/>
      <c r="R183" s="2567"/>
      <c r="S183" s="1380" t="s">
        <v>2290</v>
      </c>
      <c r="T183" s="1332"/>
      <c r="U183" s="1333"/>
      <c r="V183" s="145"/>
      <c r="W183" s="2139"/>
      <c r="X183" s="2140"/>
      <c r="Y183" s="2141"/>
      <c r="Z183" s="2141"/>
      <c r="AA183" s="2141"/>
      <c r="AB183" s="2141"/>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82" t="s">
        <v>2141</v>
      </c>
      <c r="J184" s="2458"/>
      <c r="K184" s="2458"/>
      <c r="L184" s="2585" t="s">
        <v>2291</v>
      </c>
      <c r="M184" s="2458"/>
      <c r="N184" s="2458"/>
      <c r="O184" s="2584"/>
      <c r="P184" s="2587" t="s">
        <v>2142</v>
      </c>
      <c r="Q184" s="2458"/>
      <c r="R184" s="2584"/>
      <c r="S184" s="2583" t="s">
        <v>2143</v>
      </c>
      <c r="T184" s="2458"/>
      <c r="U184" s="2584"/>
      <c r="V184" s="15"/>
      <c r="W184" s="809"/>
      <c r="X184" s="809"/>
      <c r="Y184" s="809"/>
      <c r="Z184" s="809"/>
      <c r="AA184" s="809"/>
      <c r="AB184" s="810"/>
      <c r="AC184" s="9"/>
      <c r="AD184" s="10"/>
      <c r="AE184" s="10"/>
      <c r="AF184" s="10"/>
      <c r="AG184" s="1372" t="s">
        <v>2141</v>
      </c>
      <c r="AH184" s="1372" t="s">
        <v>2142</v>
      </c>
      <c r="AI184" s="1372" t="s">
        <v>2143</v>
      </c>
      <c r="AJ184" s="2580" t="s">
        <v>2141</v>
      </c>
      <c r="AK184" s="2474"/>
      <c r="AL184" s="2580" t="s">
        <v>2142</v>
      </c>
      <c r="AM184" s="2474"/>
      <c r="AN184" s="2580" t="s">
        <v>2143</v>
      </c>
      <c r="AO184" s="2474"/>
      <c r="AY184" s="728"/>
      <c r="AZ184" s="728"/>
      <c r="BA184" s="87"/>
      <c r="BB184" s="438"/>
      <c r="BC184" s="89"/>
      <c r="BD184" s="442"/>
      <c r="BE184" s="442"/>
      <c r="BF184" s="89"/>
      <c r="BG184" s="443"/>
      <c r="BH184" s="443"/>
      <c r="BI184" s="439"/>
    </row>
    <row r="185" spans="1:78" ht="31" customHeight="1">
      <c r="B185" s="1686"/>
      <c r="D185" s="79" t="s">
        <v>2292</v>
      </c>
      <c r="E185" s="827" t="s">
        <v>2293</v>
      </c>
      <c r="F185" s="26" t="s">
        <v>64</v>
      </c>
      <c r="G185" s="26" t="s">
        <v>453</v>
      </c>
      <c r="H185" s="26" t="s">
        <v>2294</v>
      </c>
      <c r="I185" s="1334" t="s">
        <v>2295</v>
      </c>
      <c r="J185" s="29" t="s">
        <v>2296</v>
      </c>
      <c r="K185" s="29" t="s">
        <v>2297</v>
      </c>
      <c r="L185" s="29" t="s">
        <v>2298</v>
      </c>
      <c r="M185" s="29" t="s">
        <v>2299</v>
      </c>
      <c r="N185" s="29" t="s">
        <v>2300</v>
      </c>
      <c r="O185" s="1335" t="s">
        <v>2301</v>
      </c>
      <c r="P185" s="1334" t="s">
        <v>2295</v>
      </c>
      <c r="Q185" s="29" t="s">
        <v>2296</v>
      </c>
      <c r="R185" s="1335" t="s">
        <v>2297</v>
      </c>
      <c r="S185" s="1334" t="s">
        <v>2295</v>
      </c>
      <c r="T185" s="29" t="s">
        <v>2296</v>
      </c>
      <c r="U185" s="1335" t="s">
        <v>2297</v>
      </c>
      <c r="V185" s="730"/>
      <c r="W185" s="819" t="s">
        <v>2141</v>
      </c>
      <c r="X185" s="820" t="s">
        <v>2302</v>
      </c>
      <c r="Y185" s="819" t="s">
        <v>2142</v>
      </c>
      <c r="Z185" s="820" t="s">
        <v>2303</v>
      </c>
      <c r="AA185" s="819" t="s">
        <v>2143</v>
      </c>
      <c r="AB185" s="820" t="s">
        <v>2304</v>
      </c>
      <c r="AD185" s="10"/>
      <c r="AE185" s="10"/>
      <c r="AF185" s="10"/>
      <c r="AG185" s="10"/>
      <c r="AH185" s="10"/>
      <c r="AI185" s="10"/>
      <c r="AJ185" s="1476" t="s">
        <v>1585</v>
      </c>
      <c r="AK185" s="1476" t="s">
        <v>1488</v>
      </c>
      <c r="AL185" s="1476" t="s">
        <v>1585</v>
      </c>
      <c r="AM185" s="1476" t="s">
        <v>1488</v>
      </c>
      <c r="AN185" s="1476" t="s">
        <v>1585</v>
      </c>
      <c r="AO185" s="1476" t="s">
        <v>1488</v>
      </c>
      <c r="AY185" s="728"/>
      <c r="AZ185" s="728"/>
      <c r="BA185" s="87"/>
      <c r="BB185" s="438"/>
      <c r="BC185" s="89"/>
      <c r="BD185" s="442"/>
      <c r="BE185" s="442"/>
      <c r="BF185" s="89"/>
      <c r="BG185" s="443"/>
      <c r="BH185" s="443"/>
      <c r="BI185" s="439"/>
    </row>
    <row r="186" spans="1:78" ht="31"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8.5" customHeight="1">
      <c r="B187" s="1688"/>
      <c r="C187" s="376" t="s">
        <v>44</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1" customHeight="1">
      <c r="B188" s="1517"/>
      <c r="C188" s="704" t="s">
        <v>2306</v>
      </c>
      <c r="D188" s="705" t="str">
        <f>_xlfn.XLOOKUP(H188,H186:H187,D186:D187)</f>
        <v>L’autre parent vous salue lors de changements de garde, à l'école ou lors d'événements culturels ou sportifs.</v>
      </c>
      <c r="E188" s="706" t="str">
        <f>_xlfn.XLOOKUP(H188,H186:H187,E186:E187)</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1"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8.5" customHeight="1">
      <c r="B190" s="1686"/>
      <c r="C190" s="38" t="s">
        <v>270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6"/>
      <c r="C191" s="710" t="s">
        <v>2307</v>
      </c>
      <c r="D191" s="711" t="str">
        <f>_xlfn.XLOOKUP(H191,H189:H190,D189:D190)</f>
        <v>Le nouveau ou nouvelle conjoint·e vous salue lors de changements de garde, à l'école ou lors d'événements culturels ou sportifs.</v>
      </c>
      <c r="E191" s="712" t="str">
        <f>_xlfn.XLOOKUP(H191,H189:H190,E189:E190)</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6"/>
      <c r="C192" s="716" t="s">
        <v>2308</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t="s">
        <v>620</v>
      </c>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6"/>
      <c r="C195" s="721" t="s">
        <v>2311</v>
      </c>
      <c r="D195" s="722" t="str">
        <f>_xlfn.XLOOKUP(H195,H193:H194,D193:D194)</f>
        <v>Votre enfant va vers vous lors d'événements culturels ou sportifs lorsqu'il ou elle est en compagnie (sous la supervision) de l'autre parent ?</v>
      </c>
      <c r="E195" s="722" t="str">
        <f>_xlfn.XLOOKUP(H195,H193:H194,E193:E194)</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1" customHeight="1">
      <c r="B196" s="1686"/>
      <c r="D196" s="383" t="s">
        <v>2312</v>
      </c>
      <c r="E196" s="699"/>
      <c r="F196" s="435" t="s">
        <v>2313</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8.5" customHeight="1">
      <c r="B197" s="1686"/>
      <c r="C197" t="s">
        <v>42</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1"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2332</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19"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2336</v>
      </c>
      <c r="E202" s="16"/>
      <c r="F202" s="67"/>
      <c r="G202" s="434"/>
      <c r="H202" s="434"/>
      <c r="I202" s="2589" t="s">
        <v>2288</v>
      </c>
      <c r="J202" s="2559"/>
      <c r="K202" s="2567"/>
      <c r="L202" s="2581"/>
      <c r="M202" s="2559"/>
      <c r="N202" s="2559"/>
      <c r="O202" s="1333"/>
      <c r="P202" s="2586" t="s">
        <v>2289</v>
      </c>
      <c r="Q202" s="2559"/>
      <c r="R202" s="2567"/>
      <c r="S202" s="1380" t="s">
        <v>2290</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82" t="s">
        <v>2141</v>
      </c>
      <c r="J203" s="2458"/>
      <c r="K203" s="2458"/>
      <c r="L203" s="2585" t="s">
        <v>2291</v>
      </c>
      <c r="M203" s="2458"/>
      <c r="N203" s="2458"/>
      <c r="O203" s="2584"/>
      <c r="P203" s="2587" t="s">
        <v>2142</v>
      </c>
      <c r="Q203" s="2458"/>
      <c r="R203" s="2584"/>
      <c r="S203" s="2583" t="s">
        <v>2143</v>
      </c>
      <c r="T203" s="2458"/>
      <c r="U203" s="2584"/>
      <c r="V203" s="15"/>
      <c r="W203" s="809"/>
      <c r="X203" s="809"/>
      <c r="Y203" s="809"/>
      <c r="Z203" s="809"/>
      <c r="AA203" s="809"/>
      <c r="AB203" s="810"/>
      <c r="AD203" s="10"/>
      <c r="AE203" s="10"/>
      <c r="AF203" s="10"/>
      <c r="AG203" s="1372" t="s">
        <v>2141</v>
      </c>
      <c r="AH203" s="1372" t="s">
        <v>2142</v>
      </c>
      <c r="AI203" s="1372" t="s">
        <v>2143</v>
      </c>
      <c r="AJ203" s="2580" t="s">
        <v>2141</v>
      </c>
      <c r="AK203" s="2474"/>
      <c r="AL203" s="2580" t="s">
        <v>2142</v>
      </c>
      <c r="AM203" s="2474"/>
      <c r="AN203" s="2580" t="s">
        <v>2143</v>
      </c>
      <c r="AO203" s="2474"/>
      <c r="AY203" s="728"/>
      <c r="AZ203" s="728"/>
      <c r="BA203" s="87"/>
      <c r="BB203" s="438"/>
      <c r="BC203" s="89"/>
      <c r="BD203" s="442"/>
      <c r="BE203" s="442"/>
      <c r="BF203" s="89"/>
      <c r="BG203" s="443"/>
      <c r="BH203" s="443"/>
      <c r="BI203" s="439"/>
    </row>
    <row r="204" spans="1:78" ht="31" customHeight="1">
      <c r="B204" s="1686"/>
      <c r="D204" s="79" t="s">
        <v>2292</v>
      </c>
      <c r="E204" s="827" t="s">
        <v>2293</v>
      </c>
      <c r="F204" s="26" t="s">
        <v>64</v>
      </c>
      <c r="G204" s="26" t="s">
        <v>453</v>
      </c>
      <c r="H204" s="26" t="s">
        <v>2294</v>
      </c>
      <c r="I204" s="1334" t="s">
        <v>2295</v>
      </c>
      <c r="J204" s="29" t="s">
        <v>2296</v>
      </c>
      <c r="K204" s="29" t="s">
        <v>2297</v>
      </c>
      <c r="L204" s="29" t="s">
        <v>2298</v>
      </c>
      <c r="M204" s="29" t="s">
        <v>2299</v>
      </c>
      <c r="N204" s="29" t="s">
        <v>2300</v>
      </c>
      <c r="O204" s="1335" t="s">
        <v>2301</v>
      </c>
      <c r="P204" s="1334" t="s">
        <v>2295</v>
      </c>
      <c r="Q204" s="29" t="s">
        <v>2296</v>
      </c>
      <c r="R204" s="1335" t="s">
        <v>2297</v>
      </c>
      <c r="S204" s="1334" t="s">
        <v>2295</v>
      </c>
      <c r="T204" s="29" t="s">
        <v>2296</v>
      </c>
      <c r="U204" s="1335" t="s">
        <v>2297</v>
      </c>
      <c r="V204" s="730"/>
      <c r="W204" s="819" t="s">
        <v>2141</v>
      </c>
      <c r="X204" s="820" t="s">
        <v>2302</v>
      </c>
      <c r="Y204" s="819" t="s">
        <v>2142</v>
      </c>
      <c r="Z204" s="820" t="s">
        <v>2303</v>
      </c>
      <c r="AA204" s="819" t="s">
        <v>2143</v>
      </c>
      <c r="AB204" s="820" t="s">
        <v>2304</v>
      </c>
      <c r="AD204" s="10"/>
      <c r="AE204" s="10"/>
      <c r="AF204" s="10"/>
      <c r="AG204" s="10"/>
      <c r="AH204" s="10"/>
      <c r="AI204" s="10"/>
      <c r="AJ204" s="1476" t="s">
        <v>1585</v>
      </c>
      <c r="AK204" s="1476" t="s">
        <v>1488</v>
      </c>
      <c r="AL204" s="1476" t="s">
        <v>1585</v>
      </c>
      <c r="AM204" s="1476" t="s">
        <v>1488</v>
      </c>
      <c r="AN204" s="1476" t="s">
        <v>1585</v>
      </c>
      <c r="AO204" s="1476" t="s">
        <v>1488</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8.5" customHeight="1">
      <c r="B206" s="1688"/>
      <c r="C206" s="376" t="s">
        <v>44</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8.5" customHeight="1">
      <c r="B207" s="1517"/>
      <c r="C207" s="704" t="s">
        <v>2306</v>
      </c>
      <c r="D207" s="705" t="str">
        <f>_xlfn.XLOOKUP(H207,H205:H206,D205:D206)</f>
        <v>L’autre parent vous dénigre en la présence de votre enfant.</v>
      </c>
      <c r="E207" s="706" t="str">
        <f>_xlfn.XLOOKUP(H207,H205:H206,E205:E206)</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1" customHeight="1">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1" customHeight="1">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6"/>
      <c r="C210" s="710" t="s">
        <v>2307</v>
      </c>
      <c r="D210" s="711" t="str">
        <f>_xlfn.XLOOKUP(H210,H208:H209,D208:D209)</f>
        <v>Arrive-t-il que le nouveau ou nouvelle conjoint·e vous critique ou dénigre vos compétences parentales devant votre enfant ?</v>
      </c>
      <c r="E210" s="712" t="str">
        <f>_xlfn.XLOOKUP(H210,H208:H209,E208:E209)</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6"/>
      <c r="C211" s="716" t="s">
        <v>2308</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t="s">
        <v>620</v>
      </c>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6"/>
      <c r="C213" s="287" t="s">
        <v>2322</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6"/>
      <c r="C214" s="721" t="s">
        <v>2311</v>
      </c>
      <c r="D214" s="722" t="str">
        <f>_xlfn.XLOOKUP(H214,H212:H213,D212:D213)</f>
        <v xml:space="preserve">Est-il déjà arrivé que votre enfant dénigre vos compétences parentales devant l’autre parent ? </v>
      </c>
      <c r="E214" s="722" t="str">
        <f>_xlfn.XLOOKUP(H214,H212:H213,E212:E213)</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2" customHeight="1">
      <c r="B215" s="1686"/>
      <c r="D215" s="383" t="s">
        <v>2312</v>
      </c>
      <c r="E215" s="699"/>
      <c r="F215" s="435" t="s">
        <v>2313</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8.5" customHeight="1">
      <c r="B216" s="1686"/>
      <c r="C216" t="s">
        <v>42</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1"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19"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1"/>
      <c r="M221" s="2559"/>
      <c r="N221" s="2559"/>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82" t="s">
        <v>2141</v>
      </c>
      <c r="J222" s="2458"/>
      <c r="K222" s="2458"/>
      <c r="L222" s="2585" t="s">
        <v>2291</v>
      </c>
      <c r="M222" s="2458"/>
      <c r="N222" s="2458"/>
      <c r="O222" s="2584"/>
      <c r="P222" s="2587" t="s">
        <v>2142</v>
      </c>
      <c r="Q222" s="2458"/>
      <c r="R222" s="2584"/>
      <c r="S222" s="2583" t="s">
        <v>2143</v>
      </c>
      <c r="T222" s="2458"/>
      <c r="U222" s="2584"/>
      <c r="V222" s="15"/>
      <c r="W222" s="809"/>
      <c r="X222" s="809"/>
      <c r="Y222" s="809"/>
      <c r="Z222" s="809"/>
      <c r="AA222" s="809"/>
      <c r="AB222" s="810"/>
      <c r="AD222" s="10"/>
      <c r="AE222" s="10"/>
      <c r="AF222" s="10"/>
      <c r="AG222" s="1372" t="s">
        <v>2141</v>
      </c>
      <c r="AH222" s="1372" t="s">
        <v>2142</v>
      </c>
      <c r="AI222" s="1372" t="s">
        <v>2143</v>
      </c>
      <c r="AJ222" s="2580" t="s">
        <v>2141</v>
      </c>
      <c r="AK222" s="2474"/>
      <c r="AL222" s="2580" t="s">
        <v>2142</v>
      </c>
      <c r="AM222" s="2474"/>
      <c r="AN222" s="2580" t="s">
        <v>2143</v>
      </c>
      <c r="AO222" s="2474"/>
      <c r="AY222" s="728"/>
      <c r="AZ222" s="728"/>
      <c r="BA222" s="87"/>
      <c r="BB222" s="438"/>
      <c r="BC222" s="89"/>
      <c r="BD222" s="442"/>
      <c r="BE222" s="442"/>
      <c r="BF222" s="89"/>
      <c r="BG222" s="443"/>
      <c r="BH222" s="443"/>
      <c r="BI222" s="439"/>
    </row>
    <row r="223" spans="1:78" ht="31" customHeight="1">
      <c r="B223" s="1686"/>
      <c r="D223" s="79" t="s">
        <v>2292</v>
      </c>
      <c r="E223" s="827" t="s">
        <v>2293</v>
      </c>
      <c r="F223" s="26" t="s">
        <v>64</v>
      </c>
      <c r="G223" s="26" t="s">
        <v>453</v>
      </c>
      <c r="H223" s="26" t="s">
        <v>2294</v>
      </c>
      <c r="I223" s="1334" t="s">
        <v>2295</v>
      </c>
      <c r="J223" s="29" t="s">
        <v>2296</v>
      </c>
      <c r="K223" s="29" t="s">
        <v>2297</v>
      </c>
      <c r="L223" s="29" t="s">
        <v>2298</v>
      </c>
      <c r="M223" s="29" t="s">
        <v>2299</v>
      </c>
      <c r="N223" s="29" t="s">
        <v>2300</v>
      </c>
      <c r="O223" s="1335" t="s">
        <v>2301</v>
      </c>
      <c r="P223" s="1334" t="s">
        <v>2295</v>
      </c>
      <c r="Q223" s="29" t="s">
        <v>2296</v>
      </c>
      <c r="R223" s="1335" t="s">
        <v>2297</v>
      </c>
      <c r="S223" s="1334" t="s">
        <v>2295</v>
      </c>
      <c r="T223" s="29" t="s">
        <v>2296</v>
      </c>
      <c r="U223" s="1335" t="s">
        <v>2297</v>
      </c>
      <c r="V223" s="730"/>
      <c r="W223" s="819" t="s">
        <v>2141</v>
      </c>
      <c r="X223" s="820" t="s">
        <v>2302</v>
      </c>
      <c r="Y223" s="819" t="s">
        <v>2142</v>
      </c>
      <c r="Z223" s="820" t="s">
        <v>2303</v>
      </c>
      <c r="AA223" s="819" t="s">
        <v>2143</v>
      </c>
      <c r="AB223" s="820" t="s">
        <v>2304</v>
      </c>
      <c r="AD223" s="10"/>
      <c r="AE223" s="10"/>
      <c r="AF223" s="10"/>
      <c r="AG223" s="10"/>
      <c r="AH223" s="10"/>
      <c r="AI223" s="10"/>
      <c r="AJ223" s="1476" t="s">
        <v>1585</v>
      </c>
      <c r="AK223" s="1476" t="s">
        <v>1488</v>
      </c>
      <c r="AL223" s="1476" t="s">
        <v>1585</v>
      </c>
      <c r="AM223" s="1476" t="s">
        <v>1488</v>
      </c>
      <c r="AN223" s="1476" t="s">
        <v>1585</v>
      </c>
      <c r="AO223" s="1476" t="s">
        <v>1488</v>
      </c>
      <c r="AY223" s="728"/>
      <c r="AZ223" s="728"/>
      <c r="BA223" s="87"/>
      <c r="BB223" s="438"/>
      <c r="BC223" s="89"/>
      <c r="BD223" s="442"/>
      <c r="BE223" s="442"/>
      <c r="BF223" s="89"/>
      <c r="BG223" s="443"/>
      <c r="BH223" s="443"/>
      <c r="BI223" s="439"/>
    </row>
    <row r="224" spans="1:78" ht="46.5"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46.5"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46.5" customHeight="1">
      <c r="B226" s="1517"/>
      <c r="C226" s="704" t="s">
        <v>2306</v>
      </c>
      <c r="D226" s="705" t="str">
        <f>_xlfn.XLOOKUP(H226,H224:H225,D224:D225)</f>
        <v>L’autre parent dénigre votre nouvelle famille devant votre enfant. (dénigrement de votre nouveau ou nouvelle conjoint·e ou enfant né·e d’une nouvelle union)</v>
      </c>
      <c r="E226" s="706" t="str">
        <f>_xlfn.XLOOKUP(H226,H224:H225,E224:E225)</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46.5" customHeight="1">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8.5" customHeight="1">
      <c r="B228" s="1686"/>
      <c r="C228" s="38" t="s">
        <v>270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6"/>
      <c r="C229" s="710" t="s">
        <v>2307</v>
      </c>
      <c r="D229" s="711" t="str">
        <f>_xlfn.XLOOKUP(H229,H227:H228,D227:D228)</f>
        <v xml:space="preserve">Arrive-t-il que le nouveau ou nouvelle conjoint·e dénigre votre famille devant votre enfant ? </v>
      </c>
      <c r="E229" s="712" t="str">
        <f>_xlfn.XLOOKUP(H229,H227:H228,E227:E228)</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6"/>
      <c r="C230" s="716" t="s">
        <v>2308</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t="s">
        <v>620</v>
      </c>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6"/>
      <c r="C232" s="287" t="s">
        <v>2322</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6"/>
      <c r="C233" s="721" t="s">
        <v>2311</v>
      </c>
      <c r="D233" s="722" t="str">
        <f>_xlfn.XLOOKUP(H233,H231:H232,D231:D232)</f>
        <v>Votre enfant dénigre votre nouvelle famille (nouveau ou nouvelle conjoint·e ou enfant né·e d’une nouvelle union).</v>
      </c>
      <c r="E233" s="722" t="str">
        <f>_xlfn.XLOOKUP(H233,H231:H232,E231:E232)</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1" customHeight="1">
      <c r="B234" s="1686"/>
      <c r="D234" s="383" t="s">
        <v>2312</v>
      </c>
      <c r="E234" s="699"/>
      <c r="F234" s="435" t="s">
        <v>2313</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8.5" customHeight="1">
      <c r="B235" s="1686"/>
      <c r="C235" t="s">
        <v>42</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8.5"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19"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1"/>
      <c r="M240" s="2559"/>
      <c r="N240" s="2559"/>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82" t="s">
        <v>2141</v>
      </c>
      <c r="J241" s="2458"/>
      <c r="K241" s="2458"/>
      <c r="L241" s="2585" t="s">
        <v>2291</v>
      </c>
      <c r="M241" s="2458"/>
      <c r="N241" s="2458"/>
      <c r="O241" s="2584"/>
      <c r="P241" s="2587" t="s">
        <v>2142</v>
      </c>
      <c r="Q241" s="2458"/>
      <c r="R241" s="2584"/>
      <c r="S241" s="2583" t="s">
        <v>2143</v>
      </c>
      <c r="T241" s="2458"/>
      <c r="U241" s="2584"/>
      <c r="V241" s="15"/>
      <c r="W241" s="809"/>
      <c r="X241" s="809"/>
      <c r="Y241" s="809"/>
      <c r="Z241" s="809"/>
      <c r="AA241" s="809"/>
      <c r="AB241" s="810"/>
      <c r="AD241" s="10"/>
      <c r="AE241" s="10"/>
      <c r="AF241" s="10"/>
      <c r="AG241" s="1372" t="s">
        <v>2141</v>
      </c>
      <c r="AH241" s="1372" t="s">
        <v>2142</v>
      </c>
      <c r="AI241" s="1372" t="s">
        <v>2143</v>
      </c>
      <c r="AJ241" s="2580" t="s">
        <v>2141</v>
      </c>
      <c r="AK241" s="2474"/>
      <c r="AL241" s="2580" t="s">
        <v>2142</v>
      </c>
      <c r="AM241" s="2474"/>
      <c r="AN241" s="2580" t="s">
        <v>2143</v>
      </c>
      <c r="AO241" s="2474"/>
      <c r="AY241" s="728"/>
      <c r="AZ241" s="728"/>
      <c r="BA241" s="87"/>
      <c r="BB241" s="438"/>
      <c r="BC241" s="89"/>
      <c r="BD241" s="442"/>
      <c r="BE241" s="442"/>
      <c r="BF241" s="89"/>
      <c r="BG241" s="443"/>
      <c r="BH241" s="443"/>
      <c r="BI241" s="439"/>
    </row>
    <row r="242" spans="1:78" ht="33.5" customHeight="1">
      <c r="D242" s="79" t="s">
        <v>2292</v>
      </c>
      <c r="E242" s="827" t="s">
        <v>2293</v>
      </c>
      <c r="F242" s="26" t="s">
        <v>64</v>
      </c>
      <c r="G242" s="26" t="s">
        <v>453</v>
      </c>
      <c r="H242" s="26" t="s">
        <v>2294</v>
      </c>
      <c r="I242" s="1334" t="s">
        <v>2295</v>
      </c>
      <c r="J242" s="29" t="s">
        <v>2296</v>
      </c>
      <c r="K242" s="29" t="s">
        <v>2297</v>
      </c>
      <c r="L242" s="29" t="s">
        <v>2298</v>
      </c>
      <c r="M242" s="29" t="s">
        <v>2299</v>
      </c>
      <c r="N242" s="29" t="s">
        <v>2300</v>
      </c>
      <c r="O242" s="1335" t="s">
        <v>2301</v>
      </c>
      <c r="P242" s="1334" t="s">
        <v>2295</v>
      </c>
      <c r="Q242" s="29" t="s">
        <v>2296</v>
      </c>
      <c r="R242" s="1335" t="s">
        <v>2297</v>
      </c>
      <c r="S242" s="1334" t="s">
        <v>2295</v>
      </c>
      <c r="T242" s="29" t="s">
        <v>2296</v>
      </c>
      <c r="U242" s="1335" t="s">
        <v>2297</v>
      </c>
      <c r="V242" s="730"/>
      <c r="W242" s="819" t="s">
        <v>2141</v>
      </c>
      <c r="X242" s="820" t="s">
        <v>2302</v>
      </c>
      <c r="Y242" s="819" t="s">
        <v>2142</v>
      </c>
      <c r="Z242" s="820" t="s">
        <v>2303</v>
      </c>
      <c r="AA242" s="819" t="s">
        <v>2143</v>
      </c>
      <c r="AB242" s="820" t="s">
        <v>2304</v>
      </c>
      <c r="AD242" s="10"/>
      <c r="AE242" s="10"/>
      <c r="AF242" s="10"/>
      <c r="AG242" s="10"/>
      <c r="AH242" s="10"/>
      <c r="AI242" s="10"/>
      <c r="AJ242" s="1476" t="s">
        <v>1585</v>
      </c>
      <c r="AK242" s="1476" t="s">
        <v>1488</v>
      </c>
      <c r="AL242" s="1476" t="s">
        <v>1585</v>
      </c>
      <c r="AM242" s="1476" t="s">
        <v>1488</v>
      </c>
      <c r="AN242" s="1476" t="s">
        <v>1585</v>
      </c>
      <c r="AO242" s="1476" t="s">
        <v>1488</v>
      </c>
      <c r="AY242" s="728"/>
      <c r="AZ242" s="728"/>
      <c r="BA242" s="87"/>
      <c r="BB242" s="438"/>
      <c r="BC242" s="89"/>
      <c r="BD242" s="442"/>
      <c r="BE242" s="442"/>
      <c r="BF242" s="89"/>
      <c r="BG242" s="443"/>
      <c r="BH242" s="443"/>
      <c r="BI242" s="439"/>
    </row>
    <row r="243" spans="1:78" ht="31"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8.5" customHeight="1">
      <c r="B244" s="1517"/>
      <c r="C244" s="376" t="s">
        <v>44</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1" customHeight="1">
      <c r="B245" s="1688"/>
      <c r="C245" s="704" t="s">
        <v>2306</v>
      </c>
      <c r="D245" s="705" t="str">
        <f>_xlfn.XLOOKUP(H245,H243:H244,D243:D244)</f>
        <v>L'autre parent laisse entendre qu'il ou elle représente la vraie famille de votre enfant.</v>
      </c>
      <c r="E245" s="706" t="str">
        <f>_xlfn.XLOOKUP(H245,H243:H244,E243:E244)</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8.5" customHeight="1">
      <c r="B246" s="1517"/>
      <c r="C246" s="38" t="s">
        <v>270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8.5" customHeight="1">
      <c r="B247" s="1686"/>
      <c r="C247" s="38" t="s">
        <v>270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6"/>
      <c r="C248" s="710" t="s">
        <v>2307</v>
      </c>
      <c r="D248" s="711">
        <f>_xlfn.XLOOKUP(H248,H246:H247,D246:D247)</f>
        <v>0</v>
      </c>
      <c r="E248" s="712">
        <f>_xlfn.XLOOKUP(H248,H246:H247,E246:E247)</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6"/>
      <c r="C249" s="716" t="s">
        <v>2308</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t="s">
        <v>620</v>
      </c>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6"/>
      <c r="C252" s="721" t="s">
        <v>2311</v>
      </c>
      <c r="D252" s="722" t="str">
        <f>_xlfn.XLOOKUP(H252,H250:H251,D250:D251)</f>
        <v>Votre enfant laisse entendre que sa vraie famille est celle avec l’autre parent.</v>
      </c>
      <c r="E252" s="722" t="str">
        <f>_xlfn.XLOOKUP(H252,H250:H251,E250:E251)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2" customHeight="1">
      <c r="B253" s="1686"/>
      <c r="D253" s="383" t="s">
        <v>2312</v>
      </c>
      <c r="E253" s="699"/>
      <c r="F253" s="435" t="s">
        <v>2313</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8.5" customHeight="1">
      <c r="B254" s="1686"/>
      <c r="C254" t="s">
        <v>42</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8.5"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19"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1.5"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1"/>
      <c r="M259" s="2559"/>
      <c r="N259" s="2559"/>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82" t="s">
        <v>2141</v>
      </c>
      <c r="J260" s="2458"/>
      <c r="K260" s="2458"/>
      <c r="L260" s="2585" t="s">
        <v>2291</v>
      </c>
      <c r="M260" s="2458"/>
      <c r="N260" s="2458"/>
      <c r="O260" s="2584"/>
      <c r="P260" s="2587" t="s">
        <v>2142</v>
      </c>
      <c r="Q260" s="2458"/>
      <c r="R260" s="2584"/>
      <c r="S260" s="2583" t="s">
        <v>2143</v>
      </c>
      <c r="T260" s="2458"/>
      <c r="U260" s="2584"/>
      <c r="V260" s="15"/>
      <c r="W260" s="809"/>
      <c r="X260" s="809"/>
      <c r="Y260" s="809"/>
      <c r="Z260" s="809"/>
      <c r="AA260" s="809"/>
      <c r="AB260" s="810"/>
      <c r="AD260" s="10"/>
      <c r="AE260" s="10"/>
      <c r="AF260" s="10"/>
      <c r="AG260" s="1372" t="s">
        <v>2141</v>
      </c>
      <c r="AH260" s="1372" t="s">
        <v>2142</v>
      </c>
      <c r="AI260" s="1372" t="s">
        <v>2143</v>
      </c>
      <c r="AJ260" s="2580" t="s">
        <v>2141</v>
      </c>
      <c r="AK260" s="2474"/>
      <c r="AL260" s="2580" t="s">
        <v>2142</v>
      </c>
      <c r="AM260" s="2474"/>
      <c r="AN260" s="2580" t="s">
        <v>2143</v>
      </c>
      <c r="AO260" s="2474"/>
      <c r="BA260" s="87"/>
      <c r="BB260" s="438"/>
      <c r="BC260" s="86"/>
      <c r="BD260" s="440"/>
      <c r="BE260" s="440"/>
      <c r="BF260" s="86"/>
      <c r="BG260" s="87"/>
      <c r="BH260" s="87"/>
      <c r="BI260" s="86"/>
    </row>
    <row r="261" spans="1:89" ht="33.5" customHeight="1">
      <c r="D261" s="79" t="s">
        <v>2292</v>
      </c>
      <c r="E261" s="827" t="s">
        <v>2293</v>
      </c>
      <c r="F261" s="26" t="s">
        <v>64</v>
      </c>
      <c r="G261" s="26" t="s">
        <v>453</v>
      </c>
      <c r="H261" s="26" t="s">
        <v>2294</v>
      </c>
      <c r="I261" s="1334" t="s">
        <v>2295</v>
      </c>
      <c r="J261" s="29" t="s">
        <v>2296</v>
      </c>
      <c r="K261" s="29" t="s">
        <v>2297</v>
      </c>
      <c r="L261" s="29" t="s">
        <v>2298</v>
      </c>
      <c r="M261" s="29" t="s">
        <v>2299</v>
      </c>
      <c r="N261" s="29" t="s">
        <v>2300</v>
      </c>
      <c r="O261" s="1335" t="s">
        <v>2301</v>
      </c>
      <c r="P261" s="1334" t="s">
        <v>2295</v>
      </c>
      <c r="Q261" s="29" t="s">
        <v>2296</v>
      </c>
      <c r="R261" s="1335" t="s">
        <v>2297</v>
      </c>
      <c r="S261" s="1334" t="s">
        <v>2295</v>
      </c>
      <c r="T261" s="29" t="s">
        <v>2296</v>
      </c>
      <c r="U261" s="1335" t="s">
        <v>2297</v>
      </c>
      <c r="V261" s="730"/>
      <c r="W261" s="819" t="s">
        <v>2141</v>
      </c>
      <c r="X261" s="820" t="s">
        <v>2302</v>
      </c>
      <c r="Y261" s="819" t="s">
        <v>2142</v>
      </c>
      <c r="Z261" s="820" t="s">
        <v>2303</v>
      </c>
      <c r="AA261" s="819" t="s">
        <v>2143</v>
      </c>
      <c r="AB261" s="820" t="s">
        <v>2304</v>
      </c>
      <c r="AD261" s="10"/>
      <c r="AE261" s="10"/>
      <c r="AF261" s="10"/>
      <c r="AG261" s="10"/>
      <c r="AH261" s="10"/>
      <c r="AI261" s="10"/>
      <c r="AJ261" s="1476" t="s">
        <v>1585</v>
      </c>
      <c r="AK261" s="1476" t="s">
        <v>1488</v>
      </c>
      <c r="AL261" s="1476" t="s">
        <v>1585</v>
      </c>
      <c r="AM261" s="1476" t="s">
        <v>1488</v>
      </c>
      <c r="AN261" s="1476" t="s">
        <v>1585</v>
      </c>
      <c r="AO261" s="1476" t="s">
        <v>1488</v>
      </c>
      <c r="BA261" s="87"/>
      <c r="BB261" s="438"/>
      <c r="BC261" s="86"/>
      <c r="BD261" s="440"/>
      <c r="BE261" s="440"/>
      <c r="BF261" s="86"/>
      <c r="BG261" s="87"/>
      <c r="BH261" s="87"/>
      <c r="BI261" s="86"/>
      <c r="CA261" s="76"/>
      <c r="CB261" s="81"/>
    </row>
    <row r="262" spans="1:89" ht="46.5" customHeight="1">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7"/>
      <c r="C263" s="376" t="s">
        <v>44</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95"/>
      <c r="CK263" s="2468"/>
    </row>
    <row r="264" spans="1:89" ht="46.5" customHeight="1">
      <c r="B264" s="1688"/>
      <c r="C264" s="704" t="s">
        <v>2306</v>
      </c>
      <c r="D264" s="705" t="str">
        <f>_xlfn.XLOOKUP(H264,H262:H263,D262:D263)</f>
        <v>L'autre parent demande à votre enfant d'appeler son nouveau ou nouvelle conjoint·e maman ou papa.</v>
      </c>
      <c r="E264" s="706" t="str">
        <f>_xlfn.XLOOKUP(H264,H262:H263,E262:E263)</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58"/>
      <c r="CK264" s="2458"/>
    </row>
    <row r="265" spans="1:89" ht="43.5"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8.5" customHeight="1">
      <c r="B266" s="1686"/>
      <c r="C266" s="38" t="s">
        <v>270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6"/>
      <c r="C267" s="710" t="s">
        <v>2307</v>
      </c>
      <c r="D267" s="711" t="str">
        <f>_xlfn.XLOOKUP(H267,H265:H266,D265:D266)</f>
        <v>Le nouveau ou nouvelle conjoint·e demande à votre enfant de l'appeler maman ou papa.</v>
      </c>
      <c r="E267" s="712" t="str">
        <f>_xlfn.XLOOKUP(H267,H265:H266,E265:E266)</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6"/>
      <c r="C268" s="716" t="s">
        <v>2308</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t="s">
        <v>620</v>
      </c>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6"/>
      <c r="C271" s="721" t="s">
        <v>2311</v>
      </c>
      <c r="D271" s="722" t="str">
        <f>_xlfn.XLOOKUP(H271,H269:H270,D269:D270)</f>
        <v>Votre enfant considère le nouveau ou nouvelle conjoint·e (de l'autre parent) comme son père ou sa mère.</v>
      </c>
      <c r="E271" s="722" t="str">
        <f>_xlfn.XLOOKUP(H271,H269:H270,E269:E270)</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6"/>
      <c r="D272" s="383" t="s">
        <v>2312</v>
      </c>
      <c r="E272" s="699"/>
      <c r="F272" s="435" t="s">
        <v>2313</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8.5" customHeight="1">
      <c r="B273" s="1686"/>
      <c r="C273" t="s">
        <v>42</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8.5"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19"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1.5"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1"/>
      <c r="M278" s="2559"/>
      <c r="N278" s="2559"/>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82" t="s">
        <v>2141</v>
      </c>
      <c r="J279" s="2458"/>
      <c r="K279" s="2458"/>
      <c r="L279" s="2585" t="s">
        <v>2291</v>
      </c>
      <c r="M279" s="2458"/>
      <c r="N279" s="2458"/>
      <c r="O279" s="2584"/>
      <c r="P279" s="2587" t="s">
        <v>2142</v>
      </c>
      <c r="Q279" s="2458"/>
      <c r="R279" s="2584"/>
      <c r="S279" s="2583" t="s">
        <v>2143</v>
      </c>
      <c r="T279" s="2458"/>
      <c r="U279" s="2584"/>
      <c r="V279" s="15"/>
      <c r="W279" s="809"/>
      <c r="X279" s="809"/>
      <c r="Y279" s="809"/>
      <c r="Z279" s="809"/>
      <c r="AA279" s="809"/>
      <c r="AB279" s="810"/>
      <c r="AD279" s="10"/>
      <c r="AE279" s="10"/>
      <c r="AF279" s="10"/>
      <c r="AG279" s="1372" t="s">
        <v>2141</v>
      </c>
      <c r="AH279" s="1372" t="s">
        <v>2142</v>
      </c>
      <c r="AI279" s="1372" t="s">
        <v>2143</v>
      </c>
      <c r="AJ279" s="2580" t="s">
        <v>2141</v>
      </c>
      <c r="AK279" s="2474"/>
      <c r="AL279" s="2580" t="s">
        <v>2142</v>
      </c>
      <c r="AM279" s="2474"/>
      <c r="AN279" s="2580" t="s">
        <v>2143</v>
      </c>
      <c r="AO279" s="2474"/>
      <c r="AY279" s="728"/>
      <c r="AZ279" s="728"/>
      <c r="BA279" s="87"/>
      <c r="BB279" s="438"/>
      <c r="BC279" s="89"/>
      <c r="BD279" s="442"/>
      <c r="BE279" s="442"/>
      <c r="BF279" s="89"/>
      <c r="BG279" s="443"/>
      <c r="BH279" s="443"/>
      <c r="BI279" s="439"/>
    </row>
    <row r="280" spans="1:78" ht="33.5" customHeight="1">
      <c r="D280" s="79" t="s">
        <v>2292</v>
      </c>
      <c r="E280" s="827" t="s">
        <v>2293</v>
      </c>
      <c r="F280" s="26" t="s">
        <v>64</v>
      </c>
      <c r="G280" s="26" t="s">
        <v>453</v>
      </c>
      <c r="H280" s="26" t="s">
        <v>2294</v>
      </c>
      <c r="I280" s="1334" t="s">
        <v>2295</v>
      </c>
      <c r="J280" s="29" t="s">
        <v>2296</v>
      </c>
      <c r="K280" s="29" t="s">
        <v>2297</v>
      </c>
      <c r="L280" s="29" t="s">
        <v>2298</v>
      </c>
      <c r="M280" s="29" t="s">
        <v>2299</v>
      </c>
      <c r="N280" s="29" t="s">
        <v>2300</v>
      </c>
      <c r="O280" s="1335" t="s">
        <v>2301</v>
      </c>
      <c r="P280" s="1334" t="s">
        <v>2295</v>
      </c>
      <c r="Q280" s="29" t="s">
        <v>2296</v>
      </c>
      <c r="R280" s="1335" t="s">
        <v>2297</v>
      </c>
      <c r="S280" s="1334" t="s">
        <v>2295</v>
      </c>
      <c r="T280" s="29" t="s">
        <v>2296</v>
      </c>
      <c r="U280" s="1335" t="s">
        <v>2297</v>
      </c>
      <c r="V280" s="730"/>
      <c r="W280" s="819" t="s">
        <v>2141</v>
      </c>
      <c r="X280" s="820" t="s">
        <v>2302</v>
      </c>
      <c r="Y280" s="819" t="s">
        <v>2142</v>
      </c>
      <c r="Z280" s="820" t="s">
        <v>2303</v>
      </c>
      <c r="AA280" s="819" t="s">
        <v>2143</v>
      </c>
      <c r="AB280" s="820" t="s">
        <v>2304</v>
      </c>
      <c r="AD280" s="10"/>
      <c r="AE280" s="10"/>
      <c r="AF280" s="10"/>
      <c r="AG280" s="10"/>
      <c r="AH280" s="10"/>
      <c r="AI280" s="10"/>
      <c r="AJ280" s="1476" t="s">
        <v>1585</v>
      </c>
      <c r="AK280" s="1476" t="s">
        <v>1488</v>
      </c>
      <c r="AL280" s="1476" t="s">
        <v>1585</v>
      </c>
      <c r="AM280" s="1476" t="s">
        <v>1488</v>
      </c>
      <c r="AN280" s="1476" t="s">
        <v>1585</v>
      </c>
      <c r="AO280" s="1476" t="s">
        <v>1488</v>
      </c>
      <c r="AY280" s="728"/>
      <c r="AZ280" s="728"/>
      <c r="BA280" s="87"/>
      <c r="BB280" s="438"/>
      <c r="BC280" s="89"/>
      <c r="BD280" s="442"/>
      <c r="BE280" s="442"/>
      <c r="BF280" s="89"/>
      <c r="BG280" s="443"/>
      <c r="BH280" s="443"/>
      <c r="BI280" s="439"/>
    </row>
    <row r="281" spans="1:78" ht="43.5"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3.5" customHeight="1">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31" customHeight="1">
      <c r="B283" s="1688"/>
      <c r="C283" s="704" t="s">
        <v>2306</v>
      </c>
      <c r="D283" s="705"/>
      <c r="E283" s="706" t="str">
        <f>_xlfn.XLOOKUP(H283,H281:H282,E281:E282)</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46.5"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8.5" customHeight="1">
      <c r="B285" s="1686"/>
      <c r="C285" s="38" t="s">
        <v>270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6"/>
      <c r="C286" s="710" t="s">
        <v>2307</v>
      </c>
      <c r="D286" s="711" t="str">
        <f>_xlfn.XLOOKUP(H286,H284:H285,D284:D285)</f>
        <v xml:space="preserve">Le nouveau ou nouvelle conjoint·e apporte des changements à l’horaire de garde sans vous consulter au préalable ou sans votre autorisation. </v>
      </c>
      <c r="E286" s="712" t="str">
        <f>_xlfn.XLOOKUP(H286,H284:H285,E284:E285)</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6"/>
      <c r="C287" s="716" t="s">
        <v>2308</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t="s">
        <v>620</v>
      </c>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6"/>
      <c r="C290" s="721" t="s">
        <v>2311</v>
      </c>
      <c r="D290" s="722" t="str">
        <f>_xlfn.XLOOKUP(H290,H288:H289,D288:D289)</f>
        <v>Votre enfant demande à modifier les horaires de garde et de visite.</v>
      </c>
      <c r="E290" s="722" t="str">
        <f>_xlfn.XLOOKUP(H290,H288:H289,E288:E289)</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62" customHeight="1">
      <c r="B291" s="1686"/>
      <c r="D291" s="383" t="s">
        <v>2312</v>
      </c>
      <c r="E291" s="699"/>
      <c r="F291" s="435" t="s">
        <v>2313</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8.5" customHeight="1">
      <c r="B292" s="1686"/>
      <c r="C292" t="s">
        <v>42</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3.5"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19"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1.5"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1"/>
      <c r="M297" s="2559"/>
      <c r="N297" s="2559"/>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82" t="s">
        <v>2141</v>
      </c>
      <c r="J298" s="2458"/>
      <c r="K298" s="2458"/>
      <c r="L298" s="2585" t="s">
        <v>2291</v>
      </c>
      <c r="M298" s="2458"/>
      <c r="N298" s="2458"/>
      <c r="O298" s="2584"/>
      <c r="P298" s="2587" t="s">
        <v>2142</v>
      </c>
      <c r="Q298" s="2458"/>
      <c r="R298" s="2584"/>
      <c r="S298" s="2583" t="s">
        <v>2143</v>
      </c>
      <c r="T298" s="2458"/>
      <c r="U298" s="2584"/>
      <c r="V298" s="15"/>
      <c r="W298" s="809"/>
      <c r="X298" s="809"/>
      <c r="Y298" s="809"/>
      <c r="Z298" s="809"/>
      <c r="AA298" s="809"/>
      <c r="AB298" s="810"/>
      <c r="AD298" s="10"/>
      <c r="AE298" s="10"/>
      <c r="AF298" s="10"/>
      <c r="AG298" s="1372" t="s">
        <v>2141</v>
      </c>
      <c r="AH298" s="1372" t="s">
        <v>2142</v>
      </c>
      <c r="AI298" s="1372" t="s">
        <v>2143</v>
      </c>
      <c r="AJ298" s="2580" t="s">
        <v>2141</v>
      </c>
      <c r="AK298" s="2474"/>
      <c r="AL298" s="2580" t="s">
        <v>2142</v>
      </c>
      <c r="AM298" s="2474"/>
      <c r="AN298" s="2580" t="s">
        <v>2143</v>
      </c>
      <c r="AO298" s="2474"/>
      <c r="AY298" s="728"/>
      <c r="AZ298" s="728"/>
      <c r="BA298" s="87"/>
      <c r="BB298" s="438"/>
      <c r="BC298" s="89"/>
      <c r="BD298" s="442"/>
      <c r="BE298" s="442"/>
      <c r="BF298" s="89"/>
      <c r="BG298" s="443"/>
      <c r="BH298" s="443"/>
      <c r="BI298" s="439"/>
    </row>
    <row r="299" spans="1:78" ht="33.5" customHeight="1">
      <c r="D299" s="79" t="s">
        <v>2292</v>
      </c>
      <c r="E299" s="827" t="s">
        <v>2293</v>
      </c>
      <c r="F299" s="26" t="s">
        <v>64</v>
      </c>
      <c r="G299" s="26" t="s">
        <v>453</v>
      </c>
      <c r="H299" s="26" t="s">
        <v>2294</v>
      </c>
      <c r="I299" s="1334" t="s">
        <v>2295</v>
      </c>
      <c r="J299" s="29" t="s">
        <v>2296</v>
      </c>
      <c r="K299" s="29" t="s">
        <v>2297</v>
      </c>
      <c r="L299" s="29" t="s">
        <v>2298</v>
      </c>
      <c r="M299" s="29" t="s">
        <v>2299</v>
      </c>
      <c r="N299" s="29" t="s">
        <v>2300</v>
      </c>
      <c r="O299" s="1335" t="s">
        <v>2301</v>
      </c>
      <c r="P299" s="1334" t="s">
        <v>2295</v>
      </c>
      <c r="Q299" s="29" t="s">
        <v>2296</v>
      </c>
      <c r="R299" s="1335" t="s">
        <v>2297</v>
      </c>
      <c r="S299" s="1334" t="s">
        <v>2295</v>
      </c>
      <c r="T299" s="29" t="s">
        <v>2296</v>
      </c>
      <c r="U299" s="1335" t="s">
        <v>2297</v>
      </c>
      <c r="V299" s="730"/>
      <c r="W299" s="819" t="s">
        <v>2141</v>
      </c>
      <c r="X299" s="820" t="s">
        <v>2302</v>
      </c>
      <c r="Y299" s="819" t="s">
        <v>2142</v>
      </c>
      <c r="Z299" s="820" t="s">
        <v>2303</v>
      </c>
      <c r="AA299" s="819" t="s">
        <v>2143</v>
      </c>
      <c r="AB299" s="820" t="s">
        <v>2304</v>
      </c>
      <c r="AD299" s="10"/>
      <c r="AE299" s="10"/>
      <c r="AF299" s="10"/>
      <c r="AG299" s="10"/>
      <c r="AH299" s="10"/>
      <c r="AI299" s="10"/>
      <c r="AJ299" s="1476" t="s">
        <v>1585</v>
      </c>
      <c r="AK299" s="1476" t="s">
        <v>1488</v>
      </c>
      <c r="AL299" s="1476" t="s">
        <v>1585</v>
      </c>
      <c r="AM299" s="1476" t="s">
        <v>1488</v>
      </c>
      <c r="AN299" s="1476" t="s">
        <v>1585</v>
      </c>
      <c r="AO299" s="1476" t="s">
        <v>1488</v>
      </c>
      <c r="AY299" s="728"/>
      <c r="AZ299" s="728"/>
      <c r="BA299" s="87"/>
      <c r="BB299" s="438"/>
      <c r="BC299" s="89"/>
      <c r="BD299" s="442"/>
      <c r="BE299" s="442"/>
      <c r="BF299" s="89"/>
      <c r="BG299" s="443"/>
      <c r="BH299" s="443"/>
      <c r="BI299" s="439"/>
    </row>
    <row r="300" spans="1:78" ht="43.5" customHeight="1">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46.5" customHeight="1">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46.5" customHeight="1">
      <c r="B302" s="1688"/>
      <c r="C302" s="704" t="s">
        <v>2306</v>
      </c>
      <c r="D302" s="705" t="str">
        <f>_xlfn.XLOOKUP(H302,H300:H301,D300:D301)</f>
        <v>Arrive-t-il que l’autre parent organise et propose des activités à votre enfant sur votre temps de garde ?</v>
      </c>
      <c r="E302" s="706" t="str">
        <f>_xlfn.XLOOKUP(H302,H300:H301,E300:E301)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46.5" customHeight="1">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8.5" customHeight="1">
      <c r="B304" s="1686"/>
      <c r="C304" s="38" t="s">
        <v>270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6"/>
      <c r="C305" s="710" t="s">
        <v>2307</v>
      </c>
      <c r="D305" s="711" t="str">
        <f>_xlfn.XLOOKUP(H305,H303:H304,D303:D304)</f>
        <v xml:space="preserve">Arrive-t-il que le nouveau ou nouvelle conjoint·e organise des activités sur votre temps de garde ? </v>
      </c>
      <c r="E305" s="712" t="str">
        <f>_xlfn.XLOOKUP(H305,H303:H304,E303:E304)</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6"/>
      <c r="C306" s="716" t="s">
        <v>2308</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t="s">
        <v>620</v>
      </c>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6"/>
      <c r="C309" s="721" t="s">
        <v>2311</v>
      </c>
      <c r="D309" s="722" t="str">
        <f>_xlfn.XLOOKUP(H309,H307:H308,D307:D308)</f>
        <v>Arrive-t-il à votre enfant de changer d’idée concernant une activité prévue à l’horaire avec vous ?  D’abord enthousiaste, votre enfant trouve subitement (dernière minute) des excuses pour ne pas participer à l’activité ?</v>
      </c>
      <c r="E309" s="722" t="str">
        <f>_xlfn.XLOOKUP(H309,H307:H308,E307:E308)</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1" customHeight="1">
      <c r="B310" s="1686"/>
      <c r="D310" s="383" t="s">
        <v>2312</v>
      </c>
      <c r="E310" s="699"/>
      <c r="F310" s="435" t="s">
        <v>2313</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8.5" customHeight="1">
      <c r="B311" s="1686"/>
      <c r="C311" t="s">
        <v>42</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8.5"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19"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1.5"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1"/>
      <c r="M316" s="2559"/>
      <c r="N316" s="2559"/>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82" t="s">
        <v>2141</v>
      </c>
      <c r="J317" s="2458"/>
      <c r="K317" s="2458"/>
      <c r="L317" s="2585" t="s">
        <v>2291</v>
      </c>
      <c r="M317" s="2458"/>
      <c r="N317" s="2458"/>
      <c r="O317" s="2584"/>
      <c r="P317" s="2587" t="s">
        <v>2142</v>
      </c>
      <c r="Q317" s="2458"/>
      <c r="R317" s="2584"/>
      <c r="S317" s="2583" t="s">
        <v>2143</v>
      </c>
      <c r="T317" s="2458"/>
      <c r="U317" s="2584"/>
      <c r="V317" s="15"/>
      <c r="W317" s="809"/>
      <c r="X317" s="809"/>
      <c r="Y317" s="809"/>
      <c r="Z317" s="809"/>
      <c r="AA317" s="809"/>
      <c r="AB317" s="810"/>
      <c r="AD317" s="10"/>
      <c r="AE317" s="10"/>
      <c r="AF317" s="10"/>
      <c r="AG317" s="1372" t="s">
        <v>2141</v>
      </c>
      <c r="AH317" s="1372" t="s">
        <v>2142</v>
      </c>
      <c r="AI317" s="1372" t="s">
        <v>2143</v>
      </c>
      <c r="AJ317" s="2580" t="s">
        <v>2141</v>
      </c>
      <c r="AK317" s="2474"/>
      <c r="AL317" s="2580" t="s">
        <v>2142</v>
      </c>
      <c r="AM317" s="2474"/>
      <c r="AN317" s="2580" t="s">
        <v>2143</v>
      </c>
      <c r="AO317" s="2474"/>
      <c r="AY317" s="728"/>
      <c r="AZ317" s="728"/>
      <c r="BA317" s="87"/>
      <c r="BB317" s="438"/>
      <c r="BC317" s="89"/>
      <c r="BD317" s="442"/>
      <c r="BE317" s="442"/>
      <c r="BF317" s="89"/>
      <c r="BG317" s="443"/>
      <c r="BH317" s="443"/>
      <c r="BI317" s="439"/>
    </row>
    <row r="318" spans="1:78" ht="33.5" customHeight="1">
      <c r="D318" s="79" t="s">
        <v>2292</v>
      </c>
      <c r="E318" s="827" t="s">
        <v>2293</v>
      </c>
      <c r="F318" s="26" t="s">
        <v>64</v>
      </c>
      <c r="G318" s="26" t="s">
        <v>453</v>
      </c>
      <c r="H318" s="26" t="s">
        <v>2294</v>
      </c>
      <c r="I318" s="1334" t="s">
        <v>2295</v>
      </c>
      <c r="J318" s="29" t="s">
        <v>2296</v>
      </c>
      <c r="K318" s="29" t="s">
        <v>2297</v>
      </c>
      <c r="L318" s="29" t="s">
        <v>2298</v>
      </c>
      <c r="M318" s="29" t="s">
        <v>2299</v>
      </c>
      <c r="N318" s="29" t="s">
        <v>2300</v>
      </c>
      <c r="O318" s="1335" t="s">
        <v>2301</v>
      </c>
      <c r="P318" s="1334" t="s">
        <v>2295</v>
      </c>
      <c r="Q318" s="29" t="s">
        <v>2296</v>
      </c>
      <c r="R318" s="1335" t="s">
        <v>2297</v>
      </c>
      <c r="S318" s="1334" t="s">
        <v>2295</v>
      </c>
      <c r="T318" s="29" t="s">
        <v>2296</v>
      </c>
      <c r="U318" s="1335" t="s">
        <v>2297</v>
      </c>
      <c r="V318" s="730"/>
      <c r="W318" s="819" t="s">
        <v>2141</v>
      </c>
      <c r="X318" s="820" t="s">
        <v>2302</v>
      </c>
      <c r="Y318" s="819" t="s">
        <v>2142</v>
      </c>
      <c r="Z318" s="820" t="s">
        <v>2303</v>
      </c>
      <c r="AA318" s="819" t="s">
        <v>2143</v>
      </c>
      <c r="AB318" s="820" t="s">
        <v>2304</v>
      </c>
      <c r="AD318" s="10"/>
      <c r="AE318" s="10"/>
      <c r="AF318" s="10"/>
      <c r="AG318" s="10"/>
      <c r="AH318" s="10"/>
      <c r="AI318" s="10"/>
      <c r="AJ318" s="1476" t="s">
        <v>1585</v>
      </c>
      <c r="AK318" s="1476" t="s">
        <v>1488</v>
      </c>
      <c r="AL318" s="1476" t="s">
        <v>1585</v>
      </c>
      <c r="AM318" s="1476" t="s">
        <v>1488</v>
      </c>
      <c r="AN318" s="1476" t="s">
        <v>1585</v>
      </c>
      <c r="AO318" s="1476" t="s">
        <v>1488</v>
      </c>
      <c r="AY318" s="728"/>
      <c r="AZ318" s="728"/>
      <c r="BA318" s="87"/>
      <c r="BB318" s="438"/>
      <c r="BC318" s="89"/>
      <c r="BD318" s="442"/>
      <c r="BE318" s="442"/>
      <c r="BF318" s="89"/>
      <c r="BG318" s="443"/>
      <c r="BH318" s="443"/>
      <c r="BI318" s="439"/>
    </row>
    <row r="319" spans="1:78" ht="46.5"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8.5" customHeight="1">
      <c r="B320" s="1517"/>
      <c r="C320" s="376" t="s">
        <v>44</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46.5" customHeight="1">
      <c r="B321" s="1688"/>
      <c r="C321" s="704" t="s">
        <v>2306</v>
      </c>
      <c r="D321" s="705" t="str">
        <f>_xlfn.XLOOKUP(H321,H319:H320,D319:D320)</f>
        <v>À quelle fréquence l’autre parent communique-t-il ou elle avec votre enfant durant votre temps de garde ? (tél., textos, réseaux sociaux, etc.)</v>
      </c>
      <c r="E321" s="706" t="str">
        <f>_xlfn.XLOOKUP(H321,H319:H320,E319:E320)</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46.5" customHeight="1">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8.5" customHeight="1">
      <c r="B323" s="1686"/>
      <c r="C323" s="38" t="s">
        <v>270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6"/>
      <c r="C324" s="710" t="s">
        <v>2307</v>
      </c>
      <c r="D324" s="711" t="str">
        <f>_xlfn.XLOOKUP(H324,H322:H323,D322:D323)</f>
        <v>À quelle fréquence le nouveau ou nouvelle conjoint·e communique-t-il ou elle avec votre enfant durant votre temps de garde ?</v>
      </c>
      <c r="E324" s="712" t="str">
        <f>_xlfn.XLOOKUP(H324,H322:H323,E322:E323)</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6"/>
      <c r="C325" s="716" t="s">
        <v>2308</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t="s">
        <v>620</v>
      </c>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6"/>
      <c r="C327" s="287" t="s">
        <v>2322</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6"/>
      <c r="C328" s="721" t="s">
        <v>2311</v>
      </c>
      <c r="D328" s="722" t="str">
        <f>_xlfn.XLOOKUP(H328,H326:H327,D326:D327)</f>
        <v>Votre enfant s'isole ou se cache (ex.: chambre ou toilettes) pour appeler l'autre parent afin qu'on n'entende pas ses conversations.</v>
      </c>
      <c r="E328" s="722" t="str">
        <f>_xlfn.XLOOKUP(H328,H326:H327,E326:E327)</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2" customHeight="1">
      <c r="B329" s="1686"/>
      <c r="D329" s="383" t="s">
        <v>2312</v>
      </c>
      <c r="E329" s="699"/>
      <c r="F329" s="435" t="s">
        <v>2313</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8.5" customHeight="1">
      <c r="B330" s="1686"/>
      <c r="C330" t="s">
        <v>42</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3.5"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19"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1.5" customHeight="1" thickBot="1">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6.5"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1"/>
      <c r="M335" s="2559"/>
      <c r="N335" s="2559"/>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82" t="s">
        <v>2141</v>
      </c>
      <c r="J336" s="2458"/>
      <c r="K336" s="2458"/>
      <c r="L336" s="2585" t="s">
        <v>2291</v>
      </c>
      <c r="M336" s="2458"/>
      <c r="N336" s="2458"/>
      <c r="O336" s="2584"/>
      <c r="P336" s="2587" t="s">
        <v>2142</v>
      </c>
      <c r="Q336" s="2458"/>
      <c r="R336" s="2584"/>
      <c r="S336" s="2583" t="s">
        <v>2143</v>
      </c>
      <c r="T336" s="2458"/>
      <c r="U336" s="2584"/>
      <c r="V336" s="15"/>
      <c r="W336" s="809"/>
      <c r="X336" s="809"/>
      <c r="Y336" s="809"/>
      <c r="Z336" s="809"/>
      <c r="AA336" s="809"/>
      <c r="AB336" s="810"/>
      <c r="AD336" s="10"/>
      <c r="AE336" s="10"/>
      <c r="AF336" s="10"/>
      <c r="AG336" s="1372" t="s">
        <v>2141</v>
      </c>
      <c r="AH336" s="1372" t="s">
        <v>2142</v>
      </c>
      <c r="AI336" s="1372" t="s">
        <v>2143</v>
      </c>
      <c r="AJ336" s="2580" t="s">
        <v>2141</v>
      </c>
      <c r="AK336" s="2474"/>
      <c r="AL336" s="2580" t="s">
        <v>2142</v>
      </c>
      <c r="AM336" s="2474"/>
      <c r="AN336" s="2580" t="s">
        <v>2143</v>
      </c>
      <c r="AO336" s="2474"/>
      <c r="AY336" s="728"/>
      <c r="AZ336" s="728"/>
      <c r="BA336" s="87"/>
      <c r="BB336" s="438"/>
      <c r="BC336" s="89"/>
      <c r="BD336" s="442"/>
      <c r="BE336" s="442"/>
      <c r="BF336" s="89"/>
      <c r="BG336" s="443"/>
      <c r="BH336" s="443"/>
      <c r="BI336" s="439"/>
    </row>
    <row r="337" spans="1:78" ht="33.5" customHeight="1">
      <c r="D337" s="79" t="s">
        <v>2292</v>
      </c>
      <c r="E337" s="827" t="s">
        <v>2293</v>
      </c>
      <c r="F337" s="26" t="s">
        <v>64</v>
      </c>
      <c r="G337" s="26" t="s">
        <v>453</v>
      </c>
      <c r="H337" s="26" t="s">
        <v>2294</v>
      </c>
      <c r="I337" s="1334" t="s">
        <v>2295</v>
      </c>
      <c r="J337" s="29" t="s">
        <v>2296</v>
      </c>
      <c r="K337" s="29" t="s">
        <v>2297</v>
      </c>
      <c r="L337" s="29" t="s">
        <v>2298</v>
      </c>
      <c r="M337" s="29" t="s">
        <v>2299</v>
      </c>
      <c r="N337" s="29" t="s">
        <v>2300</v>
      </c>
      <c r="O337" s="1335" t="s">
        <v>2301</v>
      </c>
      <c r="P337" s="1334" t="s">
        <v>2295</v>
      </c>
      <c r="Q337" s="29" t="s">
        <v>2296</v>
      </c>
      <c r="R337" s="1335" t="s">
        <v>2297</v>
      </c>
      <c r="S337" s="1334" t="s">
        <v>2295</v>
      </c>
      <c r="T337" s="29" t="s">
        <v>2296</v>
      </c>
      <c r="U337" s="1335" t="s">
        <v>2297</v>
      </c>
      <c r="V337" s="730"/>
      <c r="W337" s="819" t="s">
        <v>2141</v>
      </c>
      <c r="X337" s="820" t="s">
        <v>2302</v>
      </c>
      <c r="Y337" s="819" t="s">
        <v>2142</v>
      </c>
      <c r="Z337" s="820" t="s">
        <v>2303</v>
      </c>
      <c r="AA337" s="819" t="s">
        <v>2143</v>
      </c>
      <c r="AB337" s="820" t="s">
        <v>2304</v>
      </c>
      <c r="AD337" s="10"/>
      <c r="AE337" s="10"/>
      <c r="AF337" s="10"/>
      <c r="AG337" s="10"/>
      <c r="AH337" s="10"/>
      <c r="AI337" s="10"/>
      <c r="AJ337" s="1476" t="s">
        <v>1585</v>
      </c>
      <c r="AK337" s="1476" t="s">
        <v>1488</v>
      </c>
      <c r="AL337" s="1476" t="s">
        <v>1585</v>
      </c>
      <c r="AM337" s="1476" t="s">
        <v>1488</v>
      </c>
      <c r="AN337" s="1476" t="s">
        <v>1585</v>
      </c>
      <c r="AO337" s="1476" t="s">
        <v>1488</v>
      </c>
      <c r="AY337" s="728"/>
      <c r="AZ337" s="728"/>
      <c r="BA337" s="87"/>
      <c r="BB337" s="438"/>
      <c r="BC337" s="89"/>
      <c r="BD337" s="442"/>
      <c r="BE337" s="442"/>
      <c r="BF337" s="89"/>
      <c r="BG337" s="443"/>
      <c r="BH337" s="443"/>
      <c r="BI337" s="439"/>
    </row>
    <row r="338" spans="1:78" ht="43.5"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46.5" customHeight="1">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46.5" customHeight="1">
      <c r="B340" s="1688"/>
      <c r="C340" s="704" t="s">
        <v>2306</v>
      </c>
      <c r="D340" s="705" t="str">
        <f>_xlfn.XLOOKUP(H340,H338:H339,D338:D339)</f>
        <v>Il est facile de communiquer avec votre enfant lorsqu’il est chez l’autre parent.</v>
      </c>
      <c r="E340" s="706" t="str">
        <f>_xlfn.XLOOKUP(H340,H338:H339,E338:E339)</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46.5"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8.5" customHeight="1">
      <c r="B342" s="1686"/>
      <c r="C342" s="38" t="s">
        <v>270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6"/>
      <c r="C343" s="710" t="s">
        <v>2307</v>
      </c>
      <c r="D343" s="711" t="str">
        <f>_xlfn.XLOOKUP(H343,H341:H342,D341:D342)</f>
        <v>Arrive-t-il que le nouveau ou nouvelle conjoint·e interfère, écoute ou écourte vos conversations téléphoniques avec votre enfant ?</v>
      </c>
      <c r="E343" s="712" t="str">
        <f>_xlfn.XLOOKUP(H343,H341:H342,E341:E342)</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6"/>
      <c r="C344" s="716" t="s">
        <v>2308</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t="s">
        <v>620</v>
      </c>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6"/>
      <c r="C346" s="287" t="str">
        <f>'Cpts AR +indép + Sommaire'!O52</f>
        <v>E34</v>
      </c>
      <c r="D346" s="25" t="str">
        <f>'Cpts AR +indép + Sommaire'!P52</f>
        <v xml:space="preserve">Votre enfant bloque les communications (tél., textos, réseaux sociaux, etc.). </v>
      </c>
      <c r="E346" s="78" t="s">
        <v>2367</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6"/>
      <c r="C347" s="721" t="s">
        <v>2311</v>
      </c>
      <c r="D347" s="722" t="str">
        <f>_xlfn.XLOOKUP(H347,H345:H346,D345:D346)</f>
        <v>Votre enfant répond à vos messages lorsqu’il est chez l’autre parent (tél., textos, réseaux sociaux, etc.).</v>
      </c>
      <c r="E347" s="722" t="str">
        <f>_xlfn.XLOOKUP(H347,H345:H346,E345:E346)</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2" customHeight="1">
      <c r="B348" s="1686"/>
      <c r="D348" s="383" t="s">
        <v>2312</v>
      </c>
      <c r="E348" s="699"/>
      <c r="F348" s="435" t="s">
        <v>2313</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8.5" customHeight="1">
      <c r="B349" s="1686"/>
      <c r="C349" t="s">
        <v>42</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8.5"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19"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1.5"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1"/>
      <c r="M354" s="2559"/>
      <c r="N354" s="2559"/>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82" t="s">
        <v>2141</v>
      </c>
      <c r="J355" s="2458"/>
      <c r="K355" s="2458"/>
      <c r="L355" s="2585" t="s">
        <v>2291</v>
      </c>
      <c r="M355" s="2458"/>
      <c r="N355" s="2458"/>
      <c r="O355" s="2584"/>
      <c r="P355" s="2587" t="s">
        <v>2142</v>
      </c>
      <c r="Q355" s="2458"/>
      <c r="R355" s="2584"/>
      <c r="S355" s="2583" t="s">
        <v>2143</v>
      </c>
      <c r="T355" s="2458"/>
      <c r="U355" s="2584"/>
      <c r="V355" s="15"/>
      <c r="W355" s="809"/>
      <c r="X355" s="809"/>
      <c r="Y355" s="809"/>
      <c r="Z355" s="809"/>
      <c r="AA355" s="809"/>
      <c r="AB355" s="810"/>
      <c r="AD355" s="10"/>
      <c r="AE355" s="10"/>
      <c r="AF355" s="10"/>
      <c r="AG355" s="1372" t="s">
        <v>2141</v>
      </c>
      <c r="AH355" s="1372" t="s">
        <v>2142</v>
      </c>
      <c r="AI355" s="1372" t="s">
        <v>2143</v>
      </c>
      <c r="AJ355" s="2580" t="s">
        <v>2141</v>
      </c>
      <c r="AK355" s="2474"/>
      <c r="AL355" s="2580" t="s">
        <v>2142</v>
      </c>
      <c r="AM355" s="2474"/>
      <c r="AN355" s="2580" t="s">
        <v>2143</v>
      </c>
      <c r="AO355" s="2474"/>
      <c r="AY355" s="728"/>
      <c r="AZ355" s="728"/>
      <c r="BA355" s="87"/>
      <c r="BB355" s="438"/>
      <c r="BC355" s="89"/>
      <c r="BD355" s="442"/>
      <c r="BE355" s="442"/>
      <c r="BF355" s="89"/>
      <c r="BG355" s="443"/>
      <c r="BH355" s="443"/>
      <c r="BI355" s="439"/>
    </row>
    <row r="356" spans="1:78" ht="33.5" customHeight="1">
      <c r="D356" s="79" t="s">
        <v>2292</v>
      </c>
      <c r="E356" s="827" t="s">
        <v>2293</v>
      </c>
      <c r="F356" s="26" t="s">
        <v>64</v>
      </c>
      <c r="G356" s="26" t="s">
        <v>453</v>
      </c>
      <c r="H356" s="26" t="s">
        <v>2294</v>
      </c>
      <c r="I356" s="1334" t="s">
        <v>2295</v>
      </c>
      <c r="J356" s="29" t="s">
        <v>2296</v>
      </c>
      <c r="K356" s="29" t="s">
        <v>2297</v>
      </c>
      <c r="L356" s="29" t="s">
        <v>2298</v>
      </c>
      <c r="M356" s="29" t="s">
        <v>2299</v>
      </c>
      <c r="N356" s="29" t="s">
        <v>2300</v>
      </c>
      <c r="O356" s="1335" t="s">
        <v>2301</v>
      </c>
      <c r="P356" s="1334" t="s">
        <v>2295</v>
      </c>
      <c r="Q356" s="29" t="s">
        <v>2296</v>
      </c>
      <c r="R356" s="1335" t="s">
        <v>2297</v>
      </c>
      <c r="S356" s="1334" t="s">
        <v>2295</v>
      </c>
      <c r="T356" s="29" t="s">
        <v>2296</v>
      </c>
      <c r="U356" s="1335" t="s">
        <v>2297</v>
      </c>
      <c r="V356" s="730"/>
      <c r="W356" s="819" t="s">
        <v>2141</v>
      </c>
      <c r="X356" s="820" t="s">
        <v>2302</v>
      </c>
      <c r="Y356" s="819" t="s">
        <v>2142</v>
      </c>
      <c r="Z356" s="820" t="s">
        <v>2303</v>
      </c>
      <c r="AA356" s="819" t="s">
        <v>2143</v>
      </c>
      <c r="AB356" s="820" t="s">
        <v>2304</v>
      </c>
      <c r="AD356" s="10"/>
      <c r="AE356" s="10"/>
      <c r="AF356" s="10"/>
      <c r="AG356" s="10"/>
      <c r="AH356" s="10"/>
      <c r="AI356" s="10"/>
      <c r="AJ356" s="1476" t="s">
        <v>1585</v>
      </c>
      <c r="AK356" s="1476" t="s">
        <v>1488</v>
      </c>
      <c r="AL356" s="1476" t="s">
        <v>1585</v>
      </c>
      <c r="AM356" s="1476" t="s">
        <v>1488</v>
      </c>
      <c r="AN356" s="1476" t="s">
        <v>1585</v>
      </c>
      <c r="AO356" s="1476" t="s">
        <v>1488</v>
      </c>
      <c r="AY356" s="728"/>
      <c r="AZ356" s="728"/>
      <c r="BA356" s="87"/>
      <c r="BB356" s="438"/>
      <c r="BC356" s="89"/>
      <c r="BD356" s="442"/>
      <c r="BE356" s="442"/>
      <c r="BF356" s="89"/>
      <c r="BG356" s="443"/>
      <c r="BH356" s="443"/>
      <c r="BI356" s="439"/>
    </row>
    <row r="357" spans="1:78" ht="43.5" customHeight="1">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8.5" customHeight="1">
      <c r="B358" s="1517"/>
      <c r="C358" s="376" t="s">
        <v>44</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1" customHeight="1">
      <c r="B359" s="1688"/>
      <c r="C359" s="704" t="s">
        <v>2306</v>
      </c>
      <c r="D359" s="705" t="str">
        <f>_xlfn.XLOOKUP(H359,H357:H358,D357:D358)</f>
        <v>L’autre parent cherche à limiter les contacts entre votre enfant et votre famille élargie (cousin.es, grands-parents, etc.).</v>
      </c>
      <c r="E359" s="706" t="str">
        <f>_xlfn.XLOOKUP(H359,H357:H358,E357:E358)</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8.5" customHeight="1">
      <c r="B360" s="1517"/>
      <c r="C360" s="38" t="s">
        <v>270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8.5" customHeight="1">
      <c r="B361" s="1686"/>
      <c r="C361" s="38" t="s">
        <v>270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6"/>
      <c r="C362" s="710" t="s">
        <v>2307</v>
      </c>
      <c r="D362" s="711">
        <f>_xlfn.XLOOKUP(H362,H360:H361,D360:D361)</f>
        <v>0</v>
      </c>
      <c r="E362" s="712">
        <f>_xlfn.XLOOKUP(H362,H360:H361,E360:E361)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6"/>
      <c r="C363" s="716" t="s">
        <v>2308</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t="s">
        <v>620</v>
      </c>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6"/>
      <c r="C365" s="287" t="s">
        <v>2322</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6"/>
      <c r="C366" s="721" t="s">
        <v>2311</v>
      </c>
      <c r="D366" s="722" t="str">
        <f>_xlfn.XLOOKUP(H366,H364:H365,D364:D365)</f>
        <v>Dans quelle mesure diriez-vous que votre enfant accepte les contacts avec votre famille élargie  (cousin.es, grands-parents, etc.) ?</v>
      </c>
      <c r="E366" s="722" t="str">
        <f>_xlfn.XLOOKUP(H366,H364:H365,E364:E365)</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1" customHeight="1">
      <c r="B367" s="1686"/>
      <c r="D367" s="383" t="s">
        <v>2312</v>
      </c>
      <c r="E367" s="699"/>
      <c r="F367" s="435" t="s">
        <v>2313</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8.5" customHeight="1">
      <c r="B368" s="1686"/>
      <c r="C368" t="s">
        <v>42</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8.5"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19"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1.5"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1"/>
      <c r="M373" s="2559"/>
      <c r="N373" s="2559"/>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82" t="s">
        <v>2141</v>
      </c>
      <c r="J374" s="2458"/>
      <c r="K374" s="2458"/>
      <c r="L374" s="2585" t="s">
        <v>2291</v>
      </c>
      <c r="M374" s="2458"/>
      <c r="N374" s="2458"/>
      <c r="O374" s="2584"/>
      <c r="P374" s="2587" t="s">
        <v>2142</v>
      </c>
      <c r="Q374" s="2458"/>
      <c r="R374" s="2584"/>
      <c r="S374" s="2583" t="s">
        <v>2143</v>
      </c>
      <c r="T374" s="2458"/>
      <c r="U374" s="2584"/>
      <c r="V374" s="15"/>
      <c r="W374" s="809"/>
      <c r="X374" s="809"/>
      <c r="Y374" s="809"/>
      <c r="Z374" s="809"/>
      <c r="AA374" s="809"/>
      <c r="AB374" s="810"/>
      <c r="AD374" s="10"/>
      <c r="AE374" s="10"/>
      <c r="AF374" s="10"/>
      <c r="AG374" s="1372" t="s">
        <v>2141</v>
      </c>
      <c r="AH374" s="1372" t="s">
        <v>2142</v>
      </c>
      <c r="AI374" s="1372" t="s">
        <v>2143</v>
      </c>
      <c r="AJ374" s="2580" t="s">
        <v>2141</v>
      </c>
      <c r="AK374" s="2474"/>
      <c r="AL374" s="2580" t="s">
        <v>2142</v>
      </c>
      <c r="AM374" s="2474"/>
      <c r="AN374" s="2580" t="s">
        <v>2143</v>
      </c>
      <c r="AO374" s="2474"/>
      <c r="AY374" s="728"/>
      <c r="AZ374" s="728"/>
      <c r="BA374" s="87"/>
      <c r="BB374" s="438"/>
      <c r="BC374" s="89"/>
      <c r="BD374" s="442"/>
      <c r="BE374" s="442"/>
      <c r="BF374" s="89"/>
      <c r="BG374" s="443"/>
      <c r="BH374" s="443"/>
      <c r="BI374" s="439"/>
    </row>
    <row r="375" spans="1:78" ht="33.5" customHeight="1">
      <c r="D375" s="79" t="s">
        <v>2292</v>
      </c>
      <c r="E375" s="827" t="s">
        <v>2293</v>
      </c>
      <c r="F375" s="26" t="s">
        <v>64</v>
      </c>
      <c r="G375" s="26" t="s">
        <v>453</v>
      </c>
      <c r="H375" s="26" t="s">
        <v>2294</v>
      </c>
      <c r="I375" s="1334" t="s">
        <v>2295</v>
      </c>
      <c r="J375" s="29" t="s">
        <v>2296</v>
      </c>
      <c r="K375" s="29" t="s">
        <v>2297</v>
      </c>
      <c r="L375" s="29" t="s">
        <v>2298</v>
      </c>
      <c r="M375" s="29" t="s">
        <v>2299</v>
      </c>
      <c r="N375" s="29" t="s">
        <v>2300</v>
      </c>
      <c r="O375" s="1335" t="s">
        <v>2301</v>
      </c>
      <c r="P375" s="1334" t="s">
        <v>2295</v>
      </c>
      <c r="Q375" s="29" t="s">
        <v>2296</v>
      </c>
      <c r="R375" s="1335" t="s">
        <v>2297</v>
      </c>
      <c r="S375" s="1334" t="s">
        <v>2295</v>
      </c>
      <c r="T375" s="29" t="s">
        <v>2296</v>
      </c>
      <c r="U375" s="1335" t="s">
        <v>2297</v>
      </c>
      <c r="V375" s="730"/>
      <c r="W375" s="819" t="s">
        <v>2141</v>
      </c>
      <c r="X375" s="820" t="s">
        <v>2302</v>
      </c>
      <c r="Y375" s="819" t="s">
        <v>2142</v>
      </c>
      <c r="Z375" s="820" t="s">
        <v>2303</v>
      </c>
      <c r="AA375" s="819" t="s">
        <v>2143</v>
      </c>
      <c r="AB375" s="820" t="s">
        <v>2304</v>
      </c>
      <c r="AD375" s="10"/>
      <c r="AE375" s="10"/>
      <c r="AF375" s="10"/>
      <c r="AG375" s="10"/>
      <c r="AH375" s="10"/>
      <c r="AI375" s="10"/>
      <c r="AJ375" s="1476" t="s">
        <v>1585</v>
      </c>
      <c r="AK375" s="1476" t="s">
        <v>1488</v>
      </c>
      <c r="AL375" s="1476" t="s">
        <v>1585</v>
      </c>
      <c r="AM375" s="1476" t="s">
        <v>1488</v>
      </c>
      <c r="AN375" s="1476" t="s">
        <v>1585</v>
      </c>
      <c r="AO375" s="1476" t="s">
        <v>1488</v>
      </c>
      <c r="AY375" s="728"/>
      <c r="AZ375" s="728"/>
      <c r="BA375" s="87"/>
      <c r="BB375" s="438"/>
      <c r="BC375" s="89"/>
      <c r="BD375" s="442"/>
      <c r="BE375" s="442"/>
      <c r="BF375" s="89"/>
      <c r="BG375" s="443"/>
      <c r="BH375" s="443"/>
      <c r="BI375" s="439"/>
    </row>
    <row r="376" spans="1:78" ht="46.5" customHeight="1">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8.5" customHeight="1">
      <c r="B377" s="1517"/>
      <c r="C377" s="376" t="s">
        <v>44</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46.5" customHeight="1">
      <c r="B378" s="1688"/>
      <c r="C378" s="704" t="s">
        <v>2306</v>
      </c>
      <c r="D378" s="705" t="str">
        <f>_xlfn.XLOOKUP(H378,H376:H377,D376:D377)</f>
        <v>Dans quelle mesure diriez-vous que l'autre parent se confie à votre enfant sur des sujets qui vous sont personnels ou qui concernent votre passé (intime) ?</v>
      </c>
      <c r="E378" s="706" t="str">
        <f>_xlfn.XLOOKUP(H378,H376:H377,E376:E377)</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8.5" customHeight="1">
      <c r="B379" s="1517"/>
      <c r="C379" s="38" t="s">
        <v>270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8.5" customHeight="1">
      <c r="B380" s="1686"/>
      <c r="C380" s="38" t="s">
        <v>270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6"/>
      <c r="C381" s="710" t="s">
        <v>2307</v>
      </c>
      <c r="D381" s="711">
        <f>_xlfn.XLOOKUP(H381,H379:H380,D379:D380)</f>
        <v>0</v>
      </c>
      <c r="E381" s="712">
        <f>_xlfn.XLOOKUP(H381,H379:H380,E379:E380)</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6"/>
      <c r="C382" s="716" t="s">
        <v>2308</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t="s">
        <v>620</v>
      </c>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6"/>
      <c r="C384" s="287" t="s">
        <v>2322</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6"/>
      <c r="C385" s="721" t="s">
        <v>2311</v>
      </c>
      <c r="D385" s="722" t="str">
        <f>_xlfn.XLOOKUP(H385,H383:H384,D383:D384)</f>
        <v>Votre enfant connait des informations personnelles ou intimes sur vous dont vous n'avez jamais discuté avec lui ou avec elle.</v>
      </c>
      <c r="E385" s="722" t="str">
        <f>_xlfn.XLOOKUP(H385,H383:H384,E383:E384)</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6"/>
      <c r="D386" s="383" t="s">
        <v>2312</v>
      </c>
      <c r="E386" s="699"/>
      <c r="F386" s="435" t="s">
        <v>2313</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8.5" customHeight="1">
      <c r="B387" s="1686"/>
      <c r="C387" t="s">
        <v>42</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8.5"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19"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1.5"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1"/>
      <c r="M392" s="2559"/>
      <c r="N392" s="2559"/>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82" t="s">
        <v>2141</v>
      </c>
      <c r="J393" s="2458"/>
      <c r="K393" s="2458"/>
      <c r="L393" s="2585" t="s">
        <v>2291</v>
      </c>
      <c r="M393" s="2458"/>
      <c r="N393" s="2458"/>
      <c r="O393" s="2584"/>
      <c r="P393" s="2587" t="s">
        <v>2142</v>
      </c>
      <c r="Q393" s="2458"/>
      <c r="R393" s="2584"/>
      <c r="S393" s="2583" t="s">
        <v>2143</v>
      </c>
      <c r="T393" s="2458"/>
      <c r="U393" s="2584"/>
      <c r="V393" s="15"/>
      <c r="W393" s="809"/>
      <c r="X393" s="809"/>
      <c r="Y393" s="809"/>
      <c r="Z393" s="809"/>
      <c r="AA393" s="809"/>
      <c r="AB393" s="810"/>
      <c r="AD393" s="10"/>
      <c r="AE393" s="10"/>
      <c r="AF393" s="10"/>
      <c r="AG393" s="1372" t="s">
        <v>2141</v>
      </c>
      <c r="AH393" s="1372" t="s">
        <v>2142</v>
      </c>
      <c r="AI393" s="1372" t="s">
        <v>2143</v>
      </c>
      <c r="AJ393" s="2580" t="s">
        <v>2141</v>
      </c>
      <c r="AK393" s="2474"/>
      <c r="AL393" s="2580" t="s">
        <v>2142</v>
      </c>
      <c r="AM393" s="2474"/>
      <c r="AN393" s="2580" t="s">
        <v>2143</v>
      </c>
      <c r="AO393" s="2474"/>
      <c r="AY393" s="728"/>
      <c r="AZ393" s="728"/>
      <c r="BA393" s="87"/>
      <c r="BB393" s="438"/>
      <c r="BC393" s="89"/>
      <c r="BD393" s="442"/>
      <c r="BE393" s="442"/>
      <c r="BF393" s="89"/>
      <c r="BG393" s="443"/>
      <c r="BH393" s="443"/>
      <c r="BI393" s="439"/>
    </row>
    <row r="394" spans="1:78" ht="33.5" customHeight="1">
      <c r="D394" s="79" t="s">
        <v>2292</v>
      </c>
      <c r="E394" s="827" t="s">
        <v>2293</v>
      </c>
      <c r="F394" s="26" t="s">
        <v>64</v>
      </c>
      <c r="G394" s="26" t="s">
        <v>453</v>
      </c>
      <c r="H394" s="26" t="s">
        <v>2294</v>
      </c>
      <c r="I394" s="1334" t="s">
        <v>2295</v>
      </c>
      <c r="J394" s="29" t="s">
        <v>2296</v>
      </c>
      <c r="K394" s="29" t="s">
        <v>2297</v>
      </c>
      <c r="L394" s="29" t="s">
        <v>2298</v>
      </c>
      <c r="M394" s="29" t="s">
        <v>2299</v>
      </c>
      <c r="N394" s="29" t="s">
        <v>2300</v>
      </c>
      <c r="O394" s="1335" t="s">
        <v>2301</v>
      </c>
      <c r="P394" s="1334" t="s">
        <v>2295</v>
      </c>
      <c r="Q394" s="29" t="s">
        <v>2296</v>
      </c>
      <c r="R394" s="1335" t="s">
        <v>2297</v>
      </c>
      <c r="S394" s="1334" t="s">
        <v>2295</v>
      </c>
      <c r="T394" s="29" t="s">
        <v>2296</v>
      </c>
      <c r="U394" s="1335" t="s">
        <v>2297</v>
      </c>
      <c r="V394" s="730"/>
      <c r="W394" s="819" t="s">
        <v>2141</v>
      </c>
      <c r="X394" s="820" t="s">
        <v>2302</v>
      </c>
      <c r="Y394" s="819" t="s">
        <v>2142</v>
      </c>
      <c r="Z394" s="820" t="s">
        <v>2303</v>
      </c>
      <c r="AA394" s="819" t="s">
        <v>2143</v>
      </c>
      <c r="AB394" s="820" t="s">
        <v>2304</v>
      </c>
      <c r="AD394" s="10"/>
      <c r="AE394" s="10"/>
      <c r="AF394" s="10"/>
      <c r="AG394" s="10"/>
      <c r="AH394" s="10"/>
      <c r="AI394" s="10"/>
      <c r="AJ394" s="1476" t="s">
        <v>1585</v>
      </c>
      <c r="AK394" s="1476" t="s">
        <v>1488</v>
      </c>
      <c r="AL394" s="1476" t="s">
        <v>1585</v>
      </c>
      <c r="AM394" s="1476" t="s">
        <v>1488</v>
      </c>
      <c r="AN394" s="1476" t="s">
        <v>1585</v>
      </c>
      <c r="AO394" s="1476" t="s">
        <v>1488</v>
      </c>
      <c r="AY394" s="728"/>
      <c r="AZ394" s="728"/>
      <c r="BA394" s="87"/>
      <c r="BB394" s="438"/>
      <c r="BC394" s="89"/>
      <c r="BD394" s="442"/>
      <c r="BE394" s="442"/>
      <c r="BF394" s="89"/>
      <c r="BG394" s="443"/>
      <c r="BH394" s="443"/>
      <c r="BI394" s="439"/>
    </row>
    <row r="395" spans="1:78" ht="31"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8.5" customHeight="1">
      <c r="B396" s="1517"/>
      <c r="C396" s="376" t="s">
        <v>44</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1" customHeight="1">
      <c r="B397" s="1688"/>
      <c r="C397" s="704" t="s">
        <v>2306</v>
      </c>
      <c r="D397" s="705" t="str">
        <f>_xlfn.XLOOKUP(H397,H395:H396,D395:D396)</f>
        <v>L'autre parent fait lire vos échanges et communications (courriels, textos, etc.) à votre enfant.</v>
      </c>
      <c r="E397" s="706" t="str">
        <f>_xlfn.XLOOKUP(H397,H395:H396,E395:E396)</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8.5" customHeight="1">
      <c r="B398" s="1517"/>
      <c r="C398" s="38" t="s">
        <v>270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8.5" customHeight="1">
      <c r="B399" s="1686"/>
      <c r="C399" s="38" t="s">
        <v>270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19" customHeight="1" thickBot="1">
      <c r="B400" s="1686"/>
      <c r="C400" s="710" t="s">
        <v>2307</v>
      </c>
      <c r="D400" s="711">
        <f>_xlfn.XLOOKUP(H400,H398:H399,D398:D399)</f>
        <v>0</v>
      </c>
      <c r="E400" s="712">
        <f>_xlfn.XLOOKUP(H400,H398:H399,E398:E399)</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1.5" customHeight="1" thickBot="1">
      <c r="B401" s="1686"/>
      <c r="C401" s="716" t="s">
        <v>2308</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t="s">
        <v>620</v>
      </c>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6"/>
      <c r="C405" s="721" t="s">
        <v>2311</v>
      </c>
      <c r="D405" s="722" t="str">
        <f>_xlfn.XLOOKUP(H405,H402:H404,D402:D404)</f>
        <v>L'autre parent a informé votre enfant du contexte juridique, financier ou autre associé au conflit vous opposant.</v>
      </c>
      <c r="E405" s="722" t="str">
        <f>_xlfn.XLOOKUP(H405,H402:H404,E402:E404)</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6"/>
      <c r="D406" s="383" t="s">
        <v>2312</v>
      </c>
      <c r="E406" s="699"/>
      <c r="F406" s="435" t="s">
        <v>2313</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8.5" customHeight="1">
      <c r="B407" s="1686"/>
      <c r="C407" t="s">
        <v>42</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1"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19"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1"/>
      <c r="M412" s="2559"/>
      <c r="N412" s="2559"/>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82" t="s">
        <v>2141</v>
      </c>
      <c r="J413" s="2458"/>
      <c r="K413" s="2458"/>
      <c r="L413" s="2585" t="s">
        <v>2291</v>
      </c>
      <c r="M413" s="2458"/>
      <c r="N413" s="2458"/>
      <c r="O413" s="2584"/>
      <c r="P413" s="2587" t="s">
        <v>2142</v>
      </c>
      <c r="Q413" s="2458"/>
      <c r="R413" s="2584"/>
      <c r="S413" s="2583" t="s">
        <v>2143</v>
      </c>
      <c r="T413" s="2458"/>
      <c r="U413" s="2584"/>
      <c r="V413" s="15"/>
      <c r="W413" s="809"/>
      <c r="X413" s="809"/>
      <c r="Y413" s="809"/>
      <c r="Z413" s="809"/>
      <c r="AA413" s="809"/>
      <c r="AB413" s="810"/>
      <c r="AD413" s="10"/>
      <c r="AE413" s="10"/>
      <c r="AF413" s="10"/>
      <c r="AG413" s="1372" t="s">
        <v>2141</v>
      </c>
      <c r="AH413" s="1372" t="s">
        <v>2142</v>
      </c>
      <c r="AI413" s="1372" t="s">
        <v>2143</v>
      </c>
      <c r="AJ413" s="2580" t="s">
        <v>2141</v>
      </c>
      <c r="AK413" s="2474"/>
      <c r="AL413" s="2580" t="s">
        <v>2142</v>
      </c>
      <c r="AM413" s="2474"/>
      <c r="AN413" s="2580" t="s">
        <v>2143</v>
      </c>
      <c r="AO413" s="2474"/>
      <c r="AY413" s="728"/>
      <c r="AZ413" s="728"/>
      <c r="BA413" s="87"/>
      <c r="BB413" s="438"/>
      <c r="BC413" s="89"/>
      <c r="BD413" s="442"/>
      <c r="BE413" s="442"/>
      <c r="BF413" s="89"/>
      <c r="BG413" s="443"/>
      <c r="BH413" s="443"/>
      <c r="BI413" s="439"/>
    </row>
    <row r="414" spans="1:78" ht="33.5" customHeight="1">
      <c r="D414" s="79" t="s">
        <v>2292</v>
      </c>
      <c r="E414" s="827" t="s">
        <v>2293</v>
      </c>
      <c r="F414" s="26" t="s">
        <v>64</v>
      </c>
      <c r="G414" s="26" t="s">
        <v>453</v>
      </c>
      <c r="H414" s="26" t="s">
        <v>2294</v>
      </c>
      <c r="I414" s="1334" t="s">
        <v>2295</v>
      </c>
      <c r="J414" s="29" t="s">
        <v>2296</v>
      </c>
      <c r="K414" s="29" t="s">
        <v>2297</v>
      </c>
      <c r="L414" s="29" t="s">
        <v>2298</v>
      </c>
      <c r="M414" s="29" t="s">
        <v>2299</v>
      </c>
      <c r="N414" s="29" t="s">
        <v>2300</v>
      </c>
      <c r="O414" s="1335" t="s">
        <v>2301</v>
      </c>
      <c r="P414" s="1334" t="s">
        <v>2295</v>
      </c>
      <c r="Q414" s="29" t="s">
        <v>2296</v>
      </c>
      <c r="R414" s="1335" t="s">
        <v>2297</v>
      </c>
      <c r="S414" s="1334" t="s">
        <v>2295</v>
      </c>
      <c r="T414" s="29" t="s">
        <v>2296</v>
      </c>
      <c r="U414" s="1335" t="s">
        <v>2297</v>
      </c>
      <c r="V414" s="730"/>
      <c r="W414" s="819" t="s">
        <v>2141</v>
      </c>
      <c r="X414" s="820" t="s">
        <v>2302</v>
      </c>
      <c r="Y414" s="819" t="s">
        <v>2142</v>
      </c>
      <c r="Z414" s="820" t="s">
        <v>2303</v>
      </c>
      <c r="AA414" s="819" t="s">
        <v>2143</v>
      </c>
      <c r="AB414" s="820" t="s">
        <v>2304</v>
      </c>
      <c r="AD414" s="10"/>
      <c r="AE414" s="10"/>
      <c r="AF414" s="10"/>
      <c r="AG414" s="10"/>
      <c r="AH414" s="10"/>
      <c r="AI414" s="10"/>
      <c r="AJ414" s="1476" t="s">
        <v>1585</v>
      </c>
      <c r="AK414" s="1476" t="s">
        <v>1488</v>
      </c>
      <c r="AL414" s="1476" t="s">
        <v>1585</v>
      </c>
      <c r="AM414" s="1476" t="s">
        <v>1488</v>
      </c>
      <c r="AN414" s="1476" t="s">
        <v>1585</v>
      </c>
      <c r="AO414" s="1476" t="s">
        <v>1488</v>
      </c>
      <c r="AY414" s="728"/>
      <c r="AZ414" s="728"/>
      <c r="BA414" s="87"/>
      <c r="BB414" s="438"/>
      <c r="BC414" s="89"/>
      <c r="BD414" s="442"/>
      <c r="BE414" s="442"/>
      <c r="BF414" s="89"/>
      <c r="BG414" s="443"/>
      <c r="BH414" s="443"/>
      <c r="BI414" s="439"/>
    </row>
    <row r="415" spans="1:78" ht="46.5"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8.5" customHeight="1">
      <c r="B416" s="1686"/>
      <c r="C416" s="376" t="s">
        <v>44</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46.5" customHeight="1">
      <c r="B417" s="1686"/>
      <c r="C417" s="704" t="s">
        <v>2306</v>
      </c>
      <c r="D417" s="705" t="str">
        <f>_xlfn.XLOOKUP(H417,H415:H416,D415:D416)</f>
        <v>L’autre parent refuse de vous parler et demande à votre enfant de faire les messages et autres demandes entourant la logistique familiale.</v>
      </c>
      <c r="E417" s="706" t="str">
        <f>_xlfn.XLOOKUP(H417,H415:H416,E415:E416)</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46.5"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1" customHeight="1">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1" customHeight="1">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6"/>
      <c r="C421" s="2150" t="s">
        <v>2307</v>
      </c>
      <c r="D421" s="2155"/>
      <c r="E421" s="2155" t="str">
        <f>IF(H421=H417,E417,E420)</f>
        <v>demande à l'enfant de faire les messages entourant la logistique</v>
      </c>
      <c r="F421" s="2151"/>
      <c r="G421" s="2151"/>
      <c r="H421" s="2151">
        <f>IF(AND(K418=TRUE,K419=FALSE,K420=FALSE),H418,IF(AND(K418=FALSE,K419=TRUE,K420=FALSE),H419,IF(AND(K418=FALSE,K419=FALSE,K420=TRUE),H420,MAX(H418:H420))))</f>
        <v>0</v>
      </c>
      <c r="I421" s="2152"/>
      <c r="J421" s="2153"/>
      <c r="K421" s="2154"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6"/>
      <c r="C422" s="716" t="s">
        <v>2308</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t="s">
        <v>620</v>
      </c>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6"/>
      <c r="C424" s="287" t="s">
        <v>2322</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6"/>
      <c r="C425" s="721" t="s">
        <v>2311</v>
      </c>
      <c r="D425" s="722"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22" t="str">
        <f>_xlfn.XLOOKUP(H425,H423:H424,E423:E424)</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8.5" customHeight="1">
      <c r="B427" s="1686"/>
      <c r="C427" t="s">
        <v>42</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46.5"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19"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1"/>
      <c r="M432" s="2559"/>
      <c r="N432" s="2559"/>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82" t="s">
        <v>2141</v>
      </c>
      <c r="J433" s="2458"/>
      <c r="K433" s="2458"/>
      <c r="L433" s="2585" t="s">
        <v>2291</v>
      </c>
      <c r="M433" s="2458"/>
      <c r="N433" s="2458"/>
      <c r="O433" s="2584"/>
      <c r="P433" s="2587" t="s">
        <v>2142</v>
      </c>
      <c r="Q433" s="2458"/>
      <c r="R433" s="2584"/>
      <c r="S433" s="2583" t="s">
        <v>2143</v>
      </c>
      <c r="T433" s="2458"/>
      <c r="U433" s="2584"/>
      <c r="V433" s="15"/>
      <c r="W433" s="809"/>
      <c r="X433" s="809"/>
      <c r="Y433" s="809"/>
      <c r="Z433" s="809"/>
      <c r="AA433" s="809"/>
      <c r="AB433" s="810"/>
      <c r="AD433" s="10"/>
      <c r="AE433" s="10"/>
      <c r="AF433" s="10"/>
      <c r="AG433" s="1372" t="s">
        <v>2141</v>
      </c>
      <c r="AH433" s="1372" t="s">
        <v>2142</v>
      </c>
      <c r="AI433" s="1372" t="s">
        <v>2143</v>
      </c>
      <c r="AJ433" s="2580" t="s">
        <v>2141</v>
      </c>
      <c r="AK433" s="2474"/>
      <c r="AL433" s="2580" t="s">
        <v>2142</v>
      </c>
      <c r="AM433" s="2474"/>
      <c r="AN433" s="2580" t="s">
        <v>2143</v>
      </c>
      <c r="AO433" s="2474"/>
      <c r="AY433" s="728"/>
      <c r="AZ433" s="728"/>
      <c r="BA433" s="87"/>
      <c r="BB433" s="438"/>
      <c r="BC433" s="89"/>
      <c r="BD433" s="442"/>
      <c r="BE433" s="442"/>
      <c r="BF433" s="89"/>
      <c r="BG433" s="443"/>
      <c r="BH433" s="443"/>
      <c r="BI433" s="439"/>
    </row>
    <row r="434" spans="1:78" ht="31" customHeight="1">
      <c r="B434" s="1686"/>
      <c r="D434" s="79" t="s">
        <v>2292</v>
      </c>
      <c r="E434" s="827" t="s">
        <v>2293</v>
      </c>
      <c r="F434" s="26" t="s">
        <v>64</v>
      </c>
      <c r="G434" s="26" t="s">
        <v>453</v>
      </c>
      <c r="H434" s="26" t="s">
        <v>2294</v>
      </c>
      <c r="I434" s="1334" t="s">
        <v>2295</v>
      </c>
      <c r="J434" s="29" t="s">
        <v>2296</v>
      </c>
      <c r="K434" s="29" t="s">
        <v>2297</v>
      </c>
      <c r="L434" s="29" t="s">
        <v>2298</v>
      </c>
      <c r="M434" s="29" t="s">
        <v>2299</v>
      </c>
      <c r="N434" s="29" t="s">
        <v>2300</v>
      </c>
      <c r="O434" s="1335" t="s">
        <v>2301</v>
      </c>
      <c r="P434" s="1334" t="s">
        <v>2295</v>
      </c>
      <c r="Q434" s="29" t="s">
        <v>2296</v>
      </c>
      <c r="R434" s="1335" t="s">
        <v>2297</v>
      </c>
      <c r="S434" s="1334" t="s">
        <v>2295</v>
      </c>
      <c r="T434" s="29" t="s">
        <v>2296</v>
      </c>
      <c r="U434" s="1335" t="s">
        <v>2297</v>
      </c>
      <c r="V434" s="730"/>
      <c r="W434" s="819" t="s">
        <v>2141</v>
      </c>
      <c r="X434" s="820" t="s">
        <v>2302</v>
      </c>
      <c r="Y434" s="819" t="s">
        <v>2142</v>
      </c>
      <c r="Z434" s="820" t="s">
        <v>2303</v>
      </c>
      <c r="AA434" s="819" t="s">
        <v>2143</v>
      </c>
      <c r="AB434" s="820" t="s">
        <v>2304</v>
      </c>
      <c r="AD434" s="10"/>
      <c r="AE434" s="10"/>
      <c r="AF434" s="10"/>
      <c r="AG434" s="10"/>
      <c r="AH434" s="10"/>
      <c r="AI434" s="10"/>
      <c r="AJ434" s="1476" t="s">
        <v>1585</v>
      </c>
      <c r="AK434" s="1476" t="s">
        <v>1488</v>
      </c>
      <c r="AL434" s="1476" t="s">
        <v>1585</v>
      </c>
      <c r="AM434" s="1476" t="s">
        <v>1488</v>
      </c>
      <c r="AN434" s="1476" t="s">
        <v>1585</v>
      </c>
      <c r="AO434" s="1476" t="s">
        <v>1488</v>
      </c>
      <c r="AY434" s="728"/>
      <c r="AZ434" s="728"/>
      <c r="BA434" s="87"/>
      <c r="BB434" s="438"/>
      <c r="BC434" s="89"/>
      <c r="BD434" s="442"/>
      <c r="BE434" s="442"/>
      <c r="BF434" s="89"/>
      <c r="BG434" s="443"/>
      <c r="BH434" s="443"/>
      <c r="BI434" s="439"/>
    </row>
    <row r="435" spans="1:78" ht="31" customHeight="1">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8.5" customHeight="1">
      <c r="B436" s="1686"/>
      <c r="C436" s="376" t="s">
        <v>44</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1" customHeight="1">
      <c r="B437" s="1686"/>
      <c r="C437" s="704" t="s">
        <v>2306</v>
      </c>
      <c r="D437" s="705" t="str">
        <f>_xlfn.XLOOKUP(H437,H435:H436,D435:D436)</f>
        <v>L’autre parent laisse à votre enfant le droit de respecter ou non l'entente de garde et votre temps (tour) de garde.</v>
      </c>
      <c r="E437" s="706" t="str">
        <f>_xlfn.XLOOKUP(H437,H435:H436,E435:E436)</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8.5" customHeight="1">
      <c r="B438" s="1686"/>
      <c r="C438" s="38" t="s">
        <v>270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8.5" customHeight="1">
      <c r="B439" s="1686"/>
      <c r="C439" s="38" t="s">
        <v>270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6"/>
      <c r="C440" s="710" t="s">
        <v>2307</v>
      </c>
      <c r="D440" s="711">
        <f>_xlfn.XLOOKUP(H440,H438:H439,D438:D439)</f>
        <v>0</v>
      </c>
      <c r="E440" s="712">
        <f>_xlfn.XLOOKUP(H440,H438:H439,E438:E439)</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6"/>
      <c r="C441" s="716" t="s">
        <v>2308</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t="s">
        <v>620</v>
      </c>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6"/>
      <c r="C444" s="721" t="s">
        <v>2311</v>
      </c>
      <c r="D444" s="722" t="str">
        <f>_xlfn.XLOOKUP(H444,H442:H443,D442:D443)</f>
        <v>Votre enfant demande à changer les termes de la garde afin de passer plus de temps chez l’autre parent.</v>
      </c>
      <c r="E444" s="722" t="str">
        <f>_xlfn.XLOOKUP(H444,H442:H443,E442:E443)</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1" customHeight="1">
      <c r="B445" s="1686"/>
      <c r="D445" s="383" t="s">
        <v>2312</v>
      </c>
      <c r="E445" s="699"/>
      <c r="F445" s="435" t="s">
        <v>2313</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8.5" customHeight="1">
      <c r="B446" s="1686"/>
      <c r="C446" t="s">
        <v>42</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3.5"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19"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1"/>
      <c r="M451" s="2559"/>
      <c r="N451" s="2559"/>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82" t="s">
        <v>2141</v>
      </c>
      <c r="J452" s="2458"/>
      <c r="K452" s="2458"/>
      <c r="L452" s="2585" t="s">
        <v>2291</v>
      </c>
      <c r="M452" s="2458"/>
      <c r="N452" s="2458"/>
      <c r="O452" s="2584"/>
      <c r="P452" s="2587" t="s">
        <v>2142</v>
      </c>
      <c r="Q452" s="2458"/>
      <c r="R452" s="2584"/>
      <c r="S452" s="2583" t="s">
        <v>2143</v>
      </c>
      <c r="T452" s="2458"/>
      <c r="U452" s="2584"/>
      <c r="V452" s="15"/>
      <c r="W452" s="809"/>
      <c r="X452" s="809"/>
      <c r="Y452" s="809"/>
      <c r="Z452" s="809"/>
      <c r="AA452" s="809"/>
      <c r="AB452" s="810"/>
      <c r="AD452" s="10"/>
      <c r="AE452" s="10"/>
      <c r="AF452" s="10"/>
      <c r="AG452" s="1372" t="s">
        <v>2141</v>
      </c>
      <c r="AH452" s="1372" t="s">
        <v>2142</v>
      </c>
      <c r="AI452" s="1372" t="s">
        <v>2143</v>
      </c>
      <c r="AJ452" s="2580" t="s">
        <v>2141</v>
      </c>
      <c r="AK452" s="2474"/>
      <c r="AL452" s="2580" t="s">
        <v>2142</v>
      </c>
      <c r="AM452" s="2474"/>
      <c r="AN452" s="2580" t="s">
        <v>2143</v>
      </c>
      <c r="AO452" s="2474"/>
      <c r="AY452" s="728"/>
      <c r="AZ452" s="728"/>
      <c r="BA452" s="87"/>
      <c r="BB452" s="438"/>
      <c r="BC452" s="89"/>
      <c r="BD452" s="442"/>
      <c r="BE452" s="442"/>
      <c r="BF452" s="89"/>
      <c r="BG452" s="443"/>
      <c r="BH452" s="443"/>
      <c r="BI452" s="439"/>
    </row>
    <row r="453" spans="1:78" ht="31" customHeight="1">
      <c r="B453" s="1686"/>
      <c r="D453" s="79" t="s">
        <v>2292</v>
      </c>
      <c r="E453" s="827" t="s">
        <v>2293</v>
      </c>
      <c r="F453" s="26" t="s">
        <v>64</v>
      </c>
      <c r="G453" s="26" t="s">
        <v>453</v>
      </c>
      <c r="H453" s="26" t="s">
        <v>2294</v>
      </c>
      <c r="I453" s="1334" t="s">
        <v>2295</v>
      </c>
      <c r="J453" s="29" t="s">
        <v>2296</v>
      </c>
      <c r="K453" s="29" t="s">
        <v>2297</v>
      </c>
      <c r="L453" s="29" t="s">
        <v>2298</v>
      </c>
      <c r="M453" s="29" t="s">
        <v>2299</v>
      </c>
      <c r="N453" s="29" t="s">
        <v>2300</v>
      </c>
      <c r="O453" s="1335" t="s">
        <v>2301</v>
      </c>
      <c r="P453" s="1334" t="s">
        <v>2295</v>
      </c>
      <c r="Q453" s="29" t="s">
        <v>2296</v>
      </c>
      <c r="R453" s="1335" t="s">
        <v>2297</v>
      </c>
      <c r="S453" s="1334" t="s">
        <v>2295</v>
      </c>
      <c r="T453" s="29" t="s">
        <v>2296</v>
      </c>
      <c r="U453" s="1335" t="s">
        <v>2297</v>
      </c>
      <c r="V453" s="730"/>
      <c r="W453" s="819" t="s">
        <v>2141</v>
      </c>
      <c r="X453" s="820" t="s">
        <v>2302</v>
      </c>
      <c r="Y453" s="819" t="s">
        <v>2142</v>
      </c>
      <c r="Z453" s="820" t="s">
        <v>2303</v>
      </c>
      <c r="AA453" s="819" t="s">
        <v>2143</v>
      </c>
      <c r="AB453" s="820" t="s">
        <v>2304</v>
      </c>
      <c r="AD453" s="10"/>
      <c r="AE453" s="10"/>
      <c r="AF453" s="10"/>
      <c r="AG453" s="10"/>
      <c r="AH453" s="10"/>
      <c r="AI453" s="10"/>
      <c r="AJ453" s="1476" t="s">
        <v>1585</v>
      </c>
      <c r="AK453" s="1476" t="s">
        <v>1488</v>
      </c>
      <c r="AL453" s="1476" t="s">
        <v>1585</v>
      </c>
      <c r="AM453" s="1476" t="s">
        <v>1488</v>
      </c>
      <c r="AN453" s="1476" t="s">
        <v>1585</v>
      </c>
      <c r="AO453" s="1476" t="s">
        <v>1488</v>
      </c>
      <c r="AY453" s="728"/>
      <c r="AZ453" s="728"/>
      <c r="BA453" s="87"/>
      <c r="BB453" s="438"/>
      <c r="BC453" s="89"/>
      <c r="BD453" s="442"/>
      <c r="BE453" s="442"/>
      <c r="BF453" s="89"/>
      <c r="BG453" s="443"/>
      <c r="BH453" s="443"/>
      <c r="BI453" s="439"/>
    </row>
    <row r="454" spans="1:78" ht="31"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46.5" customHeight="1">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1" customHeight="1">
      <c r="B456" s="1686"/>
      <c r="C456" s="704" t="s">
        <v>2306</v>
      </c>
      <c r="D456" s="705" t="str">
        <f>_xlfn.XLOOKUP(H456,H454:H455,D454:D455)</f>
        <v xml:space="preserve">L'autre parent est d'avis que votre enfant est assez mature pour choisir où il doit vivre et avec quel parent.  </v>
      </c>
      <c r="E456" s="706" t="str">
        <f>_xlfn.XLOOKUP(H456,H454:H455,E454:E455)</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8.5" customHeight="1">
      <c r="B457" s="1686"/>
      <c r="C457" s="38" t="s">
        <v>270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8.5" customHeight="1">
      <c r="B458" s="1686"/>
      <c r="C458" s="38" t="s">
        <v>270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6"/>
      <c r="C459" s="710" t="s">
        <v>2307</v>
      </c>
      <c r="D459" s="711">
        <f>_xlfn.XLOOKUP(H459,H457:H458,D457:D458)</f>
        <v>0</v>
      </c>
      <c r="E459" s="712">
        <f>_xlfn.XLOOKUP(H459,H457:H458,E457:E458)</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6"/>
      <c r="C460" s="716" t="s">
        <v>2308</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t="s">
        <v>620</v>
      </c>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6"/>
      <c r="C462" s="287" t="s">
        <v>2322</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6"/>
      <c r="C463" s="721" t="s">
        <v>2311</v>
      </c>
      <c r="D463" s="722" t="str">
        <f>_xlfn.XLOOKUP(H463,H461:H462,D461:D462)</f>
        <v xml:space="preserve">Votre enfant vous informe qu’à 12 ou 14 ans, le droit de choisir les modalités de garde lui reviendrait. </v>
      </c>
      <c r="E463" s="722" t="str">
        <f>_xlfn.XLOOKUP(H463,H461:H462,E461:E462)</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46.5" customHeight="1">
      <c r="B464" s="1686"/>
      <c r="D464" s="383" t="s">
        <v>2312</v>
      </c>
      <c r="E464" s="699"/>
      <c r="F464" s="435" t="s">
        <v>2313</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8.5" customHeight="1">
      <c r="B465" s="1686"/>
      <c r="C465" t="s">
        <v>42</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1"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19"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1"/>
      <c r="M470" s="2559"/>
      <c r="N470" s="2559"/>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82" t="s">
        <v>2141</v>
      </c>
      <c r="J471" s="2458"/>
      <c r="K471" s="2458"/>
      <c r="L471" s="2585" t="s">
        <v>2291</v>
      </c>
      <c r="M471" s="2458"/>
      <c r="N471" s="2458"/>
      <c r="O471" s="2584"/>
      <c r="P471" s="2587" t="s">
        <v>2142</v>
      </c>
      <c r="Q471" s="2458"/>
      <c r="R471" s="2584"/>
      <c r="S471" s="2583" t="s">
        <v>2143</v>
      </c>
      <c r="T471" s="2458"/>
      <c r="U471" s="2584"/>
      <c r="V471" s="15"/>
      <c r="W471" s="809"/>
      <c r="X471" s="809"/>
      <c r="Y471" s="809"/>
      <c r="Z471" s="809"/>
      <c r="AA471" s="809"/>
      <c r="AB471" s="810"/>
      <c r="AD471" s="10"/>
      <c r="AE471" s="10"/>
      <c r="AF471" s="10"/>
      <c r="AG471" s="1372" t="s">
        <v>2141</v>
      </c>
      <c r="AH471" s="1372" t="s">
        <v>2142</v>
      </c>
      <c r="AI471" s="1372" t="s">
        <v>2143</v>
      </c>
      <c r="AJ471" s="2580" t="s">
        <v>2141</v>
      </c>
      <c r="AK471" s="2474"/>
      <c r="AL471" s="2580" t="s">
        <v>2142</v>
      </c>
      <c r="AM471" s="2474"/>
      <c r="AN471" s="2580" t="s">
        <v>2143</v>
      </c>
      <c r="AO471" s="2474"/>
      <c r="AY471" s="728"/>
      <c r="AZ471" s="728"/>
      <c r="BA471" s="87"/>
      <c r="BB471" s="438"/>
      <c r="BC471" s="89"/>
      <c r="BD471" s="442"/>
      <c r="BE471" s="442"/>
      <c r="BF471" s="89"/>
      <c r="BG471" s="443"/>
      <c r="BH471" s="443"/>
      <c r="BI471" s="439"/>
    </row>
    <row r="472" spans="1:78" ht="31" customHeight="1">
      <c r="B472" s="1686"/>
      <c r="D472" s="79" t="s">
        <v>2292</v>
      </c>
      <c r="E472" s="827" t="s">
        <v>2293</v>
      </c>
      <c r="F472" s="26" t="s">
        <v>64</v>
      </c>
      <c r="G472" s="26" t="s">
        <v>453</v>
      </c>
      <c r="H472" s="26" t="s">
        <v>2294</v>
      </c>
      <c r="I472" s="1334" t="s">
        <v>2295</v>
      </c>
      <c r="J472" s="29" t="s">
        <v>2296</v>
      </c>
      <c r="K472" s="29" t="s">
        <v>2297</v>
      </c>
      <c r="L472" s="29" t="s">
        <v>2298</v>
      </c>
      <c r="M472" s="29" t="s">
        <v>2299</v>
      </c>
      <c r="N472" s="29" t="s">
        <v>2300</v>
      </c>
      <c r="O472" s="1335" t="s">
        <v>2301</v>
      </c>
      <c r="P472" s="1334" t="s">
        <v>2295</v>
      </c>
      <c r="Q472" s="29" t="s">
        <v>2296</v>
      </c>
      <c r="R472" s="1335" t="s">
        <v>2297</v>
      </c>
      <c r="S472" s="1334" t="s">
        <v>2295</v>
      </c>
      <c r="T472" s="29" t="s">
        <v>2296</v>
      </c>
      <c r="U472" s="1335" t="s">
        <v>2297</v>
      </c>
      <c r="V472" s="730"/>
      <c r="W472" s="819" t="s">
        <v>2141</v>
      </c>
      <c r="X472" s="820" t="s">
        <v>2302</v>
      </c>
      <c r="Y472" s="819" t="s">
        <v>2142</v>
      </c>
      <c r="Z472" s="820" t="s">
        <v>2303</v>
      </c>
      <c r="AA472" s="819" t="s">
        <v>2143</v>
      </c>
      <c r="AB472" s="820" t="s">
        <v>2304</v>
      </c>
      <c r="AD472" s="10"/>
      <c r="AE472" s="10"/>
      <c r="AF472" s="10"/>
      <c r="AG472" s="10"/>
      <c r="AH472" s="10"/>
      <c r="AI472" s="10"/>
      <c r="AJ472" s="1476" t="s">
        <v>1585</v>
      </c>
      <c r="AK472" s="1476" t="s">
        <v>1488</v>
      </c>
      <c r="AL472" s="1476" t="s">
        <v>1585</v>
      </c>
      <c r="AM472" s="1476" t="s">
        <v>1488</v>
      </c>
      <c r="AN472" s="1476" t="s">
        <v>1585</v>
      </c>
      <c r="AO472" s="1476" t="s">
        <v>1488</v>
      </c>
      <c r="AY472" s="728"/>
      <c r="AZ472" s="728"/>
      <c r="BA472" s="87"/>
      <c r="BB472" s="438"/>
      <c r="BC472" s="89"/>
      <c r="BD472" s="442"/>
      <c r="BE472" s="442"/>
      <c r="BF472" s="89"/>
      <c r="BG472" s="443"/>
      <c r="BH472" s="443"/>
      <c r="BI472" s="439"/>
    </row>
    <row r="473" spans="1:78" ht="31" customHeight="1">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8.5" customHeight="1">
      <c r="B474" s="1686"/>
      <c r="C474" s="376" t="s">
        <v>44</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1" customHeight="1">
      <c r="B475" s="1686"/>
      <c r="C475" s="704" t="s">
        <v>2306</v>
      </c>
      <c r="D475" s="705" t="str">
        <f>_xlfn.XLOOKUP(H475,H473:H474,D473:D474)</f>
        <v>Est-ce que l'autre parent vous demande de respecter les désirs et les choix de votre enfant ?</v>
      </c>
      <c r="E475" s="706" t="str">
        <f>_xlfn.XLOOKUP(H475,H473:H474,E473:E474)</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46.5" customHeight="1">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8.5" customHeight="1">
      <c r="B477" s="1686"/>
      <c r="C477" s="38" t="s">
        <v>270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6"/>
      <c r="C478" s="710" t="s">
        <v>2307</v>
      </c>
      <c r="D478" s="711" t="str">
        <f>_xlfn.XLOOKUP(H478,H476:H477,D476:D477)</f>
        <v>Est-ce que le nouveau ou nouvelle conjoint·e vous demande de respecter les désirs et choix de votre enfant ?</v>
      </c>
      <c r="E478" s="712" t="str">
        <f>_xlfn.XLOOKUP(H478,H476:H477,E476:E477)</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6"/>
      <c r="C479" s="716" t="s">
        <v>2308</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t="s">
        <v>620</v>
      </c>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6"/>
      <c r="C481" s="287" t="s">
        <v>2322</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6"/>
      <c r="C482" s="721" t="s">
        <v>2311</v>
      </c>
      <c r="D482" s="722" t="str">
        <f>_xlfn.XLOOKUP(H482,H480:H481,D480:D481)</f>
        <v>Votre enfant vous reproche de lui manquer de respect en ne respectant pas ses choix, besoins, désirs, rythme, etc.</v>
      </c>
      <c r="E482" s="722" t="str">
        <f>_xlfn.XLOOKUP(H482,H480:H481,E480:E481)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2" customHeight="1">
      <c r="B483" s="1686"/>
      <c r="D483" s="383" t="s">
        <v>2312</v>
      </c>
      <c r="E483" s="699"/>
      <c r="F483" s="435" t="s">
        <v>2313</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5.5" customHeight="1">
      <c r="B484" s="1686"/>
      <c r="C484" t="s">
        <v>42</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8.5"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19"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1.5"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c r="D489" s="16"/>
      <c r="E489" s="16"/>
      <c r="F489" s="67"/>
      <c r="G489" s="434"/>
      <c r="H489" s="434"/>
      <c r="I489" s="1330"/>
      <c r="J489" s="1331"/>
      <c r="K489" s="1332"/>
      <c r="L489" s="2581"/>
      <c r="M489" s="2559"/>
      <c r="N489" s="2559"/>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82" t="s">
        <v>2141</v>
      </c>
      <c r="J490" s="2458"/>
      <c r="K490" s="2458"/>
      <c r="L490" s="2585" t="s">
        <v>2291</v>
      </c>
      <c r="M490" s="2458"/>
      <c r="N490" s="2458"/>
      <c r="O490" s="2584"/>
      <c r="P490" s="2587" t="s">
        <v>2142</v>
      </c>
      <c r="Q490" s="2458"/>
      <c r="R490" s="2584"/>
      <c r="S490" s="2583" t="s">
        <v>2143</v>
      </c>
      <c r="T490" s="2458"/>
      <c r="U490" s="2584"/>
      <c r="V490" s="15"/>
      <c r="W490" s="809"/>
      <c r="X490" s="809"/>
      <c r="Y490" s="809"/>
      <c r="Z490" s="809"/>
      <c r="AA490" s="809"/>
      <c r="AB490" s="810"/>
      <c r="AD490" s="10"/>
      <c r="AE490" s="10"/>
      <c r="AF490" s="10"/>
      <c r="AG490" s="1372" t="s">
        <v>2141</v>
      </c>
      <c r="AH490" s="1372" t="s">
        <v>2142</v>
      </c>
      <c r="AI490" s="1372" t="s">
        <v>2143</v>
      </c>
      <c r="AJ490" s="2580" t="s">
        <v>2141</v>
      </c>
      <c r="AK490" s="2474"/>
      <c r="AL490" s="2580" t="s">
        <v>2142</v>
      </c>
      <c r="AM490" s="2474"/>
      <c r="AN490" s="2580" t="s">
        <v>2143</v>
      </c>
      <c r="AO490" s="2474"/>
    </row>
    <row r="491" spans="1:78" ht="31" customHeight="1">
      <c r="B491" s="1686"/>
      <c r="D491" s="79" t="s">
        <v>2292</v>
      </c>
      <c r="E491" s="827" t="s">
        <v>2293</v>
      </c>
      <c r="F491" s="26" t="s">
        <v>64</v>
      </c>
      <c r="G491" s="26" t="s">
        <v>453</v>
      </c>
      <c r="H491" s="26" t="s">
        <v>2294</v>
      </c>
      <c r="I491" s="1334" t="s">
        <v>2295</v>
      </c>
      <c r="J491" s="29" t="s">
        <v>2296</v>
      </c>
      <c r="K491" s="29" t="s">
        <v>2297</v>
      </c>
      <c r="L491" s="29" t="s">
        <v>2298</v>
      </c>
      <c r="M491" s="29" t="s">
        <v>2299</v>
      </c>
      <c r="N491" s="29" t="s">
        <v>2300</v>
      </c>
      <c r="O491" s="1335" t="s">
        <v>2301</v>
      </c>
      <c r="P491" s="1334" t="s">
        <v>2295</v>
      </c>
      <c r="Q491" s="29" t="s">
        <v>2296</v>
      </c>
      <c r="R491" s="1335" t="s">
        <v>2297</v>
      </c>
      <c r="S491" s="1334" t="s">
        <v>2295</v>
      </c>
      <c r="T491" s="29" t="s">
        <v>2296</v>
      </c>
      <c r="U491" s="1335" t="s">
        <v>2297</v>
      </c>
      <c r="V491" s="730"/>
      <c r="W491" s="819" t="s">
        <v>2141</v>
      </c>
      <c r="X491" s="820" t="s">
        <v>2302</v>
      </c>
      <c r="Y491" s="819" t="s">
        <v>2142</v>
      </c>
      <c r="Z491" s="820" t="s">
        <v>2303</v>
      </c>
      <c r="AA491" s="819" t="s">
        <v>2143</v>
      </c>
      <c r="AB491" s="820" t="s">
        <v>2304</v>
      </c>
      <c r="AD491" s="10"/>
      <c r="AE491" s="10"/>
      <c r="AF491" s="10"/>
      <c r="AG491" s="10"/>
      <c r="AH491" s="10"/>
      <c r="AI491" s="10"/>
      <c r="AJ491" s="1476" t="s">
        <v>1585</v>
      </c>
      <c r="AK491" s="1476" t="s">
        <v>1488</v>
      </c>
      <c r="AL491" s="1476" t="s">
        <v>1585</v>
      </c>
      <c r="AM491" s="1476" t="s">
        <v>1488</v>
      </c>
      <c r="AN491" s="1476" t="s">
        <v>1585</v>
      </c>
      <c r="AO491" s="1476" t="s">
        <v>1488</v>
      </c>
    </row>
    <row r="492" spans="1:78" ht="31" customHeight="1">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3.5" customHeight="1">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1" customHeight="1">
      <c r="B494" s="1686"/>
      <c r="C494" s="704" t="s">
        <v>2306</v>
      </c>
      <c r="D494" s="705" t="str">
        <f>_xlfn.XLOOKUP(H494,H492:H493,D492:D493)</f>
        <v>L’autre parent demande à votre enfant de choisir avec quel parent il veut vivre.</v>
      </c>
      <c r="E494" s="706" t="str">
        <f>_xlfn.XLOOKUP(H494,H492:H493,E492:E493)</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5.5" customHeight="1">
      <c r="B495" s="1686"/>
      <c r="C495" s="38" t="s">
        <v>270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5.5" customHeight="1">
      <c r="B496" s="1686"/>
      <c r="C496" s="38" t="s">
        <v>270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6" customHeight="1" thickBot="1">
      <c r="B497" s="1686"/>
      <c r="C497" s="710" t="s">
        <v>2307</v>
      </c>
      <c r="D497" s="711">
        <f>_xlfn.XLOOKUP(H497,H495:H496,D495:D496)</f>
        <v>0</v>
      </c>
      <c r="E497" s="712">
        <f>_xlfn.XLOOKUP(H497,H495:H496,E495:E496)</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1.5" customHeight="1" thickBot="1">
      <c r="B498" s="1686"/>
      <c r="C498" s="716" t="s">
        <v>2308</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t="s">
        <v>620</v>
      </c>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6" customHeight="1" thickBot="1">
      <c r="B500" s="1686"/>
      <c r="C500" s="287" t="s">
        <v>2322</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47" customHeight="1" thickBot="1">
      <c r="B501" s="1686"/>
      <c r="C501" s="721" t="s">
        <v>2311</v>
      </c>
      <c r="D501" s="722" t="str">
        <f>_xlfn.XLOOKUP(H501,H499:H500,D499:D500)</f>
        <v>Votre enfant réclame le droit de choisir les moments où il vous rend visite et la durée des visites chez vous.</v>
      </c>
      <c r="E501" s="722" t="str">
        <f>_xlfn.XLOOKUP(H501,H499:H500,E499:E500)</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31" customHeight="1">
      <c r="B502" s="1686"/>
      <c r="D502" s="383" t="s">
        <v>2312</v>
      </c>
      <c r="E502" s="699"/>
      <c r="F502" s="435" t="s">
        <v>2313</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5.5" customHeight="1">
      <c r="B503" s="1686"/>
      <c r="C503" t="s">
        <v>42</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8.5"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19"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6.5"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c r="I508" s="1330"/>
      <c r="J508" s="1331"/>
      <c r="K508" s="1332"/>
      <c r="L508" s="2581"/>
      <c r="M508" s="2559"/>
      <c r="N508" s="2559"/>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82" t="s">
        <v>2141</v>
      </c>
      <c r="J509" s="2458"/>
      <c r="K509" s="2458"/>
      <c r="L509" s="2585" t="s">
        <v>2291</v>
      </c>
      <c r="M509" s="2458"/>
      <c r="N509" s="2458"/>
      <c r="O509" s="2584"/>
      <c r="P509" s="2587" t="s">
        <v>2142</v>
      </c>
      <c r="Q509" s="2458"/>
      <c r="R509" s="2584"/>
      <c r="S509" s="2583" t="s">
        <v>2143</v>
      </c>
      <c r="T509" s="2458"/>
      <c r="U509" s="2584"/>
      <c r="V509" s="15"/>
      <c r="W509" s="809"/>
      <c r="X509" s="809"/>
      <c r="Y509" s="809"/>
      <c r="Z509" s="809"/>
      <c r="AA509" s="809"/>
      <c r="AB509" s="810"/>
      <c r="AD509" s="10"/>
      <c r="AE509" s="10"/>
      <c r="AF509" s="10"/>
      <c r="AG509" s="1372" t="s">
        <v>2141</v>
      </c>
      <c r="AH509" s="1372" t="s">
        <v>2142</v>
      </c>
      <c r="AI509" s="1372" t="s">
        <v>2143</v>
      </c>
      <c r="AJ509" s="2580" t="s">
        <v>2141</v>
      </c>
      <c r="AK509" s="2474"/>
      <c r="AL509" s="2580" t="s">
        <v>2142</v>
      </c>
      <c r="AM509" s="2474"/>
      <c r="AN509" s="2580" t="s">
        <v>2143</v>
      </c>
      <c r="AO509" s="2474"/>
    </row>
    <row r="510" spans="1:41" ht="33.5" customHeight="1">
      <c r="D510" s="79" t="s">
        <v>2292</v>
      </c>
      <c r="E510" s="827" t="s">
        <v>2293</v>
      </c>
      <c r="F510" s="26" t="s">
        <v>64</v>
      </c>
      <c r="G510" s="26" t="s">
        <v>453</v>
      </c>
      <c r="H510" s="26" t="s">
        <v>2294</v>
      </c>
      <c r="I510" s="1334" t="s">
        <v>2295</v>
      </c>
      <c r="J510" s="29" t="s">
        <v>2296</v>
      </c>
      <c r="K510" s="29" t="s">
        <v>2297</v>
      </c>
      <c r="L510" s="29" t="s">
        <v>2298</v>
      </c>
      <c r="M510" s="29" t="s">
        <v>2299</v>
      </c>
      <c r="N510" s="29" t="s">
        <v>2300</v>
      </c>
      <c r="O510" s="1335" t="s">
        <v>2301</v>
      </c>
      <c r="P510" s="1334" t="s">
        <v>2295</v>
      </c>
      <c r="Q510" s="29" t="s">
        <v>2296</v>
      </c>
      <c r="R510" s="1335" t="s">
        <v>2297</v>
      </c>
      <c r="S510" s="1334" t="s">
        <v>2295</v>
      </c>
      <c r="T510" s="29" t="s">
        <v>2296</v>
      </c>
      <c r="U510" s="1335" t="s">
        <v>2297</v>
      </c>
      <c r="V510" s="730"/>
      <c r="W510" s="819" t="s">
        <v>2141</v>
      </c>
      <c r="X510" s="820" t="s">
        <v>2302</v>
      </c>
      <c r="Y510" s="819" t="s">
        <v>2142</v>
      </c>
      <c r="Z510" s="820" t="s">
        <v>2303</v>
      </c>
      <c r="AA510" s="819" t="s">
        <v>2143</v>
      </c>
      <c r="AB510" s="820" t="s">
        <v>2304</v>
      </c>
      <c r="AD510" s="10"/>
      <c r="AE510" s="10"/>
      <c r="AF510" s="10"/>
      <c r="AG510" s="10"/>
      <c r="AH510" s="10"/>
      <c r="AI510" s="10"/>
      <c r="AJ510" s="1476" t="s">
        <v>1585</v>
      </c>
      <c r="AK510" s="1476" t="s">
        <v>1488</v>
      </c>
      <c r="AL510" s="1476" t="s">
        <v>1585</v>
      </c>
      <c r="AM510" s="1476" t="s">
        <v>1488</v>
      </c>
      <c r="AN510" s="1476" t="s">
        <v>1585</v>
      </c>
      <c r="AO510" s="1476" t="s">
        <v>1488</v>
      </c>
    </row>
    <row r="511" spans="1:41" ht="43.5"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3.5" customHeight="1">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1" customHeight="1">
      <c r="B513" s="1686"/>
      <c r="C513" s="704" t="s">
        <v>2306</v>
      </c>
      <c r="D513" s="705" t="str">
        <f>_xlfn.XLOOKUP(H513,H511:H512,D511:D512)</f>
        <v xml:space="preserve">L’autre parent permet à votre enfant d'apporter des objets (jouets ou cadeaux reçus) provenant de chez vous. </v>
      </c>
      <c r="E513" s="706" t="str">
        <f>_xlfn.XLOOKUP(H513,H511:H512,E511:E512)</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5.5" customHeight="1">
      <c r="B514" s="1686"/>
      <c r="C514" s="38" t="s">
        <v>270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5.5" customHeight="1">
      <c r="B515" s="1686"/>
      <c r="C515" s="38" t="s">
        <v>270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6" customHeight="1" thickBot="1">
      <c r="B516" s="1686"/>
      <c r="C516" s="710" t="s">
        <v>2307</v>
      </c>
      <c r="D516" s="711">
        <f>_xlfn.XLOOKUP(H516,H514:H515,D514:D515)</f>
        <v>0</v>
      </c>
      <c r="E516" s="712">
        <f>_xlfn.XLOOKUP(H516,H514:H515,E514:E515)</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1.5" customHeight="1" thickBot="1">
      <c r="B517" s="1686"/>
      <c r="C517" s="716" t="s">
        <v>2308</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t="s">
        <v>620</v>
      </c>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47" customHeight="1" thickBot="1">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47" customHeight="1" thickBot="1">
      <c r="B520" s="1686"/>
      <c r="C520" s="721" t="s">
        <v>2311</v>
      </c>
      <c r="D520" s="722" t="str">
        <f>_xlfn.XLOOKUP(H520,H518:H519,D518:D519)</f>
        <v xml:space="preserve">Dans quelle mesure diriez-vous que l'autre parent accepte que votre enfant apporte des objets qui proviennent de votre demeure ou de votre milieu ? </v>
      </c>
      <c r="E520" s="722" t="str">
        <f>_xlfn.XLOOKUP(H520,H518:H519,E518:E519)</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1" customHeight="1">
      <c r="B521" s="1686"/>
      <c r="D521" s="383" t="s">
        <v>2312</v>
      </c>
      <c r="E521" s="699"/>
      <c r="F521" s="435" t="s">
        <v>2313</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5.5" customHeight="1">
      <c r="B522" s="1686"/>
      <c r="C522" t="s">
        <v>42</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3.5"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19"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6.5" customHeight="1" thickBot="1">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82" t="s">
        <v>2141</v>
      </c>
      <c r="J528" s="2458"/>
      <c r="K528" s="2458"/>
      <c r="L528" s="2585" t="s">
        <v>2291</v>
      </c>
      <c r="M528" s="2458"/>
      <c r="N528" s="2458"/>
      <c r="O528" s="2584"/>
      <c r="P528" s="2587" t="s">
        <v>2142</v>
      </c>
      <c r="Q528" s="2458"/>
      <c r="R528" s="2584"/>
      <c r="S528" s="2583" t="s">
        <v>2143</v>
      </c>
      <c r="T528" s="2458"/>
      <c r="U528" s="2584"/>
      <c r="V528" s="15"/>
      <c r="W528" s="809"/>
      <c r="X528" s="809"/>
      <c r="Y528" s="809"/>
      <c r="Z528" s="809"/>
      <c r="AA528" s="809"/>
      <c r="AB528" s="810"/>
      <c r="AD528" s="10"/>
      <c r="AE528" s="10"/>
      <c r="AF528" s="10"/>
      <c r="AG528" s="1372" t="s">
        <v>2141</v>
      </c>
      <c r="AH528" s="1372" t="s">
        <v>2142</v>
      </c>
      <c r="AI528" s="1372" t="s">
        <v>2143</v>
      </c>
      <c r="AJ528" s="2580" t="s">
        <v>2141</v>
      </c>
      <c r="AK528" s="2474"/>
      <c r="AL528" s="2580" t="s">
        <v>2142</v>
      </c>
      <c r="AM528" s="2474"/>
      <c r="AN528" s="2580" t="s">
        <v>2143</v>
      </c>
      <c r="AO528" s="2474"/>
    </row>
    <row r="529" spans="1:41" ht="31" customHeight="1">
      <c r="B529" s="1686"/>
      <c r="D529" s="79" t="s">
        <v>2292</v>
      </c>
      <c r="E529" s="827" t="s">
        <v>2293</v>
      </c>
      <c r="F529" s="26" t="s">
        <v>64</v>
      </c>
      <c r="G529" s="26" t="s">
        <v>453</v>
      </c>
      <c r="H529" s="26" t="s">
        <v>2294</v>
      </c>
      <c r="I529" s="1334" t="s">
        <v>2295</v>
      </c>
      <c r="J529" s="29" t="s">
        <v>2296</v>
      </c>
      <c r="K529" s="29" t="s">
        <v>2297</v>
      </c>
      <c r="L529" s="29" t="s">
        <v>2298</v>
      </c>
      <c r="M529" s="29" t="s">
        <v>2299</v>
      </c>
      <c r="N529" s="29" t="s">
        <v>2300</v>
      </c>
      <c r="O529" s="1335" t="s">
        <v>2301</v>
      </c>
      <c r="P529" s="1334" t="s">
        <v>2295</v>
      </c>
      <c r="Q529" s="29" t="s">
        <v>2296</v>
      </c>
      <c r="R529" s="1335" t="s">
        <v>2297</v>
      </c>
      <c r="S529" s="1334" t="s">
        <v>2295</v>
      </c>
      <c r="T529" s="29" t="s">
        <v>2296</v>
      </c>
      <c r="U529" s="1335" t="s">
        <v>2297</v>
      </c>
      <c r="V529" s="730"/>
      <c r="W529" s="819" t="s">
        <v>2141</v>
      </c>
      <c r="X529" s="820" t="s">
        <v>2302</v>
      </c>
      <c r="Y529" s="819" t="s">
        <v>2142</v>
      </c>
      <c r="Z529" s="820" t="s">
        <v>2303</v>
      </c>
      <c r="AA529" s="819" t="s">
        <v>2143</v>
      </c>
      <c r="AB529" s="820" t="s">
        <v>2304</v>
      </c>
      <c r="AD529" s="10"/>
      <c r="AE529" s="10"/>
      <c r="AF529" s="10"/>
      <c r="AG529" s="10"/>
      <c r="AH529" s="10"/>
      <c r="AI529" s="10"/>
      <c r="AJ529" s="1476" t="s">
        <v>1585</v>
      </c>
      <c r="AK529" s="1476" t="s">
        <v>1488</v>
      </c>
      <c r="AL529" s="1476" t="s">
        <v>1585</v>
      </c>
      <c r="AM529" s="1476" t="s">
        <v>1488</v>
      </c>
      <c r="AN529" s="1476" t="s">
        <v>1585</v>
      </c>
      <c r="AO529" s="1476" t="s">
        <v>1488</v>
      </c>
    </row>
    <row r="530" spans="1:41" ht="31" customHeight="1">
      <c r="A530" t="str">
        <f>IF(Test_Bible!B243="","F","O")</f>
        <v>O</v>
      </c>
      <c r="B530" s="1686" t="str">
        <f>'Cpts AR +indép + Sommaire'!G81</f>
        <v>Parentification</v>
      </c>
      <c r="C530" s="1983" t="str">
        <f>'Cpts AR +indép + Sommaire'!C81</f>
        <v>PFA31</v>
      </c>
      <c r="D530" s="1984" t="str">
        <f>'Cpts AR +indép + Sommaire'!D81</f>
        <v xml:space="preserve">Dans quelle mesure diriez-vous que l'autre parent accepte ou vit bien avec la séparation (de couple ou familiale) ? </v>
      </c>
      <c r="E530" s="78" t="s">
        <v>2392</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1" customHeight="1">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1" customHeight="1">
      <c r="B532" s="1686"/>
      <c r="C532" s="704" t="s">
        <v>2306</v>
      </c>
      <c r="D532" s="705" t="str">
        <f>_xlfn.XLOOKUP(H532,H530:H531,D530:D531)</f>
        <v xml:space="preserve">Dans quelle mesure diriez-vous que l'autre parent accepte ou vit bien avec la séparation (de couple ou familiale) ? </v>
      </c>
      <c r="E532" s="706" t="str">
        <f>_xlfn.XLOOKUP(H532,H530:H531,E530:E531)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1" customHeight="1">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1" customHeight="1">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1.5" customHeight="1" thickBot="1">
      <c r="B535" s="1686"/>
      <c r="C535" s="710" t="s">
        <v>2307</v>
      </c>
      <c r="D535" s="711" t="str">
        <f>_xlfn.XLOOKUP(H535,H533:H534,D533:D534)</f>
        <v>Le nouveau ou nouvelle conjoint·e joue un rôle de confident·e auprès de votre enfant.</v>
      </c>
      <c r="E535" s="712">
        <f>_xlfn.XLOOKUP(H535,H533:H534,E533:E534)</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1.5" customHeight="1" thickBot="1">
      <c r="B536" s="1686"/>
      <c r="C536" s="716" t="s">
        <v>2308</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t="s">
        <v>620</v>
      </c>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1"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1.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1.5" customHeight="1" thickBot="1">
      <c r="B540" s="1686"/>
      <c r="C540" s="721" t="s">
        <v>2311</v>
      </c>
      <c r="D540" s="722" t="str">
        <f>_xlfn.XLOOKUP(H540,H537:H539,D537:D539)</f>
        <v xml:space="preserve">Dans quelle mesure diriez-vous que votre enfant vous tient responsable de la peine ou de la frustration de son autre parent ? </v>
      </c>
      <c r="E540" s="722" t="str">
        <f>_xlfn.XLOOKUP(H540,H537:H539,E537:E539)</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2" customHeight="1">
      <c r="B541" s="1686"/>
      <c r="D541" s="383" t="s">
        <v>2312</v>
      </c>
      <c r="E541" s="699"/>
      <c r="F541" s="435" t="s">
        <v>2313</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1"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1.5"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6.5" customHeight="1" thickBot="1">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5"/>
      <c r="AH546" s="1925"/>
      <c r="AI546" s="1925"/>
      <c r="AJ546" s="1925"/>
      <c r="AK546" s="1925"/>
      <c r="AL546" s="1925"/>
      <c r="AM546" s="1925"/>
      <c r="AN546" s="1925"/>
      <c r="AO546" s="1925"/>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91" t="s">
        <v>2397</v>
      </c>
      <c r="G550" s="2458"/>
      <c r="H550" s="2458"/>
      <c r="I550" s="2458"/>
      <c r="J550" s="2458"/>
      <c r="K550" s="697"/>
      <c r="L550" s="2588"/>
      <c r="M550" s="2458"/>
      <c r="N550" s="2458"/>
      <c r="O550" s="697"/>
      <c r="P550" s="697"/>
      <c r="Q550" s="697"/>
      <c r="R550" s="697"/>
      <c r="S550" s="697"/>
      <c r="T550" s="697"/>
      <c r="U550" s="697"/>
      <c r="V550" s="73"/>
      <c r="AD550" s="10"/>
      <c r="AE550" s="10"/>
      <c r="AF550" s="10"/>
    </row>
    <row r="551" spans="1:41">
      <c r="B551" s="1685">
        <v>1</v>
      </c>
      <c r="D551" s="437" t="str">
        <f>'Cpts AR +indép + Sommaire'!B85</f>
        <v>Évite de questionner l'enfant à son retour de garde</v>
      </c>
      <c r="E551" s="84"/>
      <c r="F551" s="50"/>
      <c r="G551" s="18"/>
      <c r="H551" s="18"/>
      <c r="I551" s="2582" t="s">
        <v>2141</v>
      </c>
      <c r="J551" s="2458"/>
      <c r="K551" s="2458"/>
      <c r="L551" s="2585" t="s">
        <v>2291</v>
      </c>
      <c r="M551" s="2458"/>
      <c r="N551" s="2458"/>
      <c r="O551" s="2584"/>
      <c r="P551" s="2587" t="s">
        <v>2142</v>
      </c>
      <c r="Q551" s="2458"/>
      <c r="R551" s="2584"/>
      <c r="S551" s="2583" t="s">
        <v>2143</v>
      </c>
      <c r="T551" s="2458"/>
      <c r="U551" s="2584"/>
      <c r="V551" s="15"/>
      <c r="W551" s="809"/>
      <c r="X551" s="809"/>
      <c r="Y551" s="809"/>
      <c r="Z551" s="809"/>
      <c r="AA551" s="809"/>
      <c r="AB551" s="810"/>
      <c r="AD551" s="10"/>
      <c r="AE551" s="10"/>
      <c r="AF551" s="10"/>
      <c r="AG551" s="1372" t="s">
        <v>2141</v>
      </c>
      <c r="AH551" s="1372" t="s">
        <v>2142</v>
      </c>
      <c r="AI551" s="1372" t="s">
        <v>2143</v>
      </c>
      <c r="AJ551" s="2580" t="s">
        <v>2141</v>
      </c>
      <c r="AK551" s="2474"/>
      <c r="AL551" s="2580" t="s">
        <v>2142</v>
      </c>
      <c r="AM551" s="2474"/>
      <c r="AN551" s="2580" t="s">
        <v>2143</v>
      </c>
      <c r="AO551" s="2474"/>
    </row>
    <row r="552" spans="1:41" ht="31" customHeight="1">
      <c r="B552" s="1686"/>
      <c r="D552" s="79" t="s">
        <v>2292</v>
      </c>
      <c r="E552" s="827"/>
      <c r="F552" s="26" t="s">
        <v>64</v>
      </c>
      <c r="G552" s="26" t="s">
        <v>453</v>
      </c>
      <c r="H552" s="26" t="s">
        <v>2294</v>
      </c>
      <c r="I552" s="1334" t="s">
        <v>2295</v>
      </c>
      <c r="J552" s="29" t="s">
        <v>2296</v>
      </c>
      <c r="K552" s="29" t="s">
        <v>2297</v>
      </c>
      <c r="L552" s="29" t="s">
        <v>2298</v>
      </c>
      <c r="M552" s="29" t="s">
        <v>2299</v>
      </c>
      <c r="N552" s="29" t="s">
        <v>2300</v>
      </c>
      <c r="O552" s="1335" t="s">
        <v>2301</v>
      </c>
      <c r="P552" s="1334" t="s">
        <v>2295</v>
      </c>
      <c r="Q552" s="29" t="s">
        <v>2296</v>
      </c>
      <c r="R552" s="1335" t="s">
        <v>2297</v>
      </c>
      <c r="S552" s="1334" t="s">
        <v>2295</v>
      </c>
      <c r="T552" s="29" t="s">
        <v>2296</v>
      </c>
      <c r="U552" s="1335" t="s">
        <v>2297</v>
      </c>
      <c r="V552" s="730"/>
      <c r="W552" s="819" t="s">
        <v>2141</v>
      </c>
      <c r="X552" s="820" t="s">
        <v>2302</v>
      </c>
      <c r="Y552" s="819" t="s">
        <v>2142</v>
      </c>
      <c r="Z552" s="820" t="s">
        <v>2303</v>
      </c>
      <c r="AA552" s="819" t="s">
        <v>2143</v>
      </c>
      <c r="AB552" s="820" t="s">
        <v>2304</v>
      </c>
      <c r="AD552" s="10"/>
      <c r="AE552" s="10"/>
      <c r="AF552" s="10"/>
      <c r="AG552" s="10"/>
      <c r="AH552" s="10"/>
      <c r="AI552" s="10"/>
      <c r="AJ552" s="1476" t="s">
        <v>1585</v>
      </c>
      <c r="AK552" s="1476" t="s">
        <v>1488</v>
      </c>
      <c r="AL552" s="1476" t="s">
        <v>1585</v>
      </c>
      <c r="AM552" s="1476" t="s">
        <v>1488</v>
      </c>
      <c r="AN552" s="1476" t="s">
        <v>1585</v>
      </c>
      <c r="AO552" s="1476" t="s">
        <v>1488</v>
      </c>
    </row>
    <row r="553" spans="1:41" ht="31"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1"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1" customHeight="1">
      <c r="B555" s="1686"/>
      <c r="C555" s="704" t="s">
        <v>2306</v>
      </c>
      <c r="D555" s="705" t="str">
        <f>_xlfn.XLOOKUP(H555,H553:H554,D553:D554)</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5.5"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5.5"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6" customHeight="1" thickBot="1">
      <c r="B558" s="1686"/>
      <c r="C558" s="710" t="s">
        <v>2307</v>
      </c>
      <c r="D558" s="711">
        <f>_xlfn.XLOOKUP(H558,H556:H557,D556:D557)</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1.5" customHeight="1" thickBot="1">
      <c r="B559" s="1686"/>
      <c r="C559" s="716" t="s">
        <v>2308</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t="s">
        <v>620</v>
      </c>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6"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6" customHeight="1" thickBot="1">
      <c r="B562" s="1686"/>
      <c r="C562" s="721" t="s">
        <v>2311</v>
      </c>
      <c r="D562" s="722">
        <f>_xlfn.XLOOKUP(H562,H560:H561,D560:D561)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5.5" customHeight="1">
      <c r="B563" s="1686"/>
      <c r="D563" s="383" t="s">
        <v>2312</v>
      </c>
      <c r="E563" s="699"/>
      <c r="F563" s="435" t="s">
        <v>2313</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5.5" customHeight="1">
      <c r="B564" s="1686"/>
      <c r="C564" t="s">
        <v>42</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1"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6"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6.5" customHeight="1" thickBot="1">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2287</v>
      </c>
      <c r="F570" s="2591" t="s">
        <v>2397</v>
      </c>
      <c r="G570" s="2458"/>
      <c r="H570" s="2458"/>
      <c r="I570" s="2458"/>
      <c r="J570" s="2458"/>
      <c r="K570" s="697"/>
      <c r="L570" s="2588"/>
      <c r="M570" s="2458"/>
      <c r="N570" s="2458"/>
      <c r="O570" s="697"/>
      <c r="P570" s="697"/>
      <c r="Q570" s="697"/>
      <c r="R570" s="697"/>
      <c r="S570" s="697"/>
      <c r="T570" s="697"/>
      <c r="U570" s="697"/>
      <c r="V570" s="73"/>
      <c r="AD570" s="10"/>
      <c r="AE570" s="10"/>
      <c r="AF570" s="10"/>
    </row>
    <row r="571" spans="1:41">
      <c r="B571" s="1685">
        <v>2</v>
      </c>
      <c r="D571" s="437" t="str">
        <f>'Cpts AR +indép + Sommaire'!B87</f>
        <v>Accepte les exigences de la coparentalité</v>
      </c>
      <c r="E571" s="84"/>
      <c r="F571" s="50"/>
      <c r="G571" s="18"/>
      <c r="H571" s="18"/>
      <c r="I571" s="2582" t="s">
        <v>2141</v>
      </c>
      <c r="J571" s="2458"/>
      <c r="K571" s="2458"/>
      <c r="L571" s="2585" t="s">
        <v>2291</v>
      </c>
      <c r="M571" s="2458"/>
      <c r="N571" s="2458"/>
      <c r="O571" s="2584"/>
      <c r="P571" s="2587" t="s">
        <v>2142</v>
      </c>
      <c r="Q571" s="2458"/>
      <c r="R571" s="2584"/>
      <c r="S571" s="2583" t="s">
        <v>2143</v>
      </c>
      <c r="T571" s="2458"/>
      <c r="U571" s="2584"/>
      <c r="V571" s="15"/>
      <c r="W571" s="809"/>
      <c r="X571" s="809"/>
      <c r="Y571" s="809"/>
      <c r="Z571" s="809"/>
      <c r="AA571" s="809"/>
      <c r="AB571" s="810"/>
      <c r="AD571" s="10"/>
      <c r="AE571" s="10"/>
      <c r="AF571" s="10"/>
      <c r="AG571" s="1372" t="s">
        <v>2141</v>
      </c>
      <c r="AH571" s="1372" t="s">
        <v>2142</v>
      </c>
      <c r="AI571" s="1372" t="s">
        <v>2143</v>
      </c>
      <c r="AJ571" s="2580" t="s">
        <v>2141</v>
      </c>
      <c r="AK571" s="2474"/>
      <c r="AL571" s="2580" t="s">
        <v>2142</v>
      </c>
      <c r="AM571" s="2474"/>
      <c r="AN571" s="2580" t="s">
        <v>2143</v>
      </c>
      <c r="AO571" s="2474"/>
    </row>
    <row r="572" spans="1:41" ht="31" customHeight="1">
      <c r="B572" s="1686"/>
      <c r="D572" s="79" t="s">
        <v>2292</v>
      </c>
      <c r="E572" s="827"/>
      <c r="F572" s="26" t="s">
        <v>64</v>
      </c>
      <c r="G572" s="26" t="s">
        <v>453</v>
      </c>
      <c r="H572" s="26" t="s">
        <v>2294</v>
      </c>
      <c r="I572" s="1334" t="s">
        <v>2295</v>
      </c>
      <c r="J572" s="29" t="s">
        <v>2296</v>
      </c>
      <c r="K572" s="29" t="s">
        <v>2297</v>
      </c>
      <c r="L572" s="29" t="s">
        <v>2298</v>
      </c>
      <c r="M572" s="29" t="s">
        <v>2299</v>
      </c>
      <c r="N572" s="29" t="s">
        <v>2300</v>
      </c>
      <c r="O572" s="1335" t="s">
        <v>2301</v>
      </c>
      <c r="P572" s="1334" t="s">
        <v>2295</v>
      </c>
      <c r="Q572" s="29" t="s">
        <v>2296</v>
      </c>
      <c r="R572" s="1335" t="s">
        <v>2297</v>
      </c>
      <c r="S572" s="1334" t="s">
        <v>2295</v>
      </c>
      <c r="T572" s="29" t="s">
        <v>2296</v>
      </c>
      <c r="U572" s="1335" t="s">
        <v>2297</v>
      </c>
      <c r="V572" s="730"/>
      <c r="W572" s="819" t="s">
        <v>2141</v>
      </c>
      <c r="X572" s="820" t="s">
        <v>2302</v>
      </c>
      <c r="Y572" s="819" t="s">
        <v>2142</v>
      </c>
      <c r="Z572" s="820" t="s">
        <v>2303</v>
      </c>
      <c r="AA572" s="819" t="s">
        <v>2143</v>
      </c>
      <c r="AB572" s="820" t="s">
        <v>2304</v>
      </c>
      <c r="AD572" s="10"/>
      <c r="AE572" s="10"/>
      <c r="AF572" s="10"/>
      <c r="AG572" s="10"/>
      <c r="AH572" s="10"/>
      <c r="AI572" s="10"/>
      <c r="AJ572" s="1476" t="s">
        <v>1585</v>
      </c>
      <c r="AK572" s="1476" t="s">
        <v>1488</v>
      </c>
      <c r="AL572" s="1476" t="s">
        <v>1585</v>
      </c>
      <c r="AM572" s="1476" t="s">
        <v>1488</v>
      </c>
      <c r="AN572" s="1476" t="s">
        <v>1585</v>
      </c>
      <c r="AO572" s="1476" t="s">
        <v>1488</v>
      </c>
    </row>
    <row r="573" spans="1:41" ht="46.5"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5.5"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46.5" customHeight="1">
      <c r="B575" s="1686"/>
      <c r="C575" s="704" t="s">
        <v>2306</v>
      </c>
      <c r="D575" s="705" t="str">
        <f>_xlfn.XLOOKUP(H575,H573:H574,D573:D574)</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5.5"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5.5"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6" customHeight="1" thickBot="1">
      <c r="B578" s="1686"/>
      <c r="C578" s="710" t="s">
        <v>2307</v>
      </c>
      <c r="D578" s="711">
        <f>_xlfn.XLOOKUP(H578,H576:H577,D576:D577)</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1.5" customHeight="1" thickBot="1">
      <c r="B579" s="1686"/>
      <c r="C579" s="716" t="s">
        <v>2308</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t="s">
        <v>620</v>
      </c>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6"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6" customHeight="1" thickBot="1">
      <c r="B582" s="1686"/>
      <c r="C582" s="721" t="s">
        <v>2311</v>
      </c>
      <c r="D582" s="722">
        <f>_xlfn.XLOOKUP(H582,H580:H581,D580:D581)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5.5" customHeight="1">
      <c r="B583" s="1686"/>
      <c r="D583" s="383" t="s">
        <v>2312</v>
      </c>
      <c r="E583" s="699"/>
      <c r="F583" s="435" t="s">
        <v>2313</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5.5" customHeight="1">
      <c r="B584" s="1686"/>
      <c r="C584" t="s">
        <v>42</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46.5"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19"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6.5" customHeight="1" thickBot="1">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5.5" customHeight="1">
      <c r="B589" s="1686"/>
      <c r="W589" s="1373"/>
      <c r="X589" s="1374"/>
      <c r="Y589" s="1220"/>
      <c r="AD589" s="10"/>
      <c r="AE589" s="10"/>
      <c r="AF589" s="10"/>
    </row>
    <row r="590" spans="1:41">
      <c r="E590" s="85" t="s">
        <v>2287</v>
      </c>
      <c r="F590" s="2591" t="s">
        <v>2397</v>
      </c>
      <c r="G590" s="2458"/>
      <c r="H590" s="2458"/>
      <c r="I590" s="2458"/>
      <c r="J590" s="2458"/>
      <c r="K590" s="697"/>
      <c r="L590" s="2588"/>
      <c r="M590" s="2458"/>
      <c r="N590" s="2458"/>
      <c r="O590" s="697"/>
      <c r="P590" s="697"/>
      <c r="Q590" s="697"/>
      <c r="R590" s="697"/>
      <c r="S590" s="697"/>
      <c r="T590" s="697"/>
      <c r="U590" s="697"/>
      <c r="V590" s="73"/>
      <c r="AD590" s="10"/>
      <c r="AE590" s="10"/>
      <c r="AF590" s="10"/>
    </row>
    <row r="591" spans="1:41">
      <c r="B591" s="1685">
        <v>3</v>
      </c>
      <c r="D591" s="437" t="str">
        <f>'Cpts AR +indép + Sommaire'!B89</f>
        <v>Respecte la valeur coparentale du coparent</v>
      </c>
      <c r="E591" s="84"/>
      <c r="F591" s="50"/>
      <c r="G591" s="18"/>
      <c r="H591" s="18"/>
      <c r="I591" s="2582" t="s">
        <v>2141</v>
      </c>
      <c r="J591" s="2458"/>
      <c r="K591" s="2458"/>
      <c r="L591" s="2585" t="s">
        <v>2291</v>
      </c>
      <c r="M591" s="2458"/>
      <c r="N591" s="2458"/>
      <c r="O591" s="2584"/>
      <c r="P591" s="2587" t="s">
        <v>2142</v>
      </c>
      <c r="Q591" s="2458"/>
      <c r="R591" s="2584"/>
      <c r="S591" s="2583" t="s">
        <v>2143</v>
      </c>
      <c r="T591" s="2458"/>
      <c r="U591" s="2584"/>
      <c r="V591" s="15"/>
      <c r="W591" s="809"/>
      <c r="X591" s="809"/>
      <c r="Y591" s="809"/>
      <c r="Z591" s="809"/>
      <c r="AA591" s="809"/>
      <c r="AB591" s="810"/>
      <c r="AD591" s="10"/>
      <c r="AE591" s="10"/>
      <c r="AF591" s="10"/>
      <c r="AG591" s="1372" t="s">
        <v>2141</v>
      </c>
      <c r="AH591" s="1372" t="s">
        <v>2142</v>
      </c>
      <c r="AI591" s="1372" t="s">
        <v>2143</v>
      </c>
      <c r="AJ591" s="2580" t="s">
        <v>2141</v>
      </c>
      <c r="AK591" s="2474"/>
      <c r="AL591" s="2580" t="s">
        <v>2142</v>
      </c>
      <c r="AM591" s="2474"/>
      <c r="AN591" s="2580" t="s">
        <v>2143</v>
      </c>
      <c r="AO591" s="2474"/>
    </row>
    <row r="592" spans="1:41" ht="31" customHeight="1">
      <c r="B592" s="1686"/>
      <c r="D592" s="79" t="s">
        <v>2292</v>
      </c>
      <c r="E592" s="827"/>
      <c r="F592" s="26" t="s">
        <v>64</v>
      </c>
      <c r="G592" s="26" t="s">
        <v>453</v>
      </c>
      <c r="H592" s="26" t="s">
        <v>2294</v>
      </c>
      <c r="I592" s="1334" t="s">
        <v>2295</v>
      </c>
      <c r="J592" s="29" t="s">
        <v>2296</v>
      </c>
      <c r="K592" s="29" t="s">
        <v>2297</v>
      </c>
      <c r="L592" s="29" t="s">
        <v>2298</v>
      </c>
      <c r="M592" s="29" t="s">
        <v>2299</v>
      </c>
      <c r="N592" s="29" t="s">
        <v>2300</v>
      </c>
      <c r="O592" s="1335" t="s">
        <v>2301</v>
      </c>
      <c r="P592" s="1334" t="s">
        <v>2295</v>
      </c>
      <c r="Q592" s="29" t="s">
        <v>2296</v>
      </c>
      <c r="R592" s="1335" t="s">
        <v>2297</v>
      </c>
      <c r="S592" s="1334" t="s">
        <v>2295</v>
      </c>
      <c r="T592" s="29" t="s">
        <v>2296</v>
      </c>
      <c r="U592" s="1335" t="s">
        <v>2297</v>
      </c>
      <c r="V592" s="730"/>
      <c r="W592" s="819" t="s">
        <v>2141</v>
      </c>
      <c r="X592" s="820" t="s">
        <v>2302</v>
      </c>
      <c r="Y592" s="819" t="s">
        <v>2142</v>
      </c>
      <c r="Z592" s="820" t="s">
        <v>2303</v>
      </c>
      <c r="AA592" s="819" t="s">
        <v>2143</v>
      </c>
      <c r="AB592" s="820" t="s">
        <v>2304</v>
      </c>
      <c r="AD592" s="10"/>
      <c r="AE592" s="10"/>
      <c r="AF592" s="10"/>
      <c r="AG592" s="10"/>
      <c r="AH592" s="10"/>
      <c r="AI592" s="10"/>
      <c r="AJ592" s="1476" t="s">
        <v>1585</v>
      </c>
      <c r="AK592" s="1476" t="s">
        <v>1488</v>
      </c>
      <c r="AL592" s="1476" t="s">
        <v>1585</v>
      </c>
      <c r="AM592" s="1476" t="s">
        <v>1488</v>
      </c>
      <c r="AN592" s="1476" t="s">
        <v>1585</v>
      </c>
      <c r="AO592" s="1476" t="s">
        <v>1488</v>
      </c>
    </row>
    <row r="593" spans="1:41" ht="31"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1" customHeight="1">
      <c r="B595" s="1686"/>
      <c r="C595" s="704" t="s">
        <v>2306</v>
      </c>
      <c r="D595" s="705" t="str">
        <f>_xlfn.XLOOKUP(H595,H593:H594,D593:D594)</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5.5"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5.5"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6" customHeight="1" thickBot="1">
      <c r="B598" s="1686"/>
      <c r="C598" s="710" t="s">
        <v>2307</v>
      </c>
      <c r="D598" s="711">
        <f>_xlfn.XLOOKUP(H598,H596:H597,D596:D597)</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1.5" customHeight="1" thickBot="1">
      <c r="B599" s="1686"/>
      <c r="C599" s="716" t="s">
        <v>2308</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t="s">
        <v>620</v>
      </c>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6"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6" customHeight="1" thickBot="1">
      <c r="B602" s="1686"/>
      <c r="C602" s="721" t="s">
        <v>2311</v>
      </c>
      <c r="D602" s="722">
        <f>_xlfn.XLOOKUP(H602,H600:H601,D600:D601)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5.5" customHeight="1">
      <c r="B603" s="1686"/>
      <c r="D603" s="383" t="s">
        <v>2312</v>
      </c>
      <c r="E603" s="699"/>
      <c r="F603" s="435" t="s">
        <v>2313</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5.5" customHeight="1">
      <c r="B604" s="1686"/>
      <c r="C604" t="s">
        <v>42</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1"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19"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6.5" customHeight="1" thickBot="1">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5.5" customHeight="1">
      <c r="B609" s="1686"/>
      <c r="W609" s="1373"/>
      <c r="X609" s="1374"/>
      <c r="Y609" s="1220"/>
      <c r="AD609" s="10"/>
      <c r="AE609" s="10"/>
      <c r="AF609" s="10"/>
    </row>
    <row r="610" spans="1:41">
      <c r="E610" s="85" t="s">
        <v>2287</v>
      </c>
      <c r="F610" s="2591" t="s">
        <v>2397</v>
      </c>
      <c r="G610" s="2458"/>
      <c r="H610" s="2458"/>
      <c r="I610" s="2458"/>
      <c r="J610" s="2458"/>
      <c r="K610" s="697"/>
      <c r="L610" s="2588"/>
      <c r="M610" s="2458"/>
      <c r="N610" s="2458"/>
      <c r="O610" s="697"/>
      <c r="P610" s="697"/>
      <c r="Q610" s="697"/>
      <c r="R610" s="697"/>
      <c r="S610" s="697"/>
      <c r="T610" s="697"/>
      <c r="U610" s="697"/>
      <c r="V610" s="73"/>
      <c r="AD610" s="10"/>
      <c r="AE610" s="10"/>
      <c r="AF610" s="10"/>
    </row>
    <row r="611" spans="1:41">
      <c r="B611" s="1685">
        <v>4</v>
      </c>
      <c r="D611" s="437" t="str">
        <f>'Cpts AR +indép + Sommaire'!B91</f>
        <v>Consulte l'autre parent pour les décisions concernant l'enfant</v>
      </c>
      <c r="E611" s="84"/>
      <c r="F611" s="50"/>
      <c r="G611" s="18"/>
      <c r="H611" s="18"/>
      <c r="I611" s="2582" t="s">
        <v>2141</v>
      </c>
      <c r="J611" s="2458"/>
      <c r="K611" s="2458"/>
      <c r="L611" s="2585" t="s">
        <v>2291</v>
      </c>
      <c r="M611" s="2458"/>
      <c r="N611" s="2458"/>
      <c r="O611" s="2584"/>
      <c r="P611" s="2587" t="s">
        <v>2142</v>
      </c>
      <c r="Q611" s="2458"/>
      <c r="R611" s="2584"/>
      <c r="S611" s="2583" t="s">
        <v>2143</v>
      </c>
      <c r="T611" s="2458"/>
      <c r="U611" s="2584"/>
      <c r="V611" s="15"/>
      <c r="W611" s="809"/>
      <c r="X611" s="809"/>
      <c r="Y611" s="809"/>
      <c r="Z611" s="809"/>
      <c r="AA611" s="809"/>
      <c r="AB611" s="810"/>
      <c r="AD611" s="10"/>
      <c r="AE611" s="10"/>
      <c r="AF611" s="10"/>
      <c r="AG611" s="1372" t="s">
        <v>2141</v>
      </c>
      <c r="AH611" s="1372" t="s">
        <v>2142</v>
      </c>
      <c r="AI611" s="1372" t="s">
        <v>2143</v>
      </c>
      <c r="AJ611" s="2580" t="s">
        <v>2141</v>
      </c>
      <c r="AK611" s="2474"/>
      <c r="AL611" s="2580" t="s">
        <v>2142</v>
      </c>
      <c r="AM611" s="2474"/>
      <c r="AN611" s="2580" t="s">
        <v>2143</v>
      </c>
      <c r="AO611" s="2474"/>
    </row>
    <row r="612" spans="1:41" ht="31" customHeight="1">
      <c r="B612" s="1686"/>
      <c r="D612" s="79" t="s">
        <v>2292</v>
      </c>
      <c r="E612" s="827"/>
      <c r="F612" s="26" t="s">
        <v>64</v>
      </c>
      <c r="G612" s="26" t="s">
        <v>453</v>
      </c>
      <c r="H612" s="26" t="s">
        <v>2294</v>
      </c>
      <c r="I612" s="1334" t="s">
        <v>2295</v>
      </c>
      <c r="J612" s="29" t="s">
        <v>2296</v>
      </c>
      <c r="K612" s="29" t="s">
        <v>2297</v>
      </c>
      <c r="L612" s="29" t="s">
        <v>2298</v>
      </c>
      <c r="M612" s="29" t="s">
        <v>2299</v>
      </c>
      <c r="N612" s="29" t="s">
        <v>2300</v>
      </c>
      <c r="O612" s="1335" t="s">
        <v>2301</v>
      </c>
      <c r="P612" s="1334" t="s">
        <v>2295</v>
      </c>
      <c r="Q612" s="29" t="s">
        <v>2296</v>
      </c>
      <c r="R612" s="1335" t="s">
        <v>2297</v>
      </c>
      <c r="S612" s="1334" t="s">
        <v>2295</v>
      </c>
      <c r="T612" s="29" t="s">
        <v>2296</v>
      </c>
      <c r="U612" s="1335" t="s">
        <v>2297</v>
      </c>
      <c r="V612" s="730"/>
      <c r="W612" s="819" t="s">
        <v>2141</v>
      </c>
      <c r="X612" s="820" t="s">
        <v>2302</v>
      </c>
      <c r="Y612" s="819" t="s">
        <v>2142</v>
      </c>
      <c r="Z612" s="820" t="s">
        <v>2303</v>
      </c>
      <c r="AA612" s="819" t="s">
        <v>2143</v>
      </c>
      <c r="AB612" s="820" t="s">
        <v>2304</v>
      </c>
      <c r="AD612" s="10"/>
      <c r="AE612" s="10"/>
      <c r="AF612" s="10"/>
      <c r="AG612" s="10"/>
      <c r="AH612" s="10"/>
      <c r="AI612" s="10"/>
      <c r="AJ612" s="1476" t="s">
        <v>1585</v>
      </c>
      <c r="AK612" s="1476" t="s">
        <v>1488</v>
      </c>
      <c r="AL612" s="1476" t="s">
        <v>1585</v>
      </c>
      <c r="AM612" s="1476" t="s">
        <v>1488</v>
      </c>
      <c r="AN612" s="1476" t="s">
        <v>1585</v>
      </c>
      <c r="AO612" s="1476" t="s">
        <v>1488</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5.5"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5.5" customHeight="1">
      <c r="B615" s="1686"/>
      <c r="C615" s="704" t="s">
        <v>2306</v>
      </c>
      <c r="D615" s="705" t="str">
        <f>_xlfn.XLOOKUP(H615,H613:H614,D613:D614)</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5.5"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5.5"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6" customHeight="1" thickBot="1">
      <c r="B618" s="1686"/>
      <c r="C618" s="710" t="s">
        <v>2307</v>
      </c>
      <c r="D618" s="711">
        <f>_xlfn.XLOOKUP(H618,H616:H617,D616:D617)</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1.5" customHeight="1" thickBot="1">
      <c r="B619" s="1686"/>
      <c r="C619" s="716" t="s">
        <v>2308</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t="s">
        <v>620</v>
      </c>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6"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6" customHeight="1" thickBot="1">
      <c r="B622" s="1686"/>
      <c r="C622" s="721" t="s">
        <v>2311</v>
      </c>
      <c r="D622" s="722">
        <f>_xlfn.XLOOKUP(H622,H620:H621,D620:D621)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5.5" customHeight="1">
      <c r="B623" s="1686"/>
      <c r="D623" s="383" t="s">
        <v>2312</v>
      </c>
      <c r="E623" s="699"/>
      <c r="F623" s="435" t="s">
        <v>2313</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5.5" customHeight="1">
      <c r="B624" s="1686"/>
      <c r="C624" t="s">
        <v>42</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19"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6.5" customHeight="1" thickBot="1">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18"/>
      <c r="X629" s="2018"/>
      <c r="Y629" s="2018"/>
      <c r="Z629" s="2018"/>
      <c r="AA629" s="2018"/>
      <c r="AB629" s="2018"/>
      <c r="AG629" s="5"/>
      <c r="AH629" s="5"/>
      <c r="AI629" s="5"/>
    </row>
    <row r="630" spans="1:41">
      <c r="E630" s="85" t="s">
        <v>2287</v>
      </c>
      <c r="F630" s="2591" t="s">
        <v>2397</v>
      </c>
      <c r="G630" s="2458"/>
      <c r="H630" s="2458"/>
      <c r="I630" s="2458"/>
      <c r="J630" s="2458"/>
      <c r="K630" s="697"/>
      <c r="L630" s="2588"/>
      <c r="M630" s="2458"/>
      <c r="N630" s="2458"/>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82" t="s">
        <v>2141</v>
      </c>
      <c r="J631" s="2458"/>
      <c r="K631" s="2458"/>
      <c r="L631" s="2585" t="s">
        <v>2291</v>
      </c>
      <c r="M631" s="2458"/>
      <c r="N631" s="2458"/>
      <c r="O631" s="2584"/>
      <c r="P631" s="2587" t="s">
        <v>2142</v>
      </c>
      <c r="Q631" s="2458"/>
      <c r="R631" s="2584"/>
      <c r="S631" s="2583" t="s">
        <v>2143</v>
      </c>
      <c r="T631" s="2458"/>
      <c r="U631" s="2584"/>
      <c r="V631" s="15"/>
      <c r="W631" s="809"/>
      <c r="X631" s="809"/>
      <c r="Y631" s="809"/>
      <c r="Z631" s="809"/>
      <c r="AA631" s="809"/>
      <c r="AB631" s="810"/>
      <c r="AD631" s="10"/>
      <c r="AE631" s="10"/>
      <c r="AF631" s="10"/>
      <c r="AG631" s="1372" t="s">
        <v>2141</v>
      </c>
      <c r="AH631" s="1372" t="s">
        <v>2142</v>
      </c>
      <c r="AI631" s="1372" t="s">
        <v>2143</v>
      </c>
      <c r="AJ631" s="2580" t="s">
        <v>2141</v>
      </c>
      <c r="AK631" s="2474"/>
      <c r="AL631" s="2580" t="s">
        <v>2142</v>
      </c>
      <c r="AM631" s="2474"/>
      <c r="AN631" s="2580" t="s">
        <v>2143</v>
      </c>
      <c r="AO631" s="2474"/>
    </row>
    <row r="632" spans="1:41" ht="31" customHeight="1">
      <c r="B632" s="1686"/>
      <c r="D632" s="79" t="s">
        <v>2292</v>
      </c>
      <c r="E632" s="827"/>
      <c r="F632" s="26" t="s">
        <v>64</v>
      </c>
      <c r="G632" s="26" t="s">
        <v>453</v>
      </c>
      <c r="H632" s="26" t="s">
        <v>2294</v>
      </c>
      <c r="I632" s="1334" t="s">
        <v>2295</v>
      </c>
      <c r="J632" s="29" t="s">
        <v>2296</v>
      </c>
      <c r="K632" s="29" t="s">
        <v>2297</v>
      </c>
      <c r="L632" s="29" t="s">
        <v>2298</v>
      </c>
      <c r="M632" s="29" t="s">
        <v>2299</v>
      </c>
      <c r="N632" s="29" t="s">
        <v>2300</v>
      </c>
      <c r="O632" s="1335" t="s">
        <v>2301</v>
      </c>
      <c r="P632" s="1334" t="s">
        <v>2295</v>
      </c>
      <c r="Q632" s="29" t="s">
        <v>2296</v>
      </c>
      <c r="R632" s="1335" t="s">
        <v>2297</v>
      </c>
      <c r="S632" s="1334" t="s">
        <v>2295</v>
      </c>
      <c r="T632" s="29" t="s">
        <v>2296</v>
      </c>
      <c r="U632" s="1335" t="s">
        <v>2297</v>
      </c>
      <c r="V632" s="730"/>
      <c r="W632" s="819" t="s">
        <v>2141</v>
      </c>
      <c r="X632" s="820" t="s">
        <v>2302</v>
      </c>
      <c r="Y632" s="819" t="s">
        <v>2142</v>
      </c>
      <c r="Z632" s="820" t="s">
        <v>2303</v>
      </c>
      <c r="AA632" s="819" t="s">
        <v>2143</v>
      </c>
      <c r="AB632" s="820" t="s">
        <v>2304</v>
      </c>
      <c r="AD632" s="10"/>
      <c r="AE632" s="10"/>
      <c r="AF632" s="10"/>
      <c r="AG632" s="10"/>
      <c r="AH632" s="10"/>
      <c r="AI632" s="10"/>
      <c r="AJ632" s="1476" t="s">
        <v>1585</v>
      </c>
      <c r="AK632" s="1476" t="s">
        <v>1488</v>
      </c>
      <c r="AL632" s="1476" t="s">
        <v>1585</v>
      </c>
      <c r="AM632" s="1476" t="s">
        <v>1488</v>
      </c>
      <c r="AN632" s="1476" t="s">
        <v>1585</v>
      </c>
      <c r="AO632" s="1476" t="s">
        <v>1488</v>
      </c>
    </row>
    <row r="633" spans="1:41" ht="31" customHeight="1">
      <c r="A633" t="str">
        <f>IF(Test_Bible!B163="","F","O")</f>
        <v>O</v>
      </c>
      <c r="B633" s="2131" t="s">
        <v>2398</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5.5"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1" customHeight="1">
      <c r="B635" s="1686"/>
      <c r="C635" s="704" t="s">
        <v>2306</v>
      </c>
      <c r="D635" s="705" t="str">
        <f>_xlfn.XLOOKUP(H635,H633:H634,D633:D634)</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5.5"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5.5"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6" customHeight="1" thickBot="1">
      <c r="B638" s="1686"/>
      <c r="C638" s="710" t="s">
        <v>2307</v>
      </c>
      <c r="D638" s="711">
        <f>_xlfn.XLOOKUP(H638,H636:H637,D636:D637)</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1.5" customHeight="1" thickBot="1">
      <c r="B639" s="1686"/>
      <c r="C639" s="716" t="s">
        <v>2308</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t="s">
        <v>620</v>
      </c>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6"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6" customHeight="1" thickBot="1">
      <c r="B642" s="1686"/>
      <c r="C642" s="721" t="s">
        <v>2311</v>
      </c>
      <c r="D642" s="722">
        <f>_xlfn.XLOOKUP(H642,H640:H641,D640:D641)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5.5" customHeight="1">
      <c r="B643" s="1686"/>
      <c r="D643" s="383" t="s">
        <v>2312</v>
      </c>
      <c r="E643" s="699"/>
      <c r="F643" s="435" t="s">
        <v>2313</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5.5" customHeight="1">
      <c r="B644" s="1686"/>
      <c r="C644" t="s">
        <v>42</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37" customHeight="1">
      <c r="A645" t="str">
        <f>IF(Test_Bible!B123="","F","O")</f>
        <v>O</v>
      </c>
      <c r="B645" s="2131" t="s">
        <v>2398</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19"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6.5" customHeight="1" thickBot="1">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18"/>
      <c r="X649" s="2018"/>
      <c r="Y649" s="2018"/>
      <c r="Z649" s="2018"/>
      <c r="AA649" s="2018"/>
      <c r="AB649" s="2018"/>
      <c r="AG649" s="5"/>
      <c r="AH649" s="5"/>
      <c r="AI649" s="5"/>
    </row>
    <row r="650" spans="1:41" ht="15.5" customHeight="1">
      <c r="B650" s="1686"/>
      <c r="W650" s="1373"/>
      <c r="X650" s="1374"/>
      <c r="Y650" s="1220"/>
      <c r="AD650" s="10"/>
      <c r="AE650" s="10"/>
      <c r="AF650" s="10"/>
    </row>
    <row r="651" spans="1:41">
      <c r="E651" s="85" t="s">
        <v>2287</v>
      </c>
      <c r="F651" s="2591" t="s">
        <v>2397</v>
      </c>
      <c r="G651" s="2458"/>
      <c r="H651" s="2458"/>
      <c r="I651" s="2458"/>
      <c r="J651" s="2458"/>
      <c r="K651" s="697"/>
      <c r="L651" s="2588"/>
      <c r="M651" s="2458"/>
      <c r="N651" s="2458"/>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82" t="s">
        <v>2141</v>
      </c>
      <c r="J652" s="2458"/>
      <c r="K652" s="2458"/>
      <c r="L652" s="2585" t="s">
        <v>2291</v>
      </c>
      <c r="M652" s="2458"/>
      <c r="N652" s="2458"/>
      <c r="O652" s="2584"/>
      <c r="P652" s="2587" t="s">
        <v>2142</v>
      </c>
      <c r="Q652" s="2458"/>
      <c r="R652" s="2584"/>
      <c r="S652" s="2583" t="s">
        <v>2143</v>
      </c>
      <c r="T652" s="2458"/>
      <c r="U652" s="2584"/>
      <c r="V652" s="15"/>
      <c r="W652" s="809"/>
      <c r="X652" s="809"/>
      <c r="Y652" s="809"/>
      <c r="Z652" s="809"/>
      <c r="AA652" s="809"/>
      <c r="AB652" s="810"/>
      <c r="AD652" s="10"/>
      <c r="AE652" s="10"/>
      <c r="AF652" s="10"/>
      <c r="AG652" s="1372" t="s">
        <v>2141</v>
      </c>
      <c r="AH652" s="1372" t="s">
        <v>2142</v>
      </c>
      <c r="AI652" s="1372" t="s">
        <v>2143</v>
      </c>
      <c r="AJ652" s="2580" t="s">
        <v>2141</v>
      </c>
      <c r="AK652" s="2474"/>
      <c r="AL652" s="2580" t="s">
        <v>2142</v>
      </c>
      <c r="AM652" s="2474"/>
      <c r="AN652" s="2580" t="s">
        <v>2143</v>
      </c>
      <c r="AO652" s="2474"/>
    </row>
    <row r="653" spans="1:41" ht="31" customHeight="1">
      <c r="B653" s="1686"/>
      <c r="D653" s="79" t="s">
        <v>2292</v>
      </c>
      <c r="E653" s="827"/>
      <c r="F653" s="26" t="s">
        <v>64</v>
      </c>
      <c r="G653" s="26" t="s">
        <v>453</v>
      </c>
      <c r="H653" s="26" t="s">
        <v>2294</v>
      </c>
      <c r="I653" s="1334" t="s">
        <v>2295</v>
      </c>
      <c r="J653" s="29" t="s">
        <v>2296</v>
      </c>
      <c r="K653" s="29" t="s">
        <v>2297</v>
      </c>
      <c r="L653" s="29" t="s">
        <v>2298</v>
      </c>
      <c r="M653" s="29" t="s">
        <v>2299</v>
      </c>
      <c r="N653" s="29" t="s">
        <v>2300</v>
      </c>
      <c r="O653" s="1335" t="s">
        <v>2301</v>
      </c>
      <c r="P653" s="1334" t="s">
        <v>2295</v>
      </c>
      <c r="Q653" s="29" t="s">
        <v>2296</v>
      </c>
      <c r="R653" s="1335" t="s">
        <v>2297</v>
      </c>
      <c r="S653" s="1334" t="s">
        <v>2295</v>
      </c>
      <c r="T653" s="29" t="s">
        <v>2296</v>
      </c>
      <c r="U653" s="1335" t="s">
        <v>2297</v>
      </c>
      <c r="V653" s="730"/>
      <c r="W653" s="819" t="s">
        <v>2141</v>
      </c>
      <c r="X653" s="820" t="s">
        <v>2302</v>
      </c>
      <c r="Y653" s="819" t="s">
        <v>2142</v>
      </c>
      <c r="Z653" s="820" t="s">
        <v>2303</v>
      </c>
      <c r="AA653" s="819" t="s">
        <v>2143</v>
      </c>
      <c r="AB653" s="820" t="s">
        <v>2304</v>
      </c>
      <c r="AD653" s="10"/>
      <c r="AE653" s="10"/>
      <c r="AF653" s="10"/>
      <c r="AG653" s="10"/>
      <c r="AH653" s="10"/>
      <c r="AI653" s="10"/>
      <c r="AJ653" s="1476" t="s">
        <v>1585</v>
      </c>
      <c r="AK653" s="1476" t="s">
        <v>1488</v>
      </c>
      <c r="AL653" s="1476" t="s">
        <v>1585</v>
      </c>
      <c r="AM653" s="1476" t="s">
        <v>1488</v>
      </c>
      <c r="AN653" s="1476" t="s">
        <v>1585</v>
      </c>
      <c r="AO653" s="1476" t="s">
        <v>1488</v>
      </c>
    </row>
    <row r="654" spans="1:41" ht="31"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5.5"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1" customHeight="1">
      <c r="B656" s="1686"/>
      <c r="C656" s="704" t="s">
        <v>2306</v>
      </c>
      <c r="D656" s="705" t="str">
        <f>_xlfn.XLOOKUP(H656,H654:H655,D654:D655)</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5.5"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5.5"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6" customHeight="1" thickBot="1">
      <c r="B659" s="1686"/>
      <c r="C659" s="710" t="s">
        <v>2307</v>
      </c>
      <c r="D659" s="711">
        <f>_xlfn.XLOOKUP(H659,H657:H658,D657:D658)</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1.5" customHeight="1" thickBot="1">
      <c r="B660" s="1686"/>
      <c r="C660" s="716" t="s">
        <v>2308</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t="s">
        <v>620</v>
      </c>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6"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6" customHeight="1" thickBot="1">
      <c r="B663" s="1686"/>
      <c r="C663" s="721" t="s">
        <v>2311</v>
      </c>
      <c r="D663" s="722">
        <f>_xlfn.XLOOKUP(H663,H661:H662,D661:D662)</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1" customHeight="1">
      <c r="B664" s="1686"/>
      <c r="D664" s="383" t="s">
        <v>2312</v>
      </c>
      <c r="E664" s="699"/>
      <c r="F664" s="435" t="s">
        <v>2313</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5.5" customHeight="1">
      <c r="B665" s="1686"/>
      <c r="C665" t="s">
        <v>42</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19"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6.5" customHeight="1" thickBot="1">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5.5"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6"/>
      <c r="W673" s="1373"/>
      <c r="X673" s="1374"/>
      <c r="Y673" s="1220"/>
    </row>
    <row r="674" spans="1:78">
      <c r="E674" s="85" t="s">
        <v>2287</v>
      </c>
      <c r="F674" s="2591" t="s">
        <v>2397</v>
      </c>
      <c r="G674" s="2458"/>
      <c r="H674" s="2458"/>
      <c r="I674" s="2458"/>
      <c r="J674" s="2458"/>
      <c r="K674" s="697"/>
      <c r="L674" s="2588"/>
      <c r="M674" s="2458"/>
      <c r="N674" s="2458"/>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82" t="s">
        <v>2141</v>
      </c>
      <c r="J675" s="2458"/>
      <c r="K675" s="2458"/>
      <c r="L675" s="2585" t="s">
        <v>2291</v>
      </c>
      <c r="M675" s="2458"/>
      <c r="N675" s="2458"/>
      <c r="O675" s="2584"/>
      <c r="P675" s="2587" t="s">
        <v>2142</v>
      </c>
      <c r="Q675" s="2458"/>
      <c r="R675" s="2584"/>
      <c r="S675" s="2583" t="s">
        <v>2143</v>
      </c>
      <c r="T675" s="2458"/>
      <c r="U675" s="2584"/>
      <c r="V675" s="15"/>
      <c r="W675" s="809"/>
      <c r="X675" s="809"/>
      <c r="Y675" s="809"/>
      <c r="Z675" s="809"/>
      <c r="AA675" s="809"/>
      <c r="AB675" s="810"/>
      <c r="AD675" s="10"/>
      <c r="AE675" s="10"/>
      <c r="AF675" s="10"/>
      <c r="AG675" s="1372" t="s">
        <v>2141</v>
      </c>
      <c r="AH675" s="1372" t="s">
        <v>2142</v>
      </c>
      <c r="AI675" s="1372" t="s">
        <v>2143</v>
      </c>
      <c r="AJ675" s="2580" t="s">
        <v>2141</v>
      </c>
      <c r="AK675" s="2474"/>
      <c r="AL675" s="2580" t="s">
        <v>2142</v>
      </c>
      <c r="AM675" s="2474"/>
      <c r="AN675" s="2580" t="s">
        <v>2143</v>
      </c>
      <c r="AO675" s="2474"/>
      <c r="AY675" s="728"/>
      <c r="AZ675" s="728"/>
      <c r="BA675" s="87"/>
      <c r="BB675" s="438"/>
      <c r="BC675" s="89"/>
      <c r="BD675" s="442"/>
      <c r="BE675" s="442"/>
      <c r="BF675" s="89"/>
      <c r="BG675" s="443"/>
      <c r="BH675" s="443"/>
      <c r="BI675" s="439"/>
    </row>
    <row r="676" spans="1:78" ht="31" customHeight="1">
      <c r="B676" s="1686"/>
      <c r="D676" s="79" t="s">
        <v>2292</v>
      </c>
      <c r="E676" s="827"/>
      <c r="F676" s="26" t="s">
        <v>64</v>
      </c>
      <c r="G676" s="26" t="s">
        <v>453</v>
      </c>
      <c r="H676" s="26" t="s">
        <v>2294</v>
      </c>
      <c r="I676" s="1334" t="s">
        <v>2295</v>
      </c>
      <c r="J676" s="29" t="s">
        <v>2296</v>
      </c>
      <c r="K676" s="29" t="s">
        <v>2297</v>
      </c>
      <c r="L676" s="29" t="s">
        <v>2298</v>
      </c>
      <c r="M676" s="29" t="s">
        <v>2299</v>
      </c>
      <c r="N676" s="29" t="s">
        <v>2300</v>
      </c>
      <c r="O676" s="1335" t="s">
        <v>2301</v>
      </c>
      <c r="P676" s="1334" t="s">
        <v>2295</v>
      </c>
      <c r="Q676" s="29" t="s">
        <v>2296</v>
      </c>
      <c r="R676" s="1335" t="s">
        <v>2297</v>
      </c>
      <c r="S676" s="1334" t="s">
        <v>2295</v>
      </c>
      <c r="T676" s="29" t="s">
        <v>2296</v>
      </c>
      <c r="U676" s="1335" t="s">
        <v>2297</v>
      </c>
      <c r="V676" s="730"/>
      <c r="W676" s="819" t="s">
        <v>2141</v>
      </c>
      <c r="X676" s="820" t="s">
        <v>2302</v>
      </c>
      <c r="Y676" s="819" t="s">
        <v>2142</v>
      </c>
      <c r="Z676" s="820" t="s">
        <v>2303</v>
      </c>
      <c r="AA676" s="819" t="s">
        <v>2143</v>
      </c>
      <c r="AB676" s="820" t="s">
        <v>2304</v>
      </c>
      <c r="AD676" s="10"/>
      <c r="AE676" s="10"/>
      <c r="AF676" s="10"/>
      <c r="AG676" s="10"/>
      <c r="AH676" s="10"/>
      <c r="AI676" s="10"/>
      <c r="AJ676" s="1476" t="s">
        <v>1585</v>
      </c>
      <c r="AK676" s="1476" t="s">
        <v>1488</v>
      </c>
      <c r="AL676" s="1476" t="s">
        <v>1585</v>
      </c>
      <c r="AM676" s="1476" t="s">
        <v>1488</v>
      </c>
      <c r="AN676" s="1476" t="s">
        <v>1585</v>
      </c>
      <c r="AO676" s="1476" t="s">
        <v>1488</v>
      </c>
      <c r="AY676" s="728"/>
      <c r="AZ676" s="728"/>
      <c r="BA676" s="87"/>
      <c r="BB676" s="438"/>
      <c r="BC676" s="89"/>
      <c r="BD676" s="442"/>
      <c r="BE676" s="442"/>
      <c r="BF676" s="89"/>
      <c r="BG676" s="443"/>
      <c r="BH676" s="443"/>
      <c r="BI676" s="439"/>
    </row>
    <row r="677" spans="1:78" ht="31" customHeight="1">
      <c r="A677" t="str">
        <f>IF(Test_Bible!B206="","F","O")</f>
        <v>O</v>
      </c>
      <c r="B677" s="2131" t="s">
        <v>2398</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8.5"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1" customHeight="1">
      <c r="B679" s="1686"/>
      <c r="C679" s="704" t="s">
        <v>2306</v>
      </c>
      <c r="D679" s="705" t="str">
        <f>_xlfn.XLOOKUP(H679,H677:H678,D677:D678)</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5.5"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8.5"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6"/>
      <c r="C682" s="710" t="s">
        <v>2307</v>
      </c>
      <c r="D682" s="711">
        <f>_xlfn.XLOOKUP(H682,H680:H681,D680:D681)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6"/>
      <c r="C683" s="716" t="s">
        <v>2308</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t="s">
        <v>620</v>
      </c>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6"/>
      <c r="C686" s="721" t="s">
        <v>2311</v>
      </c>
      <c r="D686" s="722">
        <f>_xlfn.XLOOKUP(H686,H684:H685,D684:D685)</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5.5" customHeight="1">
      <c r="B687" s="1686"/>
      <c r="D687" s="383" t="s">
        <v>2312</v>
      </c>
      <c r="E687" s="699"/>
      <c r="F687" s="435" t="s">
        <v>2313</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5.5" customHeight="1">
      <c r="B688" s="1686"/>
      <c r="C688" t="s">
        <v>42</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5.5"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19"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6.5"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5"/>
      <c r="AH693" s="1925"/>
      <c r="AI693" s="1925"/>
      <c r="AJ693" s="1925"/>
      <c r="AK693" s="1925"/>
      <c r="AL693" s="1925"/>
      <c r="AM693" s="1925"/>
      <c r="AN693" s="1925"/>
      <c r="AO693" s="1925"/>
    </row>
    <row r="694" spans="1:41">
      <c r="B694" s="1685">
        <v>27</v>
      </c>
      <c r="D694" s="437" t="str">
        <f>'Cpts AR +indép + Sommaire'!B100</f>
        <v>Défenseur du parent</v>
      </c>
      <c r="E694" s="84"/>
      <c r="F694" s="50"/>
      <c r="G694" s="18"/>
      <c r="H694" s="18"/>
      <c r="I694" s="2582" t="s">
        <v>2141</v>
      </c>
      <c r="J694" s="2458"/>
      <c r="K694" s="2458"/>
      <c r="L694" s="2585" t="s">
        <v>2291</v>
      </c>
      <c r="M694" s="2458"/>
      <c r="N694" s="2458"/>
      <c r="O694" s="2584"/>
      <c r="P694" s="2587" t="s">
        <v>2142</v>
      </c>
      <c r="Q694" s="2458"/>
      <c r="R694" s="2584"/>
      <c r="S694" s="2583" t="s">
        <v>2143</v>
      </c>
      <c r="T694" s="2458"/>
      <c r="U694" s="2584"/>
      <c r="V694" s="15"/>
      <c r="W694" s="809"/>
      <c r="X694" s="809"/>
      <c r="Y694" s="809"/>
      <c r="Z694" s="809"/>
      <c r="AA694" s="809"/>
      <c r="AB694" s="810"/>
      <c r="AD694" s="10"/>
      <c r="AE694" s="10"/>
      <c r="AF694" s="10"/>
      <c r="AG694" s="1372" t="s">
        <v>2141</v>
      </c>
      <c r="AH694" s="1372" t="s">
        <v>2142</v>
      </c>
      <c r="AI694" s="1372" t="s">
        <v>2143</v>
      </c>
      <c r="AJ694" s="2580" t="s">
        <v>2141</v>
      </c>
      <c r="AK694" s="2474"/>
      <c r="AL694" s="2580" t="s">
        <v>2142</v>
      </c>
      <c r="AM694" s="2474"/>
      <c r="AN694" s="2580" t="s">
        <v>2143</v>
      </c>
      <c r="AO694" s="2474"/>
    </row>
    <row r="695" spans="1:41" ht="31" customHeight="1">
      <c r="B695" s="1686"/>
      <c r="D695" s="79" t="s">
        <v>2292</v>
      </c>
      <c r="E695" s="827" t="s">
        <v>2293</v>
      </c>
      <c r="F695" s="26" t="s">
        <v>64</v>
      </c>
      <c r="G695" s="26" t="s">
        <v>453</v>
      </c>
      <c r="H695" s="26" t="s">
        <v>2294</v>
      </c>
      <c r="I695" s="1334" t="s">
        <v>2295</v>
      </c>
      <c r="J695" s="29" t="s">
        <v>2296</v>
      </c>
      <c r="K695" s="29" t="s">
        <v>2297</v>
      </c>
      <c r="L695" s="29" t="s">
        <v>2298</v>
      </c>
      <c r="M695" s="29" t="s">
        <v>2299</v>
      </c>
      <c r="N695" s="29" t="s">
        <v>2300</v>
      </c>
      <c r="O695" s="1335" t="s">
        <v>2301</v>
      </c>
      <c r="P695" s="1334" t="s">
        <v>2295</v>
      </c>
      <c r="Q695" s="29" t="s">
        <v>2296</v>
      </c>
      <c r="R695" s="1335" t="s">
        <v>2297</v>
      </c>
      <c r="S695" s="1334" t="s">
        <v>2295</v>
      </c>
      <c r="T695" s="29" t="s">
        <v>2296</v>
      </c>
      <c r="U695" s="1335" t="s">
        <v>2297</v>
      </c>
      <c r="V695" s="730"/>
      <c r="W695" s="819" t="s">
        <v>2141</v>
      </c>
      <c r="X695" s="820" t="s">
        <v>2302</v>
      </c>
      <c r="Y695" s="819" t="s">
        <v>2142</v>
      </c>
      <c r="Z695" s="820" t="s">
        <v>2303</v>
      </c>
      <c r="AA695" s="819" t="s">
        <v>2143</v>
      </c>
      <c r="AB695" s="820" t="s">
        <v>2304</v>
      </c>
      <c r="AD695" s="10"/>
      <c r="AE695" s="10"/>
      <c r="AF695" s="10"/>
      <c r="AG695" s="10"/>
      <c r="AH695" s="10"/>
      <c r="AI695" s="10"/>
      <c r="AJ695" s="1476" t="s">
        <v>1585</v>
      </c>
      <c r="AK695" s="1476" t="s">
        <v>1488</v>
      </c>
      <c r="AL695" s="1476" t="s">
        <v>1585</v>
      </c>
      <c r="AM695" s="1476" t="s">
        <v>1488</v>
      </c>
      <c r="AN695" s="1476" t="s">
        <v>1585</v>
      </c>
      <c r="AO695" s="1476" t="s">
        <v>1488</v>
      </c>
    </row>
    <row r="696" spans="1:41" ht="15.5"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5.5"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5.5" customHeight="1">
      <c r="B698" s="1686"/>
      <c r="C698" s="704" t="s">
        <v>2306</v>
      </c>
      <c r="D698" s="705">
        <f>_xlfn.XLOOKUP(H698,H696:H697,D696:D697)</f>
        <v>0</v>
      </c>
      <c r="E698" s="706">
        <f>_xlfn.XLOOKUP(H698,H696:H697,E696:E697)</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5.5" customHeight="1">
      <c r="B699" s="1686"/>
      <c r="C699" s="38" t="s">
        <v>270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5.5" customHeight="1">
      <c r="B700" s="1686"/>
      <c r="C700" s="38" t="s">
        <v>270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6" customHeight="1" thickBot="1">
      <c r="B701" s="1686"/>
      <c r="C701" s="710" t="s">
        <v>2307</v>
      </c>
      <c r="D701" s="711">
        <f>_xlfn.XLOOKUP(H701,H699:H700,D699:D700)</f>
        <v>0</v>
      </c>
      <c r="E701" s="712">
        <f>_xlfn.XLOOKUP(H701,H699:H700,E699:E700)</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1.5" customHeight="1" thickBot="1">
      <c r="B702" s="1686"/>
      <c r="C702" s="716" t="s">
        <v>2308</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31" t="s">
        <v>2398</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t="s">
        <v>620</v>
      </c>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6" customHeight="1" thickBot="1">
      <c r="B704" s="1686"/>
      <c r="C704" s="287" t="s">
        <v>2322</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1.5" customHeight="1" thickBot="1">
      <c r="B705" s="1686"/>
      <c r="C705" s="721" t="s">
        <v>2311</v>
      </c>
      <c r="D705" s="722" t="str">
        <f>_xlfn.XLOOKUP(H705,H703:H704,D703:D704)</f>
        <v>Votre enfant cherche à vous convaincre des qualités de l’autre parent.</v>
      </c>
      <c r="E705" s="722" t="s">
        <v>2400</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5.5" customHeight="1">
      <c r="B706" s="1686"/>
      <c r="D706" s="383" t="s">
        <v>2312</v>
      </c>
      <c r="E706" s="699"/>
      <c r="F706" s="435" t="s">
        <v>2313</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5.5" customHeight="1">
      <c r="B707" s="1686"/>
      <c r="C707" t="s">
        <v>42</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8.5"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19"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6.5"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5.5" customHeight="1">
      <c r="B712" s="1686"/>
      <c r="W712" s="1373"/>
      <c r="X712" s="1374"/>
      <c r="Y712" s="1220"/>
    </row>
    <row r="713" spans="1:78">
      <c r="B713" s="1685">
        <v>28</v>
      </c>
      <c r="D713" s="437" t="str">
        <f>'Cpts AR +indép + Sommaire'!B102</f>
        <v>Manque d'ambivalence</v>
      </c>
      <c r="E713" s="84"/>
      <c r="F713" s="50"/>
      <c r="G713" s="18"/>
      <c r="H713" s="18"/>
      <c r="I713" s="2582" t="s">
        <v>2141</v>
      </c>
      <c r="J713" s="2458"/>
      <c r="K713" s="2458"/>
      <c r="L713" s="2585" t="s">
        <v>2291</v>
      </c>
      <c r="M713" s="2458"/>
      <c r="N713" s="2458"/>
      <c r="O713" s="2584"/>
      <c r="P713" s="2587" t="s">
        <v>2142</v>
      </c>
      <c r="Q713" s="2458"/>
      <c r="R713" s="2584"/>
      <c r="S713" s="2583" t="s">
        <v>2143</v>
      </c>
      <c r="T713" s="2458"/>
      <c r="U713" s="2584"/>
      <c r="V713" s="15"/>
      <c r="W713" s="809"/>
      <c r="X713" s="809"/>
      <c r="Y713" s="809"/>
      <c r="Z713" s="809"/>
      <c r="AA713" s="809"/>
      <c r="AB713" s="810"/>
      <c r="AD713" s="10"/>
      <c r="AE713" s="10"/>
      <c r="AF713" s="10"/>
      <c r="AG713" s="1372" t="s">
        <v>2141</v>
      </c>
      <c r="AH713" s="1372" t="s">
        <v>2142</v>
      </c>
      <c r="AI713" s="1372" t="s">
        <v>2143</v>
      </c>
      <c r="AJ713" s="2580" t="s">
        <v>2141</v>
      </c>
      <c r="AK713" s="2474"/>
      <c r="AL713" s="2580" t="s">
        <v>2142</v>
      </c>
      <c r="AM713" s="2474"/>
      <c r="AN713" s="2580" t="s">
        <v>2143</v>
      </c>
      <c r="AO713" s="2474"/>
    </row>
    <row r="714" spans="1:78" ht="31" customHeight="1">
      <c r="B714" s="1686"/>
      <c r="D714" s="79" t="s">
        <v>2292</v>
      </c>
      <c r="E714" s="827" t="s">
        <v>2293</v>
      </c>
      <c r="F714" s="26" t="s">
        <v>64</v>
      </c>
      <c r="G714" s="26" t="s">
        <v>453</v>
      </c>
      <c r="H714" s="26" t="s">
        <v>2294</v>
      </c>
      <c r="I714" s="1334" t="s">
        <v>2295</v>
      </c>
      <c r="J714" s="29" t="s">
        <v>2296</v>
      </c>
      <c r="K714" s="29" t="s">
        <v>2297</v>
      </c>
      <c r="L714" s="29" t="s">
        <v>2298</v>
      </c>
      <c r="M714" s="29" t="s">
        <v>2299</v>
      </c>
      <c r="N714" s="29" t="s">
        <v>2300</v>
      </c>
      <c r="O714" s="1335" t="s">
        <v>2301</v>
      </c>
      <c r="P714" s="1334" t="s">
        <v>2295</v>
      </c>
      <c r="Q714" s="29" t="s">
        <v>2296</v>
      </c>
      <c r="R714" s="1335" t="s">
        <v>2297</v>
      </c>
      <c r="S714" s="1334" t="s">
        <v>2295</v>
      </c>
      <c r="T714" s="29" t="s">
        <v>2296</v>
      </c>
      <c r="U714" s="1335" t="s">
        <v>2297</v>
      </c>
      <c r="V714" s="730"/>
      <c r="W714" s="819" t="s">
        <v>2141</v>
      </c>
      <c r="X714" s="820" t="s">
        <v>2302</v>
      </c>
      <c r="Y714" s="819" t="s">
        <v>2142</v>
      </c>
      <c r="Z714" s="820" t="s">
        <v>2303</v>
      </c>
      <c r="AA714" s="819" t="s">
        <v>2143</v>
      </c>
      <c r="AB714" s="820" t="s">
        <v>2304</v>
      </c>
      <c r="AD714" s="10"/>
      <c r="AE714" s="10"/>
      <c r="AF714" s="10"/>
      <c r="AG714" s="10"/>
      <c r="AH714" s="10"/>
      <c r="AI714" s="10"/>
      <c r="AJ714" s="1476" t="s">
        <v>1585</v>
      </c>
      <c r="AK714" s="1476" t="s">
        <v>1488</v>
      </c>
      <c r="AL714" s="1476" t="s">
        <v>1585</v>
      </c>
      <c r="AM714" s="1476" t="s">
        <v>1488</v>
      </c>
      <c r="AN714" s="1476" t="s">
        <v>1585</v>
      </c>
      <c r="AO714" s="1476" t="s">
        <v>1488</v>
      </c>
      <c r="AY714" s="728"/>
      <c r="AZ714" s="728"/>
      <c r="BA714" s="87"/>
      <c r="BB714" s="438"/>
      <c r="BC714" s="89"/>
      <c r="BD714" s="442"/>
      <c r="BE714" s="442"/>
      <c r="BF714" s="89"/>
      <c r="BG714" s="443"/>
      <c r="BH714" s="443"/>
      <c r="BI714" s="439"/>
    </row>
    <row r="715" spans="1:78" ht="18.5" customHeight="1">
      <c r="B715" s="1686">
        <f>'Cpts AR +indép + Sommaire'!G245</f>
        <v>0</v>
      </c>
      <c r="C715" s="1983">
        <f>'Cpts AR +indép + Sommaire'!C245</f>
        <v>0</v>
      </c>
      <c r="D715" s="1984">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8.5"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8.5" customHeight="1">
      <c r="B717" s="1686"/>
      <c r="C717" s="704" t="s">
        <v>2306</v>
      </c>
      <c r="D717" s="705">
        <f>_xlfn.XLOOKUP(H717,H715:H716,D715:D716)</f>
        <v>0</v>
      </c>
      <c r="E717" s="706">
        <f>_xlfn.XLOOKUP(H717,H715:H716,E715:E716)</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8.5" customHeight="1">
      <c r="A718" s="2590"/>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5.5" customHeight="1">
      <c r="A719" s="245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19" customHeight="1" thickBot="1">
      <c r="B720" s="1686"/>
      <c r="C720" s="710" t="s">
        <v>2307</v>
      </c>
      <c r="D720" s="711">
        <f>_xlfn.XLOOKUP(H720,H718:H719,D718:D719)</f>
        <v>0</v>
      </c>
      <c r="E720" s="712">
        <f>_xlfn.XLOOKUP(H720,H718:H719,E718:E719)</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6"/>
      <c r="C721" s="716" t="s">
        <v>2308</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31" t="s">
        <v>2398</v>
      </c>
      <c r="C722" s="287" t="str">
        <f>'Cpts AR +indép + Sommaire'!O102</f>
        <v>E04</v>
      </c>
      <c r="D722" s="25" t="str">
        <f>'Cpts AR +indép + Sommaire'!P102</f>
        <v>Votre enfant défend l'autre parent, quoi que vous fassiez, quoi que vous disiez.</v>
      </c>
      <c r="E722" s="78" t="s">
        <v>2401</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t="s">
        <v>620</v>
      </c>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31"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2402</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31" t="s">
        <v>2398</v>
      </c>
      <c r="C724" s="287" t="str">
        <f>'Cpts AR +indép + Sommaire'!O104</f>
        <v>E04a1</v>
      </c>
      <c r="D724" s="25" t="str">
        <f>'Cpts AR +indép + Sommaire'!P104</f>
        <v>Votre enfant calque les désirs et les paroles de l’autre parent.</v>
      </c>
      <c r="E724" s="78" t="s">
        <v>2403</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6"/>
      <c r="C725" s="721" t="s">
        <v>2311</v>
      </c>
      <c r="D725" s="722" t="str">
        <f>_xlfn.XLOOKUP(H725,H722:H724,D722:D724)</f>
        <v>Votre enfant défend l'autre parent, quoi que vous fassiez, quoi que vous disiez.</v>
      </c>
      <c r="E725" s="722" t="str">
        <f>_xlfn.XLOOKUP(H725,H722:H724,E722:E724)</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5.5" customHeight="1">
      <c r="B726" s="1686"/>
      <c r="D726" s="383" t="s">
        <v>2312</v>
      </c>
      <c r="E726" s="699"/>
      <c r="F726" s="435" t="s">
        <v>2313</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5.5" customHeight="1">
      <c r="B727" s="1686"/>
      <c r="C727" t="s">
        <v>42</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5.5"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6"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6.5"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18"/>
      <c r="X732" s="2018"/>
      <c r="Y732" s="2018"/>
      <c r="Z732" s="2018"/>
      <c r="AA732" s="2018"/>
      <c r="AB732" s="2018"/>
      <c r="AG732" s="5"/>
      <c r="AH732" s="5"/>
      <c r="AI732" s="5"/>
    </row>
    <row r="733" spans="1:78">
      <c r="B733" s="1685">
        <v>29</v>
      </c>
      <c r="D733" s="437" t="str">
        <f>'Cpts AR +indép + Sommaire'!B106</f>
        <v>Propos d'adulte</v>
      </c>
      <c r="E733" s="84"/>
      <c r="F733" s="50"/>
      <c r="G733" s="18"/>
      <c r="H733" s="18"/>
      <c r="I733" s="2582" t="s">
        <v>2141</v>
      </c>
      <c r="J733" s="2458"/>
      <c r="K733" s="2458"/>
      <c r="L733" s="2585" t="s">
        <v>2291</v>
      </c>
      <c r="M733" s="2458"/>
      <c r="N733" s="2458"/>
      <c r="O733" s="2584"/>
      <c r="P733" s="2587" t="s">
        <v>2142</v>
      </c>
      <c r="Q733" s="2458"/>
      <c r="R733" s="2584"/>
      <c r="S733" s="2583" t="s">
        <v>2143</v>
      </c>
      <c r="T733" s="2458"/>
      <c r="U733" s="2584"/>
      <c r="V733" s="15"/>
      <c r="W733" s="809"/>
      <c r="X733" s="809"/>
      <c r="Y733" s="809"/>
      <c r="Z733" s="809"/>
      <c r="AA733" s="809"/>
      <c r="AB733" s="810"/>
      <c r="AD733" s="10"/>
      <c r="AE733" s="10"/>
      <c r="AF733" s="10"/>
      <c r="AG733" s="1372" t="s">
        <v>2141</v>
      </c>
      <c r="AH733" s="1372" t="s">
        <v>2142</v>
      </c>
      <c r="AI733" s="1372" t="s">
        <v>2143</v>
      </c>
      <c r="AJ733" s="2580" t="s">
        <v>2141</v>
      </c>
      <c r="AK733" s="2474"/>
      <c r="AL733" s="2580" t="s">
        <v>2142</v>
      </c>
      <c r="AM733" s="2474"/>
      <c r="AN733" s="2580" t="s">
        <v>2143</v>
      </c>
      <c r="AO733" s="2474"/>
      <c r="AY733" s="728"/>
      <c r="AZ733" s="728"/>
      <c r="BA733" s="87"/>
      <c r="BB733" s="438"/>
      <c r="BC733" s="89"/>
      <c r="BD733" s="442"/>
      <c r="BE733" s="442"/>
      <c r="BF733" s="89"/>
      <c r="BG733" s="443"/>
      <c r="BH733" s="443"/>
      <c r="BI733" s="439"/>
    </row>
    <row r="734" spans="1:78" ht="31" customHeight="1">
      <c r="B734" s="1686"/>
      <c r="D734" s="79" t="s">
        <v>2292</v>
      </c>
      <c r="E734" s="827" t="s">
        <v>2293</v>
      </c>
      <c r="F734" s="26" t="s">
        <v>64</v>
      </c>
      <c r="G734" s="26" t="s">
        <v>453</v>
      </c>
      <c r="H734" s="26" t="s">
        <v>2294</v>
      </c>
      <c r="I734" s="1334" t="s">
        <v>2295</v>
      </c>
      <c r="J734" s="29" t="s">
        <v>2296</v>
      </c>
      <c r="K734" s="29" t="s">
        <v>2297</v>
      </c>
      <c r="L734" s="29" t="s">
        <v>2298</v>
      </c>
      <c r="M734" s="29" t="s">
        <v>2299</v>
      </c>
      <c r="N734" s="29" t="s">
        <v>2300</v>
      </c>
      <c r="O734" s="1335" t="s">
        <v>2301</v>
      </c>
      <c r="P734" s="1334" t="s">
        <v>2295</v>
      </c>
      <c r="Q734" s="29" t="s">
        <v>2296</v>
      </c>
      <c r="R734" s="1335" t="s">
        <v>2297</v>
      </c>
      <c r="S734" s="1334" t="s">
        <v>2295</v>
      </c>
      <c r="T734" s="29" t="s">
        <v>2296</v>
      </c>
      <c r="U734" s="1335" t="s">
        <v>2297</v>
      </c>
      <c r="V734" s="730"/>
      <c r="W734" s="819" t="s">
        <v>2141</v>
      </c>
      <c r="X734" s="820" t="s">
        <v>2302</v>
      </c>
      <c r="Y734" s="819" t="s">
        <v>2142</v>
      </c>
      <c r="Z734" s="820" t="s">
        <v>2303</v>
      </c>
      <c r="AA734" s="819" t="s">
        <v>2143</v>
      </c>
      <c r="AB734" s="820" t="s">
        <v>2304</v>
      </c>
      <c r="AD734" s="10"/>
      <c r="AE734" s="10"/>
      <c r="AF734" s="10"/>
      <c r="AG734" s="10"/>
      <c r="AH734" s="10"/>
      <c r="AI734" s="10"/>
      <c r="AJ734" s="1476" t="s">
        <v>1585</v>
      </c>
      <c r="AK734" s="1476" t="s">
        <v>1488</v>
      </c>
      <c r="AL734" s="1476" t="s">
        <v>1585</v>
      </c>
      <c r="AM734" s="1476" t="s">
        <v>1488</v>
      </c>
      <c r="AN734" s="1476" t="s">
        <v>1585</v>
      </c>
      <c r="AO734" s="1476" t="s">
        <v>1488</v>
      </c>
      <c r="AY734" s="728"/>
      <c r="AZ734" s="728"/>
      <c r="BA734" s="87"/>
      <c r="BB734" s="438"/>
      <c r="BC734" s="89"/>
      <c r="BD734" s="442"/>
      <c r="BE734" s="442"/>
      <c r="BF734" s="89"/>
      <c r="BG734" s="443"/>
      <c r="BH734" s="443"/>
      <c r="BI734" s="439"/>
    </row>
    <row r="735" spans="1:78" ht="18.5"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8.5"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8.5" customHeight="1">
      <c r="B737" s="1686"/>
      <c r="C737" s="704" t="s">
        <v>2306</v>
      </c>
      <c r="D737" s="705">
        <f>_xlfn.XLOOKUP(H737,H735:H736,D735:D736)</f>
        <v>0</v>
      </c>
      <c r="E737" s="706">
        <f>_xlfn.XLOOKUP(H737,H735:H736,E735:E736)</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5.5" customHeight="1">
      <c r="B738" s="1686"/>
      <c r="C738" s="38" t="s">
        <v>270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8.5" customHeight="1">
      <c r="B739" s="1686"/>
      <c r="C739" s="38" t="s">
        <v>270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6"/>
      <c r="C740" s="710" t="s">
        <v>2307</v>
      </c>
      <c r="D740" s="711">
        <f>_xlfn.XLOOKUP(H740,H738:H739,D738:D739)</f>
        <v>0</v>
      </c>
      <c r="E740" s="712">
        <f>_xlfn.XLOOKUP(H740,H738:H739,E738:E739)</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6"/>
      <c r="C741" s="716" t="s">
        <v>2308</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31" t="s">
        <v>2398</v>
      </c>
      <c r="C742" s="287" t="str">
        <f>'Cpts AR +indép + Sommaire'!O106</f>
        <v>E05</v>
      </c>
      <c r="D742" s="25" t="str">
        <f>'Cpts AR +indép + Sommaire'!P106</f>
        <v>Votre enfant s’exprime avec des expressions ou des paroles empruntées à l’autre parent.</v>
      </c>
      <c r="E742" s="78" t="s">
        <v>2404</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t="s">
        <v>620</v>
      </c>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6"/>
      <c r="C743" s="287" t="s">
        <v>2322</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6"/>
      <c r="C744" s="721" t="s">
        <v>2311</v>
      </c>
      <c r="D744" s="722" t="str">
        <f>_xlfn.XLOOKUP(H744,H742:H743,D742:D743)</f>
        <v>Votre enfant s’exprime avec des expressions ou des paroles empruntées à l’autre parent.</v>
      </c>
      <c r="E744" s="722" t="str">
        <f>_xlfn.XLOOKUP(H744,H742:H743,E742:E743)</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5.5" customHeight="1">
      <c r="B745" s="1686"/>
      <c r="D745" s="383" t="s">
        <v>2312</v>
      </c>
      <c r="E745" s="699"/>
      <c r="F745" s="435" t="s">
        <v>2313</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5.5" customHeight="1">
      <c r="B746" s="1686"/>
      <c r="C746" t="s">
        <v>42</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8.5"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19"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6.5"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18"/>
      <c r="X751" s="2018"/>
      <c r="Y751" s="2018"/>
      <c r="Z751" s="2018"/>
      <c r="AA751" s="2018"/>
      <c r="AB751" s="2018"/>
      <c r="AG751" s="5"/>
      <c r="AH751" s="5"/>
      <c r="AI751" s="5"/>
    </row>
    <row r="752" spans="1:78">
      <c r="B752" s="1685">
        <v>30</v>
      </c>
      <c r="D752" s="437" t="str">
        <f>'Cpts AR +indép + Sommaire'!B108</f>
        <v>Changement des ses valeurs</v>
      </c>
      <c r="E752" s="84"/>
      <c r="F752" s="50"/>
      <c r="G752" s="18"/>
      <c r="H752" s="18"/>
      <c r="I752" s="2582" t="s">
        <v>2141</v>
      </c>
      <c r="J752" s="2458"/>
      <c r="K752" s="2458"/>
      <c r="L752" s="2585" t="s">
        <v>2291</v>
      </c>
      <c r="M752" s="2458"/>
      <c r="N752" s="2458"/>
      <c r="O752" s="2584"/>
      <c r="P752" s="2587" t="s">
        <v>2142</v>
      </c>
      <c r="Q752" s="2458"/>
      <c r="R752" s="2584"/>
      <c r="S752" s="2583" t="s">
        <v>2143</v>
      </c>
      <c r="T752" s="2458"/>
      <c r="U752" s="2584"/>
      <c r="V752" s="15"/>
      <c r="W752" s="809"/>
      <c r="X752" s="809"/>
      <c r="Y752" s="809"/>
      <c r="Z752" s="809"/>
      <c r="AA752" s="809"/>
      <c r="AB752" s="810"/>
      <c r="AD752" s="10"/>
      <c r="AE752" s="10"/>
      <c r="AF752" s="10"/>
      <c r="AG752" s="1372" t="s">
        <v>2141</v>
      </c>
      <c r="AH752" s="1372" t="s">
        <v>2142</v>
      </c>
      <c r="AI752" s="1372" t="s">
        <v>2143</v>
      </c>
      <c r="AJ752" s="2580" t="s">
        <v>2141</v>
      </c>
      <c r="AK752" s="2474"/>
      <c r="AL752" s="2580" t="s">
        <v>2142</v>
      </c>
      <c r="AM752" s="2474"/>
      <c r="AN752" s="2580" t="s">
        <v>2143</v>
      </c>
      <c r="AO752" s="2474"/>
    </row>
    <row r="753" spans="1:41" ht="31" customHeight="1">
      <c r="B753" s="1686"/>
      <c r="D753" s="79" t="s">
        <v>2292</v>
      </c>
      <c r="E753" s="827" t="s">
        <v>2293</v>
      </c>
      <c r="F753" s="26" t="s">
        <v>64</v>
      </c>
      <c r="G753" s="26" t="s">
        <v>453</v>
      </c>
      <c r="H753" s="26" t="s">
        <v>2294</v>
      </c>
      <c r="I753" s="1334" t="s">
        <v>2295</v>
      </c>
      <c r="J753" s="29" t="s">
        <v>2296</v>
      </c>
      <c r="K753" s="29" t="s">
        <v>2297</v>
      </c>
      <c r="L753" s="29" t="s">
        <v>2298</v>
      </c>
      <c r="M753" s="29" t="s">
        <v>2299</v>
      </c>
      <c r="N753" s="29" t="s">
        <v>2300</v>
      </c>
      <c r="O753" s="1335" t="s">
        <v>2301</v>
      </c>
      <c r="P753" s="1334" t="s">
        <v>2295</v>
      </c>
      <c r="Q753" s="29" t="s">
        <v>2296</v>
      </c>
      <c r="R753" s="1335" t="s">
        <v>2297</v>
      </c>
      <c r="S753" s="1334" t="s">
        <v>2295</v>
      </c>
      <c r="T753" s="29" t="s">
        <v>2296</v>
      </c>
      <c r="U753" s="1335" t="s">
        <v>2297</v>
      </c>
      <c r="V753" s="730"/>
      <c r="W753" s="819" t="s">
        <v>2141</v>
      </c>
      <c r="X753" s="820" t="s">
        <v>2302</v>
      </c>
      <c r="Y753" s="819" t="s">
        <v>2142</v>
      </c>
      <c r="Z753" s="820" t="s">
        <v>2303</v>
      </c>
      <c r="AA753" s="819" t="s">
        <v>2143</v>
      </c>
      <c r="AB753" s="820" t="s">
        <v>2304</v>
      </c>
      <c r="AD753" s="10"/>
      <c r="AE753" s="10"/>
      <c r="AF753" s="10"/>
      <c r="AG753" s="10"/>
      <c r="AH753" s="10"/>
      <c r="AI753" s="10"/>
      <c r="AJ753" s="1476" t="s">
        <v>1585</v>
      </c>
      <c r="AK753" s="1476" t="s">
        <v>1488</v>
      </c>
      <c r="AL753" s="1476" t="s">
        <v>1585</v>
      </c>
      <c r="AM753" s="1476" t="s">
        <v>1488</v>
      </c>
      <c r="AN753" s="1476" t="s">
        <v>1585</v>
      </c>
      <c r="AO753" s="1476" t="s">
        <v>1488</v>
      </c>
    </row>
    <row r="754" spans="1:41" ht="15.5"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5.5"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5.5" customHeight="1">
      <c r="B756" s="1686"/>
      <c r="C756" s="704" t="s">
        <v>2306</v>
      </c>
      <c r="D756" s="705">
        <f>_xlfn.XLOOKUP(H756,H754:H755,D754:D755)</f>
        <v>0</v>
      </c>
      <c r="E756" s="706">
        <f>_xlfn.XLOOKUP(H756,H754:H755,E754:E755)</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5.5" customHeight="1">
      <c r="B757" s="1686"/>
      <c r="C757" s="38" t="s">
        <v>270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5.5" customHeight="1">
      <c r="B758" s="1686"/>
      <c r="C758" s="38" t="s">
        <v>270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6" customHeight="1" thickBot="1">
      <c r="B759" s="1686"/>
      <c r="C759" s="710" t="s">
        <v>2307</v>
      </c>
      <c r="D759" s="711">
        <f>_xlfn.XLOOKUP(H759,H757:H758,D757:D758)</f>
        <v>0</v>
      </c>
      <c r="E759" s="712">
        <f>_xlfn.XLOOKUP(H759,H757:H758,E757:E758)</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1.5" customHeight="1" thickBot="1">
      <c r="B760" s="1686"/>
      <c r="C760" s="716" t="s">
        <v>2308</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31" t="s">
        <v>2398</v>
      </c>
      <c r="C761" s="287" t="str">
        <f>'Cpts AR +indép + Sommaire'!O108</f>
        <v>E29</v>
      </c>
      <c r="D761" s="25" t="str">
        <f>'Cpts AR +indép + Sommaire'!P108</f>
        <v>Dans quelle mesure diriez-vous que votre enfant adapte ses champs d’intérêts pour partager les intérêts de l’autre parent ?</v>
      </c>
      <c r="E761" s="78" t="s">
        <v>2405</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t="s">
        <v>620</v>
      </c>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1.5" customHeight="1" thickBot="1">
      <c r="A762" t="str">
        <f>IF(Test_Bible!B323="","F","O")</f>
        <v>F</v>
      </c>
      <c r="B762" s="2131" t="s">
        <v>2398</v>
      </c>
      <c r="C762" s="287" t="str">
        <f>'Cpts AR +indép + Sommaire'!O109</f>
        <v>E29a</v>
      </c>
      <c r="D762" s="25" t="str">
        <f>'Cpts AR +indép + Sommaire'!P109</f>
        <v>Dans quelle mesure diriez-vous que votre enfant rejette vos valeurs et vos champs d’intérêts.</v>
      </c>
      <c r="E762" s="78" t="s">
        <v>2406</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1.5" customHeight="1" thickBot="1">
      <c r="B763" s="1686"/>
      <c r="C763" s="721" t="s">
        <v>2311</v>
      </c>
      <c r="D763" s="722" t="str">
        <f>_xlfn.XLOOKUP(H763,H761:H762,D761:D762)</f>
        <v>Dans quelle mesure diriez-vous que votre enfant adapte ses champs d’intérêts pour partager les intérêts de l’autre parent ?</v>
      </c>
      <c r="E763" s="722" t="str">
        <f>_xlfn.XLOOKUP(H763,H761:H762,E761:E762)</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5.5" customHeight="1">
      <c r="B764" s="1686"/>
      <c r="D764" s="383" t="s">
        <v>2312</v>
      </c>
      <c r="E764" s="699"/>
      <c r="F764" s="435" t="s">
        <v>2313</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5.5" customHeight="1">
      <c r="B765" s="1686"/>
      <c r="C765" t="s">
        <v>42</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8.5"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19"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6.5"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2"/>
      <c r="X770" s="2142"/>
      <c r="Y770" s="2142"/>
      <c r="Z770" s="2142"/>
      <c r="AA770" s="2142"/>
      <c r="AB770" s="2142"/>
      <c r="AD770" s="10"/>
      <c r="AE770" s="10"/>
      <c r="AF770" s="10"/>
      <c r="AG770" s="1727"/>
      <c r="AH770" s="1727"/>
      <c r="AI770" s="1727"/>
      <c r="AJ770" s="1727"/>
      <c r="AK770" s="1727"/>
      <c r="AL770" s="1727"/>
      <c r="AM770" s="1727"/>
      <c r="AN770" s="1727"/>
      <c r="AO770" s="1727"/>
    </row>
    <row r="771" spans="1:41" ht="15.5" customHeight="1">
      <c r="B771" s="1686"/>
      <c r="W771" s="1373"/>
    </row>
    <row r="772" spans="1:41" ht="15.5" customHeight="1">
      <c r="A772" s="751"/>
      <c r="B772" s="1686"/>
      <c r="C772" s="751"/>
      <c r="D772" s="751"/>
      <c r="E772" s="751"/>
      <c r="F772" s="751"/>
      <c r="G772" s="751"/>
      <c r="H772" s="751"/>
      <c r="I772" s="751"/>
      <c r="J772" s="751"/>
      <c r="K772" s="751"/>
    </row>
    <row r="773" spans="1:41" ht="15.5" customHeight="1">
      <c r="A773" s="751"/>
      <c r="B773" s="1686"/>
      <c r="C773" s="751"/>
      <c r="D773" s="751"/>
      <c r="E773" s="751"/>
      <c r="F773" s="751"/>
      <c r="G773" s="751"/>
      <c r="H773" s="751"/>
      <c r="I773" s="751"/>
      <c r="J773" s="751"/>
      <c r="K773" s="751"/>
    </row>
    <row r="774" spans="1:41" ht="15.5" customHeight="1">
      <c r="A774" s="751"/>
      <c r="B774" s="1686"/>
      <c r="C774" s="751"/>
      <c r="D774" s="751"/>
      <c r="E774" s="751"/>
      <c r="F774" s="751"/>
      <c r="G774" s="751"/>
      <c r="H774" s="751"/>
      <c r="I774" s="751"/>
      <c r="J774" s="751"/>
      <c r="K774" s="751"/>
    </row>
    <row r="775" spans="1:41" ht="15.5" customHeight="1">
      <c r="A775" s="751"/>
      <c r="B775" s="1686"/>
      <c r="C775" s="751"/>
      <c r="E775" s="751"/>
      <c r="F775" s="751"/>
      <c r="G775" s="751"/>
      <c r="H775" s="751"/>
      <c r="I775" s="751"/>
      <c r="J775" s="751"/>
      <c r="K775" s="751"/>
    </row>
    <row r="780" spans="1:41">
      <c r="AB780" s="2"/>
    </row>
  </sheetData>
  <mergeCells count="337">
    <mergeCell ref="AL184:AM184"/>
    <mergeCell ref="AN184:AO184"/>
    <mergeCell ref="AJ222:AK222"/>
    <mergeCell ref="AL126:AM126"/>
    <mergeCell ref="CJ21:CJ22"/>
    <mergeCell ref="CJ25:CJ30"/>
    <mergeCell ref="CJ263:CJ264"/>
    <mergeCell ref="I317:K317"/>
    <mergeCell ref="I107:K107"/>
    <mergeCell ref="I183:K183"/>
    <mergeCell ref="I69:K69"/>
    <mergeCell ref="CJ34:CJ35"/>
    <mergeCell ref="I49:K49"/>
    <mergeCell ref="I202:K202"/>
    <mergeCell ref="AJ107:AK107"/>
    <mergeCell ref="AJ184:AK184"/>
    <mergeCell ref="S165:U165"/>
    <mergeCell ref="L106:N106"/>
    <mergeCell ref="L49:O49"/>
    <mergeCell ref="I68:K68"/>
    <mergeCell ref="I48:K48"/>
    <mergeCell ref="P733:R733"/>
    <mergeCell ref="I125:K125"/>
    <mergeCell ref="AJ126:AK126"/>
    <mergeCell ref="I374:K374"/>
    <mergeCell ref="L164:N164"/>
    <mergeCell ref="I452:K452"/>
    <mergeCell ref="L202:N202"/>
    <mergeCell ref="S145:U145"/>
    <mergeCell ref="I490:K490"/>
    <mergeCell ref="L733:O733"/>
    <mergeCell ref="F651:J651"/>
    <mergeCell ref="F590:J590"/>
    <mergeCell ref="P184:R184"/>
    <mergeCell ref="I713:K713"/>
    <mergeCell ref="P694:R694"/>
    <mergeCell ref="I694:K694"/>
    <mergeCell ref="L259:N259"/>
    <mergeCell ref="P317:R317"/>
    <mergeCell ref="P413:R413"/>
    <mergeCell ref="L278:N278"/>
    <mergeCell ref="L451:N451"/>
    <mergeCell ref="L432:N432"/>
    <mergeCell ref="P631:R631"/>
    <mergeCell ref="P675:R675"/>
    <mergeCell ref="I336:K336"/>
    <mergeCell ref="AJ713:AK713"/>
    <mergeCell ref="S591:U591"/>
    <mergeCell ref="AN611:AO611"/>
    <mergeCell ref="AJ652:AK652"/>
    <mergeCell ref="AL652:AM652"/>
    <mergeCell ref="S733:U733"/>
    <mergeCell ref="AL733:AM733"/>
    <mergeCell ref="AL675:AM675"/>
    <mergeCell ref="AN675:AO675"/>
    <mergeCell ref="S631:U631"/>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I126:K126"/>
    <mergeCell ref="P298:R298"/>
    <mergeCell ref="CK21:CK22"/>
    <mergeCell ref="CK25:CK30"/>
    <mergeCell ref="CK263:CK264"/>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CJ16:CJ17"/>
    <mergeCell ref="I355:K355"/>
    <mergeCell ref="P551:R551"/>
    <mergeCell ref="L374:O374"/>
    <mergeCell ref="L68:N68"/>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L551:O551"/>
    <mergeCell ref="I164:K164"/>
    <mergeCell ref="AN490:AO490"/>
    <mergeCell ref="S509:U509"/>
    <mergeCell ref="L452:O452"/>
    <mergeCell ref="CK23:CK24"/>
    <mergeCell ref="P49:R49"/>
    <mergeCell ref="P107:R107"/>
    <mergeCell ref="AL49:AM49"/>
    <mergeCell ref="AN49:AO49"/>
    <mergeCell ref="L222:O222"/>
    <mergeCell ref="P336:R336"/>
    <mergeCell ref="AL336:AM336"/>
    <mergeCell ref="S413:U413"/>
    <mergeCell ref="AN336:AO336"/>
    <mergeCell ref="L240:N240"/>
    <mergeCell ref="P145:R145"/>
    <mergeCell ref="AN317:AO317"/>
    <mergeCell ref="S203:U203"/>
    <mergeCell ref="P222:R222"/>
    <mergeCell ref="P69:R69"/>
    <mergeCell ref="AL88:AM88"/>
    <mergeCell ref="L317:O317"/>
    <mergeCell ref="CJ23:CJ24"/>
    <mergeCell ref="AL298:AM298"/>
    <mergeCell ref="L393:O393"/>
    <mergeCell ref="L87:N87"/>
    <mergeCell ref="AL355:AM355"/>
    <mergeCell ref="AJ88:AK88"/>
    <mergeCell ref="L125:N125"/>
    <mergeCell ref="L392:N392"/>
    <mergeCell ref="AN298:AO298"/>
    <mergeCell ref="S551:U551"/>
    <mergeCell ref="S611:U611"/>
    <mergeCell ref="I733:K733"/>
    <mergeCell ref="I260:K260"/>
    <mergeCell ref="I393:K393"/>
    <mergeCell ref="I591:K591"/>
    <mergeCell ref="I184:K184"/>
    <mergeCell ref="I471:K471"/>
    <mergeCell ref="I279:K279"/>
    <mergeCell ref="F630:J630"/>
    <mergeCell ref="I571:K571"/>
    <mergeCell ref="AN713:AO713"/>
    <mergeCell ref="AJ694:AK694"/>
    <mergeCell ref="AJ471:AK471"/>
    <mergeCell ref="AL471:AM471"/>
    <mergeCell ref="AJ433:AK433"/>
    <mergeCell ref="S298:U298"/>
    <mergeCell ref="AL694:AM694"/>
    <mergeCell ref="AN733:AO733"/>
    <mergeCell ref="AN471:AO471"/>
    <mergeCell ref="AJ298:AK298"/>
    <mergeCell ref="L183:N183"/>
    <mergeCell ref="AJ675:AK675"/>
    <mergeCell ref="AL433:AM433"/>
    <mergeCell ref="I203:K203"/>
    <mergeCell ref="L470:N470"/>
    <mergeCell ref="AJ241:AK241"/>
    <mergeCell ref="P355:R355"/>
    <mergeCell ref="AL241:AM241"/>
    <mergeCell ref="AN355:AO355"/>
    <mergeCell ref="P528:R528"/>
    <mergeCell ref="AJ528:AK528"/>
    <mergeCell ref="AN413:AO413"/>
    <mergeCell ref="S490:U490"/>
    <mergeCell ref="AJ490:AK490"/>
    <mergeCell ref="L279:O279"/>
    <mergeCell ref="L508:N508"/>
    <mergeCell ref="AN241:AO241"/>
    <mergeCell ref="P393:R393"/>
    <mergeCell ref="AJ393:AK393"/>
    <mergeCell ref="AN528:AO528"/>
    <mergeCell ref="AJ317:AK317"/>
    <mergeCell ref="AL317:AM317"/>
    <mergeCell ref="L528:O528"/>
    <mergeCell ref="P509:R509"/>
    <mergeCell ref="CK12:CK13"/>
    <mergeCell ref="S260:U260"/>
    <mergeCell ref="L336:O336"/>
    <mergeCell ref="P165:R165"/>
    <mergeCell ref="AL165:AM165"/>
    <mergeCell ref="AN165:AO16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509:O509"/>
    <mergeCell ref="P126:R126"/>
    <mergeCell ref="P202:R202"/>
    <mergeCell ref="L165:O165"/>
    <mergeCell ref="P144:R144"/>
    <mergeCell ref="L335:N335"/>
    <mergeCell ref="L489:N489"/>
    <mergeCell ref="AL528:AM528"/>
    <mergeCell ref="AJ69:AK69"/>
    <mergeCell ref="P183:R183"/>
    <mergeCell ref="S222:U222"/>
    <mergeCell ref="S355:U355"/>
    <mergeCell ref="L694:O694"/>
    <mergeCell ref="AN393:AO393"/>
    <mergeCell ref="L297:N297"/>
    <mergeCell ref="AJ591:AK591"/>
    <mergeCell ref="AL591:AM591"/>
    <mergeCell ref="AL413:AM413"/>
    <mergeCell ref="AN694:AO694"/>
    <mergeCell ref="L674:N674"/>
    <mergeCell ref="L590:N590"/>
    <mergeCell ref="P611:R611"/>
    <mergeCell ref="AL611:AM611"/>
    <mergeCell ref="AL551:AM551"/>
    <mergeCell ref="S694:U694"/>
    <mergeCell ref="P471:R471"/>
    <mergeCell ref="AN571:AO571"/>
    <mergeCell ref="L490:O490"/>
    <mergeCell ref="P433:R433"/>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AN509:AO509"/>
    <mergeCell ref="P260:R260"/>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F570:J570"/>
    <mergeCell ref="CK14:CK15"/>
    <mergeCell ref="AL509:AM509"/>
    <mergeCell ref="AN631:AO631"/>
    <mergeCell ref="L373:N373"/>
    <mergeCell ref="I675:K675"/>
    <mergeCell ref="S69:U69"/>
    <mergeCell ref="L471:O471"/>
    <mergeCell ref="L145:O145"/>
    <mergeCell ref="S652:U652"/>
    <mergeCell ref="AJ165:AK165"/>
    <mergeCell ref="P68:R68"/>
    <mergeCell ref="AJ413:AK413"/>
    <mergeCell ref="S107:U107"/>
    <mergeCell ref="L69:O69"/>
    <mergeCell ref="P48:R48"/>
    <mergeCell ref="P490:R490"/>
    <mergeCell ref="CK34:CK35"/>
    <mergeCell ref="L550:N550"/>
    <mergeCell ref="I551:K551"/>
    <mergeCell ref="P87:R87"/>
    <mergeCell ref="L675:O675"/>
    <mergeCell ref="CG15:CI15"/>
    <mergeCell ref="F674:J674"/>
    <mergeCell ref="I145:K145"/>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60"/>
      <c r="G1" s="9" t="s">
        <v>2407</v>
      </c>
    </row>
    <row r="2" spans="1:19" ht="31" customHeight="1">
      <c r="B2" s="407" t="s">
        <v>1898</v>
      </c>
      <c r="D2" s="2160"/>
    </row>
    <row r="3" spans="1:19" ht="31" customHeight="1"/>
    <row r="4" spans="1:19" ht="30" customHeight="1">
      <c r="C4" s="413" t="s">
        <v>2408</v>
      </c>
      <c r="D4" s="413"/>
      <c r="E4" s="413"/>
    </row>
    <row r="5" spans="1:19" ht="30" customHeight="1">
      <c r="A5" s="1853" t="s">
        <v>2409</v>
      </c>
      <c r="C5" s="965" t="s">
        <v>2410</v>
      </c>
      <c r="D5" s="965"/>
      <c r="E5" s="965"/>
      <c r="F5" s="966"/>
      <c r="G5" s="966"/>
      <c r="H5" s="966"/>
      <c r="I5" s="966"/>
      <c r="J5" s="966"/>
      <c r="K5" s="966"/>
      <c r="L5" s="966"/>
      <c r="M5" s="966"/>
      <c r="N5" s="966"/>
      <c r="O5" s="966"/>
      <c r="P5" s="966"/>
    </row>
    <row r="6" spans="1:19" ht="30" customHeight="1">
      <c r="C6" s="1127" t="s">
        <v>2411</v>
      </c>
      <c r="D6" s="1127"/>
      <c r="E6" s="1127"/>
      <c r="F6" s="966"/>
      <c r="G6" s="966"/>
      <c r="H6" s="966"/>
      <c r="I6" s="966"/>
      <c r="J6" s="966"/>
      <c r="K6" s="966"/>
      <c r="L6" s="966"/>
      <c r="M6" s="966"/>
      <c r="N6" s="966"/>
      <c r="O6" s="966"/>
      <c r="P6" s="966"/>
    </row>
    <row r="7" spans="1:19" ht="30" customHeight="1">
      <c r="C7" s="965" t="s">
        <v>2412</v>
      </c>
      <c r="D7" s="965"/>
      <c r="E7" s="965"/>
      <c r="F7" s="966"/>
      <c r="G7" s="966"/>
      <c r="H7" s="966"/>
      <c r="I7" s="966"/>
      <c r="J7" s="966"/>
      <c r="K7" s="21"/>
      <c r="L7" s="1126"/>
      <c r="M7" s="966"/>
      <c r="N7" s="966"/>
      <c r="O7" s="966"/>
      <c r="P7" s="966"/>
    </row>
    <row r="8" spans="1:19" ht="25" customHeight="1">
      <c r="C8" s="2125"/>
      <c r="D8" s="2125"/>
      <c r="E8" s="2125"/>
      <c r="F8" s="80"/>
      <c r="G8" s="80"/>
      <c r="H8" s="80"/>
      <c r="I8" s="80"/>
      <c r="J8" s="80"/>
      <c r="K8" s="7"/>
      <c r="L8" s="521"/>
      <c r="M8" s="80"/>
      <c r="N8" s="80"/>
      <c r="O8" s="80"/>
      <c r="P8" s="80"/>
    </row>
    <row r="9" spans="1:19" ht="25" customHeight="1">
      <c r="C9" s="2125"/>
      <c r="D9" s="2125"/>
      <c r="E9" s="2125"/>
      <c r="F9" s="80"/>
      <c r="G9" s="80"/>
      <c r="H9" s="80"/>
      <c r="I9" s="80"/>
      <c r="J9" s="80"/>
      <c r="K9" s="7"/>
      <c r="L9" s="521"/>
      <c r="M9" s="80"/>
      <c r="N9" s="80"/>
      <c r="O9" s="80"/>
      <c r="P9" s="80"/>
    </row>
    <row r="10" spans="1:19" ht="25" customHeight="1" thickBot="1">
      <c r="C10" s="2125"/>
      <c r="D10" s="2125"/>
      <c r="E10" s="2125"/>
      <c r="F10" s="80"/>
      <c r="G10" s="2599" t="s">
        <v>2413</v>
      </c>
      <c r="H10" s="2458"/>
      <c r="I10" s="80"/>
      <c r="J10" s="80"/>
      <c r="K10" s="7"/>
      <c r="L10" s="521"/>
      <c r="M10" s="80"/>
      <c r="N10" s="80"/>
      <c r="O10" s="80"/>
      <c r="P10" s="80" t="s">
        <v>1907</v>
      </c>
    </row>
    <row r="11" spans="1:19" ht="25" customHeight="1">
      <c r="C11" s="2125"/>
      <c r="D11" s="2125"/>
      <c r="E11" s="2125"/>
      <c r="F11" s="80"/>
      <c r="G11" s="1253" t="s">
        <v>2414</v>
      </c>
      <c r="H11" s="1253" t="s">
        <v>2415</v>
      </c>
      <c r="I11" s="80"/>
      <c r="J11" s="2598" t="s">
        <v>1987</v>
      </c>
      <c r="K11" s="2458"/>
      <c r="L11" s="521"/>
      <c r="M11" s="80"/>
      <c r="N11" s="80"/>
      <c r="O11" s="80"/>
      <c r="P11" s="2558" t="s">
        <v>2416</v>
      </c>
      <c r="Q11" s="2559"/>
      <c r="R11" s="2566" t="s">
        <v>2415</v>
      </c>
      <c r="S11" s="2567"/>
    </row>
    <row r="12" spans="1:19" ht="52" customHeight="1">
      <c r="D12" t="s">
        <v>1726</v>
      </c>
      <c r="E12" s="1800" t="s">
        <v>453</v>
      </c>
      <c r="F12" s="1907" t="s">
        <v>64</v>
      </c>
      <c r="G12" s="88"/>
      <c r="H12" s="88"/>
      <c r="I12" s="3" t="s">
        <v>2417</v>
      </c>
      <c r="J12" s="700" t="s">
        <v>2418</v>
      </c>
      <c r="K12" s="291" t="s">
        <v>2419</v>
      </c>
      <c r="L12" t="s">
        <v>620</v>
      </c>
      <c r="P12" s="1906" t="s">
        <v>1585</v>
      </c>
      <c r="Q12" s="1809" t="s">
        <v>1488</v>
      </c>
      <c r="R12" s="5" t="s">
        <v>1585</v>
      </c>
      <c r="S12" s="1903" t="s">
        <v>1488</v>
      </c>
    </row>
    <row r="13" spans="1:19" ht="38" customHeight="1">
      <c r="A13" s="809"/>
      <c r="B13" s="7" t="str">
        <f>Test_Bible!A105</f>
        <v>H05a</v>
      </c>
      <c r="C13" s="25" t="str">
        <f>BIBLE!F46</f>
        <v>Arrivait-il que l'autre parent hausse le ton ou vous insulte pour imposer son point de vue ou sa volonté ?</v>
      </c>
      <c r="D13" s="2562" t="s">
        <v>247</v>
      </c>
      <c r="E13" s="14">
        <f>Test_Bible!D105</f>
        <v>3</v>
      </c>
      <c r="F13" s="1815">
        <f>Test_Bible!P105</f>
        <v>0</v>
      </c>
      <c r="G13" s="1857" t="s">
        <v>2420</v>
      </c>
      <c r="H13" s="1857" t="s">
        <v>2421</v>
      </c>
      <c r="I13" s="6"/>
      <c r="J13" s="1485"/>
      <c r="K13" t="s">
        <v>2422</v>
      </c>
      <c r="P13" s="2049">
        <v>0</v>
      </c>
      <c r="Q13" s="2050">
        <v>1</v>
      </c>
      <c r="R13" s="8">
        <v>2</v>
      </c>
      <c r="S13" s="2064">
        <v>10</v>
      </c>
    </row>
    <row r="14" spans="1:19" ht="36" customHeight="1">
      <c r="A14" s="809"/>
      <c r="B14" s="7" t="str">
        <f>Test_Bible!A107</f>
        <v>H06a</v>
      </c>
      <c r="C14" s="25" t="str">
        <f>BIBLE!F48</f>
        <v>Arrivait-il que l'autre parent présente à votre entourage une vision négative de vos compétences parentales ?</v>
      </c>
      <c r="D14" s="2464"/>
      <c r="E14" s="14">
        <f>Test_Bible!D107</f>
        <v>3</v>
      </c>
      <c r="F14" s="1815">
        <f>Test_Bible!P107</f>
        <v>0</v>
      </c>
      <c r="G14" s="1857" t="s">
        <v>2420</v>
      </c>
      <c r="H14" s="1857" t="s">
        <v>2421</v>
      </c>
      <c r="I14" s="6"/>
      <c r="J14" s="1485"/>
      <c r="P14" s="2049">
        <v>0</v>
      </c>
      <c r="Q14" s="2050">
        <v>1</v>
      </c>
      <c r="R14" s="8">
        <v>2</v>
      </c>
      <c r="S14" s="2064">
        <v>10</v>
      </c>
    </row>
    <row r="15" spans="1:19" ht="30" customHeight="1">
      <c r="B15" s="7"/>
      <c r="C15" s="25"/>
      <c r="D15" s="2062"/>
      <c r="E15" s="2034"/>
      <c r="F15" s="2034"/>
      <c r="G15" s="2126"/>
      <c r="H15" s="2126"/>
      <c r="I15" s="2126">
        <f>SUM(F13:F14)</f>
        <v>0</v>
      </c>
      <c r="J15" s="2126"/>
      <c r="P15" s="2129">
        <f>SUM(P13:P14)</f>
        <v>0</v>
      </c>
      <c r="Q15" s="14">
        <f>SUM(Q13:Q14)</f>
        <v>2</v>
      </c>
      <c r="R15" s="14">
        <f>SUM(R13:R14)</f>
        <v>4</v>
      </c>
      <c r="S15" s="2130">
        <f>SUM(S13:S14)</f>
        <v>20</v>
      </c>
    </row>
    <row r="16" spans="1:19" ht="30" customHeight="1">
      <c r="A16" s="1853"/>
      <c r="B16" s="7" t="str">
        <f>BIBLE!E52</f>
        <v>PCR01a</v>
      </c>
      <c r="C16" s="25" t="str">
        <f>BIBLE!F52</f>
        <v>Vous devez marcher sur des œufs afin d'éviter les conflits.</v>
      </c>
      <c r="D16" s="2562" t="s">
        <v>2423</v>
      </c>
      <c r="E16" s="14">
        <f>Test_Bible!D113</f>
        <v>2</v>
      </c>
      <c r="F16" s="1815">
        <f>Test_Bible!P113</f>
        <v>0</v>
      </c>
      <c r="G16" s="1857" t="s">
        <v>2424</v>
      </c>
      <c r="H16" s="1857" t="s">
        <v>2133</v>
      </c>
      <c r="I16" s="6"/>
      <c r="J16" s="1485"/>
      <c r="K16" t="s">
        <v>620</v>
      </c>
      <c r="P16" s="2049">
        <v>0</v>
      </c>
      <c r="Q16" s="2050">
        <v>4</v>
      </c>
      <c r="R16" s="8">
        <v>5</v>
      </c>
      <c r="S16" s="2064">
        <v>10</v>
      </c>
    </row>
    <row r="17" spans="1:19" ht="38" customHeight="1">
      <c r="A17" s="2124"/>
      <c r="B17" s="25" t="str">
        <f>Test_Bible!A114</f>
        <v>PCR01a1</v>
      </c>
      <c r="C17" s="25" t="str">
        <f>BIBLE!F53</f>
        <v xml:space="preserve"> Arrive-t-il que l'autre parent hausse la voix ou utilise des jurons pour imposer sa vision des choses ?</v>
      </c>
      <c r="D17" s="2463"/>
      <c r="E17" s="14">
        <f>Test_Bible!D114</f>
        <v>3</v>
      </c>
      <c r="F17" s="1815">
        <f>Test_Bible!P114</f>
        <v>0</v>
      </c>
      <c r="G17" s="1857">
        <v>0</v>
      </c>
      <c r="H17" s="1857" t="s">
        <v>597</v>
      </c>
      <c r="I17" s="6"/>
      <c r="J17" s="1485"/>
      <c r="P17" s="2049">
        <v>0</v>
      </c>
      <c r="Q17" s="2050">
        <v>0</v>
      </c>
      <c r="R17" s="8">
        <v>1</v>
      </c>
      <c r="S17" s="2064">
        <v>10</v>
      </c>
    </row>
    <row r="18" spans="1:19" ht="38" customHeight="1">
      <c r="A18" s="809"/>
      <c r="B18" s="7" t="str">
        <f>Test_Bible!A187</f>
        <v>PFA13a</v>
      </c>
      <c r="C18" s="25" t="str">
        <f>BIBLE!F101</f>
        <v>L'autre parent vous renvoie une image négative de vous-même en tant que parent, ridiculise vos décisions ou vous insulte.</v>
      </c>
      <c r="D18" s="2463"/>
      <c r="E18" s="14">
        <f>Test_Bible!D187</f>
        <v>3</v>
      </c>
      <c r="F18" s="1815">
        <f>Test_Bible!P187</f>
        <v>0</v>
      </c>
      <c r="G18" s="1857">
        <v>0</v>
      </c>
      <c r="H18" s="1857" t="s">
        <v>597</v>
      </c>
      <c r="I18" s="6"/>
      <c r="J18" s="1485"/>
      <c r="P18" s="2049">
        <v>0</v>
      </c>
      <c r="Q18" s="2050">
        <v>0</v>
      </c>
      <c r="R18" s="8">
        <v>1</v>
      </c>
      <c r="S18" s="2064">
        <v>10</v>
      </c>
    </row>
    <row r="19" spans="1:19" ht="38" customHeight="1">
      <c r="A19" s="809"/>
      <c r="B19" s="7" t="str">
        <f>Test_Bible!A189</f>
        <v>PFA13c</v>
      </c>
      <c r="C19" s="25" t="str">
        <f>BIBLE!F103</f>
        <v>L'autre parent présente à votre entourage une vision négative de vos compétences parentales ou de votre santé mentale.</v>
      </c>
      <c r="D19" s="2463"/>
      <c r="E19" s="14">
        <f>Test_Bible!D189</f>
        <v>2</v>
      </c>
      <c r="F19" s="1815">
        <f>Test_Bible!P189</f>
        <v>0</v>
      </c>
      <c r="G19" s="1857">
        <v>0</v>
      </c>
      <c r="H19" s="1857" t="s">
        <v>597</v>
      </c>
      <c r="I19" s="6"/>
      <c r="J19" s="1485"/>
      <c r="P19" s="2049">
        <v>0</v>
      </c>
      <c r="Q19" s="2050">
        <v>0</v>
      </c>
      <c r="R19" s="8">
        <v>1</v>
      </c>
      <c r="S19" s="2064">
        <v>10</v>
      </c>
    </row>
    <row r="20" spans="1:19" ht="38" customHeight="1">
      <c r="A20" s="809"/>
      <c r="B20" s="7" t="str">
        <f>Test_Bible!A203</f>
        <v>PFA20a1</v>
      </c>
      <c r="C20" s="25" t="str">
        <f>BIBLE!F117</f>
        <v>Arrive-t-il que l'autre parent vous accable de questions ou de reproches par téléphone ou par courriel?</v>
      </c>
      <c r="D20" s="2463"/>
      <c r="E20" s="14">
        <f>Test_Bible!D203</f>
        <v>3</v>
      </c>
      <c r="F20" s="1815">
        <f>Test_Bible!P203</f>
        <v>0</v>
      </c>
      <c r="G20" s="1857">
        <v>0</v>
      </c>
      <c r="H20" s="1857" t="s">
        <v>597</v>
      </c>
      <c r="I20" s="6"/>
      <c r="J20" s="1485"/>
      <c r="P20" s="2049">
        <v>0</v>
      </c>
      <c r="Q20" s="2050">
        <v>0</v>
      </c>
      <c r="R20" s="8">
        <v>1</v>
      </c>
      <c r="S20" s="2064">
        <v>10</v>
      </c>
    </row>
    <row r="21" spans="1:19" ht="38" customHeight="1">
      <c r="A21" s="809"/>
      <c r="B21" s="7" t="str">
        <f>Test_Bible!A204</f>
        <v>PFA20a1a</v>
      </c>
      <c r="C21" s="25" t="str">
        <f>BIBLE!F118</f>
        <v>Arrive-t-il que l'autre parent se présente à votre lieu de travail ou votre domicile sans s'annoncer ou sans invitation ?</v>
      </c>
      <c r="D21" s="2463"/>
      <c r="E21" s="14">
        <f>Test_Bible!D204</f>
        <v>3</v>
      </c>
      <c r="F21" s="1815">
        <f>Test_Bible!P204</f>
        <v>0</v>
      </c>
      <c r="G21" s="1857" t="s">
        <v>2420</v>
      </c>
      <c r="H21" s="1857" t="s">
        <v>2421</v>
      </c>
      <c r="I21" s="6"/>
      <c r="J21" s="1485"/>
      <c r="P21" s="2049">
        <v>0</v>
      </c>
      <c r="Q21" s="2050">
        <v>1</v>
      </c>
      <c r="R21" s="8">
        <v>2</v>
      </c>
      <c r="S21" s="2064">
        <v>10</v>
      </c>
    </row>
    <row r="22" spans="1:19" ht="38" customHeight="1">
      <c r="A22" s="809"/>
      <c r="B22" s="7" t="str">
        <f>Test_Bible!A181</f>
        <v>PFA09a</v>
      </c>
      <c r="C22" s="25" t="str">
        <f>BIBLE!F95</f>
        <v>Est-ce que l'autre parent fait ou a déjà fait des menaces (claires ou voilées) de vous enlever les enfants ?</v>
      </c>
      <c r="D22" s="2463"/>
      <c r="E22" s="14">
        <f>Test_Bible!D181</f>
        <v>2</v>
      </c>
      <c r="F22" s="1815">
        <f>Test_Bible!P181</f>
        <v>0</v>
      </c>
      <c r="G22" s="1857">
        <v>0</v>
      </c>
      <c r="H22" s="1857" t="s">
        <v>597</v>
      </c>
      <c r="I22" s="6"/>
      <c r="J22" s="1485"/>
      <c r="P22" s="2049">
        <v>0</v>
      </c>
      <c r="Q22" s="2050">
        <v>0</v>
      </c>
      <c r="R22" s="8">
        <v>1</v>
      </c>
      <c r="S22" s="2064">
        <v>10</v>
      </c>
    </row>
    <row r="23" spans="1:19" ht="38" customHeight="1">
      <c r="A23" s="809"/>
      <c r="B23" s="7" t="str">
        <f>Test_Bible!A188</f>
        <v>PFA13b</v>
      </c>
      <c r="C23" s="25" t="str">
        <f>BIBLE!F102</f>
        <v>Est-ce que l'autre parent fait ou a déjà fait des menaces (claires ou voilées) de vous enlever les enfants ?</v>
      </c>
      <c r="D23" s="2463"/>
      <c r="E23" s="14">
        <f>Test_Bible!D187</f>
        <v>3</v>
      </c>
      <c r="F23" s="1815">
        <f>Test_Bible!P187</f>
        <v>0</v>
      </c>
      <c r="G23" s="1857">
        <v>0</v>
      </c>
      <c r="H23" s="1857" t="s">
        <v>597</v>
      </c>
      <c r="I23" s="6"/>
      <c r="J23" s="1485"/>
      <c r="P23" s="2049">
        <v>0</v>
      </c>
      <c r="Q23" s="2050">
        <v>0</v>
      </c>
      <c r="R23" s="8">
        <v>1</v>
      </c>
      <c r="S23" s="2064">
        <v>10</v>
      </c>
    </row>
    <row r="24" spans="1:19" ht="38" customHeight="1">
      <c r="A24" s="809"/>
      <c r="B24" s="7" t="str">
        <f>Test_Bible!A236</f>
        <v>PFA30a1</v>
      </c>
      <c r="C24" s="25" t="str">
        <f>BIBLE!F137</f>
        <v>Est-ce que l'autre parent fait ou a déjà fait des menaces (claires ou voilées) de vous enlever les enfants ?</v>
      </c>
      <c r="D24" s="2464"/>
      <c r="E24" s="14">
        <f>Test_Bible!D236</f>
        <v>3</v>
      </c>
      <c r="F24" s="1815">
        <f>Test_Bible!P236</f>
        <v>0</v>
      </c>
      <c r="G24" s="1857">
        <v>0</v>
      </c>
      <c r="H24" s="1857" t="s">
        <v>597</v>
      </c>
      <c r="I24" s="6"/>
      <c r="J24" s="1485"/>
      <c r="P24" s="2049">
        <v>0</v>
      </c>
      <c r="Q24" s="2050">
        <v>0</v>
      </c>
      <c r="R24" s="8">
        <v>1</v>
      </c>
      <c r="S24" s="2064">
        <v>10</v>
      </c>
    </row>
    <row r="25" spans="1:19" ht="29" customHeight="1">
      <c r="D25" s="2127"/>
      <c r="E25" s="2127"/>
      <c r="F25" s="2127"/>
      <c r="G25" s="2127"/>
      <c r="H25" s="2127"/>
      <c r="I25" s="2128">
        <f>SUM(F16:F24)</f>
        <v>0</v>
      </c>
      <c r="J25" s="2127"/>
      <c r="P25" s="2129">
        <f>SUM(P16:P24)</f>
        <v>0</v>
      </c>
      <c r="Q25" s="14">
        <f>SUM(Q16:Q24)</f>
        <v>5</v>
      </c>
      <c r="R25" s="14">
        <f>SUM(R16:R24)</f>
        <v>14</v>
      </c>
      <c r="S25" s="2130">
        <f>SUM(S16:S24)</f>
        <v>90</v>
      </c>
    </row>
    <row r="26" spans="1:19" ht="38" customHeight="1">
      <c r="A26" s="809"/>
      <c r="B26" s="25" t="str">
        <f>BIBLE!E92</f>
        <v>PFA07a</v>
      </c>
      <c r="C26" s="25" t="str">
        <f>BIBLE!F92</f>
        <v>Il arrive que l’autre parent boude votre enfant lorsqu'il est temps de rentrer chez vous (pour votre tour de garde).</v>
      </c>
      <c r="D26" s="2562" t="s">
        <v>249</v>
      </c>
      <c r="E26" s="14">
        <f>Test_Bible!D178</f>
        <v>2</v>
      </c>
      <c r="F26" s="1815">
        <f>Test_Bible!P178</f>
        <v>0</v>
      </c>
      <c r="G26" s="1857">
        <v>0</v>
      </c>
      <c r="H26" s="1857" t="s">
        <v>597</v>
      </c>
      <c r="I26" s="6"/>
      <c r="J26" s="1485"/>
      <c r="K26" t="s">
        <v>2425</v>
      </c>
      <c r="P26" s="2049">
        <v>0</v>
      </c>
      <c r="Q26" s="2050">
        <v>0</v>
      </c>
      <c r="R26" s="8">
        <v>1</v>
      </c>
      <c r="S26" s="2064">
        <v>10</v>
      </c>
    </row>
    <row r="27" spans="1:19" ht="38" customHeight="1">
      <c r="A27" s="809"/>
      <c r="B27" s="25" t="str">
        <f>BIBLE!E93</f>
        <v>PFA07a1</v>
      </c>
      <c r="C27" s="25" t="str">
        <f>BIBLE!F93</f>
        <v xml:space="preserve">Il arrive à l’autre parent de se fâcher contre votre enfant lorsqu'il ou elle exprime de l'affection pour vous. </v>
      </c>
      <c r="D27" s="2464"/>
      <c r="E27" s="14">
        <f>Test_Bible!D179</f>
        <v>3</v>
      </c>
      <c r="F27" s="1815">
        <f>Test_Bible!P179</f>
        <v>0</v>
      </c>
      <c r="G27" s="1857" t="s">
        <v>2420</v>
      </c>
      <c r="H27" s="1857" t="s">
        <v>2421</v>
      </c>
      <c r="I27" s="6"/>
      <c r="J27" s="1485"/>
      <c r="P27" s="2049">
        <v>0</v>
      </c>
      <c r="Q27" s="2050">
        <v>1</v>
      </c>
      <c r="R27" s="8">
        <v>2</v>
      </c>
      <c r="S27" s="2064">
        <v>10</v>
      </c>
    </row>
    <row r="28" spans="1:19" ht="27" customHeight="1">
      <c r="B28" s="25"/>
      <c r="C28" s="25"/>
      <c r="D28" s="2062"/>
      <c r="E28" s="2034"/>
      <c r="F28" s="2126"/>
      <c r="G28" s="2126"/>
      <c r="H28" s="2126"/>
      <c r="I28" s="2126">
        <f>SUM(F26:F27)</f>
        <v>0</v>
      </c>
      <c r="J28" s="2126"/>
      <c r="P28" s="2129">
        <f>SUM(P26:P27)</f>
        <v>0</v>
      </c>
      <c r="Q28" s="14">
        <f>SUM(Q26:Q27)</f>
        <v>1</v>
      </c>
      <c r="R28" s="14">
        <f>SUM(R26:R27)</f>
        <v>3</v>
      </c>
      <c r="S28" s="2130">
        <f>SUM(S26:S27)</f>
        <v>20</v>
      </c>
    </row>
    <row r="29" spans="1:19" ht="38"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60" t="s">
        <v>2426</v>
      </c>
    </row>
    <row r="6" spans="1:43" ht="18.5" customHeight="1">
      <c r="A6" s="407" t="s">
        <v>1898</v>
      </c>
      <c r="C6" s="2160" t="s">
        <v>2427</v>
      </c>
    </row>
    <row r="8" spans="1:43" ht="21" customHeight="1">
      <c r="A8" s="49"/>
      <c r="E8" s="7"/>
      <c r="X8" t="s">
        <v>2428</v>
      </c>
      <c r="Z8" s="2543" t="s">
        <v>2429</v>
      </c>
      <c r="AA8" s="2458"/>
      <c r="AB8" s="2458"/>
      <c r="AC8" s="2458"/>
      <c r="AD8" s="2458"/>
      <c r="AE8" s="2458"/>
      <c r="AF8" s="2458"/>
      <c r="AI8" t="s">
        <v>2428</v>
      </c>
      <c r="AK8" s="2543" t="s">
        <v>2429</v>
      </c>
      <c r="AL8" s="2458"/>
      <c r="AM8" s="2458"/>
      <c r="AN8" s="2458"/>
      <c r="AO8" s="2458"/>
      <c r="AP8" s="2458"/>
      <c r="AQ8" s="2458"/>
    </row>
    <row r="9" spans="1:43" ht="21" customHeight="1">
      <c r="A9" t="s">
        <v>2430</v>
      </c>
      <c r="H9" s="2161" t="s">
        <v>1987</v>
      </c>
      <c r="I9" s="1883" t="s">
        <v>346</v>
      </c>
      <c r="J9" s="1883" t="s">
        <v>2061</v>
      </c>
      <c r="K9" s="1883"/>
      <c r="L9" s="1883"/>
      <c r="M9" s="1883"/>
      <c r="N9" s="1883"/>
      <c r="Z9" s="3" t="s">
        <v>1780</v>
      </c>
      <c r="AA9" s="3" t="s">
        <v>1781</v>
      </c>
      <c r="AB9" s="3" t="s">
        <v>1783</v>
      </c>
      <c r="AC9" s="3" t="s">
        <v>1784</v>
      </c>
      <c r="AD9" s="3" t="s">
        <v>2431</v>
      </c>
      <c r="AE9" s="3" t="s">
        <v>1788</v>
      </c>
      <c r="AF9" s="3" t="s">
        <v>2432</v>
      </c>
      <c r="AK9" s="3" t="s">
        <v>1780</v>
      </c>
      <c r="AL9" s="3" t="s">
        <v>1781</v>
      </c>
      <c r="AM9" s="3" t="s">
        <v>1783</v>
      </c>
      <c r="AN9" s="3" t="s">
        <v>1784</v>
      </c>
      <c r="AO9" s="3" t="s">
        <v>2431</v>
      </c>
      <c r="AP9" s="3" t="s">
        <v>1788</v>
      </c>
      <c r="AQ9" s="3" t="s">
        <v>2432</v>
      </c>
    </row>
    <row r="10" spans="1:43" ht="48" customHeight="1">
      <c r="G10" s="2281" t="s">
        <v>1929</v>
      </c>
      <c r="H10" s="2446" t="s">
        <v>2433</v>
      </c>
      <c r="I10" s="2345"/>
      <c r="J10" s="2345"/>
      <c r="K10" s="2345"/>
      <c r="L10" s="2345"/>
      <c r="M10" s="2345"/>
      <c r="N10" s="2345"/>
      <c r="Y10" s="2203"/>
      <c r="Z10" s="2203">
        <v>0</v>
      </c>
      <c r="AA10" s="2203">
        <v>1</v>
      </c>
      <c r="AB10" s="2203">
        <v>2</v>
      </c>
      <c r="AC10" s="2203">
        <v>4</v>
      </c>
      <c r="AD10" s="2203">
        <v>7</v>
      </c>
      <c r="AE10" s="2203">
        <v>10</v>
      </c>
      <c r="AF10" s="2203">
        <v>0</v>
      </c>
      <c r="AJ10" s="2203"/>
      <c r="AK10" s="2203">
        <v>0</v>
      </c>
      <c r="AL10" s="2203">
        <v>1</v>
      </c>
      <c r="AM10" s="2203">
        <v>2</v>
      </c>
      <c r="AN10" s="2203">
        <v>4</v>
      </c>
      <c r="AO10" s="2203">
        <v>7</v>
      </c>
      <c r="AP10" s="2203">
        <v>10</v>
      </c>
      <c r="AQ10" s="2203">
        <v>0</v>
      </c>
    </row>
    <row r="11" spans="1:43" ht="44" customHeight="1">
      <c r="D11" s="5" t="str">
        <f>BIBLE!E208</f>
        <v>E36a1</v>
      </c>
      <c r="E11" s="5" t="str">
        <f>BIBLE!E207</f>
        <v>E36a</v>
      </c>
      <c r="F11" s="5"/>
      <c r="G11" s="2" t="s">
        <v>1927</v>
      </c>
      <c r="H11" s="2444" t="s">
        <v>2434</v>
      </c>
      <c r="I11" s="5"/>
      <c r="J11" s="5"/>
      <c r="K11" s="5"/>
      <c r="L11" s="5"/>
      <c r="M11" s="5"/>
      <c r="N11" s="5"/>
      <c r="W11" s="2516" t="s">
        <v>1767</v>
      </c>
      <c r="X11" t="s">
        <v>1780</v>
      </c>
      <c r="Y11" s="2203">
        <v>0</v>
      </c>
      <c r="Z11" s="5">
        <f t="shared" ref="Z11:AE16" si="0">Z$10-$Y11</f>
        <v>0</v>
      </c>
      <c r="AA11" s="5">
        <f t="shared" si="0"/>
        <v>1</v>
      </c>
      <c r="AB11" s="1476">
        <f t="shared" si="0"/>
        <v>2</v>
      </c>
      <c r="AC11" s="1476">
        <f t="shared" si="0"/>
        <v>4</v>
      </c>
      <c r="AD11" s="1476">
        <f t="shared" si="0"/>
        <v>7</v>
      </c>
      <c r="AE11" s="1476">
        <f t="shared" si="0"/>
        <v>10</v>
      </c>
      <c r="AF11" s="2482" t="s">
        <v>2435</v>
      </c>
      <c r="AH11" s="2516" t="s">
        <v>1767</v>
      </c>
      <c r="AI11" t="s">
        <v>1780</v>
      </c>
      <c r="AJ11" s="2203">
        <v>0</v>
      </c>
      <c r="AK11" s="503" t="s">
        <v>2436</v>
      </c>
      <c r="AL11" s="503" t="s">
        <v>2437</v>
      </c>
      <c r="AM11" s="2204" t="s">
        <v>2438</v>
      </c>
      <c r="AN11" s="2204"/>
      <c r="AO11" s="2204"/>
      <c r="AP11" s="2204"/>
      <c r="AQ11" s="2482" t="s">
        <v>2435</v>
      </c>
    </row>
    <row r="12" spans="1:43" ht="48" customHeight="1">
      <c r="D12" s="1" t="s">
        <v>1767</v>
      </c>
      <c r="E12" s="1" t="s">
        <v>2429</v>
      </c>
      <c r="F12" s="2274" t="s">
        <v>1768</v>
      </c>
      <c r="H12" s="1"/>
      <c r="W12" s="2458"/>
      <c r="X12" t="s">
        <v>1781</v>
      </c>
      <c r="Y12" s="2203">
        <v>1</v>
      </c>
      <c r="Z12" s="5">
        <f t="shared" si="0"/>
        <v>-1</v>
      </c>
      <c r="AA12" s="5">
        <f t="shared" si="0"/>
        <v>0</v>
      </c>
      <c r="AB12" s="5">
        <f t="shared" si="0"/>
        <v>1</v>
      </c>
      <c r="AC12" s="1476">
        <f t="shared" si="0"/>
        <v>3</v>
      </c>
      <c r="AD12" s="1476">
        <f t="shared" si="0"/>
        <v>6</v>
      </c>
      <c r="AE12" s="1476">
        <f t="shared" si="0"/>
        <v>9</v>
      </c>
      <c r="AF12" s="2458"/>
      <c r="AH12" s="2458"/>
      <c r="AI12" t="s">
        <v>1781</v>
      </c>
      <c r="AJ12" s="2203">
        <v>1</v>
      </c>
      <c r="AK12" s="503" t="s">
        <v>2437</v>
      </c>
      <c r="AL12" s="503" t="s">
        <v>2439</v>
      </c>
      <c r="AM12" s="503" t="s">
        <v>2437</v>
      </c>
      <c r="AN12" s="2204"/>
      <c r="AO12" s="2204"/>
      <c r="AP12" s="2204"/>
      <c r="AQ12" s="2458"/>
    </row>
    <row r="13" spans="1:43" ht="48" customHeight="1">
      <c r="A13" s="2601" t="s">
        <v>2440</v>
      </c>
      <c r="B13" s="1420"/>
      <c r="C13" s="1418" t="s">
        <v>1319</v>
      </c>
      <c r="D13" s="55"/>
      <c r="E13" s="55"/>
      <c r="F13" s="292"/>
      <c r="H13" t="s">
        <v>2441</v>
      </c>
      <c r="W13" s="2458"/>
      <c r="X13" t="s">
        <v>1783</v>
      </c>
      <c r="Y13" s="2203">
        <v>2</v>
      </c>
      <c r="Z13" s="1375">
        <f t="shared" si="0"/>
        <v>-2</v>
      </c>
      <c r="AA13" s="5">
        <f t="shared" si="0"/>
        <v>-1</v>
      </c>
      <c r="AB13" s="5">
        <f t="shared" si="0"/>
        <v>0</v>
      </c>
      <c r="AC13" s="1476">
        <f t="shared" si="0"/>
        <v>2</v>
      </c>
      <c r="AD13" s="1476">
        <f t="shared" si="0"/>
        <v>5</v>
      </c>
      <c r="AE13" s="1476">
        <f t="shared" si="0"/>
        <v>8</v>
      </c>
      <c r="AF13" s="2458"/>
      <c r="AH13" s="2458"/>
      <c r="AI13" t="s">
        <v>1783</v>
      </c>
      <c r="AJ13" s="2203">
        <v>2</v>
      </c>
      <c r="AK13" s="2205" t="s">
        <v>2442</v>
      </c>
      <c r="AL13" s="503" t="s">
        <v>2437</v>
      </c>
      <c r="AM13" s="503" t="s">
        <v>2439</v>
      </c>
      <c r="AN13" s="2204" t="s">
        <v>2438</v>
      </c>
      <c r="AO13" s="2204"/>
      <c r="AP13" s="2204"/>
      <c r="AQ13" s="2458"/>
    </row>
    <row r="14" spans="1:43" ht="47" customHeight="1">
      <c r="A14" s="2458"/>
      <c r="B14" s="1420"/>
      <c r="C14" s="1586" t="str">
        <f>Test_Bible!B341</f>
        <v/>
      </c>
      <c r="D14" s="6">
        <f>Test_Bible!P356</f>
        <v>0</v>
      </c>
      <c r="E14" s="6">
        <f>Test_Bible!P341</f>
        <v>0</v>
      </c>
      <c r="F14" s="2275">
        <f>D14-E14</f>
        <v>0</v>
      </c>
      <c r="H14" s="2280" t="s">
        <v>2443</v>
      </c>
      <c r="I14" s="1446"/>
      <c r="J14" s="1446"/>
      <c r="W14" s="2458"/>
      <c r="X14" t="s">
        <v>1784</v>
      </c>
      <c r="Y14" s="2203">
        <v>4</v>
      </c>
      <c r="Z14" s="1375">
        <f t="shared" si="0"/>
        <v>-4</v>
      </c>
      <c r="AA14" s="1375">
        <f t="shared" si="0"/>
        <v>-3</v>
      </c>
      <c r="AB14" s="1375">
        <f t="shared" si="0"/>
        <v>-2</v>
      </c>
      <c r="AC14" s="5">
        <f t="shared" si="0"/>
        <v>0</v>
      </c>
      <c r="AD14" s="1476">
        <f t="shared" si="0"/>
        <v>3</v>
      </c>
      <c r="AE14" s="1476">
        <f t="shared" si="0"/>
        <v>6</v>
      </c>
      <c r="AF14" s="2458"/>
      <c r="AH14" s="2458"/>
      <c r="AI14" t="s">
        <v>1784</v>
      </c>
      <c r="AJ14" s="2203">
        <v>4</v>
      </c>
      <c r="AK14" s="2205"/>
      <c r="AL14" s="2205"/>
      <c r="AM14" s="2205" t="s">
        <v>2442</v>
      </c>
      <c r="AN14" s="2205" t="s">
        <v>2444</v>
      </c>
      <c r="AO14" s="2204"/>
      <c r="AP14" s="2204"/>
      <c r="AQ14" s="2458"/>
    </row>
    <row r="15" spans="1:43" ht="35" customHeight="1">
      <c r="A15" s="2458"/>
      <c r="B15" s="1420"/>
      <c r="C15" s="1586" t="str">
        <f>Test_Bible!B342</f>
        <v/>
      </c>
      <c r="D15" s="6">
        <f>Test_Bible!P357</f>
        <v>0</v>
      </c>
      <c r="E15" s="6">
        <f>Test_Bible!P342</f>
        <v>0</v>
      </c>
      <c r="F15" s="2275">
        <f>D15-E15</f>
        <v>0</v>
      </c>
      <c r="H15" s="2280" t="s">
        <v>2445</v>
      </c>
      <c r="I15" s="1446"/>
      <c r="J15" s="1446"/>
      <c r="W15" s="2458"/>
      <c r="X15" t="s">
        <v>2431</v>
      </c>
      <c r="Y15" s="2203">
        <v>7</v>
      </c>
      <c r="Z15" s="1375">
        <f t="shared" si="0"/>
        <v>-7</v>
      </c>
      <c r="AA15" s="1375">
        <f t="shared" si="0"/>
        <v>-6</v>
      </c>
      <c r="AB15" s="1375">
        <f t="shared" si="0"/>
        <v>-5</v>
      </c>
      <c r="AC15" s="1375">
        <f t="shared" si="0"/>
        <v>-3</v>
      </c>
      <c r="AD15" s="5">
        <f t="shared" si="0"/>
        <v>0</v>
      </c>
      <c r="AE15" s="1476">
        <f t="shared" si="0"/>
        <v>3</v>
      </c>
      <c r="AF15" s="2458"/>
      <c r="AH15" s="2458"/>
      <c r="AI15" t="s">
        <v>2431</v>
      </c>
      <c r="AJ15" s="2203">
        <v>7</v>
      </c>
      <c r="AK15" s="2205"/>
      <c r="AL15" s="2205"/>
      <c r="AM15" s="2205"/>
      <c r="AN15" s="2205"/>
      <c r="AO15" s="2205" t="s">
        <v>2444</v>
      </c>
      <c r="AP15" s="2204"/>
      <c r="AQ15" s="2458"/>
    </row>
    <row r="16" spans="1:43" ht="35" customHeight="1">
      <c r="A16" s="2458"/>
      <c r="B16" s="1420"/>
      <c r="C16" s="1586" t="str">
        <f>Test_Bible!B343</f>
        <v/>
      </c>
      <c r="D16" s="6">
        <f>Test_Bible!P358</f>
        <v>0</v>
      </c>
      <c r="E16" s="6">
        <f>Test_Bible!P343</f>
        <v>0</v>
      </c>
      <c r="F16" s="2275">
        <f>D16-E16</f>
        <v>0</v>
      </c>
      <c r="H16" s="2280"/>
      <c r="I16" s="1446"/>
      <c r="J16" s="1446"/>
      <c r="W16" s="2458"/>
      <c r="X16" t="s">
        <v>1788</v>
      </c>
      <c r="Y16" s="2203">
        <v>10</v>
      </c>
      <c r="Z16" s="1375">
        <f t="shared" si="0"/>
        <v>-10</v>
      </c>
      <c r="AA16" s="1375">
        <f t="shared" si="0"/>
        <v>-9</v>
      </c>
      <c r="AB16" s="1375">
        <f t="shared" si="0"/>
        <v>-8</v>
      </c>
      <c r="AC16" s="1375">
        <f t="shared" si="0"/>
        <v>-6</v>
      </c>
      <c r="AD16" s="1375">
        <f t="shared" si="0"/>
        <v>-3</v>
      </c>
      <c r="AE16" s="5">
        <f t="shared" si="0"/>
        <v>0</v>
      </c>
      <c r="AF16" s="2458"/>
      <c r="AH16" s="2458"/>
      <c r="AI16" t="s">
        <v>1788</v>
      </c>
      <c r="AJ16" s="2203">
        <v>10</v>
      </c>
      <c r="AK16" s="2205"/>
      <c r="AL16" s="2205"/>
      <c r="AM16" s="2205"/>
      <c r="AN16" s="2205"/>
      <c r="AO16" s="2205"/>
      <c r="AP16" s="2205" t="s">
        <v>2444</v>
      </c>
      <c r="AQ16" s="2458"/>
    </row>
    <row r="17" spans="1:42" ht="35" customHeight="1">
      <c r="A17" s="2458"/>
      <c r="B17" s="1420"/>
      <c r="C17" s="1586" t="str">
        <f>Test_Bible!B344</f>
        <v/>
      </c>
      <c r="D17" s="6">
        <f>Test_Bible!P359</f>
        <v>0</v>
      </c>
      <c r="E17" s="6">
        <f>Test_Bible!P344</f>
        <v>0</v>
      </c>
      <c r="F17" s="2275">
        <f>D17-E17</f>
        <v>0</v>
      </c>
      <c r="H17" s="2447" t="s">
        <v>2446</v>
      </c>
      <c r="I17" s="1446"/>
      <c r="J17" s="1446"/>
      <c r="W17" s="2458"/>
      <c r="X17" t="s">
        <v>2432</v>
      </c>
      <c r="Y17" s="2203">
        <v>0</v>
      </c>
      <c r="Z17" s="2474" t="s">
        <v>2447</v>
      </c>
      <c r="AA17" s="2458"/>
      <c r="AB17" s="2458"/>
      <c r="AC17" s="2458"/>
      <c r="AD17" s="2458"/>
      <c r="AE17" s="2458"/>
      <c r="AH17" s="2458"/>
      <c r="AI17" t="s">
        <v>2432</v>
      </c>
      <c r="AJ17" s="2203">
        <v>0</v>
      </c>
      <c r="AK17" s="2474" t="s">
        <v>2447</v>
      </c>
      <c r="AL17" s="2458"/>
      <c r="AM17" s="2458"/>
      <c r="AN17" s="2458"/>
      <c r="AO17" s="2458"/>
      <c r="AP17" s="2458"/>
    </row>
    <row r="18" spans="1:42" ht="35" customHeight="1">
      <c r="A18" s="2458"/>
      <c r="B18" s="1420"/>
      <c r="C18" s="1586" t="str">
        <f>Test_Bible!B345</f>
        <v/>
      </c>
      <c r="D18" s="6">
        <f>Test_Bible!P360</f>
        <v>0</v>
      </c>
      <c r="E18" s="6">
        <f>Test_Bible!P345</f>
        <v>0</v>
      </c>
      <c r="F18" s="2275">
        <f>D18-E18</f>
        <v>0</v>
      </c>
      <c r="H18" s="2280"/>
      <c r="I18" s="1446"/>
      <c r="J18" s="1446"/>
      <c r="Y18" s="1720"/>
    </row>
    <row r="19" spans="1:42" ht="108" customHeight="1">
      <c r="A19" s="2458"/>
      <c r="B19" s="2206"/>
      <c r="C19" s="2207"/>
      <c r="D19" s="1814"/>
      <c r="E19" s="1814"/>
      <c r="F19" s="2276">
        <f>SUM(F14:F18)</f>
        <v>0</v>
      </c>
      <c r="H19" s="2278"/>
      <c r="I19" s="2278"/>
      <c r="J19" s="2278"/>
      <c r="K19" s="826"/>
      <c r="L19" s="826"/>
      <c r="M19" s="826"/>
      <c r="N19" s="826"/>
      <c r="Y19" s="1720"/>
      <c r="AL19" t="s">
        <v>2448</v>
      </c>
    </row>
    <row r="20" spans="1:42" ht="38" customHeight="1">
      <c r="A20" s="2458"/>
      <c r="B20" s="2206"/>
      <c r="C20" s="2279"/>
      <c r="D20" s="6"/>
      <c r="E20" s="6"/>
      <c r="F20" s="2275"/>
      <c r="G20" s="2346" t="s">
        <v>1927</v>
      </c>
      <c r="H20" s="831" t="s">
        <v>2449</v>
      </c>
      <c r="I20" s="826"/>
      <c r="J20" s="826"/>
      <c r="K20" s="826"/>
      <c r="L20" s="826"/>
      <c r="M20" s="826"/>
      <c r="N20" s="826"/>
      <c r="Y20" s="1720"/>
    </row>
    <row r="21" spans="1:42" ht="26" customHeight="1">
      <c r="A21" s="2458"/>
      <c r="B21" s="1420"/>
      <c r="C21" s="1586" t="str">
        <f>Test_Bible!B347</f>
        <v/>
      </c>
      <c r="D21" s="6">
        <f>Test_Bible!P362</f>
        <v>0</v>
      </c>
      <c r="E21" s="6">
        <f>Test_Bible!P347</f>
        <v>0</v>
      </c>
      <c r="F21" s="2275">
        <f>D21-E21</f>
        <v>0</v>
      </c>
      <c r="H21" s="2605" t="s">
        <v>2450</v>
      </c>
      <c r="I21" s="2278"/>
      <c r="J21" s="2278"/>
      <c r="K21" s="826"/>
      <c r="L21" s="826"/>
    </row>
    <row r="22" spans="1:42" ht="26" customHeight="1">
      <c r="A22" s="2458"/>
      <c r="B22" s="1420"/>
      <c r="C22" s="1586" t="str">
        <f>Test_Bible!B349</f>
        <v/>
      </c>
      <c r="D22" s="6">
        <f>Test_Bible!P364</f>
        <v>0</v>
      </c>
      <c r="E22" s="6">
        <f>Test_Bible!P349</f>
        <v>0</v>
      </c>
      <c r="F22" s="2275">
        <f>D22-E22</f>
        <v>0</v>
      </c>
      <c r="H22" s="2458"/>
      <c r="I22" s="2278"/>
      <c r="J22" s="2278"/>
      <c r="K22" s="826"/>
      <c r="L22" s="826"/>
      <c r="M22" s="2208"/>
      <c r="N22" s="2208"/>
      <c r="AK22" s="1475"/>
      <c r="AL22" t="s">
        <v>2451</v>
      </c>
    </row>
    <row r="23" spans="1:42" ht="26" customHeight="1">
      <c r="A23" s="2458"/>
      <c r="B23" s="1420"/>
      <c r="C23" s="1586" t="str">
        <f>Test_Bible!B351</f>
        <v/>
      </c>
      <c r="D23" s="6">
        <f>Test_Bible!P366</f>
        <v>0</v>
      </c>
      <c r="E23" s="6">
        <f>Test_Bible!P351</f>
        <v>0</v>
      </c>
      <c r="F23" s="2275">
        <f>D23-E23</f>
        <v>0</v>
      </c>
      <c r="H23" s="2458"/>
      <c r="I23" s="2278"/>
      <c r="J23" s="2278"/>
      <c r="K23" s="826"/>
      <c r="L23" s="826"/>
      <c r="M23" s="55"/>
      <c r="N23" s="55"/>
      <c r="AK23" s="2205"/>
      <c r="AL23" t="s">
        <v>2452</v>
      </c>
    </row>
    <row r="24" spans="1:42" ht="38" customHeight="1">
      <c r="A24" s="1921"/>
    </row>
    <row r="25" spans="1:42" ht="33" customHeight="1">
      <c r="A25" s="1921"/>
      <c r="F25" t="s">
        <v>2174</v>
      </c>
      <c r="H25" s="2280" t="s">
        <v>2453</v>
      </c>
    </row>
    <row r="26" spans="1:42" ht="33" customHeight="1">
      <c r="A26" s="1921"/>
      <c r="F26" t="s">
        <v>53</v>
      </c>
      <c r="H26" s="1446"/>
    </row>
    <row r="27" spans="1:42" ht="33" customHeight="1">
      <c r="A27" s="1921"/>
    </row>
    <row r="28" spans="1:42" ht="33" customHeight="1">
      <c r="A28" s="1921"/>
    </row>
    <row r="29" spans="1:42">
      <c r="A29" s="1921"/>
    </row>
    <row r="30" spans="1:42">
      <c r="A30" s="1921"/>
      <c r="E30" s="2" t="s">
        <v>1792</v>
      </c>
      <c r="H30" s="2" t="s">
        <v>1793</v>
      </c>
    </row>
    <row r="31" spans="1:42">
      <c r="A31" s="1921"/>
      <c r="F31" t="s">
        <v>1794</v>
      </c>
      <c r="G31" t="e">
        <f>VLOOKUP(F41,B42:F48,2)</f>
        <v>#N/A</v>
      </c>
    </row>
    <row r="32" spans="1:42" ht="18.5" customHeight="1">
      <c r="A32" s="407" t="s">
        <v>1895</v>
      </c>
      <c r="C32" s="2160" t="s">
        <v>2454</v>
      </c>
    </row>
    <row r="33" spans="1:30" ht="21" customHeight="1">
      <c r="F33" s="2282"/>
      <c r="W33" s="3"/>
      <c r="Y33" s="2542" t="s">
        <v>1673</v>
      </c>
      <c r="Z33" s="2458"/>
      <c r="AA33" s="2458"/>
      <c r="AB33" s="2458"/>
      <c r="AC33" s="2458"/>
      <c r="AD33" s="1772"/>
    </row>
    <row r="34" spans="1:30" ht="37.5" customHeight="1">
      <c r="A34" s="407" t="s">
        <v>1898</v>
      </c>
      <c r="C34" s="2202" t="s">
        <v>2455</v>
      </c>
      <c r="F34" t="s">
        <v>1795</v>
      </c>
      <c r="G34" t="str">
        <f>IF(E41=0,"aucun comportement révélé",VLOOKUP(E41,B42:F48,2))</f>
        <v>aucun comportement révélé</v>
      </c>
      <c r="Y34" s="1772"/>
      <c r="Z34" s="1772"/>
      <c r="AA34" s="1772"/>
      <c r="AB34" s="1772"/>
      <c r="AC34" s="1772"/>
      <c r="AD34" s="1772"/>
    </row>
    <row r="35" spans="1:30" ht="21" customHeight="1">
      <c r="A35" s="407"/>
      <c r="C35" s="2261"/>
      <c r="Y35" s="1772"/>
      <c r="Z35" s="1772"/>
      <c r="AA35" s="1772"/>
      <c r="AB35" s="1772"/>
      <c r="AC35" s="1772"/>
      <c r="AD35" s="1772"/>
    </row>
    <row r="36" spans="1:30" ht="21" customHeight="1">
      <c r="A36" s="407"/>
      <c r="C36" s="2261"/>
      <c r="Y36" s="1772"/>
      <c r="Z36" s="1772"/>
      <c r="AA36" s="1772"/>
      <c r="AB36" s="1772"/>
      <c r="AC36" s="1772"/>
      <c r="AD36" s="1772"/>
    </row>
    <row r="37" spans="1:30" ht="69" customHeight="1">
      <c r="A37" s="1921"/>
      <c r="W37" s="5"/>
    </row>
    <row r="38" spans="1:30" ht="37" customHeight="1">
      <c r="A38" s="1921"/>
      <c r="H38" s="2184" t="s">
        <v>2038</v>
      </c>
      <c r="I38" s="2277"/>
      <c r="J38" s="2185"/>
      <c r="K38" s="2185"/>
      <c r="L38" s="2185"/>
      <c r="M38" s="2185"/>
      <c r="N38" s="2185"/>
      <c r="Y38" s="2604" t="s">
        <v>2456</v>
      </c>
      <c r="Z38" s="2458"/>
      <c r="AA38" s="2458"/>
      <c r="AB38" s="2458"/>
      <c r="AC38" s="2458"/>
      <c r="AD38" s="2458"/>
    </row>
    <row r="39" spans="1:30" ht="46" customHeight="1">
      <c r="A39" s="1921"/>
      <c r="D39" s="2465" t="s">
        <v>2457</v>
      </c>
      <c r="E39" s="2458"/>
      <c r="F39" s="2458"/>
      <c r="G39" s="88" t="s">
        <v>2000</v>
      </c>
      <c r="H39" s="2443" t="s">
        <v>2458</v>
      </c>
      <c r="I39" s="2445"/>
      <c r="J39" s="2345"/>
      <c r="K39" s="2345"/>
      <c r="L39" s="2345"/>
      <c r="M39" s="2345"/>
      <c r="N39" s="2345"/>
      <c r="X39" s="16" t="s">
        <v>2459</v>
      </c>
      <c r="Y39" s="8" t="s">
        <v>2460</v>
      </c>
      <c r="Z39" s="8" t="s">
        <v>2461</v>
      </c>
      <c r="AA39" s="8" t="s">
        <v>2462</v>
      </c>
      <c r="AB39" s="8" t="s">
        <v>2463</v>
      </c>
      <c r="AC39" s="8" t="s">
        <v>2464</v>
      </c>
      <c r="AD39" s="8" t="s">
        <v>2465</v>
      </c>
    </row>
    <row r="40" spans="1:30" ht="70" customHeight="1">
      <c r="A40" s="1921"/>
      <c r="E40" s="13" t="s">
        <v>2466</v>
      </c>
      <c r="F40" s="13" t="s">
        <v>2467</v>
      </c>
      <c r="G40" s="2595" t="s">
        <v>2468</v>
      </c>
      <c r="H40" s="700" t="s">
        <v>254</v>
      </c>
      <c r="I40" s="700" t="s">
        <v>255</v>
      </c>
      <c r="J40" s="700"/>
      <c r="K40" s="700"/>
      <c r="L40" s="700"/>
      <c r="M40" s="700"/>
      <c r="N40" s="700"/>
      <c r="W40" s="2596" t="s">
        <v>2469</v>
      </c>
      <c r="X40" s="8" t="s">
        <v>2460</v>
      </c>
      <c r="Y40" s="2606" t="s">
        <v>2470</v>
      </c>
      <c r="Z40" s="2508"/>
      <c r="AA40" s="2526"/>
      <c r="AB40" s="2602"/>
      <c r="AC40" s="2602"/>
      <c r="AD40" s="2602"/>
    </row>
    <row r="41" spans="1:30" ht="32" customHeight="1">
      <c r="A41" s="2601" t="s">
        <v>2471</v>
      </c>
      <c r="B41" s="1419" t="s">
        <v>2472</v>
      </c>
      <c r="C41" s="1417" t="s">
        <v>2473</v>
      </c>
      <c r="E41" s="1587">
        <f>IF(Test_Bible!P313&lt;&gt;0,Test_Bible!P313,0)</f>
        <v>0</v>
      </c>
      <c r="F41" s="1587">
        <f>IF(Test_Bible!P372&lt;&gt;0,Test_Bible!P372,0)</f>
        <v>0</v>
      </c>
      <c r="G41" s="2458"/>
      <c r="H41" s="1588"/>
      <c r="I41" s="1588"/>
      <c r="J41" s="1446"/>
      <c r="K41" s="1446"/>
      <c r="L41" s="1446"/>
      <c r="M41" s="1588"/>
      <c r="N41" s="1588"/>
      <c r="W41" s="2458"/>
      <c r="X41" s="8" t="s">
        <v>2461</v>
      </c>
      <c r="Y41" s="2522"/>
      <c r="Z41" s="2458"/>
      <c r="AA41" s="2501"/>
      <c r="AB41" s="2463"/>
      <c r="AC41" s="2463"/>
      <c r="AD41" s="2463"/>
    </row>
    <row r="42" spans="1:30" ht="32" customHeight="1">
      <c r="A42" s="2458"/>
      <c r="B42" s="1419">
        <v>1</v>
      </c>
      <c r="C42" s="2283" t="str">
        <f>Test_Bible!B373</f>
        <v/>
      </c>
      <c r="E42" s="90" t="str">
        <f>Test_Bible!E314</f>
        <v>x</v>
      </c>
      <c r="F42" s="5" t="str">
        <f>Test_Bible!E373</f>
        <v>x</v>
      </c>
      <c r="G42" s="2458"/>
      <c r="J42" s="1446"/>
      <c r="K42" s="1446"/>
      <c r="L42" s="1446"/>
      <c r="W42" s="2458"/>
      <c r="X42" s="8" t="s">
        <v>2462</v>
      </c>
      <c r="Y42" s="2523"/>
      <c r="Z42" s="2460"/>
      <c r="AA42" s="2502"/>
      <c r="AB42" s="2464"/>
      <c r="AC42" s="2464"/>
      <c r="AD42" s="2464"/>
    </row>
    <row r="43" spans="1:30" ht="39" customHeight="1">
      <c r="A43" s="2458"/>
      <c r="B43" s="1419">
        <v>2</v>
      </c>
      <c r="C43" s="2283" t="str">
        <f>Test_Bible!B374</f>
        <v/>
      </c>
      <c r="E43" s="90" t="str">
        <f>Test_Bible!E315</f>
        <v>x</v>
      </c>
      <c r="F43" s="5" t="str">
        <f>Test_Bible!E374</f>
        <v>x</v>
      </c>
      <c r="G43" s="2458"/>
      <c r="J43" s="1446"/>
      <c r="K43" s="1446"/>
      <c r="L43" s="1446"/>
      <c r="W43" s="2458"/>
      <c r="X43" s="8" t="s">
        <v>2463</v>
      </c>
      <c r="Y43" s="2602"/>
      <c r="Z43" s="2602"/>
      <c r="AA43" s="2603"/>
      <c r="AB43" s="2603"/>
      <c r="AC43" s="2603"/>
      <c r="AD43" s="2603"/>
    </row>
    <row r="44" spans="1:30" ht="39" customHeight="1">
      <c r="A44" s="2458"/>
      <c r="B44" s="1419">
        <v>3</v>
      </c>
      <c r="C44" s="2283" t="str">
        <f>Test_Bible!B375</f>
        <v/>
      </c>
      <c r="E44" s="90" t="str">
        <f>Test_Bible!E316</f>
        <v>x</v>
      </c>
      <c r="F44" s="5" t="str">
        <f>Test_Bible!E375</f>
        <v>x</v>
      </c>
      <c r="G44" s="2458"/>
      <c r="J44" s="1446"/>
      <c r="K44" s="1446"/>
      <c r="L44" s="1446"/>
      <c r="W44" s="2458"/>
      <c r="X44" s="8" t="s">
        <v>2464</v>
      </c>
      <c r="Y44" s="2463"/>
      <c r="Z44" s="2463"/>
      <c r="AA44" s="2463"/>
      <c r="AB44" s="2463"/>
      <c r="AC44" s="2463"/>
      <c r="AD44" s="2463"/>
    </row>
    <row r="45" spans="1:30" ht="47" customHeight="1">
      <c r="A45" s="2458"/>
      <c r="B45" s="1419"/>
      <c r="C45" s="2283"/>
      <c r="E45" s="90"/>
      <c r="F45" s="5"/>
      <c r="G45" s="2458"/>
      <c r="H45" s="553"/>
      <c r="I45" s="553"/>
      <c r="J45" s="1446"/>
      <c r="K45" s="1446"/>
      <c r="L45" s="1446"/>
      <c r="M45" s="8"/>
      <c r="N45" s="8"/>
      <c r="W45" s="2458"/>
      <c r="X45" s="8"/>
      <c r="Y45" s="2463"/>
      <c r="Z45" s="2463"/>
      <c r="AA45" s="2463"/>
      <c r="AB45" s="2463"/>
      <c r="AC45" s="2463"/>
      <c r="AD45" s="2463"/>
    </row>
    <row r="46" spans="1:30" ht="39" customHeight="1">
      <c r="A46" s="2458"/>
      <c r="B46" s="1419">
        <v>4</v>
      </c>
      <c r="C46" s="2283" t="str">
        <f>Test_Bible!B376</f>
        <v/>
      </c>
      <c r="E46" s="90" t="str">
        <f>Test_Bible!E317</f>
        <v>x</v>
      </c>
      <c r="F46" s="5" t="str">
        <f>Test_Bible!E376</f>
        <v>x</v>
      </c>
      <c r="G46" s="2458"/>
      <c r="J46" s="1446"/>
      <c r="K46" s="1446"/>
      <c r="L46" s="1446"/>
      <c r="W46" s="2458"/>
      <c r="X46" s="8" t="s">
        <v>2465</v>
      </c>
      <c r="Y46" s="2464"/>
      <c r="Z46" s="2464"/>
      <c r="AA46" s="2464"/>
      <c r="AB46" s="2464"/>
      <c r="AC46" s="2464"/>
      <c r="AD46" s="2464"/>
    </row>
    <row r="47" spans="1:30" ht="29" customHeight="1">
      <c r="A47" s="2458"/>
      <c r="B47" s="1419">
        <v>5</v>
      </c>
      <c r="C47" s="2283" t="str">
        <f>Test_Bible!B377</f>
        <v/>
      </c>
      <c r="E47" s="90" t="str">
        <f>Test_Bible!E318</f>
        <v>x</v>
      </c>
      <c r="F47" s="5" t="str">
        <f>Test_Bible!E377</f>
        <v>x</v>
      </c>
      <c r="G47" s="2458"/>
      <c r="J47" s="1446"/>
      <c r="K47" s="1446"/>
      <c r="L47" s="1446"/>
      <c r="X47" s="7" t="s">
        <v>2474</v>
      </c>
    </row>
    <row r="48" spans="1:30" ht="28" customHeight="1">
      <c r="A48" s="2458"/>
      <c r="B48" s="1419">
        <v>6</v>
      </c>
      <c r="C48" s="2283" t="str">
        <f>Test_Bible!B378</f>
        <v/>
      </c>
      <c r="E48" s="90" t="str">
        <f>Test_Bible!E319</f>
        <v>x</v>
      </c>
      <c r="F48" s="5" t="str">
        <f>Test_Bible!E378</f>
        <v>x</v>
      </c>
      <c r="G48" s="2458"/>
      <c r="J48" s="1446"/>
      <c r="K48" s="1446"/>
      <c r="L48" s="1446"/>
      <c r="Z48" t="s">
        <v>2448</v>
      </c>
    </row>
    <row r="49" spans="1:31" ht="104" customHeight="1">
      <c r="A49" s="2269"/>
      <c r="B49" s="1419"/>
      <c r="C49" s="1585"/>
      <c r="D49" s="5"/>
      <c r="E49" s="90"/>
      <c r="F49" s="5"/>
      <c r="G49" s="2458"/>
      <c r="H49" s="2448" t="s">
        <v>2475</v>
      </c>
      <c r="I49" s="2448" t="s">
        <v>2476</v>
      </c>
      <c r="J49" s="1446"/>
      <c r="K49" s="1446"/>
      <c r="L49" s="1446"/>
      <c r="M49" s="25"/>
      <c r="N49" s="25"/>
    </row>
    <row r="50" spans="1:31" ht="48" customHeight="1">
      <c r="B50" s="2600" t="s">
        <v>2477</v>
      </c>
      <c r="C50" s="2458"/>
    </row>
    <row r="51" spans="1:31" ht="81" customHeight="1">
      <c r="F51" s="7" t="s">
        <v>2174</v>
      </c>
      <c r="H51" s="2233"/>
      <c r="I51" s="2233"/>
      <c r="J51" s="2233"/>
      <c r="K51" s="25"/>
      <c r="L51" s="25"/>
      <c r="M51" s="25"/>
      <c r="N51" s="25"/>
    </row>
    <row r="52" spans="1:31" ht="36" customHeight="1">
      <c r="F52" s="7" t="s">
        <v>53</v>
      </c>
      <c r="H52" s="1446"/>
      <c r="I52" s="1446"/>
      <c r="J52" s="1446"/>
    </row>
    <row r="58" spans="1:31">
      <c r="AB58" s="5"/>
      <c r="AC58" s="5"/>
      <c r="AD58" s="5"/>
      <c r="AE58" s="5"/>
    </row>
    <row r="59" spans="1:31">
      <c r="Z59" s="25"/>
      <c r="AA59" s="7"/>
      <c r="AB59" s="826"/>
      <c r="AC59" s="826"/>
      <c r="AD59" s="826"/>
      <c r="AE59" s="826"/>
    </row>
    <row r="60" spans="1:31">
      <c r="Z60" s="25"/>
      <c r="AA60" s="7"/>
      <c r="AB60" s="826"/>
      <c r="AC60" s="826"/>
      <c r="AD60" s="826"/>
      <c r="AE60" s="826"/>
    </row>
    <row r="61" spans="1:31">
      <c r="Z61" s="25"/>
      <c r="AA61" s="7"/>
      <c r="AB61" s="826"/>
      <c r="AC61" s="826"/>
      <c r="AD61" s="826"/>
      <c r="AE61" s="826"/>
    </row>
    <row r="62" spans="1:31">
      <c r="Z62" s="25"/>
      <c r="AA62" s="7"/>
      <c r="AB62" s="826"/>
      <c r="AC62" s="13"/>
      <c r="AD62" s="13"/>
      <c r="AE62" s="13"/>
    </row>
  </sheetData>
  <mergeCells count="2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 ref="A13:A23"/>
    <mergeCell ref="Y38:AD38"/>
    <mergeCell ref="W40:W46"/>
    <mergeCell ref="AB40:AB42"/>
    <mergeCell ref="AD40:AD42"/>
    <mergeCell ref="H21:H23"/>
    <mergeCell ref="Y33:AC33"/>
    <mergeCell ref="G40:G49"/>
    <mergeCell ref="W11:W17"/>
    <mergeCell ref="B50:C50"/>
    <mergeCell ref="A41:A48"/>
    <mergeCell ref="D39:F39"/>
    <mergeCell ref="Z43:Z46"/>
    <mergeCell ref="AB43:AB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60" t="s">
        <v>2478</v>
      </c>
      <c r="E1" s="1446"/>
      <c r="F1" s="1446"/>
      <c r="G1" s="1446"/>
      <c r="H1" s="1446"/>
      <c r="I1" s="1446"/>
    </row>
    <row r="2" spans="2:37" ht="38" customHeight="1">
      <c r="B2" s="407" t="s">
        <v>1898</v>
      </c>
      <c r="D2" s="2160" t="s">
        <v>2479</v>
      </c>
      <c r="E2" s="1446"/>
      <c r="F2" s="1446"/>
      <c r="G2" s="1446"/>
      <c r="H2" s="1446"/>
      <c r="I2" s="1446"/>
    </row>
    <row r="3" spans="2:37" ht="38" customHeight="1"/>
    <row r="4" spans="2:37" ht="21" customHeight="1">
      <c r="B4" s="49" t="s">
        <v>2480</v>
      </c>
    </row>
    <row r="5" spans="2:37" ht="25" customHeight="1">
      <c r="B5" s="49"/>
      <c r="K5" t="s">
        <v>620</v>
      </c>
      <c r="AC5" s="407" t="s">
        <v>2481</v>
      </c>
    </row>
    <row r="6" spans="2:37" ht="20" customHeight="1">
      <c r="T6" s="34" t="s">
        <v>2482</v>
      </c>
      <c r="U6" s="34"/>
      <c r="V6" s="34"/>
      <c r="W6" s="34"/>
      <c r="X6" s="34"/>
      <c r="Z6" s="1129"/>
      <c r="AC6" s="2112"/>
      <c r="AE6" s="2543" t="s">
        <v>2483</v>
      </c>
      <c r="AF6" s="2458"/>
      <c r="AG6" s="2458"/>
      <c r="AH6" s="2458"/>
      <c r="AI6" s="2458"/>
      <c r="AJ6" s="2458"/>
    </row>
    <row r="7" spans="2:37" ht="20" customHeight="1">
      <c r="T7" s="34" t="s">
        <v>2484</v>
      </c>
      <c r="U7" s="34"/>
      <c r="V7" s="34"/>
      <c r="W7" s="34"/>
      <c r="X7" s="34"/>
      <c r="AE7" s="2468" t="s">
        <v>2485</v>
      </c>
      <c r="AF7" s="2458"/>
      <c r="AG7" s="2458"/>
      <c r="AH7" s="2458"/>
      <c r="AI7" s="2458"/>
      <c r="AJ7" s="2458"/>
    </row>
    <row r="8" spans="2:37" ht="22" customHeight="1">
      <c r="B8" s="2122" t="s">
        <v>2486</v>
      </c>
      <c r="T8" s="1674" t="s">
        <v>2487</v>
      </c>
      <c r="U8" s="1673"/>
      <c r="V8" s="1673"/>
      <c r="W8" s="1673"/>
      <c r="X8" s="1676"/>
      <c r="AE8" t="s">
        <v>2488</v>
      </c>
      <c r="AJ8" t="s">
        <v>2489</v>
      </c>
    </row>
    <row r="9" spans="2:37" ht="22" customHeight="1">
      <c r="B9" s="2058" t="s">
        <v>2490</v>
      </c>
      <c r="T9" s="1673"/>
      <c r="U9" s="1673"/>
      <c r="V9" s="1673"/>
      <c r="W9" s="1673"/>
      <c r="X9" s="1676"/>
      <c r="AC9" s="88" t="s">
        <v>1768</v>
      </c>
    </row>
    <row r="10" spans="2:37" ht="22" customHeight="1">
      <c r="B10" s="2119" t="s">
        <v>2491</v>
      </c>
      <c r="T10" s="1673"/>
      <c r="U10" s="1673"/>
      <c r="V10" s="1673"/>
      <c r="W10" s="1673"/>
      <c r="X10" s="1676"/>
      <c r="AC10" s="88"/>
      <c r="AE10" s="587">
        <v>0</v>
      </c>
      <c r="AF10" s="587">
        <v>1</v>
      </c>
      <c r="AG10" s="587">
        <v>2</v>
      </c>
      <c r="AH10" s="587">
        <v>4</v>
      </c>
      <c r="AI10" s="587">
        <v>7</v>
      </c>
      <c r="AJ10" s="587">
        <v>10</v>
      </c>
    </row>
    <row r="11" spans="2:37" ht="19" customHeight="1" thickBot="1">
      <c r="M11" s="34" t="s">
        <v>1900</v>
      </c>
      <c r="T11" s="2115">
        <v>0</v>
      </c>
      <c r="U11" s="2144" t="s">
        <v>2492</v>
      </c>
      <c r="V11" s="2115"/>
      <c r="W11" s="2115"/>
      <c r="X11" s="2115"/>
      <c r="AD11" s="5">
        <v>1</v>
      </c>
      <c r="AE11" s="5">
        <v>2</v>
      </c>
      <c r="AF11" s="5">
        <v>3</v>
      </c>
      <c r="AG11" s="5">
        <v>4</v>
      </c>
      <c r="AH11" s="5">
        <v>5</v>
      </c>
      <c r="AI11" s="5">
        <v>6</v>
      </c>
      <c r="AJ11" s="5">
        <v>7</v>
      </c>
    </row>
    <row r="12" spans="2:37" ht="51" customHeight="1">
      <c r="C12" s="2612" t="s">
        <v>2493</v>
      </c>
      <c r="D12" s="2458"/>
      <c r="E12" s="2458"/>
      <c r="F12" s="2611" t="s">
        <v>2494</v>
      </c>
      <c r="G12" s="2458"/>
      <c r="H12" s="2458"/>
      <c r="I12" s="1896" t="s">
        <v>2495</v>
      </c>
      <c r="J12" s="2286" t="s">
        <v>2496</v>
      </c>
      <c r="K12" s="2287"/>
      <c r="L12" s="2287"/>
      <c r="M12" s="2287"/>
      <c r="N12" s="2287"/>
      <c r="O12" s="2287"/>
      <c r="P12" s="2324" t="s">
        <v>346</v>
      </c>
      <c r="Q12" s="2325" t="s">
        <v>2061</v>
      </c>
      <c r="R12" s="2111"/>
      <c r="T12" s="2115">
        <v>1</v>
      </c>
      <c r="U12" s="2144" t="s">
        <v>2497</v>
      </c>
      <c r="V12" s="2115"/>
      <c r="W12" s="2115"/>
      <c r="X12" s="2115"/>
      <c r="AA12" s="2610" t="s">
        <v>1778</v>
      </c>
      <c r="AB12" s="2" t="s">
        <v>2488</v>
      </c>
      <c r="AD12" s="587">
        <v>0</v>
      </c>
      <c r="AE12" s="47">
        <f t="shared" ref="AE12:AJ14" si="0">-(AE$10-$AD12)</f>
        <v>0</v>
      </c>
      <c r="AF12" s="47">
        <f t="shared" si="0"/>
        <v>-1</v>
      </c>
      <c r="AG12" s="47">
        <f t="shared" si="0"/>
        <v>-2</v>
      </c>
      <c r="AH12" s="47">
        <f t="shared" si="0"/>
        <v>-4</v>
      </c>
      <c r="AI12" s="47">
        <f t="shared" si="0"/>
        <v>-7</v>
      </c>
      <c r="AJ12" s="47">
        <f t="shared" si="0"/>
        <v>-10</v>
      </c>
      <c r="AK12" s="2615" t="s">
        <v>2498</v>
      </c>
    </row>
    <row r="13" spans="2:37" ht="34" customHeight="1">
      <c r="B13" s="2607" t="s">
        <v>2499</v>
      </c>
      <c r="C13" s="2458"/>
      <c r="D13" s="2458"/>
      <c r="E13" s="2458"/>
      <c r="F13" s="2458"/>
      <c r="G13" s="2458"/>
      <c r="H13" s="2458"/>
      <c r="I13" s="2584"/>
      <c r="J13" s="67"/>
      <c r="K13" s="67"/>
      <c r="L13" s="2289"/>
      <c r="M13" s="2617" t="s">
        <v>2500</v>
      </c>
      <c r="N13" s="2465"/>
      <c r="O13" s="2465"/>
      <c r="P13" s="2326"/>
      <c r="Q13" s="2327"/>
      <c r="R13" s="67"/>
      <c r="T13" s="2115">
        <v>2</v>
      </c>
      <c r="U13" s="2144" t="s">
        <v>2438</v>
      </c>
      <c r="V13" s="2115"/>
      <c r="W13" s="2115"/>
      <c r="X13" s="2115"/>
      <c r="AA13" s="2458"/>
      <c r="AB13" s="2"/>
      <c r="AD13" s="588">
        <v>1</v>
      </c>
      <c r="AE13" s="47">
        <f t="shared" si="0"/>
        <v>1</v>
      </c>
      <c r="AF13" s="47">
        <f t="shared" si="0"/>
        <v>0</v>
      </c>
      <c r="AG13" s="47">
        <f t="shared" si="0"/>
        <v>-1</v>
      </c>
      <c r="AH13" s="47">
        <f t="shared" si="0"/>
        <v>-3</v>
      </c>
      <c r="AI13" s="47">
        <f t="shared" si="0"/>
        <v>-6</v>
      </c>
      <c r="AJ13" s="47">
        <f t="shared" si="0"/>
        <v>-9</v>
      </c>
      <c r="AK13" s="2458"/>
    </row>
    <row r="14" spans="2:37" ht="62" customHeight="1">
      <c r="D14" s="272"/>
      <c r="E14" s="16" t="s">
        <v>1730</v>
      </c>
      <c r="F14" s="598"/>
      <c r="G14" s="598"/>
      <c r="H14" s="16" t="s">
        <v>1730</v>
      </c>
      <c r="I14" s="1898"/>
      <c r="J14" s="32" t="s">
        <v>2501</v>
      </c>
      <c r="K14" s="15" t="s">
        <v>1768</v>
      </c>
      <c r="L14" s="32" t="s">
        <v>2502</v>
      </c>
      <c r="M14" s="2494" t="s">
        <v>2503</v>
      </c>
      <c r="N14" s="2465"/>
      <c r="O14" s="2465"/>
      <c r="P14" s="2328"/>
      <c r="Q14" s="1365"/>
      <c r="R14" s="454"/>
      <c r="T14" s="2115">
        <v>3</v>
      </c>
      <c r="U14" s="2144" t="s">
        <v>2438</v>
      </c>
      <c r="V14" s="2115"/>
      <c r="W14" s="2115"/>
      <c r="X14" s="2115"/>
      <c r="AA14" s="2458"/>
      <c r="AB14" s="2"/>
      <c r="AD14" s="588">
        <v>2</v>
      </c>
      <c r="AE14" s="47">
        <f t="shared" si="0"/>
        <v>2</v>
      </c>
      <c r="AF14" s="47">
        <f t="shared" si="0"/>
        <v>1</v>
      </c>
      <c r="AG14" s="47">
        <f t="shared" si="0"/>
        <v>0</v>
      </c>
      <c r="AH14" s="47">
        <f t="shared" si="0"/>
        <v>-2</v>
      </c>
      <c r="AI14" s="47">
        <f t="shared" si="0"/>
        <v>-5</v>
      </c>
      <c r="AJ14" s="47">
        <f t="shared" si="0"/>
        <v>-8</v>
      </c>
      <c r="AK14" s="2458"/>
    </row>
    <row r="15" spans="2:37" ht="54" customHeight="1">
      <c r="D15" s="272"/>
      <c r="E15" s="16"/>
      <c r="F15" s="598"/>
      <c r="G15" s="598"/>
      <c r="H15" s="16"/>
      <c r="I15" s="1898"/>
      <c r="J15" s="32"/>
      <c r="K15" s="15"/>
      <c r="L15" s="32"/>
      <c r="M15" s="32" t="s">
        <v>2504</v>
      </c>
      <c r="N15" s="32" t="s">
        <v>2505</v>
      </c>
      <c r="O15" s="32" t="s">
        <v>2506</v>
      </c>
      <c r="P15" s="2328"/>
      <c r="Q15" s="1365"/>
      <c r="R15" s="454"/>
      <c r="T15" s="2115"/>
      <c r="U15" s="2144"/>
      <c r="V15" s="2115"/>
      <c r="W15" s="2115"/>
      <c r="X15" s="2115"/>
      <c r="AA15" s="2458"/>
      <c r="AB15" s="2"/>
      <c r="AD15" s="588"/>
      <c r="AE15" s="47"/>
      <c r="AF15" s="47"/>
      <c r="AG15" s="47"/>
      <c r="AH15" s="47"/>
      <c r="AI15" s="47"/>
      <c r="AJ15" s="47"/>
      <c r="AK15" s="2458"/>
    </row>
    <row r="16" spans="2:37" ht="62" customHeight="1">
      <c r="D16" s="272"/>
      <c r="E16" s="16"/>
      <c r="F16" s="598"/>
      <c r="G16" s="598"/>
      <c r="H16" s="16"/>
      <c r="I16" s="1898"/>
      <c r="J16" s="32"/>
      <c r="K16" s="15"/>
      <c r="L16" s="2285" t="s">
        <v>2000</v>
      </c>
      <c r="M16" s="2288"/>
      <c r="N16" s="2288"/>
      <c r="O16" s="2288"/>
      <c r="P16" s="2329"/>
      <c r="Q16" s="2330"/>
      <c r="R16" s="454"/>
      <c r="T16" s="2115"/>
      <c r="U16" s="2144"/>
      <c r="V16" s="2115"/>
      <c r="W16" s="2115"/>
      <c r="X16" s="2115"/>
      <c r="AA16" s="2458"/>
      <c r="AB16" s="2"/>
      <c r="AD16" s="588"/>
      <c r="AE16" s="47"/>
      <c r="AF16" s="47"/>
      <c r="AG16" s="47"/>
      <c r="AH16" s="47"/>
      <c r="AI16" s="47"/>
      <c r="AJ16" s="47"/>
      <c r="AK16" s="2458"/>
    </row>
    <row r="17" spans="1:41" ht="70" customHeight="1">
      <c r="A17" s="2578" t="s">
        <v>2507</v>
      </c>
      <c r="B17" s="13" t="s">
        <v>2508</v>
      </c>
      <c r="C17" s="510" t="str">
        <f>BIBLE!E40</f>
        <v>H01</v>
      </c>
      <c r="D17" s="272" t="str">
        <f>BIBLE!F40</f>
        <v xml:space="preserve">Quel était le degré de complicité entre vous et votre enfant ? </v>
      </c>
      <c r="E17" s="67">
        <f>IF(Test_Bible!B98=" ","",Test_Bible!P98)</f>
        <v>0</v>
      </c>
      <c r="F17" s="1894" t="str">
        <f>BIBLE!E151</f>
        <v>E01</v>
      </c>
      <c r="G17" s="1517" t="str">
        <f>BIBLE!F151</f>
        <v>Comment qualifieriez-vous votre relation et votre degré de complicité avec votre enfant, aujourd’hui (temps présent) ?</v>
      </c>
      <c r="H17" s="67">
        <f>IF(Test_Bible!B263="","",Test_Bible!P263)</f>
        <v>0</v>
      </c>
      <c r="I17" s="1898"/>
      <c r="J17" s="2118" t="s">
        <v>2509</v>
      </c>
      <c r="L17" s="1618"/>
      <c r="P17" s="2331"/>
      <c r="Q17" s="2332"/>
      <c r="T17" s="2115">
        <v>4</v>
      </c>
      <c r="U17" s="2144" t="s">
        <v>2510</v>
      </c>
      <c r="V17" s="2115"/>
      <c r="W17" s="2115"/>
      <c r="X17" s="2120"/>
      <c r="AA17" s="2458"/>
      <c r="AB17" s="53"/>
      <c r="AD17" s="553">
        <v>4</v>
      </c>
      <c r="AE17" s="47">
        <f t="shared" ref="AE17:AJ19" si="1">-(AE$10-$AD17)</f>
        <v>4</v>
      </c>
      <c r="AF17" s="47">
        <f t="shared" si="1"/>
        <v>3</v>
      </c>
      <c r="AG17" s="47">
        <f t="shared" si="1"/>
        <v>2</v>
      </c>
      <c r="AH17" s="47">
        <f t="shared" si="1"/>
        <v>0</v>
      </c>
      <c r="AI17" s="47">
        <f t="shared" si="1"/>
        <v>-3</v>
      </c>
      <c r="AJ17" s="47">
        <f t="shared" si="1"/>
        <v>-6</v>
      </c>
      <c r="AK17" s="2458"/>
    </row>
    <row r="18" spans="1:41" ht="106" customHeight="1">
      <c r="A18" s="2464"/>
      <c r="C18" s="510" t="str">
        <f>BIBLE!E41</f>
        <v>H02</v>
      </c>
      <c r="D18" s="272" t="str">
        <f>BIBLE!F41</f>
        <v>Dans quelle mesure diriez-vous que votre enfant vous confiait ses joies, ses peines ou questionnements divers ?</v>
      </c>
      <c r="E18" s="67">
        <f>IF(Test_Bible!B99=" ","",Test_Bible!P99)</f>
        <v>0</v>
      </c>
      <c r="F18" s="1907"/>
      <c r="H18" s="67"/>
      <c r="I18" s="1897"/>
      <c r="P18" s="2331"/>
      <c r="Q18" s="2332"/>
      <c r="T18" s="2115">
        <v>5</v>
      </c>
      <c r="U18" s="2144" t="s">
        <v>2510</v>
      </c>
      <c r="V18" s="2115"/>
      <c r="W18" s="2115"/>
      <c r="X18" s="2120"/>
      <c r="AA18" s="2458"/>
      <c r="AB18" s="53"/>
      <c r="AD18" s="553">
        <v>7</v>
      </c>
      <c r="AE18" s="47">
        <f t="shared" si="1"/>
        <v>7</v>
      </c>
      <c r="AF18" s="47">
        <f t="shared" si="1"/>
        <v>6</v>
      </c>
      <c r="AG18" s="47">
        <f t="shared" si="1"/>
        <v>5</v>
      </c>
      <c r="AH18" s="47">
        <f t="shared" si="1"/>
        <v>3</v>
      </c>
      <c r="AI18" s="47">
        <f t="shared" si="1"/>
        <v>0</v>
      </c>
      <c r="AJ18" s="47">
        <f t="shared" si="1"/>
        <v>-3</v>
      </c>
      <c r="AK18" s="2458"/>
    </row>
    <row r="19" spans="1:41" ht="56" customHeight="1">
      <c r="A19" s="58"/>
      <c r="D19" s="2" t="s">
        <v>2511</v>
      </c>
      <c r="E19" s="1816">
        <f>MAX(E17:E18)</f>
        <v>0</v>
      </c>
      <c r="G19" s="2" t="s">
        <v>2511</v>
      </c>
      <c r="H19" s="1225">
        <f>MAX(H17:H18)</f>
        <v>0</v>
      </c>
      <c r="I19" s="1899" t="str">
        <f>IF(E19=0,"Ne peut statuer",VLOOKUP(E19,Echelle_Lineaire_Diff,H19+1))</f>
        <v>Ne peut statuer</v>
      </c>
      <c r="J19" s="1814">
        <f>E19</f>
        <v>0</v>
      </c>
      <c r="K19" s="1814" t="str">
        <f>I19</f>
        <v>Ne peut statuer</v>
      </c>
      <c r="L19" s="438" t="str">
        <f>IF(J19=0,$U$39,IF(K19&gt;0,VLOOKUP(K19,$T$11:$U$24,2),VLOOKUP(ABS(K19),$T$26:$U$37,2)))</f>
        <v>Il n'est pas possible de statuer puisque l'historique est absent</v>
      </c>
      <c r="M19" s="2121"/>
      <c r="N19" s="2121"/>
      <c r="O19" s="2121"/>
      <c r="P19" s="2333"/>
      <c r="Q19" s="2334"/>
      <c r="T19" s="2115">
        <v>6</v>
      </c>
      <c r="U19" s="2144" t="s">
        <v>2512</v>
      </c>
      <c r="V19" s="2115"/>
      <c r="W19" s="2115"/>
      <c r="X19" s="2120"/>
      <c r="AA19" s="2458"/>
      <c r="AB19" t="s">
        <v>2489</v>
      </c>
      <c r="AD19" s="553">
        <v>10</v>
      </c>
      <c r="AE19" s="47">
        <f t="shared" si="1"/>
        <v>10</v>
      </c>
      <c r="AF19" s="47">
        <f t="shared" si="1"/>
        <v>9</v>
      </c>
      <c r="AG19" s="47">
        <f t="shared" si="1"/>
        <v>8</v>
      </c>
      <c r="AH19" s="47">
        <f t="shared" si="1"/>
        <v>6</v>
      </c>
      <c r="AI19" s="47">
        <f t="shared" si="1"/>
        <v>3</v>
      </c>
      <c r="AJ19" s="47">
        <f t="shared" si="1"/>
        <v>0</v>
      </c>
    </row>
    <row r="20" spans="1:41" ht="60" customHeight="1">
      <c r="A20" s="58"/>
      <c r="I20" s="1897"/>
      <c r="M20" s="2494" t="s">
        <v>2513</v>
      </c>
      <c r="N20" s="2465"/>
      <c r="O20" s="2465"/>
      <c r="P20" s="2328"/>
      <c r="Q20" s="1365"/>
      <c r="T20" s="2115">
        <v>7</v>
      </c>
      <c r="U20" s="2144" t="s">
        <v>2512</v>
      </c>
      <c r="V20" s="2115"/>
      <c r="W20" s="2115"/>
      <c r="X20" s="2120"/>
      <c r="AD20" s="8"/>
      <c r="AE20" s="2616" t="s">
        <v>2514</v>
      </c>
      <c r="AF20" s="2458"/>
      <c r="AG20" s="2458"/>
      <c r="AH20" s="2458"/>
      <c r="AI20" s="2458"/>
      <c r="AK20" s="2115" t="s">
        <v>2515</v>
      </c>
    </row>
    <row r="21" spans="1:41" ht="49" customHeight="1">
      <c r="A21" s="2114" t="s">
        <v>2516</v>
      </c>
      <c r="B21" s="2607" t="s">
        <v>2517</v>
      </c>
      <c r="C21" s="2458"/>
      <c r="D21" s="2458"/>
      <c r="E21" s="2458"/>
      <c r="F21" s="2458"/>
      <c r="G21" s="2458"/>
      <c r="H21" s="2458"/>
      <c r="I21" s="2584"/>
      <c r="M21" s="32" t="s">
        <v>2504</v>
      </c>
      <c r="N21" s="32" t="s">
        <v>2505</v>
      </c>
      <c r="O21" s="32" t="s">
        <v>2506</v>
      </c>
      <c r="P21" s="2328"/>
      <c r="Q21" s="1365"/>
      <c r="T21" s="2115">
        <v>8</v>
      </c>
      <c r="U21" s="2144" t="s">
        <v>2512</v>
      </c>
      <c r="V21" s="2115"/>
      <c r="W21" s="2115"/>
      <c r="X21" s="2120"/>
    </row>
    <row r="22" spans="1:41" ht="49" customHeight="1">
      <c r="A22" s="2114"/>
      <c r="B22" s="2267"/>
      <c r="C22" s="2267"/>
      <c r="D22" s="2267"/>
      <c r="E22" s="2267"/>
      <c r="F22" s="2267"/>
      <c r="G22" s="2267"/>
      <c r="H22" s="2267"/>
      <c r="I22" s="2268"/>
      <c r="L22" s="2285" t="s">
        <v>2000</v>
      </c>
      <c r="M22" s="2288"/>
      <c r="N22" s="2288"/>
      <c r="O22" s="2288"/>
      <c r="P22" s="2329"/>
      <c r="Q22" s="2330"/>
      <c r="T22" s="2115"/>
      <c r="U22" s="2144"/>
      <c r="V22" s="2115"/>
      <c r="W22" s="2115"/>
      <c r="X22" s="2120"/>
    </row>
    <row r="23" spans="1:41" ht="126" customHeight="1">
      <c r="A23" s="2609" t="s">
        <v>2518</v>
      </c>
      <c r="B23" s="16" t="s">
        <v>2519</v>
      </c>
      <c r="C23" s="694" t="str">
        <f>BIBLE!E205</f>
        <v>E35b</v>
      </c>
      <c r="D23" s="25" t="str">
        <f>BIBLE!F205</f>
        <v>Comment était la relation de votre enfant avec la famille élargie avant la séparation ?</v>
      </c>
      <c r="E23" s="67" t="str">
        <f>IF(Test_Bible!B337="","",Test_Bible!P337)</f>
        <v/>
      </c>
      <c r="F23" s="1895" t="str">
        <f>BIBLE!E204</f>
        <v>E35a</v>
      </c>
      <c r="G23" s="25" t="str">
        <f>BIBLE!F204</f>
        <v>Dans quelle mesure diriez-vous que votre enfant accepte les contacts avec votre famille élargie  (cousin.es, grands-parents, etc.) ?</v>
      </c>
      <c r="H23" s="67" t="str">
        <f>IF(Test_Bible!B336="","",Test_Bible!P336)</f>
        <v/>
      </c>
      <c r="I23" s="1897"/>
      <c r="J23" s="8"/>
      <c r="K23" s="17"/>
      <c r="L23" s="17"/>
      <c r="P23" s="2331"/>
      <c r="Q23" s="2332"/>
      <c r="R23" s="17"/>
      <c r="T23" s="2115">
        <v>9</v>
      </c>
      <c r="U23" s="2144" t="s">
        <v>2512</v>
      </c>
      <c r="V23" s="2115"/>
      <c r="W23" s="2115"/>
      <c r="X23" s="2120"/>
      <c r="AC23" s="407" t="s">
        <v>2520</v>
      </c>
      <c r="AD23" s="407"/>
    </row>
    <row r="24" spans="1:41" ht="21" customHeight="1">
      <c r="A24" s="2464"/>
      <c r="C24" s="510"/>
      <c r="D24" s="272"/>
      <c r="E24" s="67"/>
      <c r="F24" s="1907"/>
      <c r="H24" s="67"/>
      <c r="I24" s="1897"/>
      <c r="J24" s="8"/>
      <c r="P24" s="2331"/>
      <c r="Q24" s="2332"/>
      <c r="T24" s="2115">
        <v>10</v>
      </c>
      <c r="U24" s="2144" t="s">
        <v>2512</v>
      </c>
      <c r="V24" s="2115"/>
      <c r="W24" s="2115"/>
      <c r="X24" s="2120"/>
      <c r="Z24" s="90"/>
      <c r="AC24" s="2112"/>
      <c r="AE24" s="2543" t="s">
        <v>2483</v>
      </c>
      <c r="AF24" s="2458"/>
      <c r="AG24" s="2458"/>
      <c r="AH24" s="2458"/>
      <c r="AI24" s="2458"/>
      <c r="AJ24" s="2458"/>
      <c r="AK24" s="2458"/>
      <c r="AL24" s="2458"/>
      <c r="AM24" s="2458"/>
      <c r="AN24" s="2458"/>
    </row>
    <row r="25" spans="1:41" ht="62" customHeight="1">
      <c r="A25" s="58"/>
      <c r="D25" s="2" t="s">
        <v>2511</v>
      </c>
      <c r="E25" s="1816">
        <f>MAX(E23:E24)</f>
        <v>0</v>
      </c>
      <c r="G25" s="2" t="s">
        <v>2511</v>
      </c>
      <c r="H25" s="1225">
        <f>MAX(H23:H24)</f>
        <v>0</v>
      </c>
      <c r="I25" s="1899" t="str">
        <f>IF(E25=0,"Ne peut statuer",VLOOKUP(E25,Échelle_Exp_Diff,HLOOKUP(H25,$AD$10:$AJ$11,2)))</f>
        <v>Ne peut statuer</v>
      </c>
      <c r="J25" s="1814">
        <f>E25</f>
        <v>0</v>
      </c>
      <c r="K25" s="1814" t="str">
        <f>I25</f>
        <v>Ne peut statuer</v>
      </c>
      <c r="L25" s="2284" t="str">
        <f>IF(J25=0,$U$39,IF(K25&gt;0,VLOOKUP(K25,$T$11:$U$24,2),VLOOKUP(ABS(K25),$T$26:$U$37,2)))</f>
        <v>Il n'est pas possible de statuer puisque l'historique est absent</v>
      </c>
      <c r="M25" s="2121"/>
      <c r="N25" s="2121"/>
      <c r="O25" s="2121"/>
      <c r="P25" s="2333"/>
      <c r="Q25" s="2334"/>
      <c r="T25" s="1675" t="s">
        <v>2521</v>
      </c>
      <c r="U25" s="1222"/>
      <c r="V25" s="1222"/>
      <c r="W25" s="1222"/>
      <c r="X25" s="1222"/>
      <c r="Z25" s="90"/>
      <c r="AE25" s="8" t="s">
        <v>2522</v>
      </c>
      <c r="AF25" s="8"/>
      <c r="AG25" s="8"/>
      <c r="AH25" s="8"/>
      <c r="AI25" s="8"/>
      <c r="AJ25" s="8"/>
      <c r="AK25" s="5"/>
      <c r="AL25" s="5"/>
      <c r="AM25" s="5"/>
      <c r="AN25" s="5" t="s">
        <v>2523</v>
      </c>
    </row>
    <row r="26" spans="1:41" ht="32" customHeight="1">
      <c r="A26" s="58"/>
      <c r="I26" s="1897"/>
      <c r="J26" s="8"/>
      <c r="M26" s="2494" t="s">
        <v>2524</v>
      </c>
      <c r="N26" s="2465"/>
      <c r="O26" s="2465"/>
      <c r="P26" s="2328"/>
      <c r="Q26" s="1365"/>
      <c r="T26" s="1222">
        <v>0</v>
      </c>
      <c r="U26" s="1446" t="s">
        <v>2525</v>
      </c>
      <c r="V26" s="1222"/>
      <c r="W26" s="1222"/>
      <c r="X26" s="1222"/>
    </row>
    <row r="27" spans="1:41" ht="56" customHeight="1">
      <c r="A27" s="58"/>
      <c r="B27" s="2607" t="s">
        <v>2526</v>
      </c>
      <c r="C27" s="2458"/>
      <c r="D27" s="2458"/>
      <c r="E27" s="2458"/>
      <c r="F27" s="2458"/>
      <c r="G27" s="2458"/>
      <c r="H27" s="2458"/>
      <c r="I27" s="2584"/>
      <c r="J27" s="8"/>
      <c r="M27" s="32" t="s">
        <v>2504</v>
      </c>
      <c r="N27" s="32" t="s">
        <v>2505</v>
      </c>
      <c r="O27" s="32" t="s">
        <v>2506</v>
      </c>
      <c r="P27" s="2328"/>
      <c r="Q27" s="1365"/>
      <c r="T27" s="1222">
        <v>1</v>
      </c>
      <c r="U27" s="1446" t="s">
        <v>2497</v>
      </c>
      <c r="V27" s="1222"/>
      <c r="W27" s="1222"/>
      <c r="X27" s="1222"/>
      <c r="AC27" s="88" t="s">
        <v>1768</v>
      </c>
    </row>
    <row r="28" spans="1:41" ht="56" customHeight="1">
      <c r="A28" s="58"/>
      <c r="B28" s="2267"/>
      <c r="C28" s="2267"/>
      <c r="D28" s="2267"/>
      <c r="E28" s="2267"/>
      <c r="F28" s="2267"/>
      <c r="G28" s="2267"/>
      <c r="H28" s="2267"/>
      <c r="I28" s="2268"/>
      <c r="J28" s="8"/>
      <c r="L28" s="2285" t="s">
        <v>2000</v>
      </c>
      <c r="M28" s="2288"/>
      <c r="N28" s="2288"/>
      <c r="O28" s="2288"/>
      <c r="P28" s="2329"/>
      <c r="Q28" s="2330"/>
      <c r="T28" s="1222"/>
      <c r="U28" s="1446"/>
      <c r="V28" s="1222"/>
      <c r="W28" s="1222"/>
      <c r="X28" s="1222"/>
      <c r="AC28" s="88"/>
    </row>
    <row r="29" spans="1:41" ht="50" customHeight="1">
      <c r="A29" s="2578" t="s">
        <v>2507</v>
      </c>
      <c r="B29" s="13" t="s">
        <v>2527</v>
      </c>
      <c r="C29" s="510" t="str">
        <f>BIBLE!E44</f>
        <v>H04a1</v>
      </c>
      <c r="D29" s="272" t="str">
        <f>BIBLE!F44</f>
        <v>Dans quelle mesure diriez-vous que votre enfant idéalisait l’autre parent ?</v>
      </c>
      <c r="E29" s="67" t="str">
        <f>IF(Test_Bible!B102=" ","",Test_Bible!P102)</f>
        <v/>
      </c>
      <c r="F29" s="1894" t="str">
        <f>BIBLE!E152</f>
        <v>E02</v>
      </c>
      <c r="G29" s="1517" t="str">
        <f>BIBLE!F152</f>
        <v>Dans quelle mesure diriez-vous que votre enfant idéalise (aujourd'hui) l’autre parent ?</v>
      </c>
      <c r="H29" s="67">
        <f>IF(Test_Bible!B264="","",Test_Bible!P264)</f>
        <v>0</v>
      </c>
      <c r="I29" s="1898"/>
      <c r="J29" s="8"/>
      <c r="M29" s="13"/>
      <c r="N29" s="13"/>
      <c r="O29" s="13"/>
      <c r="P29" s="2335"/>
      <c r="Q29" s="2336"/>
      <c r="T29" s="1222">
        <v>2</v>
      </c>
      <c r="U29" s="1446" t="s">
        <v>2528</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464"/>
      <c r="C30" s="510"/>
      <c r="F30" s="1907"/>
      <c r="H30" s="67"/>
      <c r="I30" s="1897"/>
      <c r="J30" s="8"/>
      <c r="M30" s="13"/>
      <c r="N30" s="13"/>
      <c r="O30" s="13"/>
      <c r="P30" s="2335"/>
      <c r="Q30" s="2336"/>
      <c r="T30" s="1222">
        <v>3</v>
      </c>
      <c r="U30" s="1446" t="s">
        <v>2528</v>
      </c>
      <c r="V30" s="1222"/>
      <c r="W30" s="1222"/>
      <c r="X30" s="1222"/>
      <c r="AA30" s="2608" t="s">
        <v>1778</v>
      </c>
      <c r="AB30" s="2" t="s">
        <v>2522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3" t="s">
        <v>2514</v>
      </c>
    </row>
    <row r="31" spans="1:41" ht="36" customHeight="1">
      <c r="A31" s="58"/>
      <c r="D31" s="2" t="s">
        <v>2511</v>
      </c>
      <c r="E31" s="1816">
        <f>MAX(E29:E30)</f>
        <v>0</v>
      </c>
      <c r="G31" s="2" t="s">
        <v>2511</v>
      </c>
      <c r="H31" s="1227">
        <f>MAX(H29:H30)</f>
        <v>0</v>
      </c>
      <c r="I31" s="1899" t="str">
        <f>IF(E31=0,"Ne peut statuer",VLOOKUP(E31,Echelle_Lineaire_Diff,H31+1))</f>
        <v>Ne peut statuer</v>
      </c>
      <c r="J31" s="8"/>
      <c r="M31" s="13"/>
      <c r="N31" s="13"/>
      <c r="O31" s="13"/>
      <c r="P31" s="2335"/>
      <c r="Q31" s="2336"/>
      <c r="T31" s="1222">
        <v>4</v>
      </c>
      <c r="U31" s="1446" t="s">
        <v>2529</v>
      </c>
      <c r="V31" s="1222"/>
      <c r="W31" s="1222"/>
      <c r="X31" s="1222"/>
      <c r="AA31" s="245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8"/>
    </row>
    <row r="32" spans="1:41">
      <c r="A32" s="58"/>
      <c r="I32" s="1897"/>
      <c r="J32" s="8"/>
      <c r="M32" s="13"/>
      <c r="N32" s="13"/>
      <c r="O32" s="13"/>
      <c r="P32" s="2335"/>
      <c r="Q32" s="2336"/>
      <c r="T32" s="1222">
        <v>5</v>
      </c>
      <c r="U32" s="1446" t="s">
        <v>2529</v>
      </c>
      <c r="V32" s="1222"/>
      <c r="W32" s="1222"/>
      <c r="X32" s="1222"/>
      <c r="AA32" s="245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8"/>
    </row>
    <row r="33" spans="1:41" ht="46.5" customHeight="1">
      <c r="A33" s="2578" t="s">
        <v>2507</v>
      </c>
      <c r="B33" s="13" t="s">
        <v>2530</v>
      </c>
      <c r="C33" s="510" t="str">
        <f>BIBLE!E43</f>
        <v>H04a</v>
      </c>
      <c r="D33" s="272" t="str">
        <f>BIBLE!G43</f>
        <v>Durant la vie commune, dans quelle mesure diriez-vous que la relation entre votre enfant et l'autre parent était fusionnelle?</v>
      </c>
      <c r="E33" s="67" t="str">
        <f>IF(Test_Bible!B101=" ","",Test_Bible!P101)</f>
        <v/>
      </c>
      <c r="F33" s="1894" t="str">
        <f>Test_Bible!A166</f>
        <v>PFA02</v>
      </c>
      <c r="G33" s="1517" t="str">
        <f>Test_Bible!B166</f>
        <v>Selon vous, dans quelle mesure l'autre parent entretien une relation fusionnelle avec votre enfant ?</v>
      </c>
      <c r="H33" s="67">
        <f>IF(Test_Bible!B166="","",Test_Bible!P166)</f>
        <v>0</v>
      </c>
      <c r="I33" s="1898"/>
      <c r="J33" s="8"/>
      <c r="M33" s="13"/>
      <c r="N33" s="13"/>
      <c r="O33" s="13"/>
      <c r="P33" s="2335"/>
      <c r="Q33" s="2336"/>
      <c r="T33" s="1222">
        <v>6</v>
      </c>
      <c r="U33" s="1446" t="s">
        <v>2531</v>
      </c>
      <c r="V33" s="1222"/>
      <c r="W33" s="1222"/>
      <c r="X33" s="1222"/>
      <c r="AA33" s="245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8"/>
    </row>
    <row r="34" spans="1:41" ht="59" customHeight="1">
      <c r="A34" s="2464"/>
      <c r="C34" s="510"/>
      <c r="F34" s="577" t="str">
        <f>BIBLE!E153</f>
        <v>E02a</v>
      </c>
      <c r="G34" s="272" t="str">
        <f>BIBLE!F153</f>
        <v>Dans quelle mesure diriez-vous que la relation entre votre enfant et l'autre parent est fusionnelle ?</v>
      </c>
      <c r="H34" s="67" t="str">
        <f>IF(Test_Bible!B265="","",Test_Bible!P265)</f>
        <v/>
      </c>
      <c r="I34" s="1897"/>
      <c r="J34" s="8"/>
      <c r="M34" s="13"/>
      <c r="N34" s="13"/>
      <c r="O34" s="13"/>
      <c r="P34" s="2335"/>
      <c r="Q34" s="2336"/>
      <c r="T34" s="1222">
        <v>7</v>
      </c>
      <c r="U34" s="1446" t="s">
        <v>2531</v>
      </c>
      <c r="V34" s="1222"/>
      <c r="W34" s="1222"/>
      <c r="X34" s="1375"/>
      <c r="AA34" s="245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8"/>
    </row>
    <row r="35" spans="1:41">
      <c r="A35" s="58"/>
      <c r="D35" s="2" t="s">
        <v>2511</v>
      </c>
      <c r="E35" s="1816">
        <f>MAX(E33:E34)</f>
        <v>0</v>
      </c>
      <c r="G35" s="2" t="s">
        <v>2511</v>
      </c>
      <c r="H35" s="1227">
        <f>MAX(H33:H34)</f>
        <v>0</v>
      </c>
      <c r="I35" s="1899" t="str">
        <f>IF(E35=0,"Ne peut statuer",VLOOKUP(E35,Echelle_Lineaire_Diff,H35+1))</f>
        <v>Ne peut statuer</v>
      </c>
      <c r="J35" s="8"/>
      <c r="M35" s="13"/>
      <c r="N35" s="13"/>
      <c r="O35" s="13"/>
      <c r="P35" s="2335"/>
      <c r="Q35" s="2336"/>
      <c r="T35" s="1222">
        <v>8</v>
      </c>
      <c r="U35" s="1446" t="s">
        <v>2531</v>
      </c>
      <c r="V35" s="1222"/>
      <c r="W35" s="1222"/>
      <c r="X35" s="1375"/>
      <c r="AA35" s="245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8"/>
    </row>
    <row r="36" spans="1:41">
      <c r="A36" s="58"/>
      <c r="I36" s="1897"/>
      <c r="J36" s="8"/>
      <c r="M36" s="13"/>
      <c r="N36" s="13"/>
      <c r="O36" s="13"/>
      <c r="P36" s="2335"/>
      <c r="Q36" s="2336"/>
      <c r="T36" s="1222">
        <v>9</v>
      </c>
      <c r="U36" s="1446" t="s">
        <v>2531</v>
      </c>
      <c r="V36" s="1222"/>
      <c r="W36" s="1222"/>
      <c r="X36" s="1375"/>
      <c r="AA36" s="245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8"/>
    </row>
    <row r="37" spans="1:41" ht="52" customHeight="1">
      <c r="A37" s="2578" t="s">
        <v>2507</v>
      </c>
      <c r="B37" s="13" t="s">
        <v>2532</v>
      </c>
      <c r="C37" s="510" t="str">
        <f>BIBLE!E42</f>
        <v>H04</v>
      </c>
      <c r="D37" s="272" t="str">
        <f>BIBLE!F42</f>
        <v>Quel était le degré de complicité entre votre enfant et l'autre parent ?</v>
      </c>
      <c r="E37" s="67">
        <f>IF(Test_Bible!B100=" ","",Test_Bible!P100)</f>
        <v>0</v>
      </c>
      <c r="F37" s="1894" t="str">
        <f>BIBLE!E81</f>
        <v>PFA01</v>
      </c>
      <c r="G37" s="1517" t="str">
        <f>BIBLE!F81</f>
        <v xml:space="preserve">Comment qualifieriez-vous la relation et le degré de complicité entre votre enfant et l'autre parent, aujourd'hui (temps présent) ? </v>
      </c>
      <c r="H37" s="67">
        <f>IF(Test_Bible!B165="","",Test_Bible!P165)</f>
        <v>0</v>
      </c>
      <c r="I37" s="1898"/>
      <c r="J37" s="8"/>
      <c r="M37" s="13"/>
      <c r="N37" s="13"/>
      <c r="O37" s="13"/>
      <c r="P37" s="2335"/>
      <c r="Q37" s="2336"/>
      <c r="T37" s="1222">
        <v>10</v>
      </c>
      <c r="U37" s="1446" t="s">
        <v>2531</v>
      </c>
      <c r="V37" s="1222"/>
      <c r="W37" s="1222"/>
      <c r="X37" s="1375"/>
      <c r="AA37" s="245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8"/>
    </row>
    <row r="38" spans="1:41" ht="19" customHeight="1">
      <c r="A38" s="2464"/>
      <c r="C38" s="510"/>
      <c r="D38" s="272"/>
      <c r="E38" s="67"/>
      <c r="F38" s="1907"/>
      <c r="H38" s="67"/>
      <c r="I38" s="1897"/>
      <c r="J38" s="8"/>
      <c r="P38" s="2331"/>
      <c r="Q38" s="2332"/>
      <c r="T38" s="1678" t="s">
        <v>1767</v>
      </c>
      <c r="U38" s="1677"/>
      <c r="V38" s="1677"/>
      <c r="W38" s="1677"/>
      <c r="X38" s="1677"/>
      <c r="AA38" s="245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8"/>
    </row>
    <row r="39" spans="1:41" ht="30" customHeight="1">
      <c r="A39" s="58"/>
      <c r="D39" s="2" t="s">
        <v>2511</v>
      </c>
      <c r="E39" s="1816">
        <f>MAX(E37:E38)</f>
        <v>0</v>
      </c>
      <c r="G39" s="2" t="s">
        <v>2511</v>
      </c>
      <c r="H39" s="1227">
        <f>MAX(H37:H38)</f>
        <v>0</v>
      </c>
      <c r="I39" s="1899" t="str">
        <f>IF(E39=0,"Ne peut statuer",VLOOKUP(E39,Echelle_Lineaire_Diff,H39+1))</f>
        <v>Ne peut statuer</v>
      </c>
      <c r="J39" s="8"/>
      <c r="P39" s="2331"/>
      <c r="Q39" s="2332"/>
      <c r="T39" s="1678">
        <v>0</v>
      </c>
      <c r="U39" s="1446" t="s">
        <v>2533</v>
      </c>
      <c r="V39" s="1677"/>
      <c r="W39" s="1677"/>
      <c r="X39" s="1677"/>
      <c r="AA39" s="2458"/>
      <c r="AB39" s="53" t="s">
        <v>2523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2534</v>
      </c>
      <c r="E40" s="2116">
        <f>MAX(E31,E35,E39)</f>
        <v>0</v>
      </c>
      <c r="G40" s="2" t="s">
        <v>2534</v>
      </c>
      <c r="H40" s="2117">
        <f>MAX(H31,H35,H39)</f>
        <v>0</v>
      </c>
      <c r="I40" s="1899" t="str">
        <f>IF(E40=0,"Ne peut statuer",VLOOKUP(E40,Echelle_Lineaire_Diff,H40+1))</f>
        <v>Ne peut statuer</v>
      </c>
      <c r="J40" s="1814">
        <f>E40</f>
        <v>0</v>
      </c>
      <c r="K40" s="1814" t="str">
        <f>I40</f>
        <v>Ne peut statuer</v>
      </c>
      <c r="L40" s="438" t="str">
        <f>IF(J40=0,$U$39,IF(K40&gt;0,VLOOKUP(K40,$T$11:$U$24,2),VLOOKUP(ABS(K40),$T$26:$U$37,2)))</f>
        <v>Il n'est pas possible de statuer puisque l'historique est absent</v>
      </c>
      <c r="M40" s="2121"/>
      <c r="N40" s="2121"/>
      <c r="O40" s="2121"/>
      <c r="P40" s="2333"/>
      <c r="Q40" s="2334"/>
      <c r="T40" s="4" t="s">
        <v>2535</v>
      </c>
      <c r="U40" s="7"/>
      <c r="V40" s="7"/>
      <c r="W40" s="7"/>
      <c r="X40" s="7"/>
      <c r="AA40" s="2113"/>
      <c r="AB40" s="53"/>
      <c r="AD40" s="8"/>
      <c r="AE40" s="2614" t="s">
        <v>2498</v>
      </c>
      <c r="AF40" s="2458"/>
      <c r="AG40" s="2458"/>
      <c r="AH40" s="2458"/>
      <c r="AI40" s="2458"/>
      <c r="AJ40" s="2458"/>
      <c r="AK40" s="2458"/>
      <c r="AL40" s="2458"/>
      <c r="AM40" s="2458"/>
      <c r="AN40" s="47"/>
    </row>
    <row r="41" spans="1:41">
      <c r="A41" s="58"/>
      <c r="I41" s="1897"/>
      <c r="J41" s="8"/>
      <c r="P41" s="2331"/>
      <c r="Q41" s="2332"/>
      <c r="U41" t="s">
        <v>1767</v>
      </c>
      <c r="V41" t="s">
        <v>2429</v>
      </c>
      <c r="W41" t="s">
        <v>1768</v>
      </c>
      <c r="X41" t="s">
        <v>10</v>
      </c>
      <c r="AB41" s="53"/>
      <c r="AD41" s="8"/>
      <c r="AO41" s="2115" t="s">
        <v>2536</v>
      </c>
    </row>
    <row r="42" spans="1:41" ht="28" customHeight="1">
      <c r="L42" s="34" t="s">
        <v>2537</v>
      </c>
      <c r="P42" s="2331"/>
      <c r="Q42" s="2332"/>
    </row>
    <row r="43" spans="1:41" ht="28" customHeight="1">
      <c r="L43" t="s">
        <v>2538</v>
      </c>
      <c r="P43" s="2331"/>
      <c r="Q43" s="2332"/>
    </row>
    <row r="44" spans="1:41" ht="35" customHeight="1">
      <c r="M44" s="2096"/>
      <c r="N44" s="2096"/>
      <c r="O44" s="2096"/>
      <c r="P44" s="2337"/>
      <c r="Q44" s="2338"/>
    </row>
    <row r="45" spans="1:41" ht="35" customHeight="1">
      <c r="L45" s="2188" t="s">
        <v>1927</v>
      </c>
      <c r="M45" s="2096"/>
      <c r="N45" s="2096"/>
      <c r="O45" s="2096"/>
      <c r="P45" s="2337"/>
      <c r="Q45" s="2338"/>
    </row>
    <row r="46" spans="1:41" ht="38" customHeight="1">
      <c r="L46" s="7" t="s">
        <v>2174</v>
      </c>
      <c r="M46" s="2121"/>
      <c r="N46" s="2121"/>
      <c r="O46" s="2121"/>
      <c r="P46" s="2333"/>
      <c r="Q46" s="2334"/>
    </row>
    <row r="47" spans="1:41" ht="38" customHeight="1">
      <c r="L47" s="7" t="s">
        <v>346</v>
      </c>
      <c r="M47" s="2121"/>
      <c r="N47" s="2121"/>
      <c r="O47" s="2121"/>
      <c r="P47" s="2333"/>
      <c r="Q47" s="2334"/>
    </row>
    <row r="48" spans="1:41" ht="43" customHeight="1">
      <c r="L48" s="7" t="s">
        <v>2539</v>
      </c>
      <c r="M48" s="2121"/>
      <c r="N48" s="2121"/>
      <c r="O48" s="2121"/>
      <c r="P48" s="2333"/>
      <c r="Q48" s="2334"/>
    </row>
    <row r="49" spans="1:36" ht="43" customHeight="1">
      <c r="L49" t="s">
        <v>53</v>
      </c>
      <c r="M49" s="2121"/>
      <c r="N49" s="2121"/>
      <c r="O49" s="2121"/>
      <c r="P49" s="2333"/>
      <c r="Q49" s="2334"/>
    </row>
    <row r="50" spans="1:36" ht="43" customHeight="1">
      <c r="P50" s="2331"/>
      <c r="Q50" s="2332"/>
    </row>
    <row r="51" spans="1:36" ht="43" customHeight="1">
      <c r="P51" s="2331"/>
      <c r="Q51" s="2332"/>
    </row>
    <row r="52" spans="1:36" ht="43" customHeight="1">
      <c r="P52" s="2331"/>
      <c r="Q52" s="2332"/>
    </row>
    <row r="53" spans="1:36" ht="43" customHeight="1">
      <c r="L53" s="49" t="s">
        <v>2540</v>
      </c>
      <c r="P53" s="2331"/>
      <c r="Q53" s="2332"/>
    </row>
    <row r="54" spans="1:36" ht="30" customHeight="1">
      <c r="A54" s="58"/>
      <c r="B54" s="2607" t="s">
        <v>2541</v>
      </c>
      <c r="C54" s="2458"/>
      <c r="D54" s="2458"/>
      <c r="E54" s="2458"/>
      <c r="F54" s="2458"/>
      <c r="G54" s="2458"/>
      <c r="H54" s="2458"/>
      <c r="I54" s="2584"/>
      <c r="J54" s="8"/>
      <c r="M54" s="2494" t="s">
        <v>2542</v>
      </c>
      <c r="N54" s="2465"/>
      <c r="O54" s="2465"/>
      <c r="P54" s="2328"/>
      <c r="Q54" s="1365"/>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7"/>
      <c r="C55" s="2267"/>
      <c r="D55" s="2267"/>
      <c r="E55" s="2267"/>
      <c r="F55" s="2267"/>
      <c r="G55" s="2267"/>
      <c r="H55" s="2267"/>
      <c r="I55" s="2268"/>
      <c r="J55" s="8"/>
      <c r="M55" s="32" t="s">
        <v>2504</v>
      </c>
      <c r="N55" s="32" t="s">
        <v>2505</v>
      </c>
      <c r="O55" s="32" t="s">
        <v>2506</v>
      </c>
      <c r="P55" s="2328"/>
      <c r="Q55" s="1365"/>
      <c r="AF55" s="2"/>
      <c r="AG55" s="55"/>
      <c r="AH55" s="55"/>
      <c r="AI55" s="55"/>
    </row>
    <row r="56" spans="1:36" ht="46.5" customHeight="1">
      <c r="A56" s="2578" t="s">
        <v>2543</v>
      </c>
      <c r="B56" s="13" t="s">
        <v>2544</v>
      </c>
      <c r="C56" s="510" t="str">
        <f>BIBLE!E47</f>
        <v>H06</v>
      </c>
      <c r="D56" s="272" t="str">
        <f>BIBLE!F47</f>
        <v xml:space="preserve">Dans quelle mesure diriez-vous que l'autre parent percevait votre rôle parental aussi important que le sien ? </v>
      </c>
      <c r="E56" s="67">
        <f>IF(Test_Bible!B106=" ","",Test_Bible!P106)</f>
        <v>0</v>
      </c>
      <c r="F56" s="1894" t="str">
        <f>BIBLE!E119</f>
        <v>PFA21</v>
      </c>
      <c r="G56" s="1517" t="str">
        <f>BIBLE!F119</f>
        <v xml:space="preserve">Dans quelle mesure diriez-vous que l'autre parent vous considère comme étant son égal·e sur le plan parental ? </v>
      </c>
      <c r="H56" s="67">
        <f>IF(Test_Bible!B205="","",Test_Bible!P205)</f>
        <v>0</v>
      </c>
      <c r="I56" s="1898"/>
      <c r="J56" s="8"/>
      <c r="L56" s="2285" t="s">
        <v>2000</v>
      </c>
      <c r="M56" s="2288"/>
      <c r="N56" s="2288"/>
      <c r="O56" s="2288"/>
      <c r="P56" s="2329"/>
      <c r="Q56" s="2330"/>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4"/>
      <c r="C57" s="510" t="str">
        <f>BIBLE!E48</f>
        <v>H06a</v>
      </c>
      <c r="D57" s="13" t="str">
        <f>BIBLE!F48</f>
        <v>Arrivait-il que l'autre parent présente à votre entourage une vision négative de vos compétences parentales ?</v>
      </c>
      <c r="E57" s="67" t="str">
        <f>IF(Test_Bible!B107=" ","",Test_Bible!P107)</f>
        <v/>
      </c>
      <c r="F57" s="1907"/>
      <c r="H57" s="67"/>
      <c r="I57" s="1897"/>
      <c r="J57" s="8"/>
      <c r="M57" s="13"/>
      <c r="N57" s="13"/>
      <c r="O57" s="13"/>
      <c r="P57" s="2335"/>
      <c r="Q57" s="2336"/>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2511</v>
      </c>
      <c r="E58" s="1816">
        <f>MAX(E56:E57)</f>
        <v>0</v>
      </c>
      <c r="G58" s="2" t="s">
        <v>2511</v>
      </c>
      <c r="H58" s="1227">
        <f>MAX(H56:H57)</f>
        <v>0</v>
      </c>
      <c r="I58" s="1899" t="str">
        <f>IF(E58=0,"Ne peut statuer",VLOOKUP(E58,Échelle_Exp_Diff,HLOOKUP(H58,$AD$10:$AJ$11,2)))</f>
        <v>Ne peut statuer</v>
      </c>
      <c r="J58" s="8"/>
      <c r="M58" s="13"/>
      <c r="N58" s="13"/>
      <c r="O58" s="13"/>
      <c r="P58" s="2335"/>
      <c r="Q58" s="2336"/>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7"/>
      <c r="J59" s="8"/>
      <c r="M59" s="13"/>
      <c r="N59" s="13"/>
      <c r="O59" s="13"/>
      <c r="P59" s="2335"/>
      <c r="Q59" s="2336"/>
    </row>
    <row r="60" spans="1:36" ht="31" customHeight="1">
      <c r="A60" s="2578" t="s">
        <v>2543</v>
      </c>
      <c r="B60" s="7" t="s">
        <v>2545</v>
      </c>
      <c r="C60" s="510" t="str">
        <f>BIBLE!E45</f>
        <v>H05</v>
      </c>
      <c r="D60" s="272" t="str">
        <f>BIBLE!F45</f>
        <v>Arrivait-il que l'autre parent vous critique ou vous dénigre devant votre enfant ?</v>
      </c>
      <c r="E60" s="67">
        <f>IF(Test_Bible!B104=" ","",Test_Bible!P104)</f>
        <v>0</v>
      </c>
      <c r="F60" s="1894" t="str">
        <f>BIBLE!E100</f>
        <v>PFA13</v>
      </c>
      <c r="G60" s="1517" t="str">
        <f>BIBLE!F100</f>
        <v>L’autre parent vous dénigre en la présence de votre enfant.</v>
      </c>
      <c r="H60" s="67">
        <f>IF(Test_Bible!B186="","",Test_Bible!P186)</f>
        <v>0</v>
      </c>
      <c r="I60" s="1898"/>
      <c r="J60" s="8"/>
      <c r="M60" s="13"/>
      <c r="N60" s="13"/>
      <c r="O60" s="13"/>
      <c r="P60" s="2335"/>
      <c r="Q60" s="2336"/>
    </row>
    <row r="61" spans="1:36">
      <c r="A61" s="2464"/>
      <c r="C61" s="510"/>
      <c r="F61" s="1907"/>
      <c r="H61" s="67"/>
      <c r="I61" s="1897"/>
      <c r="J61" s="8"/>
      <c r="M61" s="13"/>
      <c r="N61" s="13"/>
      <c r="O61" s="13"/>
      <c r="P61" s="2335"/>
      <c r="Q61" s="2336"/>
    </row>
    <row r="62" spans="1:36" ht="31" customHeight="1">
      <c r="D62" s="2" t="s">
        <v>2511</v>
      </c>
      <c r="E62" s="1816">
        <f>MAX(E60)</f>
        <v>0</v>
      </c>
      <c r="G62" s="2" t="s">
        <v>2511</v>
      </c>
      <c r="H62" s="1227">
        <f>MAX(H60:H61)</f>
        <v>0</v>
      </c>
      <c r="I62" s="1899" t="str">
        <f>IF(E62=0,"Ne peut statuer",VLOOKUP(E62,Échelle_Exp_Diff,HLOOKUP(H62,$AD$10:$AJ$11,2)))</f>
        <v>Ne peut statuer</v>
      </c>
      <c r="J62" s="8"/>
      <c r="P62" s="2331"/>
      <c r="Q62" s="2332"/>
    </row>
    <row r="63" spans="1:36" s="7" customFormat="1" ht="60" customHeight="1" thickBot="1">
      <c r="D63" s="53" t="s">
        <v>2534</v>
      </c>
      <c r="E63" s="2116">
        <f>MAX(E58,E62)</f>
        <v>0</v>
      </c>
      <c r="G63" s="53" t="s">
        <v>2534</v>
      </c>
      <c r="H63" s="2117">
        <f>MAX(H58,H62)</f>
        <v>0</v>
      </c>
      <c r="I63" s="1899" t="str">
        <f>IF(E63=0,"Ne peut statuer",VLOOKUP(E63,Échelle_Exp_Diff,HLOOKUP(H63,$AD$10:$AJ$11,2)))</f>
        <v>Ne peut statuer</v>
      </c>
      <c r="J63" s="1814">
        <f>E63</f>
        <v>0</v>
      </c>
      <c r="K63" s="1814" t="str">
        <f>I63</f>
        <v>Ne peut statuer</v>
      </c>
      <c r="L63" s="438" t="str">
        <f>IF(J63=0,$U$39,IF(K63&gt;0,VLOOKUP(K63,$T$11:$U$24,2),VLOOKUP(ABS(K63),$T$26:$U$37,2)))</f>
        <v>Il n'est pas possible de statuer puisque l'historique est absent</v>
      </c>
      <c r="M63" s="2092"/>
      <c r="N63" s="2092"/>
      <c r="O63" s="2092"/>
      <c r="P63" s="2339"/>
      <c r="Q63" s="2340"/>
    </row>
    <row r="65" spans="12:24" ht="42" customHeight="1">
      <c r="L65" s="7" t="s">
        <v>2174</v>
      </c>
      <c r="M65" s="2121"/>
      <c r="N65" s="2121"/>
      <c r="O65" s="2121"/>
      <c r="P65" s="2121"/>
      <c r="Q65" s="2121"/>
    </row>
    <row r="66" spans="12:24" ht="41" customHeight="1">
      <c r="L66" t="s">
        <v>53</v>
      </c>
      <c r="M66" s="2121"/>
      <c r="N66" s="2121"/>
      <c r="O66" s="2121"/>
      <c r="P66" s="2121"/>
      <c r="Q66" s="2121"/>
      <c r="T66" s="7"/>
      <c r="U66" s="7"/>
      <c r="V66" s="7"/>
      <c r="W66" s="7"/>
      <c r="X66" s="7"/>
    </row>
  </sheetData>
  <mergeCells count="27">
    <mergeCell ref="AK12:AK18"/>
    <mergeCell ref="AE20:AI20"/>
    <mergeCell ref="M54:O54"/>
    <mergeCell ref="A60:A61"/>
    <mergeCell ref="B54:I54"/>
    <mergeCell ref="M13:O13"/>
    <mergeCell ref="AE24:AN24"/>
    <mergeCell ref="B27:I27"/>
    <mergeCell ref="AO30:AO38"/>
    <mergeCell ref="A56:A57"/>
    <mergeCell ref="A37:A38"/>
    <mergeCell ref="M26:O26"/>
    <mergeCell ref="AE40:AM40"/>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2055</v>
      </c>
    </row>
    <row r="2" spans="1:10" ht="53" customHeight="1">
      <c r="A2" s="407" t="s">
        <v>1895</v>
      </c>
      <c r="C2" s="407" t="s">
        <v>2546</v>
      </c>
      <c r="J2" s="407"/>
    </row>
    <row r="3" spans="1:10" ht="95" customHeight="1">
      <c r="A3" s="407"/>
      <c r="C3" s="407"/>
      <c r="E3" t="s">
        <v>2547</v>
      </c>
      <c r="J3" s="407"/>
    </row>
    <row r="4" spans="1:10" ht="151" customHeight="1">
      <c r="A4" s="407"/>
      <c r="C4" s="407"/>
      <c r="E4" s="82" t="s">
        <v>2548</v>
      </c>
      <c r="J4" s="407"/>
    </row>
    <row r="5" spans="1:10" ht="41" customHeight="1">
      <c r="A5" s="407"/>
      <c r="C5" s="407"/>
      <c r="J5" s="407"/>
    </row>
    <row r="6" spans="1:10" ht="91" customHeight="1">
      <c r="A6" s="2264" t="s">
        <v>1898</v>
      </c>
      <c r="C6" s="2618" t="s">
        <v>2549</v>
      </c>
      <c r="D6" s="2468"/>
      <c r="E6" s="2458"/>
      <c r="F6" s="2474"/>
      <c r="J6" s="1745"/>
    </row>
    <row r="7" spans="1:10" ht="53" customHeight="1" thickBot="1">
      <c r="A7" s="1717"/>
      <c r="C7" s="1745"/>
      <c r="J7" s="1752"/>
    </row>
    <row r="8" spans="1:10" ht="35" customHeight="1">
      <c r="C8" s="55"/>
      <c r="D8" s="2619" t="s">
        <v>2550</v>
      </c>
      <c r="E8" s="2508"/>
      <c r="F8" s="2508"/>
      <c r="G8" s="2341"/>
      <c r="H8" s="1147"/>
    </row>
    <row r="9" spans="1:10" ht="70" customHeight="1">
      <c r="C9" s="53" t="s">
        <v>2000</v>
      </c>
      <c r="D9" s="2620" t="s">
        <v>2551</v>
      </c>
      <c r="E9" s="2458"/>
      <c r="F9" s="2474"/>
      <c r="G9" s="2342" t="s">
        <v>346</v>
      </c>
      <c r="H9" s="2343" t="s">
        <v>2061</v>
      </c>
    </row>
    <row r="10" spans="1:10" ht="57" customHeight="1">
      <c r="B10" s="700" t="s">
        <v>1799</v>
      </c>
      <c r="C10" s="700" t="s">
        <v>2552</v>
      </c>
      <c r="D10" s="700"/>
      <c r="E10" s="700"/>
      <c r="F10" s="700"/>
      <c r="G10" s="2320"/>
      <c r="H10" s="292"/>
    </row>
    <row r="11" spans="1:10" ht="57" customHeight="1">
      <c r="A11" t="s">
        <v>1515</v>
      </c>
      <c r="B11" s="408" t="e">
        <f>Test_Bible!AH433</f>
        <v>#DIV/0!</v>
      </c>
      <c r="C11" s="408" t="e">
        <f>Test_Bible!AH458</f>
        <v>#DIV/0!</v>
      </c>
      <c r="G11" s="2320"/>
      <c r="H11" s="292"/>
    </row>
    <row r="12" spans="1:10" ht="57" customHeight="1">
      <c r="A12" t="s">
        <v>1516</v>
      </c>
      <c r="B12" s="408" t="e">
        <f>Test_Bible!AI433</f>
        <v>#DIV/0!</v>
      </c>
      <c r="C12" s="408" t="e">
        <f>Test_Bible!AI458</f>
        <v>#DIV/0!</v>
      </c>
      <c r="G12" s="2320"/>
      <c r="H12" s="292"/>
    </row>
    <row r="13" spans="1:10" ht="57" customHeight="1" thickBot="1">
      <c r="A13" t="s">
        <v>1517</v>
      </c>
      <c r="B13" s="408" t="e">
        <f>Test_Bible!AJ433</f>
        <v>#DIV/0!</v>
      </c>
      <c r="C13" s="408" t="e">
        <f>Test_Bible!AJ458</f>
        <v>#DIV/0!</v>
      </c>
      <c r="G13" s="2344"/>
      <c r="H13" s="295"/>
    </row>
    <row r="14" spans="1:10" ht="52" customHeight="1">
      <c r="C14" s="53" t="s">
        <v>2174</v>
      </c>
      <c r="D14" s="1448"/>
      <c r="E14" s="1446"/>
      <c r="F14" s="1447"/>
    </row>
    <row r="15" spans="1:10" ht="42" customHeight="1">
      <c r="C15" s="53" t="s">
        <v>53</v>
      </c>
      <c r="D15" s="1448"/>
      <c r="E15" s="1446"/>
      <c r="F15" s="1447"/>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3"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2553</v>
      </c>
      <c r="I1" s="601"/>
    </row>
    <row r="2" spans="1:25">
      <c r="B2" s="600" t="s">
        <v>2554</v>
      </c>
      <c r="I2" s="601"/>
    </row>
    <row r="3" spans="1:25">
      <c r="B3" s="600"/>
      <c r="I3" s="601"/>
    </row>
    <row r="5" spans="1:25" ht="47" customHeight="1">
      <c r="B5" s="740" t="s">
        <v>2555</v>
      </c>
      <c r="C5" s="522"/>
    </row>
    <row r="6" spans="1:25">
      <c r="B6" s="603" t="s">
        <v>1908</v>
      </c>
      <c r="D6" s="592" t="s">
        <v>101</v>
      </c>
      <c r="E6" s="808" t="s">
        <v>64</v>
      </c>
      <c r="F6" s="808" t="s">
        <v>453</v>
      </c>
      <c r="G6" s="592"/>
      <c r="H6" s="592"/>
      <c r="J6" s="601" t="s">
        <v>2556</v>
      </c>
      <c r="K6" s="808" t="s">
        <v>64</v>
      </c>
      <c r="L6" s="808" t="s">
        <v>453</v>
      </c>
      <c r="M6" s="601"/>
      <c r="N6" s="601"/>
      <c r="O6" s="601"/>
      <c r="P6" s="601" t="s">
        <v>51</v>
      </c>
      <c r="Q6" s="808" t="s">
        <v>64</v>
      </c>
      <c r="R6" s="808" t="s">
        <v>453</v>
      </c>
      <c r="S6" s="601"/>
      <c r="T6" s="601"/>
      <c r="U6" s="601"/>
      <c r="V6" s="601" t="s">
        <v>91</v>
      </c>
      <c r="W6" s="808" t="s">
        <v>64</v>
      </c>
      <c r="X6" s="808" t="s">
        <v>453</v>
      </c>
    </row>
    <row r="7" spans="1:25" ht="15" customHeight="1" thickBot="1">
      <c r="C7" s="614"/>
      <c r="D7" s="615"/>
      <c r="E7" s="614"/>
      <c r="F7" s="614"/>
      <c r="G7" s="616"/>
      <c r="H7" s="672"/>
      <c r="I7" s="672"/>
      <c r="J7" s="672"/>
      <c r="K7" s="1950"/>
      <c r="L7" s="1950"/>
      <c r="M7" s="672"/>
      <c r="N7" s="672"/>
      <c r="O7" s="672"/>
      <c r="P7" s="672"/>
      <c r="Q7" s="1950"/>
      <c r="R7" s="1950"/>
      <c r="S7" s="672"/>
    </row>
    <row r="8" spans="1:25" ht="48" customHeight="1">
      <c r="A8" s="2014">
        <v>1</v>
      </c>
      <c r="B8" s="617" t="s">
        <v>1736</v>
      </c>
      <c r="C8" s="607" t="str">
        <f>BIBLE!E84</f>
        <v>PFA03</v>
      </c>
      <c r="D8" s="1204" t="str">
        <f>BIBLE!F84</f>
        <v>Selon vous, dans quelle mesure l'autre parent demande à votre enfant de garder des secrets ou de vous cacher des choses ?</v>
      </c>
      <c r="E8" s="1940">
        <f>Test_Bible!P170</f>
        <v>0</v>
      </c>
      <c r="F8" s="607">
        <f>Test_Bible!D170</f>
        <v>3</v>
      </c>
      <c r="G8" s="619" t="str">
        <f>BIBLE!V84</f>
        <v>Rôle actif de l'enfant</v>
      </c>
      <c r="H8" s="620"/>
      <c r="I8" s="620"/>
      <c r="J8" s="620"/>
      <c r="K8" s="1922"/>
      <c r="L8" s="1922"/>
      <c r="M8" s="620"/>
      <c r="N8" s="1913"/>
      <c r="O8" s="1130" t="str">
        <f>BIBLE!E154</f>
        <v>E03</v>
      </c>
      <c r="P8" s="1131" t="str">
        <f>BIBLE!F154</f>
        <v>Votre enfant garde des secrets et vous cache de l'information concernant sa relation avec l'autre parent.</v>
      </c>
      <c r="Q8" s="1965">
        <f>Test_Bible!P267</f>
        <v>0</v>
      </c>
      <c r="R8" s="1964">
        <f>Test_Bible!D267</f>
        <v>2</v>
      </c>
      <c r="S8" s="1132" t="str">
        <f>BIBLE!V154</f>
        <v>A:Alliance</v>
      </c>
      <c r="T8" s="1732"/>
      <c r="U8" s="620"/>
      <c r="V8" s="620"/>
      <c r="W8" s="1922"/>
      <c r="X8" s="1922"/>
      <c r="Y8" s="1147"/>
    </row>
    <row r="9" spans="1:25" ht="31.5" customHeight="1" thickBot="1">
      <c r="A9" s="2014"/>
      <c r="B9" s="621"/>
      <c r="C9" s="609"/>
      <c r="D9" s="1205"/>
      <c r="E9" s="609"/>
      <c r="F9" s="609"/>
      <c r="G9" s="608"/>
      <c r="H9" s="294"/>
      <c r="I9" s="294"/>
      <c r="J9" s="294"/>
      <c r="K9" s="1941"/>
      <c r="L9" s="1941"/>
      <c r="M9" s="294"/>
      <c r="N9" s="1915"/>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1"/>
      <c r="X9" s="1941"/>
      <c r="Y9" s="295"/>
    </row>
    <row r="10" spans="1:25" ht="29" customHeight="1" thickBot="1">
      <c r="A10" s="2014"/>
      <c r="C10" s="16"/>
      <c r="D10" s="25"/>
      <c r="E10" s="16"/>
      <c r="F10" s="16"/>
      <c r="G10" s="598"/>
      <c r="O10" s="494"/>
      <c r="P10" s="272"/>
      <c r="Q10" s="16"/>
      <c r="R10" s="16"/>
      <c r="S10" s="1136"/>
    </row>
    <row r="11" spans="1:25" ht="56" customHeight="1">
      <c r="A11" s="2014">
        <v>2</v>
      </c>
      <c r="B11" s="617" t="s">
        <v>1737</v>
      </c>
      <c r="C11" s="607" t="str">
        <f>BIBLE!E85</f>
        <v>PFA04</v>
      </c>
      <c r="D11" s="1204" t="str">
        <f>BIBLE!F85</f>
        <v>L’autre parent laisse entendre à votre enfant que vous avez abandonné la famille.</v>
      </c>
      <c r="E11" s="1940">
        <f>Test_Bible!P171</f>
        <v>0</v>
      </c>
      <c r="F11" s="607">
        <f>Test_Bible!D171</f>
        <v>1</v>
      </c>
      <c r="G11" s="645" t="str">
        <f>BIBLE!V85</f>
        <v>Altération ou dévoiement de la réalité</v>
      </c>
      <c r="H11" s="620"/>
      <c r="I11" s="620"/>
      <c r="J11" s="620"/>
      <c r="K11" s="1922"/>
      <c r="L11" s="1922"/>
      <c r="M11" s="620"/>
      <c r="N11" s="1913"/>
      <c r="O11" s="1130" t="str">
        <f>BIBLE!E161</f>
        <v>E06</v>
      </c>
      <c r="P11" s="1131" t="str">
        <f>BIBLE!F161</f>
        <v>Votre enfant vous accuse ou vous reproche d'avoir brisé ou abandonné la famille.</v>
      </c>
      <c r="Q11" s="1965">
        <f>Test_Bible!P278</f>
        <v>0</v>
      </c>
      <c r="R11" s="1964">
        <f>Test_Bible!D278</f>
        <v>1</v>
      </c>
      <c r="S11" s="1137" t="str">
        <f>BIBLE!V161</f>
        <v>Altération ou dévoiement de la réalité</v>
      </c>
      <c r="T11" s="1732"/>
      <c r="U11" s="620"/>
      <c r="V11" s="620"/>
      <c r="W11" s="1922"/>
      <c r="X11" s="1922"/>
      <c r="Y11" s="1147"/>
    </row>
    <row r="12" spans="1:25" ht="61" customHeight="1" thickBot="1">
      <c r="A12" s="2014"/>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1"/>
      <c r="L12" s="1941"/>
      <c r="M12" s="294"/>
      <c r="N12" s="294"/>
      <c r="O12" s="294"/>
      <c r="P12" s="294"/>
      <c r="Q12" s="1941"/>
      <c r="R12" s="1941"/>
      <c r="S12" s="295"/>
      <c r="T12" s="293"/>
      <c r="U12" s="294"/>
      <c r="V12" s="294"/>
      <c r="W12" s="1941"/>
      <c r="X12" s="1941"/>
      <c r="Y12" s="295"/>
    </row>
    <row r="13" spans="1:25" ht="29" customHeight="1" thickBot="1">
      <c r="A13" s="2014"/>
      <c r="C13" s="16"/>
      <c r="D13" s="25"/>
      <c r="E13" s="16"/>
      <c r="F13" s="16"/>
      <c r="G13" s="598"/>
    </row>
    <row r="14" spans="1:25" ht="64" customHeight="1" thickBot="1">
      <c r="A14" s="2014">
        <v>3</v>
      </c>
      <c r="B14" s="623" t="s">
        <v>1738</v>
      </c>
      <c r="C14" s="606" t="str">
        <f>BIBLE!E88</f>
        <v>PFA05a</v>
      </c>
      <c r="D14" s="1207" t="str">
        <f>BIBLE!F88</f>
        <v>L’autre parent laisse entendre à votre enfant que vous souffrez d’une maladie mentale ou que vous êtes instable psychologiquement.</v>
      </c>
      <c r="E14" s="1882">
        <f>Test_Bible!P174</f>
        <v>0</v>
      </c>
      <c r="F14" s="606">
        <f>Test_Bible!D174</f>
        <v>2</v>
      </c>
      <c r="G14" s="624" t="str">
        <f>BIBLE!V87</f>
        <v>Altération ou dévoiement de la réalité</v>
      </c>
      <c r="H14" s="612"/>
      <c r="I14" s="612"/>
      <c r="J14" s="612"/>
      <c r="K14" s="1942"/>
      <c r="L14" s="1942"/>
      <c r="M14" s="612"/>
      <c r="N14" s="1914"/>
      <c r="O14" s="1138" t="str">
        <f>BIBLE!E162</f>
        <v>E06a</v>
      </c>
      <c r="P14" s="1139" t="str">
        <f>BIBLE!F162</f>
        <v>Votre enfant croit que vous souffrez d’une maladie mentale ou que vous êtes instable psychologiquement.</v>
      </c>
      <c r="Q14" s="1885">
        <f>Test_Bible!P279</f>
        <v>0</v>
      </c>
      <c r="R14" s="625">
        <f>Test_Bible!D279</f>
        <v>3</v>
      </c>
      <c r="S14" s="1140" t="str">
        <f>BIBLE!V162</f>
        <v>Altération ou dévoiement de la réalité</v>
      </c>
      <c r="T14" s="1736"/>
      <c r="U14" s="612"/>
      <c r="V14" s="612"/>
      <c r="W14" s="1942"/>
      <c r="X14" s="1942"/>
      <c r="Y14" s="1929"/>
    </row>
    <row r="15" spans="1:25" ht="29" customHeight="1" thickBot="1">
      <c r="A15" s="2014"/>
      <c r="B15" s="641"/>
      <c r="C15" s="613"/>
      <c r="D15" s="641"/>
      <c r="E15" s="613"/>
      <c r="F15" s="613"/>
      <c r="G15" s="611"/>
      <c r="H15" s="612"/>
      <c r="I15" s="612"/>
      <c r="J15" s="612"/>
      <c r="K15" s="1942"/>
      <c r="L15" s="1942"/>
      <c r="M15" s="612"/>
      <c r="N15" s="612"/>
      <c r="O15" s="1142"/>
      <c r="P15" s="1141"/>
      <c r="Q15" s="613"/>
      <c r="R15" s="613"/>
      <c r="S15" s="1143"/>
    </row>
    <row r="16" spans="1:25" ht="47" customHeight="1" thickBot="1">
      <c r="A16" s="2014">
        <v>4</v>
      </c>
      <c r="B16" s="623" t="s">
        <v>1739</v>
      </c>
      <c r="C16" s="625" t="str">
        <f>BIBLE!E87</f>
        <v>PFA05</v>
      </c>
      <c r="D16" s="1208" t="str">
        <f>BIBLE!F87</f>
        <v>L'autre parent laisse entendre à votre enfant qu’il ou elle n’est pas en sécurité avec vous.</v>
      </c>
      <c r="E16" s="1885">
        <f>Test_Bible!P173</f>
        <v>0</v>
      </c>
      <c r="F16" s="625">
        <f>Test_Bible!D173</f>
        <v>2</v>
      </c>
      <c r="G16" s="624" t="str">
        <f>BIBLE!V88</f>
        <v>Altération ou dévoiement de la réalité</v>
      </c>
      <c r="H16" s="1914"/>
      <c r="I16" s="1144" t="str">
        <f>BIBLE!E219</f>
        <v>NC02</v>
      </c>
      <c r="J16" s="1145" t="str">
        <f>BIBLE!F219</f>
        <v>Le nouveau ou nouvelle conjoint·e laisse entendre à votre enfant qu’il ou elle n’est pas en sécurité avec vous.</v>
      </c>
      <c r="K16" s="1952">
        <f>Test_Bible!P406</f>
        <v>0</v>
      </c>
      <c r="L16" s="1951">
        <f>Test_Bible!D406</f>
        <v>2</v>
      </c>
      <c r="M16" s="624" t="str">
        <f>BIBLE!V219</f>
        <v>Altération ou dévoiement de la réalité</v>
      </c>
      <c r="N16" s="1914"/>
      <c r="O16" s="1138" t="str">
        <f>BIBLE!E163</f>
        <v>E06a1</v>
      </c>
      <c r="P16" s="1139" t="str">
        <f>BIBLE!F163</f>
        <v>Arrive-t-il à votre enfant de vous reprocher d'être dangereux·se ou de présenter un danger pour sa sécurité ?</v>
      </c>
      <c r="Q16" s="1885">
        <f>Test_Bible!P280</f>
        <v>0</v>
      </c>
      <c r="R16" s="625">
        <f>Test_Bible!D280</f>
        <v>3</v>
      </c>
      <c r="S16" s="1140" t="str">
        <f>BIBLE!V163</f>
        <v>Altération ou dévoiement de la réalité</v>
      </c>
      <c r="T16" s="1736"/>
      <c r="U16" s="612"/>
      <c r="V16" s="612"/>
      <c r="W16" s="1942"/>
      <c r="X16" s="1942"/>
      <c r="Y16" s="1929"/>
    </row>
    <row r="17" spans="1:25" ht="29" customHeight="1" thickBot="1">
      <c r="A17" s="2014"/>
      <c r="B17" s="680"/>
      <c r="C17" s="605"/>
      <c r="D17" s="680"/>
      <c r="E17" s="605"/>
      <c r="F17" s="605"/>
      <c r="G17" s="639"/>
      <c r="I17" s="16"/>
      <c r="J17" s="272"/>
      <c r="K17" s="16"/>
      <c r="L17" s="16"/>
      <c r="M17" s="598"/>
      <c r="O17" s="494"/>
      <c r="P17" s="272"/>
      <c r="Q17" s="16"/>
      <c r="R17" s="16"/>
      <c r="S17" s="1136"/>
    </row>
    <row r="18" spans="1:25" ht="39" customHeight="1">
      <c r="A18" s="2014">
        <v>5</v>
      </c>
      <c r="B18" s="617" t="s">
        <v>1733</v>
      </c>
      <c r="C18" s="607" t="str">
        <f>BIBLE!E89</f>
        <v>PFA06</v>
      </c>
      <c r="D18" s="1204" t="str">
        <f>BIBLE!F89</f>
        <v>L'autre parent modifie certains faits concernant votre passé à son avantage ou à votre désavantage.</v>
      </c>
      <c r="E18" s="1940">
        <f>Test_Bible!P175</f>
        <v>0</v>
      </c>
      <c r="F18" s="607">
        <f>Test_Bible!D175</f>
        <v>2</v>
      </c>
      <c r="G18" s="645" t="str">
        <f>BIBLE!V89</f>
        <v>Altération ou dévoiement de la réalité</v>
      </c>
      <c r="H18" s="620"/>
      <c r="I18" s="620"/>
      <c r="J18" s="620"/>
      <c r="K18" s="1922"/>
      <c r="L18" s="1922"/>
      <c r="M18" s="620"/>
      <c r="N18" s="1913"/>
      <c r="O18" s="1916" t="str">
        <f>BIBLE!E184</f>
        <v>E22a</v>
      </c>
      <c r="P18" s="1170" t="str">
        <f>BIBLE!F184</f>
        <v>Dans quelle mesure les souvenirs de votre enfant vous semblent-ils être déformés ? (ex.: souvenirs de la petite enfance vus aujourd'hui différement)</v>
      </c>
      <c r="Q18" s="1947">
        <f>Test_Bible!P305</f>
        <v>0</v>
      </c>
      <c r="R18" s="643">
        <f>Test_Bible!D305</f>
        <v>3</v>
      </c>
      <c r="S18" s="1981" t="str">
        <f>BIBLE!V184</f>
        <v>Interférence lien affectif ou symbolique</v>
      </c>
      <c r="T18" s="1732"/>
      <c r="U18" s="620"/>
      <c r="V18" s="620"/>
      <c r="W18" s="1922"/>
      <c r="X18" s="1922"/>
      <c r="Y18" s="1147"/>
    </row>
    <row r="19" spans="1:25" ht="47" customHeight="1" thickBot="1">
      <c r="A19" s="2014"/>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1"/>
      <c r="L19" s="1941"/>
      <c r="M19" s="294"/>
      <c r="N19" s="294"/>
      <c r="O19" s="294"/>
      <c r="P19" s="294"/>
      <c r="Q19" s="1941"/>
      <c r="R19" s="1941"/>
      <c r="S19" s="295"/>
      <c r="T19" s="293"/>
      <c r="U19" s="294"/>
      <c r="V19" s="294"/>
      <c r="W19" s="1941"/>
      <c r="X19" s="1941"/>
      <c r="Y19" s="295"/>
    </row>
    <row r="20" spans="1:25" ht="29" customHeight="1" thickBot="1">
      <c r="A20" s="2014"/>
      <c r="C20" s="16"/>
      <c r="D20" s="25"/>
      <c r="E20" s="16"/>
      <c r="F20" s="16"/>
      <c r="G20" s="598"/>
    </row>
    <row r="21" spans="1:25" ht="46.5" customHeight="1">
      <c r="A21" s="2014">
        <v>6</v>
      </c>
      <c r="B21" s="617" t="s">
        <v>1740</v>
      </c>
      <c r="C21" s="607" t="str">
        <f>BIBLE!E91</f>
        <v>PFA07</v>
      </c>
      <c r="D21" s="1204" t="str">
        <f>BIBLE!F91</f>
        <v>L’autre parent culpabilise votre enfant de sa relation ou de son amour pour vous.</v>
      </c>
      <c r="E21" s="1940">
        <f>Test_Bible!P177</f>
        <v>0</v>
      </c>
      <c r="F21" s="607">
        <f>Test_Bible!D177</f>
        <v>1</v>
      </c>
      <c r="G21" s="1149" t="str">
        <f>BIBLE!V91</f>
        <v>Chantage affectif, manipulation</v>
      </c>
      <c r="H21" s="620"/>
      <c r="I21" s="620"/>
      <c r="J21" s="620"/>
      <c r="K21" s="1922"/>
      <c r="L21" s="1922"/>
      <c r="M21" s="620"/>
      <c r="N21" s="1913"/>
      <c r="O21" s="1130" t="str">
        <f>BIBLE!E164</f>
        <v>E07</v>
      </c>
      <c r="P21" s="1131" t="str">
        <f>BIBLE!F164</f>
        <v>Votre enfant se sent coupable de passer du temps avec vous car cela pourrait indisposer, contrarier ou faire de la peine à l'autre parent.</v>
      </c>
      <c r="Q21" s="1965">
        <f>Test_Bible!P281</f>
        <v>0</v>
      </c>
      <c r="R21" s="1964">
        <f>Test_Bible!D281</f>
        <v>1</v>
      </c>
      <c r="S21" s="1150" t="str">
        <f>BIBLE!V164</f>
        <v>Chantage affectif, manipulation</v>
      </c>
      <c r="T21" s="1732"/>
      <c r="U21" s="620"/>
      <c r="V21" s="620"/>
      <c r="W21" s="1922"/>
      <c r="X21" s="1922"/>
      <c r="Y21" s="1147"/>
    </row>
    <row r="22" spans="1:25" ht="39" customHeight="1">
      <c r="A22" s="2014"/>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9.5" customHeight="1" thickBot="1">
      <c r="A23" s="2014"/>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1"/>
      <c r="L23" s="1941"/>
      <c r="M23" s="294"/>
      <c r="N23" s="294"/>
      <c r="O23" s="630"/>
      <c r="P23" s="1133"/>
      <c r="Q23" s="609"/>
      <c r="R23" s="609"/>
      <c r="S23" s="1154"/>
      <c r="T23" s="293"/>
      <c r="U23" s="294"/>
      <c r="V23" s="294"/>
      <c r="W23" s="1941"/>
      <c r="X23" s="1941"/>
      <c r="Y23" s="295"/>
    </row>
    <row r="24" spans="1:25" ht="29" customHeight="1" thickBot="1">
      <c r="A24" s="2014"/>
      <c r="C24" s="16"/>
      <c r="D24" s="25"/>
      <c r="E24" s="16"/>
      <c r="F24" s="16"/>
      <c r="G24" s="1136"/>
    </row>
    <row r="25" spans="1:25" ht="46.5" customHeight="1">
      <c r="A25" s="2014">
        <v>7</v>
      </c>
      <c r="B25" s="617" t="s">
        <v>1741</v>
      </c>
      <c r="C25" s="607" t="str">
        <f>BIBLE!E94</f>
        <v>PFA09</v>
      </c>
      <c r="D25" s="1204" t="str">
        <f>BIBLE!F94</f>
        <v>Arrive-t-il que l'autre parent vous accable de reproches par courriel ou texto au retour des enfants (après votre tour de garde) ?</v>
      </c>
      <c r="E25" s="1940">
        <f>Test_Bible!P180</f>
        <v>0</v>
      </c>
      <c r="F25" s="607">
        <f>Test_Bible!D180</f>
        <v>1</v>
      </c>
      <c r="G25" s="1149" t="str">
        <f>BIBLE!V94</f>
        <v>Chantage affectif, manipulation</v>
      </c>
      <c r="H25" s="620"/>
      <c r="I25" s="620"/>
      <c r="J25" s="620"/>
      <c r="K25" s="1922"/>
      <c r="L25" s="1922"/>
      <c r="M25" s="620"/>
      <c r="N25" s="1913"/>
      <c r="O25" s="1130" t="str">
        <f>BIBLE!E191</f>
        <v>E27</v>
      </c>
      <c r="P25" s="1131" t="str">
        <f>BIBLE!F191</f>
        <v>Dans quelle mesure notez-vous un changement au niveau du comportement de votre enfant à son retour de garde ?</v>
      </c>
      <c r="Q25" s="1965">
        <f>Test_Bible!P312</f>
        <v>0</v>
      </c>
      <c r="R25" s="1964">
        <f>Test_Bible!D312</f>
        <v>2</v>
      </c>
      <c r="S25" s="1155" t="str">
        <f>BIBLE!V191</f>
        <v>Rôle actif de l'enfant</v>
      </c>
      <c r="T25" s="1913"/>
      <c r="U25" s="744" t="str">
        <f>BIBLE!E58</f>
        <v>PCR06</v>
      </c>
      <c r="V25" s="1217" t="str">
        <f>BIBLE!F58</f>
        <v xml:space="preserve">Vous faites un retour sur les interventions de l'autre parent (nutrition, hygiène, logistique, etc.) au retour des enfants, par courriel ou message texte. </v>
      </c>
      <c r="W25" s="1977">
        <f>Test_Bible!P126</f>
        <v>0</v>
      </c>
      <c r="X25" s="1976">
        <f>Test_Bible!D126</f>
        <v>1</v>
      </c>
      <c r="Y25" s="629" t="str">
        <f>BIBLE!V58</f>
        <v>Dénigrement</v>
      </c>
    </row>
    <row r="26" spans="1:25" ht="31.5" customHeight="1" thickBot="1">
      <c r="A26" s="2014"/>
      <c r="B26" s="621"/>
      <c r="C26" s="609"/>
      <c r="D26" s="1205"/>
      <c r="E26" s="609"/>
      <c r="F26" s="609"/>
      <c r="G26" s="1156"/>
      <c r="H26" s="294"/>
      <c r="I26" s="294"/>
      <c r="J26" s="294"/>
      <c r="K26" s="1941"/>
      <c r="L26" s="1941"/>
      <c r="M26" s="294"/>
      <c r="N26" s="1915"/>
      <c r="O26" s="1134" t="str">
        <f>BIBLE!E193</f>
        <v>E27a1</v>
      </c>
      <c r="P26" s="622" t="str">
        <f>BIBLE!F193</f>
        <v>Au retour d’un séjour chez l’autre parent, votre enfant vous questionne sur vos décisions présentes ou passsées ou vous accable de reproches.</v>
      </c>
      <c r="Q26" s="1968">
        <f>Test_Bible!P320</f>
        <v>0</v>
      </c>
      <c r="R26" s="637">
        <f>Test_Bible!D320</f>
        <v>3</v>
      </c>
      <c r="S26" s="1157" t="str">
        <f>BIBLE!V193</f>
        <v>Rôle actif de l'enfant</v>
      </c>
      <c r="T26" s="294"/>
      <c r="U26" s="294"/>
      <c r="V26" s="294"/>
      <c r="W26" s="1941"/>
      <c r="X26" s="1941"/>
      <c r="Y26" s="295"/>
    </row>
    <row r="27" spans="1:25" ht="29" customHeight="1" thickBot="1">
      <c r="A27" s="2014"/>
      <c r="C27" s="16"/>
      <c r="D27" s="25"/>
      <c r="E27" s="16"/>
      <c r="F27" s="16"/>
      <c r="G27" s="1136"/>
      <c r="I27" s="16"/>
      <c r="J27" s="272"/>
      <c r="K27" s="16"/>
      <c r="L27" s="16"/>
      <c r="M27" s="1136"/>
      <c r="O27" s="494"/>
      <c r="P27" s="272"/>
      <c r="Q27" s="16"/>
      <c r="R27" s="16"/>
      <c r="S27" s="1136"/>
    </row>
    <row r="28" spans="1:25" ht="65" customHeight="1">
      <c r="A28" s="2014">
        <v>8</v>
      </c>
      <c r="B28" s="617" t="s">
        <v>1731</v>
      </c>
      <c r="C28" s="607" t="str">
        <f>BIBLE!E96</f>
        <v>PFA10</v>
      </c>
      <c r="D28" s="1204" t="str">
        <f>BIBLE!F96</f>
        <v>L’autre parent vous salue lors de changements de garde, à l'école ou lors d'événements culturels ou sportifs.</v>
      </c>
      <c r="E28" s="1940">
        <f>Test_Bible!P182</f>
        <v>0</v>
      </c>
      <c r="F28" s="607">
        <f>Test_Bible!D182</f>
        <v>1</v>
      </c>
      <c r="G28" s="1149" t="str">
        <f>BIBLE!V96</f>
        <v>Chantage affectif, manipulation</v>
      </c>
      <c r="H28" s="1913"/>
      <c r="I28" s="1158" t="str">
        <f>BIBLE!E220</f>
        <v>NC03</v>
      </c>
      <c r="J28" s="1159" t="str">
        <f>BIBLE!F220</f>
        <v>Le nouveau ou nouvelle conjoint·e vous salue lors de changements de garde, à l'école ou lors d'événements culturels ou sportifs.</v>
      </c>
      <c r="K28" s="1956">
        <f>Test_Bible!P407</f>
        <v>0</v>
      </c>
      <c r="L28" s="1953">
        <f>Test_Bible!D407</f>
        <v>1</v>
      </c>
      <c r="M28" s="1149" t="str">
        <f>BIBLE!V220</f>
        <v>Chantage affectif, manipulation</v>
      </c>
      <c r="N28" s="1913"/>
      <c r="O28" s="1130" t="str">
        <f>BIBLE!E167</f>
        <v>E11</v>
      </c>
      <c r="P28" s="1131" t="str">
        <f>BIBLE!F167</f>
        <v>Votre enfant va vers vous lors d'événements culturels ou sportifs lorsqu'il ou elle est en compagnie (sous la supervision) de l'autre parent ?</v>
      </c>
      <c r="Q28" s="1965">
        <f>Test_Bible!P284</f>
        <v>0</v>
      </c>
      <c r="R28" s="1964">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7">
        <f>Test_Bible!P124</f>
        <v>0</v>
      </c>
      <c r="X28" s="1976">
        <f>Test_Bible!D124</f>
        <v>1</v>
      </c>
      <c r="Y28" s="660" t="str">
        <f>BIBLE!V56</f>
        <v>Chantage affectif, manipulation</v>
      </c>
    </row>
    <row r="29" spans="1:25" ht="56" customHeight="1" thickBot="1">
      <c r="A29" s="2014"/>
      <c r="B29" s="621"/>
      <c r="C29" s="609"/>
      <c r="D29" s="1205"/>
      <c r="E29" s="609"/>
      <c r="F29" s="609"/>
      <c r="G29" s="1156"/>
      <c r="H29" s="294"/>
      <c r="I29" s="609"/>
      <c r="J29" s="1133"/>
      <c r="K29" s="609"/>
      <c r="L29" s="609"/>
      <c r="M29" s="1156"/>
      <c r="N29" s="1915"/>
      <c r="O29" s="1161" t="str">
        <f>BIBLE!E189</f>
        <v>E26</v>
      </c>
      <c r="P29" s="1162" t="str">
        <f>BIBLE!F189</f>
        <v>Le comportement ou l'attitude de votre enfant change en présence de l’autre parent.</v>
      </c>
      <c r="Q29" s="1969">
        <f>Test_Bible!P310</f>
        <v>0</v>
      </c>
      <c r="R29" s="1411">
        <f>Test_Bible!D310</f>
        <v>2</v>
      </c>
      <c r="S29" s="1157" t="str">
        <f>BIBLE!V189</f>
        <v>Rôle actif de l'enfant</v>
      </c>
      <c r="T29" s="294"/>
      <c r="U29" s="630"/>
      <c r="V29" s="1205"/>
      <c r="W29" s="609"/>
      <c r="X29" s="609"/>
      <c r="Y29" s="631"/>
    </row>
    <row r="30" spans="1:25" ht="29" customHeight="1" thickBot="1">
      <c r="A30" s="2014"/>
    </row>
    <row r="31" spans="1:25" ht="46.5" customHeight="1">
      <c r="A31" s="2014">
        <v>9</v>
      </c>
      <c r="B31" s="617" t="s">
        <v>1742</v>
      </c>
      <c r="C31" s="607" t="str">
        <f>BIBLE!E100</f>
        <v>PFA13</v>
      </c>
      <c r="D31" s="1204" t="str">
        <f>BIBLE!F100</f>
        <v>L’autre parent vous dénigre en la présence de votre enfant.</v>
      </c>
      <c r="E31" s="1940">
        <f>Test_Bible!P186</f>
        <v>0</v>
      </c>
      <c r="F31" s="607">
        <f>Test_Bible!D186</f>
        <v>1</v>
      </c>
      <c r="G31" s="628" t="str">
        <f>BIBLE!V100</f>
        <v>Dénigrement</v>
      </c>
      <c r="H31" s="1913"/>
      <c r="I31" s="1158" t="str">
        <f>BIBLE!E223</f>
        <v>NC04a1</v>
      </c>
      <c r="J31" s="1215" t="str">
        <f>BIBLE!F223</f>
        <v>Arrive-t-il que le nouveau ou nouvelle conjoint·e vous critique ou dénigre vos compétences parentales devant votre enfant ?</v>
      </c>
      <c r="K31" s="1957">
        <f>Test_Bible!P415</f>
        <v>0</v>
      </c>
      <c r="L31" s="1158">
        <f>Test_Bible!D415</f>
        <v>3</v>
      </c>
      <c r="M31" s="1163" t="str">
        <f>BIBLE!V223</f>
        <v>Dénigrement</v>
      </c>
      <c r="N31" s="1913"/>
      <c r="O31" s="1130" t="str">
        <f>BIBLE!E190</f>
        <v>E12</v>
      </c>
      <c r="P31" s="1131" t="str">
        <f>BIBLE!F190</f>
        <v xml:space="preserve">Est-il déjà arrivé que votre enfant dénigre vos compétences parentales devant l’autre parent ? </v>
      </c>
      <c r="Q31" s="1965">
        <f>Test_Bible!P311</f>
        <v>0</v>
      </c>
      <c r="R31" s="1964">
        <f>Test_Bible!D311</f>
        <v>3</v>
      </c>
      <c r="S31" s="1163" t="str">
        <f>BIBLE!V190</f>
        <v>Dénigrement</v>
      </c>
      <c r="T31" s="1913"/>
      <c r="U31" s="1160" t="str">
        <f>BIBLE!E60</f>
        <v>PCR07</v>
      </c>
      <c r="V31" s="1217" t="str">
        <f>BIBLE!F60</f>
        <v>Il vous arrive de faire des reproches à l'autre parent devant votre enfant.</v>
      </c>
      <c r="W31" s="1977">
        <f>Test_Bible!P134</f>
        <v>0</v>
      </c>
      <c r="X31" s="1976">
        <f>Test_Bible!D134</f>
        <v>1</v>
      </c>
      <c r="Y31" s="629" t="str">
        <f>BIBLE!V60</f>
        <v>Dénigrement</v>
      </c>
    </row>
    <row r="32" spans="1:25" ht="31.5" customHeight="1" thickBot="1">
      <c r="A32" s="2014"/>
      <c r="B32" s="621"/>
      <c r="C32" s="609"/>
      <c r="D32" s="1205"/>
      <c r="E32" s="609"/>
      <c r="F32" s="609"/>
      <c r="G32" s="608"/>
      <c r="H32" s="1915"/>
      <c r="I32" s="1164" t="str">
        <f>BIBLE!E222</f>
        <v>NC04a</v>
      </c>
      <c r="J32" s="1216" t="str">
        <f>BIBLE!F222</f>
        <v>Le nouveau ou nouvelle conjoint·e dénigre vos compétences parentales par texto, courriel ou autres?</v>
      </c>
      <c r="K32" s="1958">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4"/>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4">
        <v>10</v>
      </c>
      <c r="B34" s="617" t="s">
        <v>843</v>
      </c>
      <c r="C34" s="607" t="str">
        <f>BIBLE!E104</f>
        <v>PFA14</v>
      </c>
      <c r="D34" s="1204" t="str">
        <f>BIBLE!F104</f>
        <v>L’autre parent dénigre votre nouvelle famille devant votre enfant. (dénigrement de votre nouveau ou nouvelle conjoint·e ou enfant né·e d’une nouvelle union)</v>
      </c>
      <c r="E34" s="1940">
        <f>Test_Bible!P190</f>
        <v>0</v>
      </c>
      <c r="F34" s="607">
        <f>Test_Bible!D190</f>
        <v>1</v>
      </c>
      <c r="G34" s="628" t="str">
        <f>BIBLE!V104</f>
        <v>Dénigrement</v>
      </c>
      <c r="H34" s="1913"/>
      <c r="I34" s="1158" t="str">
        <f>BIBLE!E224</f>
        <v>NC04b</v>
      </c>
      <c r="J34" s="1215" t="str">
        <f>BIBLE!F224</f>
        <v xml:space="preserve">Arrive-t-il que le nouveau ou nouvelle conjoint·e dénigre votre famille devant votre enfant ? </v>
      </c>
      <c r="K34" s="1957">
        <f>Test_Bible!P416</f>
        <v>0</v>
      </c>
      <c r="L34" s="1158">
        <f>Test_Bible!D416</f>
        <v>3</v>
      </c>
      <c r="M34" s="1163" t="str">
        <f>BIBLE!V224</f>
        <v>Dénigrement</v>
      </c>
      <c r="N34" s="1913"/>
      <c r="O34" s="1130" t="str">
        <f>BIBLE!E168</f>
        <v>E13</v>
      </c>
      <c r="P34" s="1131" t="str">
        <f>BIBLE!F168</f>
        <v>Votre enfant dénigre votre nouvelle famille (nouveau ou nouvelle conjoint·e ou enfant né·e d’une nouvelle union).</v>
      </c>
      <c r="Q34" s="1965">
        <f>Test_Bible!P285</f>
        <v>0</v>
      </c>
      <c r="R34" s="1964">
        <f>Test_Bible!D285</f>
        <v>2</v>
      </c>
      <c r="S34" s="1163" t="str">
        <f>BIBLE!V168</f>
        <v>Dénigrement</v>
      </c>
      <c r="T34" s="1732"/>
      <c r="U34" s="620"/>
      <c r="V34" s="620"/>
      <c r="W34" s="1922"/>
      <c r="X34" s="1922"/>
      <c r="Y34" s="1147"/>
    </row>
    <row r="35" spans="1:25" ht="64" customHeight="1" thickBot="1">
      <c r="A35" s="2014"/>
      <c r="B35" s="621"/>
      <c r="C35" s="678" t="str">
        <f>BIBLE!E143</f>
        <v>PFA33</v>
      </c>
      <c r="D35" s="1209" t="str">
        <f>BIBLE!F143</f>
        <v>L'autre parent encourage ou entretient un discours dénigrant ou haineux à l’égard de votre nouveau ou nouvelle conjoint·e.</v>
      </c>
      <c r="E35" s="1946">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1"/>
      <c r="X35" s="1941"/>
      <c r="Y35" s="295"/>
    </row>
    <row r="36" spans="1:25" ht="17" customHeight="1" thickBot="1">
      <c r="A36" s="2014"/>
      <c r="C36" s="16"/>
      <c r="D36" s="25"/>
      <c r="E36" s="16"/>
      <c r="F36" s="16"/>
      <c r="G36" s="598"/>
      <c r="I36" s="16"/>
      <c r="J36" s="272"/>
      <c r="K36" s="16"/>
      <c r="L36" s="16"/>
      <c r="M36" s="1136"/>
      <c r="O36" s="494"/>
      <c r="P36" s="272"/>
      <c r="Q36" s="16"/>
      <c r="R36" s="16"/>
      <c r="S36" s="1136"/>
    </row>
    <row r="37" spans="1:25" ht="67" customHeight="1" thickBot="1">
      <c r="A37" s="2014">
        <v>11</v>
      </c>
      <c r="B37" s="617" t="s">
        <v>1743</v>
      </c>
      <c r="C37" s="606" t="str">
        <f>BIBLE!E105</f>
        <v>PFA15</v>
      </c>
      <c r="D37" s="1207" t="str">
        <f>BIBLE!F105</f>
        <v>L'autre parent laisse entendre qu'il ou elle représente la vraie famille de votre enfant.</v>
      </c>
      <c r="E37" s="1940">
        <f>Test_Bible!P191</f>
        <v>0</v>
      </c>
      <c r="F37" s="607">
        <f>Test_Bible!D191</f>
        <v>2</v>
      </c>
      <c r="G37" s="628" t="str">
        <f>BIBLE!V105</f>
        <v>Dénigrement</v>
      </c>
      <c r="H37" s="620"/>
      <c r="I37" s="620"/>
      <c r="J37" s="620"/>
      <c r="K37" s="1922"/>
      <c r="L37" s="1922"/>
      <c r="M37" s="620"/>
      <c r="N37" s="1913"/>
      <c r="O37" s="1130" t="str">
        <f>BIBLE!E169</f>
        <v>E14</v>
      </c>
      <c r="P37" s="1131" t="str">
        <f>BIBLE!F169</f>
        <v>Votre enfant laisse entendre que sa vraie famille est celle avec l’autre parent.</v>
      </c>
      <c r="Q37" s="1965">
        <f>Test_Bible!P286</f>
        <v>0</v>
      </c>
      <c r="R37" s="1964">
        <f>Test_Bible!D286</f>
        <v>2</v>
      </c>
      <c r="S37" s="1163" t="str">
        <f>BIBLE!V169</f>
        <v>Dénigrement</v>
      </c>
      <c r="T37" s="1732"/>
      <c r="U37" s="620"/>
      <c r="V37" s="620"/>
      <c r="W37" s="1922"/>
      <c r="X37" s="1922"/>
      <c r="Y37" s="1147"/>
    </row>
    <row r="38" spans="1:25" ht="61" customHeight="1" thickBot="1">
      <c r="A38" s="2014"/>
      <c r="B38" s="621"/>
      <c r="C38" s="294"/>
      <c r="D38" s="294"/>
      <c r="E38" s="1941"/>
      <c r="F38" s="1941"/>
      <c r="G38" s="294"/>
      <c r="H38" s="294"/>
      <c r="I38" s="294"/>
      <c r="J38" s="294"/>
      <c r="K38" s="1941"/>
      <c r="L38" s="1941"/>
      <c r="M38" s="294"/>
      <c r="N38" s="1915"/>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1"/>
      <c r="X38" s="1941"/>
      <c r="Y38" s="295"/>
    </row>
    <row r="39" spans="1:25" ht="15" customHeight="1" thickBot="1">
      <c r="A39" s="2015"/>
      <c r="O39" s="494"/>
      <c r="P39" s="272"/>
      <c r="Q39" s="16"/>
      <c r="R39" s="16"/>
      <c r="S39" s="1136"/>
    </row>
    <row r="40" spans="1:25" ht="61" customHeight="1">
      <c r="A40" s="2014">
        <v>12</v>
      </c>
      <c r="B40" s="617" t="s">
        <v>1744</v>
      </c>
      <c r="C40" s="607" t="str">
        <f>BIBLE!E106</f>
        <v>PFA15a</v>
      </c>
      <c r="D40" s="1204" t="str">
        <f>BIBLE!F106</f>
        <v>L'autre parent demande à votre enfant d'appeler son nouveau ou nouvelle conjoint·e maman ou papa.</v>
      </c>
      <c r="E40" s="1940">
        <f>Test_Bible!P192</f>
        <v>0</v>
      </c>
      <c r="F40" s="607">
        <f>Test_Bible!D192</f>
        <v>3</v>
      </c>
      <c r="G40" s="628" t="str">
        <f>BIBLE!V106</f>
        <v>Dénigrement</v>
      </c>
      <c r="H40" s="1913"/>
      <c r="I40" s="1158" t="str">
        <f>BIBLE!E232</f>
        <v>NC14</v>
      </c>
      <c r="J40" s="1159" t="str">
        <f>BIBLE!F232</f>
        <v>Le nouveau ou nouvelle conjoint·e demande à votre enfant de l'appeler maman ou papa.</v>
      </c>
      <c r="K40" s="1956">
        <f>Test_Bible!P424</f>
        <v>0</v>
      </c>
      <c r="L40" s="1953">
        <f>Test_Bible!D424</f>
        <v>2</v>
      </c>
      <c r="M40" s="1183" t="str">
        <f>BIBLE!V232</f>
        <v>Interférence lien affectif ou symbolique</v>
      </c>
      <c r="N40" s="1913"/>
      <c r="O40" s="1130" t="str">
        <f>BIBLE!E179</f>
        <v>E20</v>
      </c>
      <c r="P40" s="1131" t="str">
        <f>BIBLE!F179</f>
        <v>Votre enfant considère le nouveau ou nouvelle conjoint·e (de l'autre parent) comme son père ou sa mère.</v>
      </c>
      <c r="Q40" s="1965">
        <f>Test_Bible!P300</f>
        <v>0</v>
      </c>
      <c r="R40" s="1964">
        <f>Test_Bible!D301</f>
        <v>3</v>
      </c>
      <c r="S40" s="1183" t="str">
        <f>BIBLE!V179</f>
        <v>Interférence lien affectif ou symbolique</v>
      </c>
      <c r="T40" s="1732"/>
      <c r="U40" s="620"/>
      <c r="V40" s="620"/>
      <c r="W40" s="1922"/>
      <c r="X40" s="1922"/>
      <c r="Y40" s="1147"/>
    </row>
    <row r="41" spans="1:25" ht="61" customHeight="1" thickBot="1">
      <c r="A41" s="2015"/>
      <c r="B41" s="621"/>
      <c r="C41" s="609"/>
      <c r="D41" s="1205"/>
      <c r="E41" s="609"/>
      <c r="F41" s="609"/>
      <c r="G41" s="608"/>
      <c r="H41" s="294"/>
      <c r="I41" s="609"/>
      <c r="J41" s="1133"/>
      <c r="K41" s="609"/>
      <c r="L41" s="609"/>
      <c r="M41" s="1156"/>
      <c r="N41" s="1915"/>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1"/>
      <c r="X41" s="1941"/>
      <c r="Y41" s="295"/>
    </row>
    <row r="42" spans="1:25" ht="19" customHeight="1" thickBot="1">
      <c r="A42" s="2016"/>
      <c r="C42" s="16"/>
      <c r="D42" s="25"/>
      <c r="E42" s="16"/>
      <c r="F42" s="16"/>
      <c r="G42" s="598"/>
      <c r="I42" s="16"/>
      <c r="J42" s="272"/>
      <c r="K42" s="16"/>
      <c r="L42" s="16"/>
      <c r="M42" s="1136"/>
      <c r="O42" s="494"/>
      <c r="P42" s="272"/>
      <c r="Q42" s="16"/>
      <c r="R42" s="16"/>
      <c r="S42" s="1136"/>
    </row>
    <row r="43" spans="1:25" ht="46.5" customHeight="1">
      <c r="A43" s="2017">
        <v>13</v>
      </c>
      <c r="B43" s="1986" t="s">
        <v>1745</v>
      </c>
      <c r="C43" s="1987" t="str">
        <f>BIBLE!E107</f>
        <v>PFA16</v>
      </c>
      <c r="D43" s="1988" t="str">
        <f>BIBLE!F107</f>
        <v>L'autre parent impose des changements d’horaires sans vous consulter au préalable et sans votre autorisation.</v>
      </c>
      <c r="E43" s="1989">
        <f>Test_Bible!P193</f>
        <v>0</v>
      </c>
      <c r="F43" s="1987">
        <f>Test_Bible!D193</f>
        <v>2</v>
      </c>
      <c r="G43" s="1990" t="str">
        <f>BIBLE!V107</f>
        <v>Interférence temps et/ou communication</v>
      </c>
      <c r="H43" s="1991"/>
      <c r="I43" s="1992" t="str">
        <f>BIBLE!E225</f>
        <v>NC07</v>
      </c>
      <c r="J43" s="1993" t="str">
        <f>BIBLE!F225</f>
        <v xml:space="preserve">Le nouveau ou nouvelle conjoint·e apporte des changements à l’horaire de garde sans vous consulter au préalable ou sans votre autorisation. </v>
      </c>
      <c r="K43" s="1994">
        <f>Test_Bible!P417</f>
        <v>0</v>
      </c>
      <c r="L43" s="1995">
        <f>Test_Bible!D417</f>
        <v>2</v>
      </c>
      <c r="M43" s="1990" t="str">
        <f>BIBLE!V225</f>
        <v>Interférence temps et/ou communication</v>
      </c>
      <c r="N43" s="1991"/>
      <c r="O43" s="1996" t="str">
        <f>BIBLE!E173</f>
        <v>E16</v>
      </c>
      <c r="P43" s="1997" t="str">
        <f>BIBLE!F173</f>
        <v>Votre enfant demande à modifier les horaires de garde et de visite.</v>
      </c>
      <c r="Q43" s="1998">
        <f>Test_Bible!P290</f>
        <v>0</v>
      </c>
      <c r="R43" s="1999">
        <f>Test_Bible!D290</f>
        <v>2</v>
      </c>
      <c r="S43" s="2078" t="str">
        <f>BIBLE!V173</f>
        <v>Interférence temps ou communication</v>
      </c>
      <c r="T43" s="1732"/>
      <c r="U43" s="620"/>
      <c r="V43" s="620"/>
      <c r="W43" s="1922"/>
      <c r="X43" s="1922"/>
      <c r="Y43" s="1147"/>
    </row>
    <row r="44" spans="1:25" ht="47" customHeight="1" thickBot="1">
      <c r="A44" s="2016"/>
      <c r="B44" s="2000"/>
      <c r="C44" s="2001" t="str">
        <f>BIBLE!E108</f>
        <v>PFA16a</v>
      </c>
      <c r="D44" s="2002" t="str">
        <f>BIBLE!F108</f>
        <v>Arrive-t-il que l'autre parent ramène votre enfant à la maison à l'heure qui lui convient, sans respecter l'entente initiale ?</v>
      </c>
      <c r="E44" s="2001">
        <f>Test_Bible!P194</f>
        <v>0</v>
      </c>
      <c r="F44" s="2001">
        <f>Test_Bible!D194</f>
        <v>2</v>
      </c>
      <c r="G44" s="2003" t="str">
        <f>BIBLE!V108</f>
        <v>Interférence temps et/ou communication</v>
      </c>
      <c r="H44" s="51"/>
      <c r="I44" s="1749"/>
      <c r="J44" s="2004"/>
      <c r="K44" s="1749"/>
      <c r="L44" s="1749"/>
      <c r="M44" s="2005"/>
      <c r="N44" s="2006"/>
      <c r="O44" s="2007" t="str">
        <f>BIBLE!E175</f>
        <v>E16a1</v>
      </c>
      <c r="P44" s="2008" t="str">
        <f>BIBLE!F175</f>
        <v>Dans quelle mesure votre enfant impose-t-il ou elle des changements d’horaires et de visite à la faveur de l'autre parent sans vous consulter au préalable et sans votre autorisation ?</v>
      </c>
      <c r="Q44" s="2009">
        <f>Test_Bible!P296</f>
        <v>0</v>
      </c>
      <c r="R44" s="2001">
        <f>Test_Bible!D296</f>
        <v>3</v>
      </c>
      <c r="S44" s="2079" t="str">
        <f>BIBLE!V175</f>
        <v>Interférence temps ou communication</v>
      </c>
      <c r="T44" s="293"/>
      <c r="U44" s="294"/>
      <c r="V44" s="294"/>
      <c r="W44" s="1941"/>
      <c r="X44" s="1941"/>
      <c r="Y44" s="295"/>
    </row>
    <row r="45" spans="1:25" ht="17" customHeight="1" thickBot="1">
      <c r="A45" s="2015"/>
    </row>
    <row r="46" spans="1:25" ht="46.5" customHeight="1">
      <c r="A46" s="2014">
        <v>14</v>
      </c>
      <c r="B46" s="617" t="s">
        <v>1735</v>
      </c>
      <c r="C46" s="643" t="str">
        <f>BIBLE!E109</f>
        <v>PFA16b</v>
      </c>
      <c r="D46" s="1210" t="str">
        <f>BIBLE!F109</f>
        <v>Arrive-t-il que l’autre parent organise et propose des activités à votre enfant sur votre temps de garde ?</v>
      </c>
      <c r="E46" s="1947">
        <f>Test_Bible!P195</f>
        <v>0</v>
      </c>
      <c r="F46" s="643">
        <f>Test_Bible!D195</f>
        <v>2</v>
      </c>
      <c r="G46" s="632" t="str">
        <f>BIBLE!V109</f>
        <v>Interférence temps et/ou communication</v>
      </c>
      <c r="H46" s="1913"/>
      <c r="I46" s="1158" t="str">
        <f>BIBLE!E226</f>
        <v>NC07a</v>
      </c>
      <c r="J46" s="1159" t="str">
        <f>BIBLE!F226</f>
        <v xml:space="preserve">Arrive-t-il que le nouveau ou nouvelle conjoint·e organise des activités sur votre temps de garde ? </v>
      </c>
      <c r="K46" s="1956">
        <f>Test_Bible!P418</f>
        <v>0</v>
      </c>
      <c r="L46" s="1953">
        <f>Test_Bible!D418</f>
        <v>2</v>
      </c>
      <c r="M46" s="632" t="str">
        <f>BIBLE!V226</f>
        <v>Interférence temps et/ou communication</v>
      </c>
      <c r="N46" s="1913"/>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7">
        <f>Test_Bible!P297</f>
        <v>0</v>
      </c>
      <c r="R46" s="643">
        <f>Test_Bible!D297</f>
        <v>3</v>
      </c>
      <c r="S46" s="1172" t="str">
        <f>BIBLE!V176</f>
        <v>Interférence temps ou communication</v>
      </c>
      <c r="T46" s="1732"/>
      <c r="U46" s="620"/>
      <c r="V46" s="620"/>
      <c r="W46" s="1922"/>
      <c r="X46" s="1922"/>
      <c r="Y46" s="1147"/>
    </row>
    <row r="47" spans="1:25" ht="47" customHeight="1" thickBot="1">
      <c r="A47" s="2015"/>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1"/>
      <c r="L47" s="1941"/>
      <c r="M47" s="294"/>
      <c r="N47" s="1915"/>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1"/>
      <c r="X47" s="1941"/>
      <c r="Y47" s="295"/>
    </row>
    <row r="48" spans="1:25" ht="17" customHeight="1" thickBot="1">
      <c r="A48" s="2015"/>
      <c r="C48" s="16"/>
      <c r="D48" s="25"/>
      <c r="E48" s="16"/>
      <c r="F48" s="16"/>
      <c r="G48" s="598"/>
      <c r="I48" s="16"/>
      <c r="J48" s="272"/>
      <c r="K48" s="16"/>
      <c r="L48" s="16"/>
      <c r="M48" s="598"/>
      <c r="U48" s="8"/>
      <c r="V48" s="25"/>
      <c r="W48" s="16"/>
      <c r="X48" s="16"/>
      <c r="Y48" s="599"/>
    </row>
    <row r="49" spans="1:25" ht="64" customHeight="1" thickBot="1">
      <c r="A49" s="2014">
        <v>15</v>
      </c>
      <c r="B49" s="623" t="s">
        <v>1746</v>
      </c>
      <c r="C49" s="606" t="str">
        <f>BIBLE!E112</f>
        <v>PFA18</v>
      </c>
      <c r="D49" s="1207" t="str">
        <f>BIBLE!F112</f>
        <v>À quelle fréquence l’autre parent communique-t-il ou elle avec votre enfant durant votre temps de garde ? (tél., textos, réseaux sociaux, etc.)</v>
      </c>
      <c r="E49" s="1882">
        <f>Test_Bible!P198</f>
        <v>0</v>
      </c>
      <c r="F49" s="606">
        <f>Test_Bible!D198</f>
        <v>1</v>
      </c>
      <c r="G49" s="644" t="str">
        <f>BIBLE!V112</f>
        <v>Interférence temps et/ou communication</v>
      </c>
      <c r="H49" s="1914"/>
      <c r="I49" s="1144" t="str">
        <f>BIBLE!E230</f>
        <v>NC12</v>
      </c>
      <c r="J49" s="1145" t="str">
        <f>BIBLE!F230</f>
        <v>À quelle fréquence le nouveau ou nouvelle conjoint·e communique-t-il ou elle avec votre enfant durant votre temps de garde ?</v>
      </c>
      <c r="K49" s="1952">
        <f>Test_Bible!P422</f>
        <v>0</v>
      </c>
      <c r="L49" s="1951">
        <f>Test_Bible!D422</f>
        <v>3</v>
      </c>
      <c r="M49" s="644" t="str">
        <f>BIBLE!V230</f>
        <v>Interférence temps et/ou communication</v>
      </c>
      <c r="N49" s="1914"/>
      <c r="O49" s="1167" t="str">
        <f>BIBLE!E194</f>
        <v>E28</v>
      </c>
      <c r="P49" s="1168" t="str">
        <f>BIBLE!F194</f>
        <v>Votre enfant s'isole ou se cache (ex.: chambre ou toilettes) pour appeler l'autre parent afin qu'on n'entende pas ses conversations.</v>
      </c>
      <c r="Q49" s="1970">
        <f>Test_Bible!P321</f>
        <v>0</v>
      </c>
      <c r="R49" s="1966">
        <f>Test_Bible!D321</f>
        <v>2</v>
      </c>
      <c r="S49" s="1174" t="str">
        <f>BIBLE!V194</f>
        <v>Rôle actif de l'enfant</v>
      </c>
      <c r="T49" s="1914"/>
      <c r="U49" s="1175" t="str">
        <f>BIBLE!E61</f>
        <v>PCR08</v>
      </c>
      <c r="V49" s="1219" t="str">
        <f>BIBLE!F61</f>
        <v>À quelle fréquence communiquez-vous avec votre enfant lorsqu’il ou elle est chez l‘autre parent ?</v>
      </c>
      <c r="W49" s="1888">
        <f>Test_Bible!P135</f>
        <v>0</v>
      </c>
      <c r="X49" s="1653">
        <f>Test_Bible!D135</f>
        <v>1</v>
      </c>
      <c r="Y49" s="662" t="str">
        <f>BIBLE!V61</f>
        <v>Interférence temps et/ou communication</v>
      </c>
    </row>
    <row r="50" spans="1:25" ht="17" customHeight="1" thickBot="1">
      <c r="A50" s="2015"/>
    </row>
    <row r="51" spans="1:25" ht="39" customHeight="1">
      <c r="A51" s="2014">
        <v>16</v>
      </c>
      <c r="B51" s="617" t="s">
        <v>1747</v>
      </c>
      <c r="C51" s="607" t="str">
        <f>BIBLE!E115</f>
        <v>PFA20</v>
      </c>
      <c r="D51" s="1204" t="str">
        <f>BIBLE!F115</f>
        <v>Il est facile de communiquer avec votre enfant lorsqu’il est chez l’autre parent.</v>
      </c>
      <c r="E51" s="1940">
        <f>Test_Bible!P201</f>
        <v>0</v>
      </c>
      <c r="F51" s="607">
        <f>Test_Bible!D201</f>
        <v>1</v>
      </c>
      <c r="G51" s="632" t="str">
        <f>BIBLE!V115</f>
        <v>Interférence temps et/ou communication</v>
      </c>
      <c r="H51" s="620"/>
      <c r="I51" s="620"/>
      <c r="J51" s="620"/>
      <c r="K51" s="1922"/>
      <c r="L51" s="1922"/>
      <c r="M51" s="620"/>
      <c r="N51" s="1913"/>
      <c r="O51" s="1130" t="str">
        <f>BIBLE!E178</f>
        <v>E18</v>
      </c>
      <c r="P51" s="1131" t="str">
        <f>BIBLE!F178</f>
        <v>Votre enfant répond à vos messages lorsqu’il est chez l’autre parent (tél., textos, réseaux sociaux, etc.).</v>
      </c>
      <c r="Q51" s="1965">
        <f>Test_Bible!P299</f>
        <v>0</v>
      </c>
      <c r="R51" s="1964">
        <f>Test_Bible!D299</f>
        <v>2</v>
      </c>
      <c r="S51" s="1172" t="str">
        <f>BIBLE!V178</f>
        <v>Interférence temps ou communication</v>
      </c>
      <c r="T51" s="1732"/>
      <c r="U51" s="620"/>
      <c r="V51" s="620"/>
      <c r="W51" s="1922"/>
      <c r="X51" s="1922"/>
      <c r="Y51" s="1147"/>
    </row>
    <row r="52" spans="1:25" ht="73" customHeight="1" thickBot="1">
      <c r="A52" s="2015"/>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5"/>
      <c r="I52" s="1164" t="str">
        <f>BIBLE!E228</f>
        <v>NC10</v>
      </c>
      <c r="J52" s="1165" t="str">
        <f>BIBLE!F228</f>
        <v>Arrive-t-il que le nouveau ou nouvelle conjoint·e interfère, écoute ou écourte vos conversations téléphoniques avec votre enfant ?</v>
      </c>
      <c r="K52" s="1959">
        <f>Test_Bible!P420</f>
        <v>0</v>
      </c>
      <c r="L52" s="1954">
        <f>Test_Bible!D420</f>
        <v>2</v>
      </c>
      <c r="M52" s="1955" t="str">
        <f>BIBLE!V228</f>
        <v>Interférence temps et/ou communication</v>
      </c>
      <c r="N52" s="1915"/>
      <c r="O52" s="1410" t="str">
        <f>BIBLE!E202</f>
        <v>E34</v>
      </c>
      <c r="P52" s="1162" t="str">
        <f>BIBLE!F202</f>
        <v xml:space="preserve">Votre enfant bloque les communications (tél., textos, réseaux sociaux, etc.). </v>
      </c>
      <c r="Q52" s="1969">
        <f>Test_Bible!P329</f>
        <v>0</v>
      </c>
      <c r="R52" s="1411">
        <f>Test_Bible!D329</f>
        <v>3</v>
      </c>
      <c r="S52" s="1934" t="str">
        <f>BIBLE!V202</f>
        <v>Rôle actif de l'enfant</v>
      </c>
      <c r="T52" s="293"/>
      <c r="U52" s="294"/>
      <c r="V52" s="294"/>
      <c r="W52" s="1941"/>
      <c r="X52" s="1941"/>
      <c r="Y52" s="295"/>
    </row>
    <row r="53" spans="1:25" ht="17" customHeight="1" thickBot="1">
      <c r="A53" s="2015"/>
      <c r="C53" s="16"/>
      <c r="D53" s="25"/>
      <c r="E53" s="16"/>
      <c r="F53" s="16"/>
      <c r="G53" s="598"/>
      <c r="I53" s="16"/>
      <c r="J53" s="272"/>
      <c r="K53" s="16"/>
      <c r="L53" s="16"/>
      <c r="M53" s="598"/>
    </row>
    <row r="54" spans="1:25" ht="60" customHeight="1" thickBot="1">
      <c r="A54" s="2014">
        <v>17</v>
      </c>
      <c r="B54" s="623" t="s">
        <v>1748</v>
      </c>
      <c r="C54" s="606" t="str">
        <f>BIBLE!E128</f>
        <v>PFA27</v>
      </c>
      <c r="D54" s="1207" t="str">
        <f>BIBLE!F128</f>
        <v>L’autre parent cherche à limiter les contacts entre votre enfant et votre famille élargie (cousin.es, grands-parents, etc.).</v>
      </c>
      <c r="E54" s="1882">
        <f>Test_Bible!P217</f>
        <v>0</v>
      </c>
      <c r="F54" s="606">
        <f>Test_Bible!D217</f>
        <v>2</v>
      </c>
      <c r="G54" s="634" t="str">
        <f>BIBLE!V128</f>
        <v>Interférence lien affectif ou symbolique</v>
      </c>
      <c r="H54" s="612"/>
      <c r="I54" s="612"/>
      <c r="J54" s="612"/>
      <c r="K54" s="1942"/>
      <c r="L54" s="1942"/>
      <c r="M54" s="612"/>
      <c r="N54" s="1914"/>
      <c r="O54" s="1176" t="str">
        <f>BIBLE!E204</f>
        <v>E35a</v>
      </c>
      <c r="P54" s="1652" t="str">
        <f>BIBLE!F204</f>
        <v>Dans quelle mesure diriez-vous que votre enfant accepte les contacts avec votre famille élargie  (cousin.es, grands-parents, etc.) ?</v>
      </c>
      <c r="Q54" s="1971">
        <f>Test_Bible!P336</f>
        <v>0</v>
      </c>
      <c r="R54" s="1176">
        <f>Test_Bible!D336</f>
        <v>1</v>
      </c>
      <c r="S54" s="1177" t="str">
        <f>BIBLE!V204</f>
        <v>Rôle actif de l'enfant</v>
      </c>
      <c r="T54" s="1736"/>
      <c r="U54" s="612"/>
      <c r="V54" s="612"/>
      <c r="W54" s="1942"/>
      <c r="X54" s="1942"/>
      <c r="Y54" s="1929"/>
    </row>
    <row r="55" spans="1:25" ht="29" customHeight="1" thickBot="1">
      <c r="A55" s="2014"/>
      <c r="C55" s="16"/>
      <c r="D55" s="25"/>
      <c r="E55" s="16"/>
      <c r="F55" s="16"/>
      <c r="G55" s="598"/>
    </row>
    <row r="56" spans="1:25" ht="47" customHeight="1" thickBot="1">
      <c r="A56" s="2014">
        <v>18</v>
      </c>
      <c r="B56" s="623" t="s">
        <v>1749</v>
      </c>
      <c r="C56" s="625" t="str">
        <f>BIBLE!E141</f>
        <v>PFA31a1</v>
      </c>
      <c r="D56" s="1208" t="str">
        <f>BIBLE!F141</f>
        <v>Dans quelle mesure diriez-vous que l'autre parent se confie à votre enfant sur des sujets qui vous sont personnels ou qui concernent votre passé (intime) ?</v>
      </c>
      <c r="E56" s="1885">
        <f>Test_Bible!P244</f>
        <v>0</v>
      </c>
      <c r="F56" s="625">
        <f>Test_Bible!D244</f>
        <v>2</v>
      </c>
      <c r="G56" s="635" t="str">
        <f>BIBLE!V141</f>
        <v>Parentification</v>
      </c>
      <c r="H56" s="612"/>
      <c r="I56" s="612"/>
      <c r="J56" s="612"/>
      <c r="K56" s="1942"/>
      <c r="L56" s="1942"/>
      <c r="M56" s="612"/>
      <c r="N56" s="1914"/>
      <c r="O56" s="1167" t="str">
        <f>BIBLE!E183</f>
        <v>E22</v>
      </c>
      <c r="P56" s="1168" t="str">
        <f>BIBLE!F183</f>
        <v>Votre enfant connait des informations personnelles ou intimes sur vous dont vous n'avez jamais discuté avec lui ou avec elle.</v>
      </c>
      <c r="Q56" s="1970">
        <f>Test_Bible!P304</f>
        <v>0</v>
      </c>
      <c r="R56" s="1966">
        <f>Test_Bible!D304</f>
        <v>2</v>
      </c>
      <c r="S56" s="1178" t="str">
        <f>BIBLE!V183</f>
        <v>Interférence lien affectif ou symbolique</v>
      </c>
      <c r="T56" s="1736"/>
      <c r="U56" s="612"/>
      <c r="V56" s="612"/>
      <c r="W56" s="1942"/>
      <c r="X56" s="1942"/>
      <c r="Y56" s="1929"/>
    </row>
    <row r="57" spans="1:25">
      <c r="A57" s="2014"/>
      <c r="C57" s="16"/>
      <c r="D57" s="25"/>
      <c r="E57" s="16"/>
      <c r="F57" s="16"/>
      <c r="G57" s="598"/>
      <c r="O57" s="494"/>
      <c r="P57" s="272"/>
      <c r="Q57" s="16"/>
      <c r="R57" s="16"/>
      <c r="S57" s="1136"/>
    </row>
    <row r="58" spans="1:25" ht="29" customHeight="1" thickBot="1">
      <c r="A58" s="2014"/>
      <c r="C58" s="16"/>
      <c r="D58" s="25"/>
      <c r="E58" s="16"/>
      <c r="F58" s="16"/>
      <c r="G58" s="598"/>
      <c r="O58" s="494"/>
      <c r="P58" s="272"/>
      <c r="Q58" s="16"/>
      <c r="R58" s="16"/>
      <c r="S58" s="1136"/>
      <c r="U58" s="494"/>
      <c r="V58" s="25"/>
      <c r="W58" s="16"/>
      <c r="X58" s="16"/>
      <c r="Y58" s="599"/>
    </row>
    <row r="59" spans="1:25" ht="46.5" customHeight="1">
      <c r="A59" s="2014">
        <v>19</v>
      </c>
      <c r="B59" s="617" t="s">
        <v>1734</v>
      </c>
      <c r="C59" s="607" t="str">
        <f>BIBLE!E142</f>
        <v>PFA32</v>
      </c>
      <c r="D59" s="1204" t="str">
        <f>BIBLE!F142</f>
        <v>L'autre parent fait lire vos échanges et communications (courriels, textos, etc.) à votre enfant.</v>
      </c>
      <c r="E59" s="1940">
        <f>Test_Bible!P246</f>
        <v>0</v>
      </c>
      <c r="F59" s="607">
        <f>Test_Bible!D246</f>
        <v>3</v>
      </c>
      <c r="G59" s="663" t="str">
        <f>BIBLE!V142</f>
        <v>Parentification</v>
      </c>
      <c r="H59" s="620"/>
      <c r="I59" s="620"/>
      <c r="J59" s="620"/>
      <c r="K59" s="1922"/>
      <c r="L59" s="1922"/>
      <c r="M59" s="620"/>
      <c r="N59" s="1913"/>
      <c r="O59" s="1130" t="str">
        <f>BIBLE!E187</f>
        <v>E24</v>
      </c>
      <c r="P59" s="1131" t="str">
        <f>BIBLE!F187</f>
        <v>L'autre parent a informé votre enfant du contexte juridique, financier ou autre associé au conflit vous opposant.</v>
      </c>
      <c r="Q59" s="1965">
        <f>Test_Bible!P308</f>
        <v>0</v>
      </c>
      <c r="R59" s="1964">
        <f>Test_Bible!D308</f>
        <v>2</v>
      </c>
      <c r="S59" s="1414" t="str">
        <f>BIBLE!V187</f>
        <v>Parentification</v>
      </c>
      <c r="T59" s="1913"/>
      <c r="U59" s="1160" t="str">
        <f>BIBLE!E70</f>
        <v>PCR15</v>
      </c>
      <c r="V59" s="1217" t="str">
        <f>BIBLE!F70</f>
        <v>Il est important que votre enfant soit au courant des enjeux de la séparation et/ou du conflit qui vous oppose à l'autre parent.</v>
      </c>
      <c r="W59" s="1977">
        <f>Test_Bible!P151</f>
        <v>0</v>
      </c>
      <c r="X59" s="1976">
        <f>Test_Bible!D151</f>
        <v>3</v>
      </c>
      <c r="Y59" s="664" t="str">
        <f>BIBLE!V70</f>
        <v>Parentification</v>
      </c>
    </row>
    <row r="60" spans="1:25" ht="58" customHeight="1" thickBot="1">
      <c r="A60" s="2014"/>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5" t="str">
        <f>BIBLE!V172</f>
        <v>Dénigrement</v>
      </c>
      <c r="U60" s="494"/>
      <c r="V60" s="25"/>
      <c r="W60" s="16"/>
      <c r="X60" s="16"/>
      <c r="Y60" s="1415"/>
    </row>
    <row r="61" spans="1:25" ht="55" customHeight="1" thickBot="1">
      <c r="A61" s="2014"/>
      <c r="B61" s="621"/>
      <c r="C61" s="609"/>
      <c r="D61" s="1205"/>
      <c r="E61" s="609"/>
      <c r="F61" s="609"/>
      <c r="G61" s="608"/>
      <c r="H61" s="294"/>
      <c r="I61" s="294"/>
      <c r="J61" s="294"/>
      <c r="K61" s="1941"/>
      <c r="L61" s="1941"/>
      <c r="M61" s="294"/>
      <c r="N61" s="1915"/>
      <c r="O61" s="1416" t="str">
        <f>BIBLE!E198</f>
        <v>E32</v>
      </c>
      <c r="P61" s="1162" t="str">
        <f>BIBLE!F198</f>
        <v>Votre enfant vous accuse de mentir, de voler, etc.</v>
      </c>
      <c r="Q61" s="1969">
        <f>Test_Bible!P325</f>
        <v>0</v>
      </c>
      <c r="R61" s="1411">
        <f>Test_Bible!D325</f>
        <v>2</v>
      </c>
      <c r="S61" s="1177" t="str">
        <f>BIBLE!V210</f>
        <v>Rôle actif de l'enfant</v>
      </c>
      <c r="T61" s="294"/>
      <c r="U61" s="630"/>
      <c r="V61" s="1205"/>
      <c r="W61" s="609"/>
      <c r="X61" s="609"/>
      <c r="Y61" s="631"/>
    </row>
    <row r="62" spans="1:25" ht="29" customHeight="1" thickBot="1">
      <c r="A62" s="2014"/>
      <c r="C62" s="16"/>
      <c r="D62" s="25"/>
      <c r="E62" s="16"/>
      <c r="F62" s="16"/>
      <c r="G62" s="598"/>
      <c r="O62" s="494"/>
      <c r="P62" s="272"/>
      <c r="Q62" s="16"/>
      <c r="R62" s="16"/>
      <c r="S62" s="598"/>
      <c r="U62" s="494"/>
      <c r="V62" s="25"/>
      <c r="W62" s="16"/>
      <c r="X62" s="16"/>
      <c r="Y62" s="598"/>
    </row>
    <row r="63" spans="1:25" ht="46.5" customHeight="1">
      <c r="A63" s="2014">
        <v>20</v>
      </c>
      <c r="B63" s="617" t="s">
        <v>1750</v>
      </c>
      <c r="C63" s="607" t="str">
        <f>BIBLE!E144</f>
        <v>PFA34</v>
      </c>
      <c r="D63" s="1204" t="str">
        <f>BIBLE!F144</f>
        <v>L’autre parent refuse de vous parler et demande à votre enfant de faire les messages et autres demandes entourant la logistique familiale.</v>
      </c>
      <c r="E63" s="1940">
        <f>Test_Bible!P248</f>
        <v>0</v>
      </c>
      <c r="F63" s="607">
        <f>Test_Bible!D248</f>
        <v>2</v>
      </c>
      <c r="G63" s="665" t="str">
        <f>BIBLE!V144</f>
        <v>Rôle actif de l'enfant</v>
      </c>
      <c r="H63" s="1913"/>
      <c r="I63" s="1647" t="str">
        <f>BIBLE!E229</f>
        <v>NC11</v>
      </c>
      <c r="J63" s="1648" t="str">
        <f>BIBLE!F229</f>
        <v xml:space="preserve">Le nouveau ou nouvelle conjoint·e est responsable de la logistique familiale (communications scolaires, rendez-vous médicaux, etc.). </v>
      </c>
      <c r="K63" s="1960">
        <f>Test_Bible!P421</f>
        <v>0</v>
      </c>
      <c r="L63" s="1647">
        <f>Test_Bible!D421</f>
        <v>2</v>
      </c>
      <c r="M63" s="632" t="str">
        <f>BIBLE!V229</f>
        <v>Interférence temps et/ou communication</v>
      </c>
      <c r="N63" s="1913"/>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5">
        <f>Test_Bible!P306</f>
        <v>0</v>
      </c>
      <c r="R63" s="1964">
        <f>Test_Bible!D306</f>
        <v>2</v>
      </c>
      <c r="S63" s="663" t="str">
        <f>BIBLE!V185</f>
        <v>Parentification</v>
      </c>
      <c r="T63" s="1913"/>
      <c r="U63" s="1160" t="str">
        <f>BIBLE!E68</f>
        <v>PCR13</v>
      </c>
      <c r="V63" s="1217" t="str">
        <f>BIBLE!F68</f>
        <v>Le contexte de coparentalité vous contraint à demander à votre enfant de faire les messages et demandes entourant la logistique familiale.</v>
      </c>
      <c r="W63" s="1977">
        <f>Test_Bible!P149</f>
        <v>0</v>
      </c>
      <c r="X63" s="1976">
        <f>Test_Bible!D149</f>
        <v>3</v>
      </c>
      <c r="Y63" s="666" t="str">
        <f>BIBLE!V68</f>
        <v>Parentification</v>
      </c>
    </row>
    <row r="64" spans="1:25" ht="52" customHeight="1">
      <c r="A64" s="2014"/>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1">
        <f>Test_Bible!P415</f>
        <v>0</v>
      </c>
      <c r="L64" s="1649">
        <f>Test_Bible!D415</f>
        <v>3</v>
      </c>
      <c r="M64" s="602" t="str">
        <f>BIBLE!V223</f>
        <v>Dénigrement</v>
      </c>
      <c r="O64" s="1383"/>
      <c r="P64" s="77"/>
      <c r="Q64" s="510"/>
      <c r="R64" s="510"/>
      <c r="S64" s="1385"/>
      <c r="U64" s="1386"/>
      <c r="V64" s="955"/>
      <c r="W64" s="330"/>
      <c r="X64" s="330"/>
      <c r="Y64" s="1391"/>
    </row>
    <row r="65" spans="1:26" ht="52" customHeight="1" thickBot="1">
      <c r="A65" s="2014"/>
      <c r="B65" s="621"/>
      <c r="C65" s="678"/>
      <c r="D65" s="1209"/>
      <c r="E65" s="678"/>
      <c r="F65" s="678"/>
      <c r="G65" s="679"/>
      <c r="H65" s="1915"/>
      <c r="I65" s="1650" t="str">
        <f>BIBLE!E222</f>
        <v>NC04a</v>
      </c>
      <c r="J65" s="1650" t="str">
        <f>BIBLE!F222</f>
        <v>Le nouveau ou nouvelle conjoint·e dénigre vos compétences parentales par texto, courriel ou autres?</v>
      </c>
      <c r="K65" s="1962">
        <f>Test_Bible!P414</f>
        <v>0</v>
      </c>
      <c r="L65" s="1650">
        <f>Test_Bible!D414</f>
        <v>3</v>
      </c>
      <c r="M65" s="642" t="str">
        <f>BIBLE!V222</f>
        <v>Dénigrement</v>
      </c>
      <c r="N65" s="294"/>
      <c r="O65" s="1161"/>
      <c r="P65" s="1162"/>
      <c r="Q65" s="1411"/>
      <c r="R65" s="1411"/>
      <c r="S65" s="640"/>
      <c r="T65" s="294"/>
      <c r="U65" s="1387"/>
      <c r="V65" s="1388"/>
      <c r="W65" s="1978"/>
      <c r="X65" s="1978"/>
      <c r="Y65" s="670"/>
    </row>
    <row r="66" spans="1:26" ht="19" customHeight="1" thickBot="1">
      <c r="A66" s="2014"/>
      <c r="O66" s="494"/>
      <c r="P66" s="272"/>
      <c r="Q66" s="16"/>
      <c r="R66" s="16"/>
      <c r="S66" s="1136"/>
    </row>
    <row r="67" spans="1:26" ht="59" customHeight="1">
      <c r="A67" s="2014">
        <v>21</v>
      </c>
      <c r="B67" s="617" t="s">
        <v>1751</v>
      </c>
      <c r="C67" s="607" t="str">
        <f>BIBLE!E145</f>
        <v>PFA35</v>
      </c>
      <c r="D67" s="1204" t="str">
        <f>BIBLE!F145</f>
        <v>L’autre parent laisse à votre enfant le droit de respecter ou non l'entente de garde et votre temps (tour) de garde.</v>
      </c>
      <c r="E67" s="1940">
        <f>Test_Bible!P249</f>
        <v>0</v>
      </c>
      <c r="F67" s="607">
        <f>Test_Bible!D249</f>
        <v>3</v>
      </c>
      <c r="G67" s="665" t="str">
        <f>BIBLE!V145</f>
        <v>Rôle actif de l'enfant</v>
      </c>
      <c r="H67" s="620"/>
      <c r="I67" s="620"/>
      <c r="J67" s="620"/>
      <c r="K67" s="1922"/>
      <c r="L67" s="1922"/>
      <c r="M67" s="620"/>
      <c r="N67" s="1913"/>
      <c r="O67" s="1171" t="str">
        <f>BIBLE!E200</f>
        <v>E33a</v>
      </c>
      <c r="P67" s="1170" t="str">
        <f>BIBLE!F200</f>
        <v>Votre enfant demande à changer les termes de la garde afin de passer plus de temps chez l’autre parent.</v>
      </c>
      <c r="Q67" s="1947">
        <f>Test_Bible!P327</f>
        <v>0</v>
      </c>
      <c r="R67" s="643">
        <f>Test_Bible!D327</f>
        <v>2</v>
      </c>
      <c r="S67" s="1155" t="str">
        <f>BIBLE!V200</f>
        <v>Rôle actif de l'enfant</v>
      </c>
      <c r="T67" s="1913"/>
      <c r="U67" s="1179" t="str">
        <f>BIBLE!E62</f>
        <v>PCR09</v>
      </c>
      <c r="V67" s="1217" t="str">
        <f>BIBLE!F62</f>
        <v>Vous laissez à votre enfant le droit de choisir la fréquence des visites et le temps qu'il passe chez l'autre parent.</v>
      </c>
      <c r="W67" s="1977">
        <f>Test_Bible!P136</f>
        <v>0</v>
      </c>
      <c r="X67" s="1976">
        <f>Test_Bible!D136</f>
        <v>3</v>
      </c>
      <c r="Y67" s="633" t="str">
        <f>BIBLE!V62</f>
        <v>Interférence temps et/ou communication</v>
      </c>
    </row>
    <row r="68" spans="1:26" ht="59" customHeight="1" thickBot="1">
      <c r="A68" s="2014"/>
      <c r="B68" s="621"/>
      <c r="C68" s="668"/>
      <c r="D68" s="1211"/>
      <c r="E68" s="668"/>
      <c r="F68" s="668"/>
      <c r="G68" s="608"/>
      <c r="H68" s="294"/>
      <c r="I68" s="294"/>
      <c r="J68" s="294"/>
      <c r="K68" s="1941"/>
      <c r="L68" s="1941"/>
      <c r="M68" s="294"/>
      <c r="N68" s="294"/>
      <c r="O68" s="294"/>
      <c r="P68" s="294"/>
      <c r="Q68" s="1941"/>
      <c r="R68" s="1941"/>
      <c r="S68" s="294"/>
      <c r="T68" s="294"/>
      <c r="U68" s="1180"/>
      <c r="V68" s="1205"/>
      <c r="W68" s="609"/>
      <c r="X68" s="609"/>
      <c r="Y68" s="631"/>
    </row>
    <row r="69" spans="1:26" ht="14" customHeight="1" thickBot="1">
      <c r="A69" s="2014"/>
      <c r="O69" s="494"/>
      <c r="P69" s="272"/>
      <c r="Q69" s="16"/>
      <c r="R69" s="16"/>
      <c r="S69" s="1136"/>
    </row>
    <row r="70" spans="1:26" ht="59" customHeight="1">
      <c r="A70" s="2014">
        <v>22</v>
      </c>
      <c r="B70" s="617" t="s">
        <v>1752</v>
      </c>
      <c r="C70" s="607" t="str">
        <f>BIBLE!E97</f>
        <v>PFA11</v>
      </c>
      <c r="D70" s="1204" t="str">
        <f>BIBLE!F97</f>
        <v xml:space="preserve">L'autre parent est d'avis que votre enfant est assez mature pour choisir où il doit vivre et avec quel parent.  </v>
      </c>
      <c r="E70" s="1940">
        <f>Test_Bible!P183</f>
        <v>0</v>
      </c>
      <c r="F70" s="607">
        <f>Test_Bible!D183</f>
        <v>3</v>
      </c>
      <c r="G70" s="1149" t="str">
        <f>BIBLE!V97</f>
        <v>Rôle actif de l'enfant</v>
      </c>
      <c r="H70" s="620"/>
      <c r="I70" s="1181"/>
      <c r="J70" s="620"/>
      <c r="K70" s="1922"/>
      <c r="L70" s="1922"/>
      <c r="M70" s="620"/>
      <c r="N70" s="1913"/>
      <c r="O70" s="1171" t="str">
        <f>BIBLE!E201</f>
        <v>E33b</v>
      </c>
      <c r="P70" s="1651" t="str">
        <f>BIBLE!F201</f>
        <v xml:space="preserve">Votre enfant vous informe qu’à 12 ou 14 ans, le droit de choisir les modalités de garde lui reviendrait. </v>
      </c>
      <c r="Q70" s="1972">
        <f>Test_Bible!P328</f>
        <v>0</v>
      </c>
      <c r="R70" s="1171">
        <f>Test_Bible!D328</f>
        <v>3</v>
      </c>
      <c r="S70" s="1155" t="str">
        <f>BIBLE!V197</f>
        <v>Rôle actif de l'enfant</v>
      </c>
      <c r="T70" s="1913"/>
      <c r="U70" s="1160" t="str">
        <f>BIBLE!E69</f>
        <v>PCR14</v>
      </c>
      <c r="V70" s="1217" t="str">
        <f>BIBLE!F69</f>
        <v>Un enfant de 12 ans est assez mature pour choisir où et avec qui il veut vivre.</v>
      </c>
      <c r="W70" s="1977">
        <f>Test_Bible!P150</f>
        <v>0</v>
      </c>
      <c r="X70" s="1976">
        <f>Test_Bible!D150</f>
        <v>3</v>
      </c>
      <c r="Y70" s="666" t="str">
        <f>BIBLE!V69</f>
        <v>Parentification</v>
      </c>
    </row>
    <row r="71" spans="1:26" ht="55" customHeight="1" thickBot="1">
      <c r="A71" s="2014"/>
      <c r="B71" s="621"/>
      <c r="C71" s="667" t="str">
        <f>BIBLE!E131</f>
        <v>PFA39</v>
      </c>
      <c r="D71" s="1212" t="str">
        <f>BIBLE!F131</f>
        <v xml:space="preserve">Dans quelle mesure est-ce que l'autre parent se dit impuissant et non responsable de la décision de votre enfant de ne plus respecter l'entente de garde ? </v>
      </c>
      <c r="E71" s="1948">
        <f>Test_Bible!P220</f>
        <v>0</v>
      </c>
      <c r="F71" s="667">
        <f>Test_Bible!D220</f>
        <v>3</v>
      </c>
      <c r="G71" s="1182" t="str">
        <f>BIBLE!V131</f>
        <v>Interférence lien affectif ou symbolique</v>
      </c>
      <c r="H71" s="294"/>
      <c r="I71" s="294"/>
      <c r="J71" s="294"/>
      <c r="K71" s="1941"/>
      <c r="L71" s="1941"/>
      <c r="M71" s="294"/>
      <c r="N71" s="294"/>
      <c r="O71" s="630"/>
      <c r="P71" s="1133"/>
      <c r="Q71" s="609"/>
      <c r="R71" s="609"/>
      <c r="S71" s="1156"/>
      <c r="T71" s="294"/>
      <c r="U71" s="294"/>
      <c r="V71" s="294"/>
      <c r="W71" s="1941"/>
      <c r="X71" s="1941"/>
      <c r="Y71" s="295"/>
    </row>
    <row r="72" spans="1:26" ht="18" customHeight="1" thickBot="1">
      <c r="A72" s="2014"/>
      <c r="C72" s="16"/>
      <c r="D72" s="25"/>
      <c r="E72" s="16"/>
      <c r="F72" s="16"/>
      <c r="G72" s="598"/>
      <c r="O72" s="494"/>
      <c r="P72" s="272"/>
      <c r="Q72" s="16"/>
      <c r="R72" s="16"/>
      <c r="S72" s="1136"/>
      <c r="U72" s="494"/>
      <c r="V72" s="25"/>
      <c r="W72" s="16"/>
      <c r="X72" s="16"/>
      <c r="Y72" s="598"/>
    </row>
    <row r="73" spans="1:26" ht="47" customHeight="1" thickBot="1">
      <c r="A73" s="2014">
        <v>23</v>
      </c>
      <c r="B73" s="623" t="s">
        <v>1753</v>
      </c>
      <c r="C73" s="625" t="str">
        <f>BIBLE!E98</f>
        <v>PFA11a</v>
      </c>
      <c r="D73" s="1208" t="str">
        <f>BIBLE!F98</f>
        <v>Est-ce que l'autre parent vous demande de respecter les désirs et les choix de votre enfant ?</v>
      </c>
      <c r="E73" s="1885">
        <f>Test_Bible!P184</f>
        <v>0</v>
      </c>
      <c r="F73" s="625">
        <f>Test_Bible!D184</f>
        <v>3</v>
      </c>
      <c r="G73" s="636" t="str">
        <f>BIBLE!V98</f>
        <v>Rôle actif de l'enfant</v>
      </c>
      <c r="H73" s="1914"/>
      <c r="I73" s="1144" t="str">
        <f>BIBLE!E234</f>
        <v>NC16</v>
      </c>
      <c r="J73" s="1145" t="str">
        <f>BIBLE!F234</f>
        <v>Est-ce que le nouveau ou nouvelle conjoint·e vous demande de respecter les désirs et choix de votre enfant ?</v>
      </c>
      <c r="K73" s="1952">
        <f>Test_Bible!P426</f>
        <v>0</v>
      </c>
      <c r="L73" s="1951">
        <f>Test_Bible!D426</f>
        <v>3</v>
      </c>
      <c r="M73" s="636" t="str">
        <f>BIBLE!V234</f>
        <v>Rôle actif de l'enfant</v>
      </c>
      <c r="N73" s="1914"/>
      <c r="O73" s="1176" t="str">
        <f>BIBLE!E199</f>
        <v>E33</v>
      </c>
      <c r="P73" s="1652" t="str">
        <f>BIBLE!F199</f>
        <v>Votre enfant vous reproche de lui manquer de respect en ne respectant pas ses choix, besoins, désirs, rythme, etc.</v>
      </c>
      <c r="Q73" s="1971">
        <f>Test_Bible!P326</f>
        <v>0</v>
      </c>
      <c r="R73" s="1176">
        <f>Test_Bible!D326</f>
        <v>3</v>
      </c>
      <c r="S73" s="1177" t="str">
        <f>BIBLE!V199</f>
        <v>Rôle actif de l'enfant</v>
      </c>
      <c r="U73" s="2080"/>
      <c r="V73" s="641"/>
      <c r="W73" s="613"/>
      <c r="X73" s="613"/>
      <c r="Y73" s="2081"/>
    </row>
    <row r="74" spans="1:26" ht="16" customHeight="1" thickBot="1">
      <c r="A74" s="2014"/>
      <c r="C74" s="16"/>
      <c r="D74" s="25"/>
      <c r="E74" s="16"/>
      <c r="F74" s="16"/>
      <c r="G74" s="598"/>
      <c r="I74" s="16"/>
      <c r="J74" s="272"/>
      <c r="K74" s="16"/>
      <c r="L74" s="16"/>
      <c r="M74" s="598"/>
      <c r="O74" s="494"/>
      <c r="P74" s="272"/>
      <c r="Q74" s="16"/>
      <c r="R74" s="16"/>
      <c r="S74" s="1136"/>
      <c r="U74" s="494"/>
      <c r="V74" s="25"/>
      <c r="W74" s="16"/>
      <c r="X74" s="16"/>
      <c r="Y74" s="598"/>
    </row>
    <row r="75" spans="1:26" ht="39" customHeight="1">
      <c r="A75" s="2014">
        <v>24</v>
      </c>
      <c r="B75" s="617" t="s">
        <v>1754</v>
      </c>
      <c r="C75" s="607" t="str">
        <f>BIBLE!E146</f>
        <v>PFA36</v>
      </c>
      <c r="D75" s="1204" t="str">
        <f>BIBLE!F146</f>
        <v>L’autre parent demande à votre enfant de choisir avec quel parent il veut vivre.</v>
      </c>
      <c r="E75" s="1940">
        <f>Test_Bible!P250</f>
        <v>0</v>
      </c>
      <c r="F75" s="607">
        <f>Test_Bible!D250</f>
        <v>3</v>
      </c>
      <c r="G75" s="665" t="str">
        <f>BIBLE!V146</f>
        <v>Chantage affectif, manipulation</v>
      </c>
      <c r="H75" s="620"/>
      <c r="I75" s="639"/>
      <c r="J75" s="1146"/>
      <c r="K75" s="605"/>
      <c r="L75" s="605"/>
      <c r="M75" s="639"/>
      <c r="N75" s="1913"/>
      <c r="O75" s="1389" t="str">
        <f>BIBLE!E197</f>
        <v>E30</v>
      </c>
      <c r="P75" s="1131" t="str">
        <f>BIBLE!F197</f>
        <v>Votre enfant réclame le droit de choisir les moments où il vous rend visite et la durée des visites chez vous.</v>
      </c>
      <c r="Q75" s="1965">
        <f>Test_Bible!P324</f>
        <v>0</v>
      </c>
      <c r="R75" s="1964">
        <f>Test_Bible!D324</f>
        <v>3</v>
      </c>
      <c r="S75" s="1390" t="str">
        <f>BIBLE!V201</f>
        <v>Rôle actif de l'enfant</v>
      </c>
      <c r="U75" s="2082"/>
      <c r="V75" s="680"/>
      <c r="W75" s="605"/>
      <c r="X75" s="605"/>
      <c r="Y75" s="2083"/>
      <c r="Z75" s="802" t="s">
        <v>2557</v>
      </c>
    </row>
    <row r="76" spans="1:26" ht="57" customHeight="1" thickBot="1">
      <c r="A76" s="2014"/>
      <c r="B76" s="621"/>
      <c r="C76" s="676" t="str">
        <f>BIBLE!E135</f>
        <v>PFA30</v>
      </c>
      <c r="D76" s="1213" t="str">
        <f>BIBLE!F135</f>
        <v>L’autre parent incite, consciemment ou inconsciemment, votre enfant à choisir entre ses deux parents.</v>
      </c>
      <c r="E76" s="1949">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4"/>
      <c r="V76" s="1205"/>
      <c r="W76" s="609"/>
      <c r="X76" s="609"/>
      <c r="Y76" s="682"/>
      <c r="Z76" s="802"/>
    </row>
    <row r="77" spans="1:26" ht="28" customHeight="1" thickBot="1">
      <c r="A77" s="2014"/>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4">
        <v>25</v>
      </c>
      <c r="B78" s="1982" t="s">
        <v>1732</v>
      </c>
      <c r="C78" s="607" t="str">
        <f>BIBLE!E129</f>
        <v>PFA28</v>
      </c>
      <c r="D78" s="1204" t="str">
        <f>BIBLE!F129</f>
        <v xml:space="preserve">L’autre parent permet à votre enfant d'apporter des objets (jouets ou cadeaux reçus) provenant de chez vous. </v>
      </c>
      <c r="E78" s="1940">
        <f>Test_Bible!P218</f>
        <v>0</v>
      </c>
      <c r="F78" s="607">
        <f>Test_Bible!D218</f>
        <v>2</v>
      </c>
      <c r="G78" s="674" t="str">
        <f>BIBLE!V129</f>
        <v>Interférence lien affectif ou symbolique</v>
      </c>
      <c r="H78" s="620"/>
      <c r="I78" s="620"/>
      <c r="J78" s="620"/>
      <c r="K78" s="1922"/>
      <c r="L78" s="1922"/>
      <c r="M78" s="620"/>
      <c r="N78" s="1913"/>
      <c r="O78" s="1916" t="str">
        <f>BIBLE!E182</f>
        <v>E21a</v>
      </c>
      <c r="P78" s="1170" t="str">
        <f>BIBLE!F182</f>
        <v xml:space="preserve">Dans quelle mesure diriez-vous que l'autre parent accepte que votre enfant apporte des objets qui proviennent de votre demeure ou de votre milieu ? </v>
      </c>
      <c r="Q78" s="1947">
        <f>Test_Bible!P303</f>
        <v>0</v>
      </c>
      <c r="R78" s="643">
        <f>Test_Bible!D303</f>
        <v>2</v>
      </c>
      <c r="S78" s="1183" t="str">
        <f>BIBLE!V182</f>
        <v>Interférence lien affectif ou symbolique</v>
      </c>
      <c r="T78" s="1913"/>
      <c r="U78" s="1179" t="str">
        <f>BIBLE!E65</f>
        <v>PCR11</v>
      </c>
      <c r="V78" s="1217" t="str">
        <f>BIBLE!F65</f>
        <v>Vous acceptez que les vêtements et/ou jouets de votre enfant se promènent d’une maison à l’autre.</v>
      </c>
      <c r="W78" s="1977">
        <f>Test_Bible!P139</f>
        <v>0</v>
      </c>
      <c r="X78" s="1976">
        <f>Test_Bible!D139</f>
        <v>2</v>
      </c>
      <c r="Y78" s="661" t="str">
        <f>BIBLE!V65</f>
        <v>Interférence lien affectif ou symbolique</v>
      </c>
    </row>
    <row r="79" spans="1:26" ht="68" customHeight="1" thickBot="1">
      <c r="A79" s="2014"/>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4"/>
      <c r="R79" s="1944"/>
      <c r="S79" s="608"/>
      <c r="T79" s="608"/>
      <c r="U79" s="630"/>
      <c r="V79" s="1133"/>
      <c r="W79" s="609"/>
      <c r="X79" s="609"/>
      <c r="Y79" s="682"/>
    </row>
    <row r="80" spans="1:26" ht="25" customHeight="1" thickBot="1">
      <c r="A80" s="2014"/>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4">
        <v>26</v>
      </c>
      <c r="B81" s="617" t="s">
        <v>1755</v>
      </c>
      <c r="C81" s="607" t="str">
        <f>BIBLE!E139</f>
        <v>PFA31</v>
      </c>
      <c r="D81" s="618" t="str">
        <f>BIBLE!F139</f>
        <v xml:space="preserve">Dans quelle mesure diriez-vous que l'autre parent accepte ou vit bien avec la séparation (de couple ou familiale) ? </v>
      </c>
      <c r="E81" s="1940">
        <f>Test_Bible!P243</f>
        <v>0</v>
      </c>
      <c r="F81" s="607">
        <f>Test_Bible!D244</f>
        <v>2</v>
      </c>
      <c r="G81" s="663" t="str">
        <f>BIBLE!V139</f>
        <v>Parentification</v>
      </c>
      <c r="H81" s="1913"/>
      <c r="I81" s="1158" t="str">
        <f>BIBLE!E217</f>
        <v>NC01</v>
      </c>
      <c r="J81" s="1158" t="str">
        <f>BIBLE!F217</f>
        <v>Le nouveau ou nouvelle conjoint·e joue un rôle de confident·e auprès de votre enfant.</v>
      </c>
      <c r="K81" s="1957">
        <f>Test_Bible!P404</f>
        <v>0</v>
      </c>
      <c r="L81" s="1158">
        <f>Test_Bible!D404</f>
        <v>0</v>
      </c>
      <c r="M81" s="619" t="str">
        <f>BIBLE!V217</f>
        <v>A:Alliance</v>
      </c>
      <c r="N81" s="1913"/>
      <c r="O81" s="1376" t="str">
        <f>BIBLE!E165</f>
        <v>E09</v>
      </c>
      <c r="P81" s="1131" t="str">
        <f>BIBLE!F165</f>
        <v xml:space="preserve">Dans quelle mesure diriez-vous que votre enfant vous tient responsable de la peine ou de la frustration de son autre parent ? </v>
      </c>
      <c r="Q81" s="1965">
        <f>Test_Bible!P282</f>
        <v>0</v>
      </c>
      <c r="R81" s="1964">
        <f>Test_Bible!D282</f>
        <v>1</v>
      </c>
      <c r="S81" s="1377" t="str">
        <f>BIBLE!V165</f>
        <v>Chantage affectif, manipulation</v>
      </c>
      <c r="T81" s="1913"/>
      <c r="U81" s="669" t="str">
        <f>BIBLE!E72</f>
        <v>PCR16</v>
      </c>
      <c r="V81" s="1936" t="str">
        <f>BIBLE!F72</f>
        <v xml:space="preserve">Dans quelle mesure acceptez-vous ou êtes-vous serein·e avec la séparation (couple et famille) ? </v>
      </c>
      <c r="W81" s="1980">
        <f>Test_Bible!P154</f>
        <v>0</v>
      </c>
      <c r="X81" s="669">
        <f>Test_Bible!D154</f>
        <v>0</v>
      </c>
      <c r="Y81" s="664" t="str">
        <f>BIBLE!V72</f>
        <v>Parentification</v>
      </c>
    </row>
    <row r="82" spans="1:25" ht="73" customHeight="1">
      <c r="A82" s="2014"/>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3">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3">
        <f>Test_Bible!P307</f>
        <v>0</v>
      </c>
      <c r="R82" s="1967">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c r="A83" s="2014"/>
      <c r="B83" s="293"/>
      <c r="C83" s="294"/>
      <c r="D83" s="294"/>
      <c r="E83" s="1941"/>
      <c r="F83" s="1941"/>
      <c r="G83" s="294"/>
      <c r="H83" s="294"/>
      <c r="I83" s="294"/>
      <c r="J83" s="294"/>
      <c r="K83" s="1941"/>
      <c r="L83" s="1941"/>
      <c r="M83" s="294"/>
      <c r="N83" s="1915"/>
      <c r="O83" s="1413" t="str">
        <f>BIBLE!E188</f>
        <v>E25</v>
      </c>
      <c r="P83" s="1162" t="str">
        <f>BIBLE!F188</f>
        <v>Dans quelle mesure diriez-vous que votre enfant sent le besoin de protéger l’autre parent ou de défendre ses intérêts ?</v>
      </c>
      <c r="Q83" s="1969">
        <f>Test_Bible!P309</f>
        <v>0</v>
      </c>
      <c r="R83" s="1411">
        <f>Test_Bible!D309</f>
        <v>2</v>
      </c>
      <c r="S83" s="640" t="str">
        <f>BIBLE!V188</f>
        <v>Parentification</v>
      </c>
      <c r="T83" s="294"/>
      <c r="U83" s="294"/>
      <c r="V83" s="1133"/>
      <c r="W83" s="609"/>
      <c r="X83" s="609"/>
      <c r="Y83" s="682"/>
    </row>
    <row r="84" spans="1:25" ht="82" customHeight="1" thickBot="1">
      <c r="B84" s="740" t="s">
        <v>2558</v>
      </c>
      <c r="V84" s="272"/>
      <c r="W84" s="16"/>
      <c r="X84" s="16"/>
      <c r="Y84" s="598"/>
    </row>
    <row r="85" spans="1:25" ht="64" customHeight="1" thickBot="1">
      <c r="A85" s="2017">
        <v>27</v>
      </c>
      <c r="B85" s="623" t="s">
        <v>2559</v>
      </c>
      <c r="C85" s="606" t="str">
        <f>BIBLE!E99</f>
        <v>PFA12</v>
      </c>
      <c r="D85" s="610" t="str">
        <f>BIBLE!F99</f>
        <v>L'autre parent questionne votre enfant à son retour de garde afin de connaître la routine (repas, dodo, activités, etc.) chez vous.</v>
      </c>
      <c r="E85" s="1882">
        <f>Test_Bible!P185</f>
        <v>0</v>
      </c>
      <c r="F85" s="606">
        <f>Test_Bible!D185</f>
        <v>1</v>
      </c>
      <c r="G85" s="1873" t="str">
        <f>BIBLE!V99</f>
        <v>Chantage affectif, manipulation</v>
      </c>
      <c r="H85" s="612"/>
      <c r="I85" s="612"/>
      <c r="J85" s="612"/>
      <c r="K85" s="1942"/>
      <c r="L85" s="1942"/>
      <c r="M85" s="612"/>
      <c r="N85" s="612"/>
      <c r="O85" s="612"/>
      <c r="P85" s="612"/>
      <c r="Q85" s="1942"/>
      <c r="R85" s="1942"/>
      <c r="S85" s="612"/>
      <c r="T85" s="612"/>
      <c r="U85" s="1917" t="str">
        <f>BIBLE!E57</f>
        <v>PCR04</v>
      </c>
      <c r="V85" s="1917" t="str">
        <f>BIBLE!F57</f>
        <v>Vous questionnez votre enfant à son retour de garde afin de connaître la routine (repas, dodo, activités, etc.) chez l'autre parent.</v>
      </c>
      <c r="W85" s="1887">
        <f>Test_Bible!P125</f>
        <v>0</v>
      </c>
      <c r="X85" s="1861">
        <f>Test_Bible!D125</f>
        <v>1</v>
      </c>
      <c r="Y85" s="1865" t="str">
        <f>BIBLE!V57</f>
        <v>Chantage affectif, manipulation</v>
      </c>
    </row>
    <row r="86" spans="1:25" ht="12" customHeight="1" thickBot="1">
      <c r="A86" s="2017"/>
      <c r="D86" s="291"/>
      <c r="G86" s="751"/>
      <c r="V86" s="272"/>
      <c r="W86" s="16"/>
      <c r="X86" s="16"/>
      <c r="Y86" s="598"/>
    </row>
    <row r="87" spans="1:25" ht="96" customHeight="1" thickBot="1">
      <c r="A87" s="2017">
        <v>28</v>
      </c>
      <c r="B87" s="623" t="s">
        <v>2560</v>
      </c>
      <c r="C87" s="606" t="str">
        <f>BIBLE!E121</f>
        <v>PFA22</v>
      </c>
      <c r="D87" s="610" t="str">
        <f>BIBLE!F121</f>
        <v>Dans quelle mesure diriez-vous que l'autre parent accepte ou vit bien avec les exigences de la coparentalité (logistique horaire, transport, vacances, etc.) ?</v>
      </c>
      <c r="E87" s="1882">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0"/>
      <c r="T87" s="1914"/>
      <c r="U87" s="1917" t="str">
        <f>BIBLE!E64</f>
        <v>PCR10</v>
      </c>
      <c r="V87" s="1917" t="str">
        <f>BIBLE!F64</f>
        <v>Dans quelle mesure acceptez-vous ou êtes-vous serein·e face aux exigences de la coparentalité (logistique horaire, transport, vacances, etc.) ?</v>
      </c>
      <c r="W87" s="1887">
        <f>Test_Bible!P138</f>
        <v>0</v>
      </c>
      <c r="X87" s="1861">
        <f>Test_Bible!D138</f>
        <v>1</v>
      </c>
      <c r="Y87" s="662" t="str">
        <f>BIBLE!V64</f>
        <v>Interférence lien affectif ou symbolique</v>
      </c>
    </row>
    <row r="88" spans="1:25" ht="13" customHeight="1" thickBot="1">
      <c r="A88" s="2017"/>
      <c r="D88" s="291"/>
      <c r="V88" s="272"/>
      <c r="W88" s="16"/>
      <c r="X88" s="16"/>
      <c r="Y88" s="598"/>
    </row>
    <row r="89" spans="1:25" ht="66" customHeight="1" thickBot="1">
      <c r="A89" s="2017">
        <v>29</v>
      </c>
      <c r="B89" s="623" t="s">
        <v>2561</v>
      </c>
      <c r="C89" s="606" t="str">
        <f>BIBLE!E119</f>
        <v>PFA21</v>
      </c>
      <c r="D89" s="610" t="str">
        <f>BIBLE!F119</f>
        <v xml:space="preserve">Dans quelle mesure diriez-vous que l'autre parent vous considère comme étant son égal·e sur le plan parental ? </v>
      </c>
      <c r="E89" s="1882">
        <f>Test_Bible!P205</f>
        <v>0</v>
      </c>
      <c r="F89" s="606">
        <f>Test_Bible!D205</f>
        <v>1</v>
      </c>
      <c r="G89" s="1874" t="str">
        <f>BIBLE!V119</f>
        <v>Interférence lien affectif ou symbolique</v>
      </c>
      <c r="H89" s="611"/>
      <c r="I89" s="612"/>
      <c r="J89" s="612"/>
      <c r="K89" s="1942"/>
      <c r="L89" s="1942"/>
      <c r="M89" s="612"/>
      <c r="N89" s="612"/>
      <c r="O89" s="612"/>
      <c r="P89" s="612"/>
      <c r="Q89" s="1942"/>
      <c r="R89" s="1942"/>
      <c r="S89" s="612"/>
      <c r="T89" s="612"/>
      <c r="U89" s="1917" t="str">
        <f>BIBLE!E63</f>
        <v>PCR19</v>
      </c>
      <c r="V89" s="1917" t="str">
        <f>BIBLE!F63</f>
        <v>Dans quelle mesure considérez-vous l'autre parent comme étant votre égal·e sur le plan parental ?</v>
      </c>
      <c r="W89" s="1887">
        <f>Test_Bible!P137</f>
        <v>0</v>
      </c>
      <c r="X89" s="1861">
        <f>Test_Bible!D137</f>
        <v>1</v>
      </c>
      <c r="Y89" s="1864" t="str">
        <f>BIBLE!V63</f>
        <v>Interférence lien affectif ou symbolique</v>
      </c>
    </row>
    <row r="90" spans="1:25" ht="12" customHeight="1" thickBot="1">
      <c r="A90" s="2017"/>
      <c r="D90" s="291"/>
      <c r="G90" s="751"/>
      <c r="V90" s="1900"/>
      <c r="Y90" s="751"/>
    </row>
    <row r="91" spans="1:25" ht="63" customHeight="1" thickBot="1">
      <c r="A91" s="2017">
        <v>30</v>
      </c>
      <c r="B91" s="1303" t="s">
        <v>2562</v>
      </c>
      <c r="C91" s="606" t="str">
        <f>BIBLE!E132</f>
        <v>PFA29</v>
      </c>
      <c r="D91" s="606" t="str">
        <f>BIBLE!F132</f>
        <v>L'autre parent prend des décisions sans vous consulter.</v>
      </c>
      <c r="E91" s="1882">
        <f>Test_Bible!P221</f>
        <v>0</v>
      </c>
      <c r="F91" s="606">
        <f>Test_Bible!D221</f>
        <v>2</v>
      </c>
      <c r="G91" s="606" t="str">
        <f>BIBLE!V132</f>
        <v>Interférence lien affectif ou symbolique</v>
      </c>
      <c r="H91" s="1860"/>
      <c r="I91" s="612"/>
      <c r="J91" s="612"/>
      <c r="K91" s="1942"/>
      <c r="L91" s="1942"/>
      <c r="M91" s="612"/>
      <c r="N91" s="612"/>
      <c r="O91" s="612"/>
      <c r="P91" s="612"/>
      <c r="Q91" s="1942"/>
      <c r="R91" s="1942"/>
      <c r="S91" s="612"/>
      <c r="T91" s="612"/>
      <c r="U91" s="1175" t="str">
        <f>BIBLE!E66</f>
        <v>PCR12</v>
      </c>
      <c r="V91" s="1219" t="str">
        <f>BIBLE!F66</f>
        <v>Il vous arrive de prendre des décisions sans consulter l'autre parent.</v>
      </c>
      <c r="W91" s="1888">
        <f>Test_Bible!P140</f>
        <v>0</v>
      </c>
      <c r="X91" s="1653">
        <f>Test_Bible!D140</f>
        <v>2</v>
      </c>
      <c r="Y91" s="1985" t="str">
        <f>BIBLE!V66</f>
        <v>Interférence lien affectif ou symbolique</v>
      </c>
    </row>
    <row r="92" spans="1:25" ht="12" customHeight="1" thickBot="1">
      <c r="A92" s="2017"/>
      <c r="D92" s="291"/>
      <c r="G92" s="751"/>
      <c r="U92" s="1169"/>
      <c r="V92" s="1218"/>
      <c r="W92" s="1169"/>
      <c r="X92" s="1169"/>
      <c r="Y92" s="701"/>
    </row>
    <row r="93" spans="1:25" ht="63" customHeight="1" thickBot="1">
      <c r="A93" s="2017">
        <v>31</v>
      </c>
      <c r="B93" s="1303" t="s">
        <v>2563</v>
      </c>
      <c r="C93" s="606" t="str">
        <f>BIBLE!E80</f>
        <v>PFA00</v>
      </c>
      <c r="D93" s="610" t="str">
        <f>BIBLE!F80</f>
        <v>L'autre parent (coparent) accepte de faire des compromis afin d'assurer une bonne entente de garde.</v>
      </c>
      <c r="E93" s="1882">
        <f>Test_Bible!P163</f>
        <v>0</v>
      </c>
      <c r="F93" s="606">
        <f>Test_Bible!D163</f>
        <v>1</v>
      </c>
      <c r="G93" s="1875" t="str">
        <f>BIBLE!V80</f>
        <v>Chantage affectif, manipulation</v>
      </c>
      <c r="H93" s="1860"/>
      <c r="I93" s="612"/>
      <c r="J93" s="612"/>
      <c r="K93" s="1942"/>
      <c r="L93" s="1942"/>
      <c r="M93" s="612"/>
      <c r="N93" s="612"/>
      <c r="O93" s="612"/>
      <c r="P93" s="612"/>
      <c r="Q93" s="1942"/>
      <c r="R93" s="1942"/>
      <c r="S93" s="612"/>
      <c r="T93" s="612"/>
      <c r="U93" s="1917" t="str">
        <f>BIBLE!E55</f>
        <v>PCR02</v>
      </c>
      <c r="V93" s="1917" t="str">
        <f>BIBLE!F55</f>
        <v>Vous devez faire des compromis afin d'assurer une bonne entente de garde.</v>
      </c>
      <c r="W93" s="1887">
        <f>Test_Bible!P123</f>
        <v>0</v>
      </c>
      <c r="X93" s="1861">
        <f>Test_Bible!D123</f>
        <v>1</v>
      </c>
      <c r="Y93" s="1863" t="str">
        <f>BIBLE!V55</f>
        <v>Chantage affectif, manipulation</v>
      </c>
    </row>
    <row r="94" spans="1:25" ht="17" customHeight="1" thickBot="1">
      <c r="A94" s="2017"/>
      <c r="B94" s="1305"/>
      <c r="C94" s="1412"/>
      <c r="D94" s="1655"/>
      <c r="E94" s="1884"/>
      <c r="F94" s="1884"/>
      <c r="G94" s="1867"/>
      <c r="V94" s="1900"/>
      <c r="Y94" s="751"/>
    </row>
    <row r="95" spans="1:25" ht="71" customHeight="1" thickBot="1">
      <c r="A95" s="2017">
        <v>32</v>
      </c>
      <c r="B95" s="1303" t="s">
        <v>2564</v>
      </c>
      <c r="C95" s="625" t="str">
        <f>BIBLE!E31</f>
        <v>B11a1</v>
      </c>
      <c r="D95" s="1139" t="str">
        <f>BIBLE!F31</f>
        <v>Est-ce que l'autre parent (coparent) respecte les ordonnances ou les jugements de la Cour ?</v>
      </c>
      <c r="E95" s="1885">
        <f>Test_Bible!P56</f>
        <v>0</v>
      </c>
      <c r="F95" s="625">
        <f>Test_Bible!D56</f>
        <v>2</v>
      </c>
      <c r="G95" s="1876" t="str">
        <f>BIBLE!V31</f>
        <v>Interférence temps et/ou communication</v>
      </c>
      <c r="H95" s="1304"/>
      <c r="I95" s="612"/>
      <c r="J95" s="612"/>
      <c r="K95" s="1942"/>
      <c r="L95" s="1942"/>
      <c r="M95" s="612"/>
      <c r="N95" s="612"/>
      <c r="O95" s="612"/>
      <c r="P95" s="612"/>
      <c r="Q95" s="1942"/>
      <c r="R95" s="1942"/>
      <c r="S95" s="612"/>
      <c r="T95" s="612"/>
      <c r="U95" s="1917" t="str">
        <f>BIBLE!E32</f>
        <v>B11b</v>
      </c>
      <c r="V95" s="1917" t="str">
        <f>BIBLE!F32</f>
        <v>De votre côté-vous, respectez-vous les ordonnances et l'entente de garde ?</v>
      </c>
      <c r="W95" s="1887">
        <f>Test_Bible!P57</f>
        <v>0</v>
      </c>
      <c r="X95" s="1861">
        <f>Test_Bible!D57</f>
        <v>2</v>
      </c>
      <c r="Y95" s="1866" t="str">
        <f>BIBLE!V32</f>
        <v>Interférence temps et/ou communication</v>
      </c>
    </row>
    <row r="96" spans="1:25" ht="12" customHeight="1">
      <c r="B96" s="1305"/>
      <c r="C96" s="1412"/>
      <c r="D96" s="1655"/>
      <c r="E96" s="1884"/>
      <c r="F96" s="1884"/>
      <c r="G96" s="1867"/>
      <c r="H96" s="1306"/>
      <c r="U96" s="1412"/>
      <c r="V96" s="1655"/>
      <c r="W96" s="1884"/>
      <c r="X96" s="1884"/>
      <c r="Y96" s="1867"/>
    </row>
    <row r="97" spans="1:29" ht="94" customHeight="1" thickBot="1">
      <c r="B97" s="740" t="s">
        <v>2565</v>
      </c>
    </row>
    <row r="98" spans="1:29" ht="66" customHeight="1" thickBot="1">
      <c r="A98" s="2017">
        <v>33</v>
      </c>
      <c r="B98" s="623" t="s">
        <v>2566</v>
      </c>
      <c r="C98" s="606" t="str">
        <f>BIBLE!E120</f>
        <v>PFA40</v>
      </c>
      <c r="D98" s="610" t="str">
        <f>BIBLE!F120</f>
        <v>L'autre parent sent qu’il est en compétition avec vous pour l’amour de votre enfant.</v>
      </c>
      <c r="E98" s="1882">
        <f>Test_Bible!P206</f>
        <v>0</v>
      </c>
      <c r="F98" s="606">
        <f>Test_Bible!D206</f>
        <v>2</v>
      </c>
      <c r="G98" s="634" t="str">
        <f>BIBLE!V120</f>
        <v>Interférence lien affectif ou symbolique</v>
      </c>
      <c r="H98" s="1141"/>
      <c r="I98" s="1920"/>
      <c r="J98" s="612"/>
      <c r="K98" s="1942"/>
      <c r="L98" s="1942"/>
      <c r="M98" s="612"/>
      <c r="N98" s="612"/>
      <c r="O98" s="612"/>
      <c r="P98" s="612"/>
      <c r="Q98" s="1942"/>
      <c r="R98" s="1942"/>
      <c r="S98" s="612"/>
      <c r="T98" s="612"/>
      <c r="U98" s="612"/>
      <c r="V98" s="612"/>
      <c r="W98" s="1942"/>
      <c r="X98" s="1942"/>
      <c r="Y98" s="1929"/>
    </row>
    <row r="99" spans="1:29" ht="29" customHeight="1" thickBot="1">
      <c r="A99" s="2017"/>
      <c r="C99" s="16"/>
      <c r="D99" s="25"/>
      <c r="F99" s="462"/>
      <c r="G99" s="494"/>
      <c r="H99" s="272"/>
      <c r="I99" s="1136"/>
    </row>
    <row r="100" spans="1:29" ht="83" customHeight="1" thickBot="1">
      <c r="A100" s="2017">
        <v>34</v>
      </c>
      <c r="B100" s="623" t="s">
        <v>1756</v>
      </c>
      <c r="C100" s="613"/>
      <c r="D100" s="641"/>
      <c r="E100" s="1942"/>
      <c r="F100" s="1945"/>
      <c r="G100" s="612"/>
      <c r="H100" s="612"/>
      <c r="I100" s="612"/>
      <c r="J100" s="612"/>
      <c r="K100" s="1942"/>
      <c r="L100" s="1942"/>
      <c r="M100" s="612"/>
      <c r="N100" s="612"/>
      <c r="O100" s="1176" t="str">
        <f>BIBLE!E166</f>
        <v>E10</v>
      </c>
      <c r="P100" s="1652" t="str">
        <f>BIBLE!F166</f>
        <v>Votre enfant cherche à vous convaincre des qualités de l’autre parent.</v>
      </c>
      <c r="Q100" s="1971">
        <f>Test_Bible!P283</f>
        <v>0</v>
      </c>
      <c r="R100" s="1176">
        <f>Test_Bible!D283</f>
        <v>2</v>
      </c>
      <c r="S100" s="2011" t="str">
        <f>BIBLE!V166</f>
        <v>Chantage affectif, manipulation</v>
      </c>
      <c r="T100" s="612"/>
      <c r="U100" s="612"/>
      <c r="V100" s="612"/>
      <c r="W100" s="1942"/>
      <c r="X100" s="1942"/>
      <c r="Y100" s="1929"/>
    </row>
    <row r="101" spans="1:29" ht="29" customHeight="1" thickBot="1">
      <c r="A101" s="2017"/>
      <c r="C101" s="16"/>
      <c r="D101" s="25"/>
      <c r="F101" s="462"/>
      <c r="O101" s="494"/>
      <c r="P101" s="41"/>
      <c r="Q101" s="2010"/>
      <c r="R101" s="494"/>
      <c r="S101" s="1136"/>
    </row>
    <row r="102" spans="1:29" ht="37" customHeight="1">
      <c r="A102" s="2017">
        <v>35</v>
      </c>
      <c r="B102" s="617" t="s">
        <v>1757</v>
      </c>
      <c r="C102" s="605"/>
      <c r="D102" s="680"/>
      <c r="E102" s="1922"/>
      <c r="F102" s="1943"/>
      <c r="G102" s="620"/>
      <c r="H102" s="620"/>
      <c r="I102" s="620"/>
      <c r="J102" s="620"/>
      <c r="K102" s="1922"/>
      <c r="L102" s="1922"/>
      <c r="M102" s="620"/>
      <c r="N102" s="620"/>
      <c r="O102" s="1130" t="str">
        <f>BIBLE!E156</f>
        <v>E04</v>
      </c>
      <c r="P102" s="1918" t="str">
        <f>BIBLE!F156</f>
        <v>Votre enfant défend l'autre parent, quoi que vous fassiez, quoi que vous disiez.</v>
      </c>
      <c r="Q102" s="1975">
        <f>Test_Bible!P269</f>
        <v>0</v>
      </c>
      <c r="R102" s="1130">
        <f>Test_Bible!D269</f>
        <v>2</v>
      </c>
      <c r="S102" s="2012" t="str">
        <f>BIBLE!V156</f>
        <v>A:Alliance</v>
      </c>
      <c r="T102" s="620"/>
      <c r="U102" s="620"/>
      <c r="V102" s="620"/>
      <c r="W102" s="1922"/>
      <c r="X102" s="1922"/>
      <c r="Y102" s="1147"/>
    </row>
    <row r="103" spans="1:29" ht="43" customHeight="1">
      <c r="A103" s="2017"/>
      <c r="B103" s="671"/>
      <c r="C103" s="16"/>
      <c r="D103" s="25"/>
      <c r="F103" s="462"/>
      <c r="O103" s="1928" t="str">
        <f>BIBLE!E157</f>
        <v>E04a</v>
      </c>
      <c r="P103" s="1937" t="str">
        <f>BIBLE!F157</f>
        <v>Aux yeux de votre enfant, tout ce que fait l'autre parent est bien, voire parfait, et tout ce que vous faites est mauvais ou sujet à critiques.</v>
      </c>
      <c r="Q103" s="1974">
        <f>Test_Bible!P270</f>
        <v>0</v>
      </c>
      <c r="R103" s="1928">
        <f>Test_Bible!D270</f>
        <v>3</v>
      </c>
      <c r="S103" s="1927" t="str">
        <f>BIBLE!V157</f>
        <v>A:Alliance</v>
      </c>
      <c r="Y103" s="292"/>
    </row>
    <row r="104" spans="1:29" ht="40" customHeight="1" thickBot="1">
      <c r="A104" s="2017"/>
      <c r="B104" s="621"/>
      <c r="C104" s="609"/>
      <c r="D104" s="1205"/>
      <c r="E104" s="1941"/>
      <c r="F104" s="1944"/>
      <c r="G104" s="294"/>
      <c r="H104" s="294"/>
      <c r="I104" s="294"/>
      <c r="J104" s="294"/>
      <c r="K104" s="1941"/>
      <c r="L104" s="1941"/>
      <c r="M104" s="294"/>
      <c r="N104" s="294"/>
      <c r="O104" s="1134" t="str">
        <f>BIBLE!E158</f>
        <v>E04a1</v>
      </c>
      <c r="P104" s="1938" t="str">
        <f>BIBLE!F158</f>
        <v>Votre enfant calque les désirs et les paroles de l’autre parent.</v>
      </c>
      <c r="Q104" s="1134">
        <f>Test_Bible!P271</f>
        <v>0</v>
      </c>
      <c r="R104" s="1134">
        <f>Test_Bible!D271</f>
        <v>3</v>
      </c>
      <c r="S104" s="1930" t="str">
        <f>BIBLE!V158</f>
        <v>Rôle actif de l'enfant</v>
      </c>
      <c r="T104" s="294"/>
      <c r="U104" s="294"/>
      <c r="V104" s="294"/>
      <c r="W104" s="1941"/>
      <c r="X104" s="1941"/>
      <c r="Y104" s="295"/>
    </row>
    <row r="105" spans="1:29" ht="29" customHeight="1" thickBot="1">
      <c r="A105" s="2017"/>
      <c r="C105" s="16"/>
      <c r="D105" s="25"/>
      <c r="F105" s="462"/>
    </row>
    <row r="106" spans="1:29" ht="47" customHeight="1" thickBot="1">
      <c r="A106" s="2017">
        <v>36</v>
      </c>
      <c r="B106" s="623" t="s">
        <v>1758</v>
      </c>
      <c r="C106" s="613"/>
      <c r="D106" s="641"/>
      <c r="E106" s="1942"/>
      <c r="F106" s="1945"/>
      <c r="G106" s="612"/>
      <c r="H106" s="612"/>
      <c r="I106" s="612"/>
      <c r="J106" s="612"/>
      <c r="K106" s="1942"/>
      <c r="L106" s="1942"/>
      <c r="M106" s="612"/>
      <c r="N106" s="612"/>
      <c r="O106" s="1176" t="str">
        <f>BIBLE!E159</f>
        <v>E05</v>
      </c>
      <c r="P106" s="1652" t="str">
        <f>BIBLE!F159</f>
        <v>Votre enfant s’exprime avec des expressions ou des paroles empruntées à l’autre parent.</v>
      </c>
      <c r="Q106" s="1971">
        <f>Test_Bible!P272</f>
        <v>0</v>
      </c>
      <c r="R106" s="1176">
        <f>Test_Bible!D272</f>
        <v>2</v>
      </c>
      <c r="S106" s="1931" t="str">
        <f>BIBLE!V159</f>
        <v>A:Alliance</v>
      </c>
      <c r="T106" s="612"/>
      <c r="U106" s="612"/>
      <c r="V106" s="612"/>
      <c r="W106" s="1942"/>
      <c r="X106" s="1942"/>
      <c r="Y106" s="1929"/>
    </row>
    <row r="107" spans="1:29" ht="29" customHeight="1" thickBot="1">
      <c r="A107" s="2017"/>
      <c r="C107" s="16"/>
      <c r="D107" s="25"/>
      <c r="F107" s="462"/>
      <c r="O107" s="494"/>
      <c r="P107" s="41"/>
      <c r="Q107" s="16"/>
      <c r="R107" s="16"/>
      <c r="S107" s="1136"/>
    </row>
    <row r="108" spans="1:29" ht="47" customHeight="1">
      <c r="A108" s="2017">
        <v>37</v>
      </c>
      <c r="B108" s="617" t="s">
        <v>1759</v>
      </c>
      <c r="C108" s="605"/>
      <c r="D108" s="680"/>
      <c r="E108" s="1922"/>
      <c r="F108" s="1943"/>
      <c r="G108" s="620"/>
      <c r="H108" s="620"/>
      <c r="I108" s="620"/>
      <c r="J108" s="620"/>
      <c r="K108" s="1922"/>
      <c r="L108" s="1922"/>
      <c r="M108" s="620"/>
      <c r="N108" s="620"/>
      <c r="O108" s="1130" t="str">
        <f>BIBLE!E195</f>
        <v>E29</v>
      </c>
      <c r="P108" s="1918" t="str">
        <f>BIBLE!F195</f>
        <v>Dans quelle mesure diriez-vous que votre enfant adapte ses champs d’intérêts pour partager les intérêts de l’autre parent ?</v>
      </c>
      <c r="Q108" s="1975">
        <f>Test_Bible!P322</f>
        <v>0</v>
      </c>
      <c r="R108" s="1130">
        <f>Test_Bible!D322</f>
        <v>2</v>
      </c>
      <c r="S108" s="1932" t="str">
        <f>BIBLE!V195</f>
        <v>Rôle actif de l'enfant</v>
      </c>
      <c r="T108" s="620"/>
      <c r="U108" s="620"/>
      <c r="V108" s="620"/>
      <c r="W108" s="1922"/>
      <c r="X108" s="1922"/>
      <c r="Y108" s="1147"/>
    </row>
    <row r="109" spans="1:29" ht="36" customHeight="1" thickBot="1">
      <c r="A109" s="2017"/>
      <c r="B109" s="621"/>
      <c r="C109" s="609"/>
      <c r="D109" s="1205"/>
      <c r="E109" s="1941"/>
      <c r="F109" s="1944"/>
      <c r="G109" s="294"/>
      <c r="H109" s="294"/>
      <c r="I109" s="294"/>
      <c r="J109" s="294"/>
      <c r="K109" s="1941"/>
      <c r="L109" s="1941"/>
      <c r="M109" s="294"/>
      <c r="N109" s="294"/>
      <c r="O109" s="1148" t="str">
        <f>BIBLE!E196</f>
        <v>E29a</v>
      </c>
      <c r="P109" s="1939" t="str">
        <f>BIBLE!F196</f>
        <v>Dans quelle mesure diriez-vous que votre enfant rejette vos valeurs et vos champs d’intérêts.</v>
      </c>
      <c r="Q109" s="637">
        <f>Test_Bible!P323</f>
        <v>0</v>
      </c>
      <c r="R109" s="637">
        <f>Test_Bible!D323</f>
        <v>3</v>
      </c>
      <c r="S109" s="1933" t="str">
        <f>BIBLE!V196</f>
        <v>Rôle actif de l'enfant</v>
      </c>
      <c r="T109" s="294"/>
      <c r="U109" s="294"/>
      <c r="V109" s="294"/>
      <c r="W109" s="1941"/>
      <c r="X109" s="1941"/>
      <c r="Y109" s="295"/>
    </row>
    <row r="111" spans="1:29">
      <c r="AA111" s="288" t="s">
        <v>2567</v>
      </c>
      <c r="AB111" s="288"/>
      <c r="AC111" s="288" t="s">
        <v>2568</v>
      </c>
    </row>
    <row r="112" spans="1:29">
      <c r="AA112" s="13" t="s">
        <v>2569</v>
      </c>
      <c r="AC112" s="826" t="s">
        <v>2570</v>
      </c>
    </row>
    <row r="113" spans="27:29" ht="34" customHeight="1">
      <c r="AA113" s="13" t="s">
        <v>2571</v>
      </c>
      <c r="AC113" s="826" t="s">
        <v>2572</v>
      </c>
    </row>
    <row r="114" spans="27:29" ht="34" customHeight="1">
      <c r="AA114" s="13" t="s">
        <v>2573</v>
      </c>
      <c r="AC114" s="826" t="s">
        <v>2574</v>
      </c>
    </row>
    <row r="115" spans="27:29" ht="34" customHeight="1">
      <c r="AA115" s="13" t="s">
        <v>2575</v>
      </c>
      <c r="AC115" s="826" t="s">
        <v>2576</v>
      </c>
    </row>
    <row r="116" spans="27:29">
      <c r="AA116" s="13" t="s">
        <v>2577</v>
      </c>
      <c r="AC116" s="826" t="s">
        <v>2578</v>
      </c>
    </row>
    <row r="117" spans="27:29" ht="34" customHeight="1">
      <c r="AA117" s="13" t="s">
        <v>2579</v>
      </c>
      <c r="AC117" s="826" t="s">
        <v>2580</v>
      </c>
    </row>
    <row r="118" spans="27:29" ht="34" customHeight="1">
      <c r="AA118" s="13" t="s">
        <v>2581</v>
      </c>
      <c r="AC118" s="826" t="s">
        <v>2582</v>
      </c>
    </row>
    <row r="119" spans="27:29">
      <c r="AA119" s="13"/>
      <c r="AC119" s="826" t="s">
        <v>2583</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2584</v>
      </c>
    </row>
    <row r="3" spans="1:15">
      <c r="B3" s="2474" t="s">
        <v>2585</v>
      </c>
      <c r="C3" s="2458"/>
      <c r="D3" s="2458"/>
      <c r="E3" s="2458"/>
      <c r="F3" s="2458"/>
      <c r="G3" s="2458"/>
      <c r="H3" s="2458"/>
      <c r="J3" t="s">
        <v>2586</v>
      </c>
    </row>
    <row r="4" spans="1:15" ht="27" customHeight="1">
      <c r="B4" s="2209" t="s">
        <v>1453</v>
      </c>
      <c r="C4" s="1" t="s">
        <v>2587</v>
      </c>
      <c r="D4" s="1" t="s">
        <v>2588</v>
      </c>
      <c r="E4" s="5" t="s">
        <v>2589</v>
      </c>
      <c r="F4" s="5" t="s">
        <v>2590</v>
      </c>
      <c r="G4" s="5" t="s">
        <v>2591</v>
      </c>
      <c r="H4" s="1" t="s">
        <v>1488</v>
      </c>
      <c r="J4" s="2209" t="s">
        <v>1453</v>
      </c>
      <c r="K4" s="1" t="s">
        <v>1585</v>
      </c>
      <c r="L4" s="1" t="s">
        <v>2592</v>
      </c>
      <c r="O4" s="1" t="s">
        <v>2593</v>
      </c>
    </row>
    <row r="5" spans="1:15">
      <c r="B5" s="589"/>
      <c r="C5" s="259" t="s">
        <v>1780</v>
      </c>
      <c r="D5" s="259" t="s">
        <v>1781</v>
      </c>
      <c r="E5" s="259" t="s">
        <v>1783</v>
      </c>
      <c r="F5" s="259" t="s">
        <v>1784</v>
      </c>
      <c r="G5" s="259" t="s">
        <v>1786</v>
      </c>
      <c r="H5" s="259" t="s">
        <v>1788</v>
      </c>
      <c r="J5" s="589"/>
      <c r="K5" s="5" t="s">
        <v>2594</v>
      </c>
      <c r="L5" s="5" t="s">
        <v>2589</v>
      </c>
      <c r="M5" s="5" t="s">
        <v>2590</v>
      </c>
      <c r="N5" s="5" t="s">
        <v>2591</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72">
        <f>Test_Bible!V259</f>
        <v>0</v>
      </c>
      <c r="C7" s="90">
        <f>Test_Bible!X259</f>
        <v>0</v>
      </c>
      <c r="D7" s="90">
        <f>Test_Bible!Y259</f>
        <v>16</v>
      </c>
      <c r="E7" s="90">
        <f>Test_Bible!Z259</f>
        <v>32</v>
      </c>
      <c r="F7" s="2215">
        <f>Test_Bible!AA259</f>
        <v>64</v>
      </c>
      <c r="G7" s="90">
        <f>Test_Bible!AB259</f>
        <v>112</v>
      </c>
      <c r="H7" s="90">
        <f>Test_Bible!AC259</f>
        <v>160</v>
      </c>
      <c r="I7" s="2148" t="s">
        <v>2141</v>
      </c>
      <c r="J7" s="1672">
        <f>'Modèle Calcul A-R + Sommaire'!AG14</f>
        <v>0</v>
      </c>
      <c r="K7" s="90">
        <f>Test_Bible!AF259</f>
        <v>0</v>
      </c>
      <c r="L7" s="55">
        <f>'Modèle Calcul A-R + Sommaire'!AJ14</f>
        <v>150</v>
      </c>
      <c r="M7" s="2211">
        <f>L7+((O7-L7)*L$6)</f>
        <v>187.5</v>
      </c>
      <c r="N7" s="2210">
        <f>M7+((O7-L7)*M$6)</f>
        <v>244.5</v>
      </c>
      <c r="O7">
        <f>'Modèle Calcul A-R + Sommaire'!AK14</f>
        <v>300</v>
      </c>
    </row>
    <row r="8" spans="1:15" ht="20" customHeight="1">
      <c r="B8" s="589"/>
      <c r="C8" s="5"/>
      <c r="D8" s="5"/>
      <c r="E8" s="5"/>
      <c r="F8" s="5"/>
      <c r="G8" s="5"/>
      <c r="H8" s="5"/>
      <c r="I8" s="2" t="s">
        <v>2142</v>
      </c>
      <c r="J8" s="589">
        <f>'Modèle Calcul A-R + Sommaire'!AH14</f>
        <v>0</v>
      </c>
      <c r="K8" s="90">
        <f>Test_Bible!AF260</f>
        <v>0</v>
      </c>
      <c r="L8" s="55">
        <f>'Modèle Calcul A-R + Sommaire'!AL14</f>
        <v>55</v>
      </c>
      <c r="M8" s="2211">
        <f>L8+((O8-L8)*L$6)</f>
        <v>80.5</v>
      </c>
      <c r="N8" s="2210">
        <f>M8+((O8-L8)*M$6)</f>
        <v>119.25999999999999</v>
      </c>
      <c r="O8">
        <f>'Modèle Calcul A-R + Sommaire'!AM14</f>
        <v>157</v>
      </c>
    </row>
    <row r="9" spans="1:15" ht="20" customHeight="1">
      <c r="B9" s="589"/>
      <c r="C9" s="5"/>
      <c r="D9" s="5"/>
      <c r="E9" s="5"/>
      <c r="F9" s="5"/>
      <c r="G9" s="5"/>
      <c r="H9" s="5"/>
      <c r="I9" s="2" t="s">
        <v>2143</v>
      </c>
      <c r="J9" s="589">
        <f>'Modèle Calcul A-R + Sommaire'!AI14</f>
        <v>0</v>
      </c>
      <c r="K9" s="90">
        <f>Test_Bible!AF261</f>
        <v>0</v>
      </c>
      <c r="L9" s="2212">
        <f>'Modèle Calcul A-R + Sommaire'!AN14</f>
        <v>132</v>
      </c>
      <c r="M9" s="2210">
        <f>L9+((O9-L9)*L$6)</f>
        <v>162</v>
      </c>
      <c r="N9" s="2210">
        <f>M9+((O9-L9)*M$6)</f>
        <v>207.6</v>
      </c>
      <c r="O9">
        <f>'Modèle Calcul A-R + Sommaire'!AO14</f>
        <v>252</v>
      </c>
    </row>
    <row r="10" spans="1:15" ht="30" customHeight="1">
      <c r="B10" s="589"/>
      <c r="C10" s="5"/>
      <c r="D10" s="5"/>
      <c r="E10" s="5"/>
      <c r="F10" s="5"/>
      <c r="G10" s="5"/>
      <c r="H10" s="5"/>
      <c r="J10" s="589"/>
      <c r="K10" s="5"/>
    </row>
    <row r="11" spans="1:15" ht="20" customHeight="1">
      <c r="A11" t="s">
        <v>270</v>
      </c>
      <c r="B11" s="1672">
        <f>Test_Bible!V427</f>
        <v>0</v>
      </c>
      <c r="C11" s="90">
        <f>Test_Bible!X427</f>
        <v>0</v>
      </c>
      <c r="D11" s="90">
        <f>Test_Bible!Y427</f>
        <v>2</v>
      </c>
      <c r="E11" s="90">
        <f>Test_Bible!Z427</f>
        <v>4</v>
      </c>
      <c r="F11" s="2215">
        <f>Test_Bible!AA427</f>
        <v>8</v>
      </c>
      <c r="G11" s="90">
        <f>Test_Bible!AB427</f>
        <v>14</v>
      </c>
      <c r="H11" s="90">
        <f>Test_Bible!AC427</f>
        <v>20</v>
      </c>
      <c r="I11" s="2148" t="s">
        <v>2141</v>
      </c>
      <c r="J11" s="1672">
        <f>'Modèle Calcul A-R + Sommaire'!AG15</f>
        <v>0</v>
      </c>
      <c r="K11" s="90">
        <f>Test_Bible!AF427</f>
        <v>0</v>
      </c>
      <c r="L11" s="809">
        <f>'Modèle Calcul A-R + Sommaire'!AJ15</f>
        <v>51</v>
      </c>
      <c r="M11" s="2210">
        <f>L11+((O11-L11)*L$6)</f>
        <v>60.75</v>
      </c>
      <c r="N11" s="2210">
        <f>M11+((O11-L11)*M$6)</f>
        <v>75.569999999999993</v>
      </c>
      <c r="O11">
        <f>'Modèle Calcul A-R + Sommaire'!AK15</f>
        <v>90</v>
      </c>
    </row>
    <row r="12" spans="1:15" ht="20" customHeight="1">
      <c r="B12" s="589"/>
      <c r="C12" s="5"/>
      <c r="D12" s="5"/>
      <c r="E12" s="5"/>
      <c r="F12" s="5"/>
      <c r="G12" s="5"/>
      <c r="H12" s="5"/>
      <c r="I12" s="2" t="s">
        <v>2142</v>
      </c>
      <c r="J12" s="589">
        <f>'Modèle Calcul A-R + Sommaire'!AH15</f>
        <v>0</v>
      </c>
      <c r="K12" s="2213">
        <v>0</v>
      </c>
      <c r="L12">
        <f>'Modèle Calcul A-R + Sommaire'!AL15</f>
        <v>12</v>
      </c>
      <c r="M12" s="2210">
        <f>L12+((O12-L12)*L$6)</f>
        <v>15</v>
      </c>
      <c r="N12" s="2210">
        <f>M12+((O12-L12)*M$6)</f>
        <v>19.560000000000002</v>
      </c>
      <c r="O12">
        <f>'Modèle Calcul A-R + Sommaire'!AM15</f>
        <v>24</v>
      </c>
    </row>
    <row r="13" spans="1:15" ht="20" customHeight="1">
      <c r="B13" s="589"/>
      <c r="C13" s="5"/>
      <c r="D13" s="5"/>
      <c r="E13" s="5"/>
      <c r="F13" s="5"/>
      <c r="G13" s="5"/>
      <c r="H13" s="5"/>
      <c r="I13" s="2" t="s">
        <v>2143</v>
      </c>
      <c r="J13" s="589">
        <f>'Modèle Calcul A-R + Sommaire'!AI15</f>
        <v>0</v>
      </c>
      <c r="K13" s="5">
        <v>0</v>
      </c>
      <c r="L13" s="809">
        <f>'Modèle Calcul A-R + Sommaire'!AN15</f>
        <v>40</v>
      </c>
      <c r="M13" s="2210">
        <f>L13+((O13-L13)*L$6)</f>
        <v>48.5</v>
      </c>
      <c r="N13" s="2210">
        <f>M13+((O13-L13)*M$6)</f>
        <v>61.42</v>
      </c>
      <c r="O13">
        <f>'Modèle Calcul A-R + Sommaire'!AO15</f>
        <v>74</v>
      </c>
    </row>
    <row r="14" spans="1:15" ht="30" customHeight="1">
      <c r="B14" s="589"/>
      <c r="C14" s="5"/>
      <c r="D14" s="5"/>
      <c r="E14" s="5"/>
      <c r="F14" s="5"/>
      <c r="G14" s="5"/>
      <c r="H14" s="5"/>
      <c r="J14" s="589"/>
      <c r="K14" s="5"/>
    </row>
    <row r="15" spans="1:15" ht="20" customHeight="1">
      <c r="A15" t="s">
        <v>51</v>
      </c>
      <c r="B15" s="1672">
        <f>Test_Bible!V380</f>
        <v>0</v>
      </c>
      <c r="C15" s="90">
        <f>Test_Bible!X380</f>
        <v>0</v>
      </c>
      <c r="D15" s="90">
        <f>Test_Bible!Y380</f>
        <v>15</v>
      </c>
      <c r="E15" s="2216">
        <f>Test_Bible!Z380</f>
        <v>30</v>
      </c>
      <c r="F15" s="90">
        <f>Test_Bible!AA380</f>
        <v>60</v>
      </c>
      <c r="G15" s="90">
        <f>Test_Bible!AB380</f>
        <v>105</v>
      </c>
      <c r="H15" s="90">
        <f>Test_Bible!AC380</f>
        <v>150</v>
      </c>
      <c r="I15" s="2148" t="s">
        <v>2141</v>
      </c>
      <c r="J15" s="1672">
        <f>'Modèle Calcul A-R + Sommaire'!AG17</f>
        <v>0</v>
      </c>
      <c r="K15" s="90">
        <f>Test_Bible!AF380</f>
        <v>0</v>
      </c>
      <c r="L15">
        <f>'Modèle Calcul A-R + Sommaire'!AJ17</f>
        <v>14</v>
      </c>
      <c r="M15" s="2211">
        <f>L15+((O15-L15)*L$6)</f>
        <v>15.5</v>
      </c>
      <c r="N15" s="2210">
        <f>M15+((O15-L15)*M$6)</f>
        <v>17.78</v>
      </c>
      <c r="O15">
        <f>'Modèle Calcul A-R + Sommaire'!AK17</f>
        <v>20</v>
      </c>
    </row>
    <row r="16" spans="1:15" ht="20" customHeight="1">
      <c r="B16" s="589"/>
      <c r="C16" s="5"/>
      <c r="D16" s="5"/>
      <c r="E16" s="5"/>
      <c r="F16" s="5"/>
      <c r="G16" s="5"/>
      <c r="H16" s="5"/>
      <c r="I16" s="2" t="s">
        <v>2142</v>
      </c>
      <c r="J16" s="589">
        <f>'Modèle Calcul A-R + Sommaire'!AH17</f>
        <v>0</v>
      </c>
      <c r="K16" s="5">
        <v>0</v>
      </c>
      <c r="L16">
        <f>'Modèle Calcul A-R + Sommaire'!AL17</f>
        <v>4</v>
      </c>
      <c r="M16" s="2211">
        <f>L16+((O16-L16)*L$6)</f>
        <v>6.5</v>
      </c>
      <c r="N16" s="2210">
        <f>M16+((O16-L16)*M$6)</f>
        <v>10.3</v>
      </c>
      <c r="O16">
        <f>'Modèle Calcul A-R + Sommaire'!AM17</f>
        <v>14</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72">
        <f>Test_Bible!V159</f>
        <v>0</v>
      </c>
      <c r="C19" s="90">
        <f>Test_Bible!X159</f>
        <v>0</v>
      </c>
      <c r="D19" s="90">
        <f>Test_Bible!Y159</f>
        <v>0</v>
      </c>
      <c r="E19" s="2216">
        <f>Test_Bible!Z159</f>
        <v>0</v>
      </c>
      <c r="F19" s="90">
        <f>Test_Bible!AA159</f>
        <v>0</v>
      </c>
      <c r="G19" s="90">
        <f>Test_Bible!AB159</f>
        <v>0</v>
      </c>
      <c r="H19" s="90">
        <f>Test_Bible!AC159</f>
        <v>0</v>
      </c>
      <c r="I19" s="2148" t="s">
        <v>2141</v>
      </c>
      <c r="J19" s="1672">
        <f>'Modèle Calcul A-R + Sommaire'!AG19</f>
        <v>0</v>
      </c>
      <c r="K19" s="2214">
        <f>Test_Bible!AF159</f>
        <v>0</v>
      </c>
      <c r="L19" s="55">
        <f>'Modèle Calcul A-R + Sommaire'!AJ19</f>
        <v>88</v>
      </c>
      <c r="M19" s="2210">
        <f>L19+((O19-L19)*L$6)</f>
        <v>113.5</v>
      </c>
      <c r="N19" s="2210">
        <f>M19+((O19-L19)*M$6)</f>
        <v>152.26</v>
      </c>
      <c r="O19" s="55">
        <f>'Modèle Calcul A-R + Sommaire'!AK19</f>
        <v>190</v>
      </c>
    </row>
    <row r="20" spans="1:15" ht="20" customHeight="1">
      <c r="B20" s="589"/>
      <c r="I20" s="2" t="s">
        <v>2142</v>
      </c>
      <c r="J20" s="1672">
        <f>'Modèle Calcul A-R + Sommaire'!AH19</f>
        <v>0</v>
      </c>
      <c r="K20" s="5">
        <v>0</v>
      </c>
      <c r="L20" s="2212">
        <f>'Modèle Calcul A-R + Sommaire'!AL19</f>
        <v>18</v>
      </c>
      <c r="M20" s="2210">
        <f>L20+((O20-L20)*L$6)</f>
        <v>30.5</v>
      </c>
      <c r="N20" s="2210">
        <f>M20+((O20-L20)*M$6)</f>
        <v>49.5</v>
      </c>
      <c r="O20" s="55">
        <f>'Modèle Calcul A-R + Sommaire'!AM19</f>
        <v>68</v>
      </c>
    </row>
    <row r="21" spans="1:15" ht="20" customHeight="1">
      <c r="I21" s="2" t="s">
        <v>2143</v>
      </c>
      <c r="J21" s="1672">
        <f>'Modèle Calcul A-R + Sommaire'!AI19</f>
        <v>0</v>
      </c>
      <c r="K21" s="2213">
        <v>0</v>
      </c>
      <c r="L21" s="55">
        <f>'Modèle Calcul A-R + Sommaire'!AN19</f>
        <v>118</v>
      </c>
      <c r="M21" s="2210">
        <f>L21+((O21-L21)*L$6)</f>
        <v>142.5</v>
      </c>
      <c r="N21" s="2210">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2023-11-14T20:29:38Z</dcterms:modified>
</cp:coreProperties>
</file>