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wsl.localhost\Ubuntu\home\simon\e-barometre\flask-app\"/>
    </mc:Choice>
  </mc:AlternateContent>
  <xr:revisionPtr revIDLastSave="0" documentId="13_ncr:1_{BE8F5736-DA6E-4077-8F73-DF3D120B2B45}" xr6:coauthVersionLast="47" xr6:coauthVersionMax="47" xr10:uidLastSave="{00000000-0000-0000-0000-000000000000}"/>
  <bookViews>
    <workbookView xWindow="3630" yWindow="4060" windowWidth="22800" windowHeight="15650" firstSheet="8" activeTab="11"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1" i="12" l="1"/>
  <c r="H8" i="13"/>
  <c r="G8" i="13"/>
  <c r="F8" i="13"/>
  <c r="E8" i="13"/>
  <c r="I38" i="13"/>
  <c r="I36" i="13"/>
  <c r="I21" i="13"/>
  <c r="I17" i="13"/>
  <c r="I8" i="13"/>
  <c r="I14" i="13" s="1"/>
  <c r="C8" i="13"/>
  <c r="G6" i="13"/>
  <c r="I25" i="13" l="1"/>
  <c r="I41" i="13"/>
  <c r="I19" i="13"/>
  <c r="I33" i="13"/>
  <c r="C9" i="13"/>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S108" i="19"/>
  <c r="P108" i="19"/>
  <c r="O108" i="19"/>
  <c r="S106" i="19"/>
  <c r="P106" i="19"/>
  <c r="O106" i="19"/>
  <c r="S104" i="19"/>
  <c r="P104" i="19"/>
  <c r="O104" i="19"/>
  <c r="S103" i="19"/>
  <c r="P103" i="19"/>
  <c r="O103" i="19"/>
  <c r="S102" i="19"/>
  <c r="P102" i="19"/>
  <c r="O102" i="19"/>
  <c r="S100" i="19"/>
  <c r="P100" i="19"/>
  <c r="O100" i="19"/>
  <c r="G98" i="19"/>
  <c r="D98" i="19"/>
  <c r="C98" i="19"/>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AO767" i="14"/>
  <c r="AN767" i="14"/>
  <c r="AM767" i="14"/>
  <c r="AL767" i="14"/>
  <c r="AK767" i="14"/>
  <c r="AJ767" i="14"/>
  <c r="AI767" i="14"/>
  <c r="U767" i="14"/>
  <c r="R767" i="14"/>
  <c r="AH767" i="14" s="1"/>
  <c r="K767" i="14"/>
  <c r="AG767" i="14" s="1"/>
  <c r="H767" i="14"/>
  <c r="AO766" i="14"/>
  <c r="AN766" i="14"/>
  <c r="AM766" i="14"/>
  <c r="AL766" i="14"/>
  <c r="AK766" i="14"/>
  <c r="AJ766" i="14"/>
  <c r="AG766" i="14"/>
  <c r="U766" i="14"/>
  <c r="R766" i="14"/>
  <c r="K766" i="14"/>
  <c r="K768" i="14" s="1"/>
  <c r="W768" i="14" s="1"/>
  <c r="H766" i="14"/>
  <c r="D762" i="14"/>
  <c r="C762" i="14"/>
  <c r="D761" i="14"/>
  <c r="C761" i="14"/>
  <c r="AM759" i="14"/>
  <c r="AI759" i="14"/>
  <c r="AO758" i="14"/>
  <c r="AN758" i="14"/>
  <c r="AM758" i="14"/>
  <c r="AL758" i="14"/>
  <c r="AK758" i="14"/>
  <c r="AJ758" i="14"/>
  <c r="AH758" i="14"/>
  <c r="AG758" i="14"/>
  <c r="U758" i="14"/>
  <c r="AI758" i="14" s="1"/>
  <c r="R758" i="14"/>
  <c r="K758" i="14"/>
  <c r="H758" i="14"/>
  <c r="AO757" i="14"/>
  <c r="AO759" i="14" s="1"/>
  <c r="AN757" i="14"/>
  <c r="AN759" i="14" s="1"/>
  <c r="AM757" i="14"/>
  <c r="AL757" i="14"/>
  <c r="AL759" i="14" s="1"/>
  <c r="AK757" i="14"/>
  <c r="AK759" i="14" s="1"/>
  <c r="AJ757" i="14"/>
  <c r="AJ759" i="14" s="1"/>
  <c r="AI757" i="14"/>
  <c r="AH757" i="14"/>
  <c r="U757" i="14"/>
  <c r="U759" i="14" s="1"/>
  <c r="R757" i="14"/>
  <c r="R759" i="14" s="1"/>
  <c r="AH759" i="14" s="1"/>
  <c r="K757" i="14"/>
  <c r="H757" i="14"/>
  <c r="AO755" i="14"/>
  <c r="AN755" i="14"/>
  <c r="AM755" i="14"/>
  <c r="AL755" i="14"/>
  <c r="AK755" i="14"/>
  <c r="AJ755" i="14"/>
  <c r="G755" i="14"/>
  <c r="F755" i="14"/>
  <c r="D755" i="14"/>
  <c r="C755" i="14"/>
  <c r="AO754" i="14"/>
  <c r="AO756" i="14" s="1"/>
  <c r="AN754" i="14"/>
  <c r="AN756" i="14" s="1"/>
  <c r="AM754" i="14"/>
  <c r="AM756" i="14" s="1"/>
  <c r="AL754" i="14"/>
  <c r="AK754" i="14"/>
  <c r="AK756" i="14" s="1"/>
  <c r="AJ754" i="14"/>
  <c r="AJ756" i="14" s="1"/>
  <c r="G754" i="14"/>
  <c r="F754" i="14"/>
  <c r="U754" i="14" s="1"/>
  <c r="D754" i="14"/>
  <c r="C754" i="14"/>
  <c r="D752" i="14"/>
  <c r="AO749" i="14"/>
  <c r="AI749" i="14"/>
  <c r="U749" i="14"/>
  <c r="AA749" i="14" s="1"/>
  <c r="AO748" i="14"/>
  <c r="AN748" i="14"/>
  <c r="AM748" i="14"/>
  <c r="AL748" i="14"/>
  <c r="AK748" i="14"/>
  <c r="AJ748" i="14"/>
  <c r="AI748" i="14"/>
  <c r="AG748" i="14"/>
  <c r="U748" i="14"/>
  <c r="R748" i="14"/>
  <c r="K748" i="14"/>
  <c r="H748" i="14"/>
  <c r="AO747" i="14"/>
  <c r="AN747" i="14"/>
  <c r="AN749" i="14" s="1"/>
  <c r="AM747" i="14"/>
  <c r="AL747" i="14"/>
  <c r="AK747" i="14"/>
  <c r="AJ747" i="14"/>
  <c r="AH747" i="14"/>
  <c r="U747" i="14"/>
  <c r="AI747" i="14" s="1"/>
  <c r="R747" i="14"/>
  <c r="K747" i="14"/>
  <c r="H749" i="14" s="1"/>
  <c r="H747" i="14"/>
  <c r="AO743" i="14"/>
  <c r="AN743" i="14"/>
  <c r="AM743" i="14"/>
  <c r="AL743" i="14"/>
  <c r="AK743" i="14"/>
  <c r="AJ743" i="14"/>
  <c r="R743" i="14"/>
  <c r="AH743" i="14" s="1"/>
  <c r="K743" i="14"/>
  <c r="AG743" i="14" s="1"/>
  <c r="H743" i="14"/>
  <c r="D742" i="14"/>
  <c r="C742" i="14"/>
  <c r="AO740" i="14"/>
  <c r="K740" i="14"/>
  <c r="AG740" i="14" s="1"/>
  <c r="AO739" i="14"/>
  <c r="AN739" i="14"/>
  <c r="AM739" i="14"/>
  <c r="AL739" i="14"/>
  <c r="AK739" i="14"/>
  <c r="AJ739" i="14"/>
  <c r="AH739" i="14"/>
  <c r="U739" i="14"/>
  <c r="AI739" i="14" s="1"/>
  <c r="R739" i="14"/>
  <c r="K739" i="14"/>
  <c r="H740" i="14" s="1"/>
  <c r="H739" i="14"/>
  <c r="AO738" i="14"/>
  <c r="AN738" i="14"/>
  <c r="AM738" i="14"/>
  <c r="AM740" i="14" s="1"/>
  <c r="AL738" i="14"/>
  <c r="AL740" i="14" s="1"/>
  <c r="AK738" i="14"/>
  <c r="AK740" i="14" s="1"/>
  <c r="AJ738" i="14"/>
  <c r="AI738" i="14"/>
  <c r="AG738" i="14"/>
  <c r="U738" i="14"/>
  <c r="U740" i="14" s="1"/>
  <c r="AI740" i="14" s="1"/>
  <c r="R738" i="14"/>
  <c r="AH738" i="14" s="1"/>
  <c r="K738" i="14"/>
  <c r="H738" i="14"/>
  <c r="AO737" i="14"/>
  <c r="AK737" i="14"/>
  <c r="AO736" i="14"/>
  <c r="AN736" i="14"/>
  <c r="AN737" i="14" s="1"/>
  <c r="AM736" i="14"/>
  <c r="AL736" i="14"/>
  <c r="AK736" i="14"/>
  <c r="AJ736" i="14"/>
  <c r="AJ737" i="14" s="1"/>
  <c r="U736" i="14"/>
  <c r="AI736" i="14" s="1"/>
  <c r="G736" i="14"/>
  <c r="F736" i="14"/>
  <c r="R736" i="14" s="1"/>
  <c r="AH736" i="14" s="1"/>
  <c r="D736" i="14"/>
  <c r="C736" i="14"/>
  <c r="B736" i="14"/>
  <c r="AO735" i="14"/>
  <c r="AN735" i="14"/>
  <c r="AM735" i="14"/>
  <c r="AM737" i="14" s="1"/>
  <c r="AL735" i="14"/>
  <c r="AL737" i="14" s="1"/>
  <c r="AK735" i="14"/>
  <c r="AJ735" i="14"/>
  <c r="K735" i="14"/>
  <c r="H735" i="14"/>
  <c r="G735" i="14"/>
  <c r="F735" i="14"/>
  <c r="U735" i="14" s="1"/>
  <c r="D735" i="14"/>
  <c r="C735" i="14"/>
  <c r="B735" i="14"/>
  <c r="D733" i="14"/>
  <c r="AO729" i="14"/>
  <c r="AN729" i="14"/>
  <c r="AM729" i="14"/>
  <c r="AL729" i="14"/>
  <c r="AK729" i="14"/>
  <c r="AJ729" i="14"/>
  <c r="U729" i="14"/>
  <c r="AI729" i="14" s="1"/>
  <c r="G729" i="14"/>
  <c r="F729" i="14"/>
  <c r="R729" i="14" s="1"/>
  <c r="AH729" i="14" s="1"/>
  <c r="D729" i="14"/>
  <c r="C729" i="14"/>
  <c r="B729" i="14"/>
  <c r="AO728" i="14"/>
  <c r="AN728" i="14"/>
  <c r="AM728" i="14"/>
  <c r="AL728" i="14"/>
  <c r="AK728" i="14"/>
  <c r="AJ728" i="14"/>
  <c r="K728" i="14"/>
  <c r="H728" i="14"/>
  <c r="G728" i="14"/>
  <c r="F728" i="14"/>
  <c r="U728" i="14" s="1"/>
  <c r="AN730" i="14" s="1"/>
  <c r="D728" i="14"/>
  <c r="C728" i="14"/>
  <c r="B728" i="14"/>
  <c r="D724" i="14"/>
  <c r="C724" i="14"/>
  <c r="D723" i="14"/>
  <c r="C723" i="14"/>
  <c r="D722" i="14"/>
  <c r="C722" i="14"/>
  <c r="AO720" i="14"/>
  <c r="AK720" i="14"/>
  <c r="AO719" i="14"/>
  <c r="AN719" i="14"/>
  <c r="AM719" i="14"/>
  <c r="AL719" i="14"/>
  <c r="AK719" i="14"/>
  <c r="AJ719" i="14"/>
  <c r="U719" i="14"/>
  <c r="AI719" i="14" s="1"/>
  <c r="G719" i="14"/>
  <c r="F719" i="14"/>
  <c r="R719" i="14" s="1"/>
  <c r="AH719" i="14" s="1"/>
  <c r="D719" i="14"/>
  <c r="C719" i="14"/>
  <c r="B719" i="14"/>
  <c r="AO718" i="14"/>
  <c r="AN718" i="14"/>
  <c r="AN720" i="14" s="1"/>
  <c r="AM718" i="14"/>
  <c r="AM720" i="14" s="1"/>
  <c r="AL718" i="14"/>
  <c r="AL720" i="14" s="1"/>
  <c r="AK718" i="14"/>
  <c r="AJ718" i="14"/>
  <c r="AJ720" i="14" s="1"/>
  <c r="K718" i="14"/>
  <c r="H718" i="14"/>
  <c r="G718" i="14"/>
  <c r="F718" i="14"/>
  <c r="U718" i="14" s="1"/>
  <c r="D718" i="14"/>
  <c r="C718" i="14"/>
  <c r="B718" i="14"/>
  <c r="AN717" i="14"/>
  <c r="AJ717" i="14"/>
  <c r="AO716" i="14"/>
  <c r="AN716" i="14"/>
  <c r="AM716" i="14"/>
  <c r="AL716" i="14"/>
  <c r="AK716" i="14"/>
  <c r="AJ716" i="14"/>
  <c r="G716" i="14"/>
  <c r="F716" i="14"/>
  <c r="R716" i="14" s="1"/>
  <c r="AH716" i="14" s="1"/>
  <c r="D716" i="14"/>
  <c r="C716" i="14"/>
  <c r="B716" i="14"/>
  <c r="AO715" i="14"/>
  <c r="AO717" i="14" s="1"/>
  <c r="AN715" i="14"/>
  <c r="AM715" i="14"/>
  <c r="AL715" i="14"/>
  <c r="AL717" i="14" s="1"/>
  <c r="AK715" i="14"/>
  <c r="AK717" i="14" s="1"/>
  <c r="AJ715" i="14"/>
  <c r="AG715" i="14"/>
  <c r="U715" i="14"/>
  <c r="AI715" i="14" s="1"/>
  <c r="K715" i="14"/>
  <c r="H715" i="14"/>
  <c r="G715" i="14"/>
  <c r="F715" i="14"/>
  <c r="R715" i="14" s="1"/>
  <c r="D715" i="14"/>
  <c r="C715" i="14"/>
  <c r="B715" i="14"/>
  <c r="D713" i="14"/>
  <c r="K710" i="14"/>
  <c r="W710" i="14" s="1"/>
  <c r="AO709" i="14"/>
  <c r="AN709" i="14"/>
  <c r="AM709" i="14"/>
  <c r="AL709" i="14"/>
  <c r="AK709" i="14"/>
  <c r="AJ709" i="14"/>
  <c r="AI709" i="14"/>
  <c r="U709" i="14"/>
  <c r="R709" i="14"/>
  <c r="AH709" i="14" s="1"/>
  <c r="K709" i="14"/>
  <c r="AG709" i="14" s="1"/>
  <c r="H709" i="14"/>
  <c r="AO708" i="14"/>
  <c r="AN708" i="14"/>
  <c r="AM708" i="14"/>
  <c r="AL708" i="14"/>
  <c r="AK708" i="14"/>
  <c r="AJ708" i="14"/>
  <c r="U708" i="14"/>
  <c r="R708" i="14"/>
  <c r="K708" i="14"/>
  <c r="H710" i="14" s="1"/>
  <c r="H708" i="14"/>
  <c r="AO704" i="14"/>
  <c r="AN704" i="14"/>
  <c r="AM704" i="14"/>
  <c r="AL704" i="14"/>
  <c r="AK704" i="14"/>
  <c r="AJ704" i="14"/>
  <c r="AH704" i="14"/>
  <c r="R704" i="14"/>
  <c r="K704" i="14"/>
  <c r="AG704" i="14" s="1"/>
  <c r="H704" i="14"/>
  <c r="G703" i="14"/>
  <c r="D703" i="14"/>
  <c r="C703" i="14"/>
  <c r="AN701" i="14"/>
  <c r="U701" i="14"/>
  <c r="AI701" i="14" s="1"/>
  <c r="AO700" i="14"/>
  <c r="AN700" i="14"/>
  <c r="AM700" i="14"/>
  <c r="AL700" i="14"/>
  <c r="AK700" i="14"/>
  <c r="AJ700" i="14"/>
  <c r="AI700" i="14"/>
  <c r="AG700" i="14"/>
  <c r="U700" i="14"/>
  <c r="R700" i="14"/>
  <c r="AH700" i="14" s="1"/>
  <c r="K700" i="14"/>
  <c r="H700" i="14"/>
  <c r="AO699" i="14"/>
  <c r="AO701" i="14" s="1"/>
  <c r="AN699" i="14"/>
  <c r="AM699" i="14"/>
  <c r="AM701" i="14" s="1"/>
  <c r="AL699" i="14"/>
  <c r="AL701" i="14" s="1"/>
  <c r="AK699" i="14"/>
  <c r="AK701" i="14" s="1"/>
  <c r="AJ699" i="14"/>
  <c r="AJ701" i="14" s="1"/>
  <c r="AH699" i="14"/>
  <c r="U699" i="14"/>
  <c r="AI699" i="14" s="1"/>
  <c r="R699" i="14"/>
  <c r="R701" i="14" s="1"/>
  <c r="AH701" i="14" s="1"/>
  <c r="K699" i="14"/>
  <c r="K701" i="14" s="1"/>
  <c r="AG701" i="14" s="1"/>
  <c r="H699" i="14"/>
  <c r="AO698" i="14"/>
  <c r="AK698" i="14"/>
  <c r="AO697" i="14"/>
  <c r="AN697" i="14"/>
  <c r="AM697" i="14"/>
  <c r="AL697" i="14"/>
  <c r="AK697" i="14"/>
  <c r="AJ697" i="14"/>
  <c r="U697" i="14"/>
  <c r="AI697" i="14" s="1"/>
  <c r="K697" i="14"/>
  <c r="AG697" i="14" s="1"/>
  <c r="G697" i="14"/>
  <c r="H697" i="14" s="1"/>
  <c r="F697" i="14"/>
  <c r="R697" i="14" s="1"/>
  <c r="AH697" i="14" s="1"/>
  <c r="D697" i="14"/>
  <c r="C697" i="14"/>
  <c r="B697" i="14"/>
  <c r="AO696" i="14"/>
  <c r="AN696" i="14"/>
  <c r="AM696" i="14"/>
  <c r="AM698" i="14" s="1"/>
  <c r="AL696" i="14"/>
  <c r="AL698" i="14" s="1"/>
  <c r="AK696" i="14"/>
  <c r="AJ696" i="14"/>
  <c r="U696" i="14"/>
  <c r="K696" i="14"/>
  <c r="G696" i="14"/>
  <c r="F696" i="14"/>
  <c r="H696" i="14" s="1"/>
  <c r="D696" i="14"/>
  <c r="C696" i="14"/>
  <c r="B696" i="14"/>
  <c r="D694" i="14"/>
  <c r="AO690" i="14"/>
  <c r="AN690" i="14"/>
  <c r="AM690" i="14"/>
  <c r="AL690" i="14"/>
  <c r="AK690" i="14"/>
  <c r="AJ690" i="14"/>
  <c r="AH690" i="14"/>
  <c r="U690" i="14"/>
  <c r="AI690" i="14" s="1"/>
  <c r="R690" i="14"/>
  <c r="K690" i="14"/>
  <c r="AG690" i="14" s="1"/>
  <c r="H690" i="14"/>
  <c r="AO689" i="14"/>
  <c r="AN689" i="14"/>
  <c r="AM689" i="14"/>
  <c r="AL689" i="14"/>
  <c r="AK689" i="14"/>
  <c r="AJ689" i="14"/>
  <c r="H689" i="14"/>
  <c r="G689" i="14"/>
  <c r="F689" i="14"/>
  <c r="U689" i="14" s="1"/>
  <c r="D689" i="14"/>
  <c r="C689" i="14"/>
  <c r="AM686" i="14"/>
  <c r="AL686" i="14"/>
  <c r="AK686" i="14"/>
  <c r="AJ686" i="14"/>
  <c r="AH686" i="14"/>
  <c r="AG686" i="14"/>
  <c r="Y686" i="14"/>
  <c r="R686" i="14"/>
  <c r="K686" i="14"/>
  <c r="W686" i="14" s="1"/>
  <c r="H686" i="14"/>
  <c r="D686" i="14" s="1"/>
  <c r="AO685" i="14"/>
  <c r="AN685" i="14"/>
  <c r="AM685" i="14"/>
  <c r="AL685" i="14"/>
  <c r="AK685" i="14"/>
  <c r="AJ685" i="14"/>
  <c r="AH685" i="14"/>
  <c r="AG685" i="14"/>
  <c r="H685" i="14"/>
  <c r="AO684" i="14"/>
  <c r="AN684" i="14"/>
  <c r="AM684" i="14"/>
  <c r="AL684" i="14"/>
  <c r="AK684" i="14"/>
  <c r="AJ684" i="14"/>
  <c r="AH684" i="14"/>
  <c r="AG684" i="14"/>
  <c r="H684" i="14"/>
  <c r="AO682" i="14"/>
  <c r="AK682" i="14"/>
  <c r="H682" i="14"/>
  <c r="D682" i="14" s="1"/>
  <c r="AO681" i="14"/>
  <c r="AN681" i="14"/>
  <c r="AM681" i="14"/>
  <c r="AM682" i="14" s="1"/>
  <c r="AL681" i="14"/>
  <c r="AK681" i="14"/>
  <c r="AJ681" i="14"/>
  <c r="AI681" i="14"/>
  <c r="AG681" i="14"/>
  <c r="U681" i="14"/>
  <c r="R681" i="14"/>
  <c r="K681" i="14"/>
  <c r="H681" i="14"/>
  <c r="AO680" i="14"/>
  <c r="AN680" i="14"/>
  <c r="AN682" i="14" s="1"/>
  <c r="AM680" i="14"/>
  <c r="AL680" i="14"/>
  <c r="AL682" i="14" s="1"/>
  <c r="AK680" i="14"/>
  <c r="AJ680" i="14"/>
  <c r="AJ682" i="14" s="1"/>
  <c r="AH680" i="14"/>
  <c r="U680" i="14"/>
  <c r="R680" i="14"/>
  <c r="K680" i="14"/>
  <c r="K682" i="14" s="1"/>
  <c r="AG682" i="14" s="1"/>
  <c r="H680" i="14"/>
  <c r="AO678" i="14"/>
  <c r="AN678" i="14"/>
  <c r="AM678" i="14"/>
  <c r="AL678" i="14"/>
  <c r="AK678" i="14"/>
  <c r="AJ678" i="14"/>
  <c r="AI678" i="14"/>
  <c r="AG678" i="14"/>
  <c r="U678" i="14"/>
  <c r="R678" i="14"/>
  <c r="AH678" i="14" s="1"/>
  <c r="K678" i="14"/>
  <c r="H678" i="14"/>
  <c r="D677" i="14"/>
  <c r="C677" i="14"/>
  <c r="D675" i="14"/>
  <c r="AO667" i="14"/>
  <c r="AN667" i="14"/>
  <c r="AM667" i="14"/>
  <c r="AL667" i="14"/>
  <c r="AK667" i="14"/>
  <c r="AJ667" i="14"/>
  <c r="AI667" i="14"/>
  <c r="AH667" i="14"/>
  <c r="U667" i="14"/>
  <c r="R667" i="14"/>
  <c r="K667" i="14"/>
  <c r="AG667" i="14" s="1"/>
  <c r="H667" i="14"/>
  <c r="D666" i="14"/>
  <c r="C666" i="14"/>
  <c r="AM663" i="14"/>
  <c r="AL663" i="14"/>
  <c r="AK663" i="14"/>
  <c r="AJ663" i="14"/>
  <c r="AH663" i="14"/>
  <c r="AG663" i="14"/>
  <c r="Y663" i="14"/>
  <c r="R663" i="14"/>
  <c r="K663" i="14"/>
  <c r="W663" i="14" s="1"/>
  <c r="AO662" i="14"/>
  <c r="AN662" i="14"/>
  <c r="AM662" i="14"/>
  <c r="AL662" i="14"/>
  <c r="AK662" i="14"/>
  <c r="AJ662" i="14"/>
  <c r="AH662" i="14"/>
  <c r="AG662" i="14"/>
  <c r="H662" i="14"/>
  <c r="H663" i="14" s="1"/>
  <c r="D663" i="14" s="1"/>
  <c r="AO661" i="14"/>
  <c r="AN661" i="14"/>
  <c r="AM661" i="14"/>
  <c r="AL661" i="14"/>
  <c r="AK661" i="14"/>
  <c r="AJ661" i="14"/>
  <c r="AH661" i="14"/>
  <c r="AG661" i="14"/>
  <c r="H661" i="14"/>
  <c r="AL659" i="14"/>
  <c r="AG659" i="14"/>
  <c r="AO658" i="14"/>
  <c r="AN658" i="14"/>
  <c r="AM658" i="14"/>
  <c r="AM659" i="14" s="1"/>
  <c r="AL658" i="14"/>
  <c r="AK658" i="14"/>
  <c r="AJ658" i="14"/>
  <c r="AG658" i="14"/>
  <c r="U658" i="14"/>
  <c r="AI658" i="14" s="1"/>
  <c r="R658" i="14"/>
  <c r="AH658" i="14" s="1"/>
  <c r="K658" i="14"/>
  <c r="H658" i="14"/>
  <c r="AO657" i="14"/>
  <c r="AO659" i="14" s="1"/>
  <c r="AN657" i="14"/>
  <c r="AN659" i="14" s="1"/>
  <c r="AM657" i="14"/>
  <c r="AL657" i="14"/>
  <c r="AK657" i="14"/>
  <c r="AK659" i="14" s="1"/>
  <c r="AJ657" i="14"/>
  <c r="AJ659" i="14" s="1"/>
  <c r="AH657" i="14"/>
  <c r="U657" i="14"/>
  <c r="R657" i="14"/>
  <c r="K657" i="14"/>
  <c r="K659" i="14" s="1"/>
  <c r="H657" i="14"/>
  <c r="AO655" i="14"/>
  <c r="AN655" i="14"/>
  <c r="AM655" i="14"/>
  <c r="AL655" i="14"/>
  <c r="AK655" i="14"/>
  <c r="AJ655" i="14"/>
  <c r="AI655" i="14"/>
  <c r="AG655" i="14"/>
  <c r="U655" i="14"/>
  <c r="R655" i="14"/>
  <c r="AH655" i="14" s="1"/>
  <c r="K655" i="14"/>
  <c r="H655" i="14"/>
  <c r="D654" i="14"/>
  <c r="C654" i="14"/>
  <c r="D652" i="14"/>
  <c r="AO646" i="14"/>
  <c r="AN646" i="14"/>
  <c r="AM646" i="14"/>
  <c r="AL646" i="14"/>
  <c r="AK646" i="14"/>
  <c r="AJ646" i="14"/>
  <c r="AI646" i="14"/>
  <c r="AH646" i="14"/>
  <c r="U646" i="14"/>
  <c r="R646" i="14"/>
  <c r="K646" i="14"/>
  <c r="AG646" i="14" s="1"/>
  <c r="H646" i="14"/>
  <c r="D645" i="14"/>
  <c r="C645" i="14"/>
  <c r="AM642" i="14"/>
  <c r="AL642" i="14"/>
  <c r="AK642" i="14"/>
  <c r="AJ642" i="14"/>
  <c r="AH642" i="14"/>
  <c r="AG642" i="14"/>
  <c r="Y642" i="14"/>
  <c r="R642" i="14"/>
  <c r="K642" i="14"/>
  <c r="W642" i="14" s="1"/>
  <c r="AO641" i="14"/>
  <c r="AN641" i="14"/>
  <c r="AM641" i="14"/>
  <c r="AL641" i="14"/>
  <c r="AK641" i="14"/>
  <c r="AJ641" i="14"/>
  <c r="AH641" i="14"/>
  <c r="AG641" i="14"/>
  <c r="H641" i="14"/>
  <c r="AO640" i="14"/>
  <c r="AN640" i="14"/>
  <c r="AM640" i="14"/>
  <c r="AL640" i="14"/>
  <c r="AK640" i="14"/>
  <c r="AJ640" i="14"/>
  <c r="AH640" i="14"/>
  <c r="AG640" i="14"/>
  <c r="H640" i="14"/>
  <c r="H642" i="14" s="1"/>
  <c r="D642" i="14" s="1"/>
  <c r="AN638" i="14"/>
  <c r="AK638" i="14"/>
  <c r="AO637" i="14"/>
  <c r="AN637" i="14"/>
  <c r="AM637" i="14"/>
  <c r="AL637" i="14"/>
  <c r="AL638" i="14" s="1"/>
  <c r="AK637" i="14"/>
  <c r="AJ637" i="14"/>
  <c r="U637" i="14"/>
  <c r="AI637" i="14" s="1"/>
  <c r="R637" i="14"/>
  <c r="AH637" i="14" s="1"/>
  <c r="K637" i="14"/>
  <c r="AG637" i="14" s="1"/>
  <c r="H637" i="14"/>
  <c r="AO636" i="14"/>
  <c r="AO638" i="14" s="1"/>
  <c r="AN636" i="14"/>
  <c r="AM636" i="14"/>
  <c r="AM638" i="14" s="1"/>
  <c r="AL636" i="14"/>
  <c r="AK636" i="14"/>
  <c r="AJ636" i="14"/>
  <c r="AJ638" i="14" s="1"/>
  <c r="AG636" i="14"/>
  <c r="U636" i="14"/>
  <c r="AI636" i="14" s="1"/>
  <c r="R636" i="14"/>
  <c r="K636" i="14"/>
  <c r="H636" i="14"/>
  <c r="AO634" i="14"/>
  <c r="AN634" i="14"/>
  <c r="AM634" i="14"/>
  <c r="AL634" i="14"/>
  <c r="AK634" i="14"/>
  <c r="AJ634" i="14"/>
  <c r="AI634" i="14"/>
  <c r="U634" i="14"/>
  <c r="R634" i="14"/>
  <c r="AH634" i="14" s="1"/>
  <c r="K634" i="14"/>
  <c r="AG634" i="14" s="1"/>
  <c r="H634" i="14"/>
  <c r="D633" i="14"/>
  <c r="C633" i="14"/>
  <c r="D631" i="14"/>
  <c r="AO626" i="14"/>
  <c r="AN626" i="14"/>
  <c r="AM626" i="14"/>
  <c r="AL626" i="14"/>
  <c r="AK626" i="14"/>
  <c r="AJ626" i="14"/>
  <c r="AI626" i="14"/>
  <c r="AG626" i="14"/>
  <c r="U626" i="14"/>
  <c r="R626" i="14"/>
  <c r="AH626" i="14" s="1"/>
  <c r="K626" i="14"/>
  <c r="H626" i="14"/>
  <c r="D625" i="14"/>
  <c r="C625" i="14"/>
  <c r="AM622" i="14"/>
  <c r="Y622" i="14"/>
  <c r="R622" i="14"/>
  <c r="AO621" i="14"/>
  <c r="AN621" i="14"/>
  <c r="AM621" i="14"/>
  <c r="AL621" i="14"/>
  <c r="AK621" i="14"/>
  <c r="AJ621" i="14"/>
  <c r="AG621" i="14"/>
  <c r="R621" i="14"/>
  <c r="AH621" i="14" s="1"/>
  <c r="K621" i="14"/>
  <c r="H621" i="14"/>
  <c r="AO620" i="14"/>
  <c r="AN620" i="14"/>
  <c r="AM620" i="14"/>
  <c r="AL620" i="14"/>
  <c r="AK620" i="14"/>
  <c r="AJ620" i="14"/>
  <c r="R620" i="14"/>
  <c r="K620" i="14"/>
  <c r="H620" i="14"/>
  <c r="AM618" i="14"/>
  <c r="AJ618" i="14"/>
  <c r="R618" i="14"/>
  <c r="AH618" i="14" s="1"/>
  <c r="AO617" i="14"/>
  <c r="AO618" i="14" s="1"/>
  <c r="AN617" i="14"/>
  <c r="AM617" i="14"/>
  <c r="AL617" i="14"/>
  <c r="AK617" i="14"/>
  <c r="AK618" i="14" s="1"/>
  <c r="AJ617" i="14"/>
  <c r="AI617" i="14"/>
  <c r="AH617" i="14"/>
  <c r="U617" i="14"/>
  <c r="R617" i="14"/>
  <c r="K617" i="14"/>
  <c r="AG617" i="14" s="1"/>
  <c r="H617" i="14"/>
  <c r="AO616" i="14"/>
  <c r="AN616" i="14"/>
  <c r="AN618" i="14" s="1"/>
  <c r="AM616" i="14"/>
  <c r="AL616" i="14"/>
  <c r="AK616" i="14"/>
  <c r="AJ616" i="14"/>
  <c r="AI616" i="14"/>
  <c r="AH616" i="14"/>
  <c r="U616" i="14"/>
  <c r="U618" i="14" s="1"/>
  <c r="AI618" i="14" s="1"/>
  <c r="R616" i="14"/>
  <c r="K616" i="14"/>
  <c r="H616" i="14"/>
  <c r="AO614" i="14"/>
  <c r="AN614" i="14"/>
  <c r="AM614" i="14"/>
  <c r="AL614" i="14"/>
  <c r="AK614" i="14"/>
  <c r="AJ614" i="14"/>
  <c r="AI614" i="14"/>
  <c r="AH614" i="14"/>
  <c r="U614" i="14"/>
  <c r="R614" i="14"/>
  <c r="K614" i="14"/>
  <c r="AG614" i="14" s="1"/>
  <c r="H614" i="14"/>
  <c r="D613" i="14"/>
  <c r="C613" i="14"/>
  <c r="D611" i="14"/>
  <c r="AO606" i="14"/>
  <c r="AN606" i="14"/>
  <c r="AM606" i="14"/>
  <c r="AL606" i="14"/>
  <c r="AK606" i="14"/>
  <c r="AJ606" i="14"/>
  <c r="AH606" i="14"/>
  <c r="U606" i="14"/>
  <c r="AI606" i="14" s="1"/>
  <c r="R606" i="14"/>
  <c r="K606" i="14"/>
  <c r="AG606" i="14" s="1"/>
  <c r="H606" i="14"/>
  <c r="D605" i="14"/>
  <c r="C605" i="14"/>
  <c r="B605" i="14"/>
  <c r="AM602" i="14"/>
  <c r="AL602" i="14"/>
  <c r="AK602" i="14"/>
  <c r="AJ602" i="14"/>
  <c r="AH602" i="14"/>
  <c r="AG602" i="14"/>
  <c r="Y602" i="14"/>
  <c r="W602" i="14"/>
  <c r="R602" i="14"/>
  <c r="K602" i="14"/>
  <c r="H602" i="14"/>
  <c r="D602" i="14" s="1"/>
  <c r="AO601" i="14"/>
  <c r="AN601" i="14"/>
  <c r="AM601" i="14"/>
  <c r="AL601" i="14"/>
  <c r="AK601" i="14"/>
  <c r="AJ601" i="14"/>
  <c r="AH601" i="14"/>
  <c r="AG601" i="14"/>
  <c r="H601" i="14"/>
  <c r="AO600" i="14"/>
  <c r="AN600" i="14"/>
  <c r="AM600" i="14"/>
  <c r="AL600" i="14"/>
  <c r="AK600" i="14"/>
  <c r="AJ600" i="14"/>
  <c r="AH600" i="14"/>
  <c r="AG600" i="14"/>
  <c r="H600" i="14"/>
  <c r="AO598" i="14"/>
  <c r="AJ598" i="14"/>
  <c r="R598" i="14"/>
  <c r="AH598" i="14" s="1"/>
  <c r="AO597" i="14"/>
  <c r="AN597" i="14"/>
  <c r="AM597" i="14"/>
  <c r="AL597" i="14"/>
  <c r="AK597" i="14"/>
  <c r="AK598" i="14" s="1"/>
  <c r="AJ597" i="14"/>
  <c r="AI597" i="14"/>
  <c r="U597" i="14"/>
  <c r="R597" i="14"/>
  <c r="AH597" i="14" s="1"/>
  <c r="K597" i="14"/>
  <c r="AG597" i="14" s="1"/>
  <c r="H597" i="14"/>
  <c r="AO596" i="14"/>
  <c r="AN596" i="14"/>
  <c r="AN598" i="14" s="1"/>
  <c r="AM596" i="14"/>
  <c r="AM598" i="14" s="1"/>
  <c r="AL596" i="14"/>
  <c r="AK596" i="14"/>
  <c r="AJ596" i="14"/>
  <c r="U596" i="14"/>
  <c r="R596" i="14"/>
  <c r="AH596" i="14" s="1"/>
  <c r="K596" i="14"/>
  <c r="H596" i="14"/>
  <c r="AO594" i="14"/>
  <c r="AN594" i="14"/>
  <c r="AM594" i="14"/>
  <c r="AL594" i="14"/>
  <c r="AK594" i="14"/>
  <c r="AJ594" i="14"/>
  <c r="AI594" i="14"/>
  <c r="AH594" i="14"/>
  <c r="AG594" i="14"/>
  <c r="D593" i="14"/>
  <c r="C593" i="14"/>
  <c r="B593" i="14"/>
  <c r="D591" i="14"/>
  <c r="AO586" i="14"/>
  <c r="AN586" i="14"/>
  <c r="AM586" i="14"/>
  <c r="AL586" i="14"/>
  <c r="AK586" i="14"/>
  <c r="AJ586" i="14"/>
  <c r="AI586" i="14"/>
  <c r="U586" i="14"/>
  <c r="R586" i="14"/>
  <c r="AH586" i="14" s="1"/>
  <c r="K586" i="14"/>
  <c r="AG586" i="14" s="1"/>
  <c r="H586" i="14"/>
  <c r="D585" i="14"/>
  <c r="C585" i="14"/>
  <c r="B585" i="14"/>
  <c r="AM582" i="14"/>
  <c r="AL582" i="14"/>
  <c r="AK582" i="14"/>
  <c r="AJ582" i="14"/>
  <c r="AH582" i="14"/>
  <c r="AG582" i="14"/>
  <c r="R582" i="14"/>
  <c r="Y582" i="14" s="1"/>
  <c r="K582" i="14"/>
  <c r="W582" i="14" s="1"/>
  <c r="AO581" i="14"/>
  <c r="AN581" i="14"/>
  <c r="AM581" i="14"/>
  <c r="AL581" i="14"/>
  <c r="AK581" i="14"/>
  <c r="AJ581" i="14"/>
  <c r="AH581" i="14"/>
  <c r="AG581" i="14"/>
  <c r="H581" i="14"/>
  <c r="AO580" i="14"/>
  <c r="AN580" i="14"/>
  <c r="AM580" i="14"/>
  <c r="AL580" i="14"/>
  <c r="AK580" i="14"/>
  <c r="AJ580" i="14"/>
  <c r="AH580" i="14"/>
  <c r="AG580" i="14"/>
  <c r="H580" i="14"/>
  <c r="AM578" i="14"/>
  <c r="R578" i="14"/>
  <c r="AH578" i="14" s="1"/>
  <c r="AO577" i="14"/>
  <c r="AN577" i="14"/>
  <c r="AM577" i="14"/>
  <c r="AL577" i="14"/>
  <c r="AK577" i="14"/>
  <c r="AJ577" i="14"/>
  <c r="AG577" i="14"/>
  <c r="U577" i="14"/>
  <c r="AI577" i="14" s="1"/>
  <c r="R577" i="14"/>
  <c r="AH577" i="14" s="1"/>
  <c r="K577" i="14"/>
  <c r="H577" i="14"/>
  <c r="AO576" i="14"/>
  <c r="AO578" i="14" s="1"/>
  <c r="AN576" i="14"/>
  <c r="AN578" i="14" s="1"/>
  <c r="AM576" i="14"/>
  <c r="AL576" i="14"/>
  <c r="AL578" i="14" s="1"/>
  <c r="AK576" i="14"/>
  <c r="AK578" i="14" s="1"/>
  <c r="AJ576" i="14"/>
  <c r="AJ578" i="14" s="1"/>
  <c r="AH576" i="14"/>
  <c r="U576" i="14"/>
  <c r="U578" i="14" s="1"/>
  <c r="AI578" i="14" s="1"/>
  <c r="R576" i="14"/>
  <c r="K576" i="14"/>
  <c r="H576" i="14"/>
  <c r="AO574" i="14"/>
  <c r="AN574" i="14"/>
  <c r="AM574" i="14"/>
  <c r="AL574" i="14"/>
  <c r="AK574" i="14"/>
  <c r="AJ574" i="14"/>
  <c r="AG574" i="14"/>
  <c r="U574" i="14"/>
  <c r="AI574" i="14" s="1"/>
  <c r="R574" i="14"/>
  <c r="AH574" i="14" s="1"/>
  <c r="K574" i="14"/>
  <c r="H574" i="14"/>
  <c r="D573" i="14"/>
  <c r="C573" i="14"/>
  <c r="B573" i="14"/>
  <c r="D571" i="14"/>
  <c r="AO566" i="14"/>
  <c r="AN566" i="14"/>
  <c r="AM566" i="14"/>
  <c r="AL566" i="14"/>
  <c r="AK566" i="14"/>
  <c r="AJ566" i="14"/>
  <c r="AG566" i="14"/>
  <c r="U566" i="14"/>
  <c r="AI566" i="14" s="1"/>
  <c r="R566" i="14"/>
  <c r="AH566" i="14" s="1"/>
  <c r="K566" i="14"/>
  <c r="H566" i="14"/>
  <c r="B566" i="14"/>
  <c r="D565" i="14"/>
  <c r="C565" i="14"/>
  <c r="B565" i="14"/>
  <c r="AM561" i="14"/>
  <c r="AL561" i="14"/>
  <c r="AK561" i="14"/>
  <c r="AJ561" i="14"/>
  <c r="AH561" i="14"/>
  <c r="H561" i="14"/>
  <c r="G561" i="14"/>
  <c r="AO561" i="14" s="1"/>
  <c r="F561" i="14"/>
  <c r="R561" i="14" s="1"/>
  <c r="D561" i="14"/>
  <c r="C561" i="14"/>
  <c r="AM560" i="14"/>
  <c r="AL560" i="14"/>
  <c r="AK560" i="14"/>
  <c r="AJ560" i="14"/>
  <c r="R560" i="14"/>
  <c r="G560" i="14"/>
  <c r="F560" i="14"/>
  <c r="D560" i="14"/>
  <c r="C560" i="14"/>
  <c r="AO558" i="14"/>
  <c r="AJ558" i="14"/>
  <c r="R558" i="14"/>
  <c r="AH558" i="14" s="1"/>
  <c r="AO557" i="14"/>
  <c r="AN557" i="14"/>
  <c r="AM557" i="14"/>
  <c r="AL557" i="14"/>
  <c r="AK557" i="14"/>
  <c r="AK558" i="14" s="1"/>
  <c r="AJ557" i="14"/>
  <c r="AI557" i="14"/>
  <c r="AH557" i="14"/>
  <c r="U557" i="14"/>
  <c r="R557" i="14"/>
  <c r="K557" i="14"/>
  <c r="AG557" i="14" s="1"/>
  <c r="H557" i="14"/>
  <c r="AO556" i="14"/>
  <c r="AN556" i="14"/>
  <c r="AN558" i="14" s="1"/>
  <c r="AM556" i="14"/>
  <c r="AM558" i="14" s="1"/>
  <c r="AL556" i="14"/>
  <c r="AK556" i="14"/>
  <c r="AJ556" i="14"/>
  <c r="AH556" i="14"/>
  <c r="U556" i="14"/>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G524" i="14"/>
  <c r="U524" i="14"/>
  <c r="R524" i="14"/>
  <c r="AH524" i="14" s="1"/>
  <c r="K524" i="14"/>
  <c r="H524" i="14"/>
  <c r="D523" i="14"/>
  <c r="C523" i="14"/>
  <c r="B523" i="14"/>
  <c r="D519" i="14"/>
  <c r="C519" i="14"/>
  <c r="B519" i="14"/>
  <c r="AO518" i="14"/>
  <c r="AN518" i="14"/>
  <c r="AM518" i="14"/>
  <c r="AL518" i="14"/>
  <c r="AK518" i="14"/>
  <c r="AJ518" i="14"/>
  <c r="AH518" i="14"/>
  <c r="AG518" i="14"/>
  <c r="R518" i="14"/>
  <c r="K518" i="14"/>
  <c r="AL516" i="14"/>
  <c r="AH516" i="14"/>
  <c r="AO515" i="14"/>
  <c r="AN515" i="14"/>
  <c r="AM515" i="14"/>
  <c r="AL515" i="14"/>
  <c r="AK515" i="14"/>
  <c r="AJ515" i="14"/>
  <c r="AI515" i="14"/>
  <c r="AG515" i="14"/>
  <c r="U515" i="14"/>
  <c r="R515" i="14"/>
  <c r="AH515" i="14" s="1"/>
  <c r="K515" i="14"/>
  <c r="H515" i="14"/>
  <c r="AO514" i="14"/>
  <c r="AO516" i="14" s="1"/>
  <c r="AN514" i="14"/>
  <c r="AN516" i="14" s="1"/>
  <c r="AM514" i="14"/>
  <c r="AM516" i="14" s="1"/>
  <c r="AL514" i="14"/>
  <c r="AK514" i="14"/>
  <c r="AK516" i="14" s="1"/>
  <c r="AJ514" i="14"/>
  <c r="AJ516" i="14" s="1"/>
  <c r="AH514" i="14"/>
  <c r="U514" i="14"/>
  <c r="U516" i="14" s="1"/>
  <c r="AI516" i="14" s="1"/>
  <c r="R514" i="14"/>
  <c r="R516" i="14" s="1"/>
  <c r="K514" i="14"/>
  <c r="H514" i="14"/>
  <c r="D512" i="14"/>
  <c r="C512" i="14"/>
  <c r="B512" i="14"/>
  <c r="D511" i="14"/>
  <c r="C511" i="14"/>
  <c r="B511" i="14"/>
  <c r="D509" i="14"/>
  <c r="R506" i="14"/>
  <c r="Y506" i="14" s="1"/>
  <c r="AO505" i="14"/>
  <c r="AN505" i="14"/>
  <c r="AN506" i="14" s="1"/>
  <c r="AM505" i="14"/>
  <c r="AL505" i="14"/>
  <c r="AK505" i="14"/>
  <c r="AJ505" i="14"/>
  <c r="AJ506" i="14" s="1"/>
  <c r="AH505" i="14"/>
  <c r="U505" i="14"/>
  <c r="AI505" i="14" s="1"/>
  <c r="R505" i="14"/>
  <c r="K505" i="14"/>
  <c r="H506" i="14" s="1"/>
  <c r="H505" i="14"/>
  <c r="AO504" i="14"/>
  <c r="AN504" i="14"/>
  <c r="AM504" i="14"/>
  <c r="AL504" i="14"/>
  <c r="AK504" i="14"/>
  <c r="AJ504" i="14"/>
  <c r="AI504" i="14"/>
  <c r="AG504" i="14"/>
  <c r="U504" i="14"/>
  <c r="AI506" i="14" s="1"/>
  <c r="R504" i="14"/>
  <c r="AM506" i="14" s="1"/>
  <c r="K504" i="14"/>
  <c r="K506" i="14" s="1"/>
  <c r="W506" i="14" s="1"/>
  <c r="H504" i="14"/>
  <c r="AO500" i="14"/>
  <c r="AN500" i="14"/>
  <c r="AM500" i="14"/>
  <c r="AL500" i="14"/>
  <c r="AK500" i="14"/>
  <c r="AJ500" i="14"/>
  <c r="R500" i="14"/>
  <c r="AH500" i="14" s="1"/>
  <c r="K500" i="14"/>
  <c r="AG500" i="14" s="1"/>
  <c r="H500" i="14"/>
  <c r="D499" i="14"/>
  <c r="C499" i="14"/>
  <c r="B499" i="14"/>
  <c r="AL497" i="14"/>
  <c r="AO496" i="14"/>
  <c r="AN496" i="14"/>
  <c r="AM496" i="14"/>
  <c r="AL496" i="14"/>
  <c r="AK496" i="14"/>
  <c r="AJ496" i="14"/>
  <c r="AI496" i="14"/>
  <c r="AG496" i="14"/>
  <c r="U496" i="14"/>
  <c r="R496" i="14"/>
  <c r="AH496" i="14" s="1"/>
  <c r="K496" i="14"/>
  <c r="H496" i="14"/>
  <c r="AO495" i="14"/>
  <c r="AO497" i="14" s="1"/>
  <c r="AN495" i="14"/>
  <c r="AN497" i="14" s="1"/>
  <c r="AM495" i="14"/>
  <c r="AM497" i="14" s="1"/>
  <c r="AL495" i="14"/>
  <c r="AK495" i="14"/>
  <c r="AK497" i="14" s="1"/>
  <c r="AJ495" i="14"/>
  <c r="AJ497" i="14" s="1"/>
  <c r="AH495" i="14"/>
  <c r="U495" i="14"/>
  <c r="U497" i="14" s="1"/>
  <c r="AI497" i="14" s="1"/>
  <c r="R495" i="14"/>
  <c r="R497" i="14" s="1"/>
  <c r="AH497" i="14" s="1"/>
  <c r="K495" i="14"/>
  <c r="H495" i="14"/>
  <c r="D493" i="14"/>
  <c r="C493" i="14"/>
  <c r="B493" i="14"/>
  <c r="D492" i="14"/>
  <c r="C492" i="14"/>
  <c r="B492" i="14"/>
  <c r="D490" i="14"/>
  <c r="AN487" i="14"/>
  <c r="R487" i="14"/>
  <c r="Y487" i="14" s="1"/>
  <c r="AO486" i="14"/>
  <c r="AN486" i="14"/>
  <c r="AM486" i="14"/>
  <c r="AL486" i="14"/>
  <c r="AK486" i="14"/>
  <c r="AJ486" i="14"/>
  <c r="AJ487" i="14" s="1"/>
  <c r="AH486" i="14"/>
  <c r="U486" i="14"/>
  <c r="AI486" i="14" s="1"/>
  <c r="R486" i="14"/>
  <c r="K486" i="14"/>
  <c r="H487" i="14" s="1"/>
  <c r="H486" i="14"/>
  <c r="AO485" i="14"/>
  <c r="AN485" i="14"/>
  <c r="AM485" i="14"/>
  <c r="AL485" i="14"/>
  <c r="AK485" i="14"/>
  <c r="AJ485" i="14"/>
  <c r="AI485" i="14"/>
  <c r="AG485" i="14"/>
  <c r="U485" i="14"/>
  <c r="AI487" i="14" s="1"/>
  <c r="R485" i="14"/>
  <c r="AM487" i="14" s="1"/>
  <c r="K485" i="14"/>
  <c r="K487" i="14" s="1"/>
  <c r="W487" i="14" s="1"/>
  <c r="H485" i="14"/>
  <c r="AO481" i="14"/>
  <c r="AN481" i="14"/>
  <c r="AM481" i="14"/>
  <c r="AL481" i="14"/>
  <c r="AK481" i="14"/>
  <c r="AJ481" i="14"/>
  <c r="AH481" i="14"/>
  <c r="R481" i="14"/>
  <c r="K481" i="14"/>
  <c r="AG481" i="14" s="1"/>
  <c r="H481" i="14"/>
  <c r="D480" i="14"/>
  <c r="C480" i="14"/>
  <c r="B480" i="14"/>
  <c r="AO477" i="14"/>
  <c r="AN477" i="14"/>
  <c r="AM477" i="14"/>
  <c r="AL477" i="14"/>
  <c r="AK477" i="14"/>
  <c r="AJ477" i="14"/>
  <c r="AI477" i="14"/>
  <c r="AG477" i="14"/>
  <c r="U477" i="14"/>
  <c r="R477" i="14"/>
  <c r="AH477" i="14" s="1"/>
  <c r="K477" i="14"/>
  <c r="H477" i="14"/>
  <c r="D476" i="14"/>
  <c r="C476" i="14"/>
  <c r="B476" i="14"/>
  <c r="AO474" i="14"/>
  <c r="AN474" i="14"/>
  <c r="AM474" i="14"/>
  <c r="AL474" i="14"/>
  <c r="AK474" i="14"/>
  <c r="AJ474" i="14"/>
  <c r="AH474" i="14"/>
  <c r="U474" i="14"/>
  <c r="AI474" i="14" s="1"/>
  <c r="R474" i="14"/>
  <c r="K474" i="14"/>
  <c r="AG474" i="14" s="1"/>
  <c r="H474" i="14"/>
  <c r="D473" i="14"/>
  <c r="C473" i="14"/>
  <c r="B473" i="14"/>
  <c r="D471" i="14"/>
  <c r="AO467" i="14"/>
  <c r="AN467" i="14"/>
  <c r="AM467" i="14"/>
  <c r="AL467" i="14"/>
  <c r="AK467" i="14"/>
  <c r="AJ467" i="14"/>
  <c r="AH467" i="14"/>
  <c r="U467" i="14"/>
  <c r="AI467" i="14" s="1"/>
  <c r="R467" i="14"/>
  <c r="K467" i="14"/>
  <c r="AG467" i="14" s="1"/>
  <c r="H467" i="14"/>
  <c r="D466" i="14"/>
  <c r="C466" i="14"/>
  <c r="B466" i="14"/>
  <c r="AO462" i="14"/>
  <c r="AN462" i="14"/>
  <c r="AM462" i="14"/>
  <c r="AL462" i="14"/>
  <c r="AK462" i="14"/>
  <c r="AJ462" i="14"/>
  <c r="AH462" i="14"/>
  <c r="R462" i="14"/>
  <c r="K462" i="14"/>
  <c r="AG462" i="14" s="1"/>
  <c r="H462" i="14"/>
  <c r="D461" i="14"/>
  <c r="C461" i="14"/>
  <c r="B461" i="14"/>
  <c r="AO459" i="14"/>
  <c r="K459" i="14"/>
  <c r="AG459" i="14" s="1"/>
  <c r="AO458" i="14"/>
  <c r="AN458" i="14"/>
  <c r="AM458" i="14"/>
  <c r="AL458" i="14"/>
  <c r="AK458" i="14"/>
  <c r="AJ458" i="14"/>
  <c r="AG458" i="14"/>
  <c r="U458" i="14"/>
  <c r="AI458" i="14" s="1"/>
  <c r="R458" i="14"/>
  <c r="AH458" i="14" s="1"/>
  <c r="K458" i="14"/>
  <c r="H458" i="14"/>
  <c r="AO457" i="14"/>
  <c r="AN457" i="14"/>
  <c r="AN459" i="14" s="1"/>
  <c r="AM457" i="14"/>
  <c r="AM459" i="14" s="1"/>
  <c r="AL457" i="14"/>
  <c r="AL459" i="14" s="1"/>
  <c r="AK457" i="14"/>
  <c r="AK459" i="14" s="1"/>
  <c r="AJ457" i="14"/>
  <c r="AJ459" i="14" s="1"/>
  <c r="AH457" i="14"/>
  <c r="U457" i="14"/>
  <c r="AI457" i="14" s="1"/>
  <c r="R457" i="14"/>
  <c r="K457" i="14"/>
  <c r="H459" i="14" s="1"/>
  <c r="H457" i="14"/>
  <c r="D455" i="14"/>
  <c r="C455" i="14"/>
  <c r="B455" i="14"/>
  <c r="D454" i="14"/>
  <c r="C454" i="14"/>
  <c r="B454" i="14"/>
  <c r="D452" i="14"/>
  <c r="AO448" i="14"/>
  <c r="AN448" i="14"/>
  <c r="AM448" i="14"/>
  <c r="AL448" i="14"/>
  <c r="AK448" i="14"/>
  <c r="AJ448" i="14"/>
  <c r="AI448" i="14"/>
  <c r="AH448" i="14"/>
  <c r="U448" i="14"/>
  <c r="R448" i="14"/>
  <c r="K448" i="14"/>
  <c r="AG448" i="14" s="1"/>
  <c r="H448" i="14"/>
  <c r="D447" i="14"/>
  <c r="C447" i="14"/>
  <c r="B447" i="14"/>
  <c r="AO443" i="14"/>
  <c r="AN443" i="14"/>
  <c r="AM443" i="14"/>
  <c r="AL443" i="14"/>
  <c r="AK443" i="14"/>
  <c r="AJ443" i="14"/>
  <c r="AH443" i="14"/>
  <c r="AG443" i="14"/>
  <c r="H443" i="14"/>
  <c r="D442" i="14"/>
  <c r="C442" i="14"/>
  <c r="B442" i="14"/>
  <c r="AO440" i="14"/>
  <c r="K440" i="14"/>
  <c r="AG440" i="14" s="1"/>
  <c r="AO439" i="14"/>
  <c r="AN439" i="14"/>
  <c r="AM439" i="14"/>
  <c r="AL439" i="14"/>
  <c r="AK439" i="14"/>
  <c r="AJ439" i="14"/>
  <c r="AG439" i="14"/>
  <c r="U439" i="14"/>
  <c r="AI439" i="14" s="1"/>
  <c r="R439" i="14"/>
  <c r="AH439" i="14" s="1"/>
  <c r="K439" i="14"/>
  <c r="H439" i="14"/>
  <c r="AO438" i="14"/>
  <c r="AN438" i="14"/>
  <c r="AN440" i="14" s="1"/>
  <c r="AM438" i="14"/>
  <c r="AM440" i="14" s="1"/>
  <c r="AL438" i="14"/>
  <c r="AL440" i="14" s="1"/>
  <c r="AK438" i="14"/>
  <c r="AK440" i="14" s="1"/>
  <c r="AJ438" i="14"/>
  <c r="AJ440" i="14" s="1"/>
  <c r="AH438" i="14"/>
  <c r="U438" i="14"/>
  <c r="AI438" i="14" s="1"/>
  <c r="R438" i="14"/>
  <c r="K438" i="14"/>
  <c r="H440" i="14" s="1"/>
  <c r="H438" i="14"/>
  <c r="AO436" i="14"/>
  <c r="AN436" i="14"/>
  <c r="AM436" i="14"/>
  <c r="AL436" i="14"/>
  <c r="AK436" i="14"/>
  <c r="AJ436" i="14"/>
  <c r="AH436" i="14"/>
  <c r="U436" i="14"/>
  <c r="AI436" i="14" s="1"/>
  <c r="R436" i="14"/>
  <c r="K436" i="14"/>
  <c r="AG436" i="14" s="1"/>
  <c r="H436" i="14"/>
  <c r="D435" i="14"/>
  <c r="C435" i="14"/>
  <c r="B435" i="14"/>
  <c r="D433" i="14"/>
  <c r="AO429" i="14"/>
  <c r="AN429" i="14"/>
  <c r="AM429" i="14"/>
  <c r="AL429" i="14"/>
  <c r="AK429" i="14"/>
  <c r="AJ429" i="14"/>
  <c r="AH429" i="14"/>
  <c r="AG429" i="14"/>
  <c r="U429" i="14"/>
  <c r="AI429" i="14" s="1"/>
  <c r="R429" i="14"/>
  <c r="K429" i="14"/>
  <c r="H429" i="14"/>
  <c r="D428" i="14"/>
  <c r="C428" i="14"/>
  <c r="B428" i="14"/>
  <c r="AO424" i="14"/>
  <c r="AN424" i="14"/>
  <c r="AM424" i="14"/>
  <c r="AL424" i="14"/>
  <c r="AK424" i="14"/>
  <c r="AJ424" i="14"/>
  <c r="AI424" i="14"/>
  <c r="R424" i="14"/>
  <c r="AH424" i="14" s="1"/>
  <c r="K424" i="14"/>
  <c r="AG424" i="14" s="1"/>
  <c r="H424" i="14"/>
  <c r="AI423" i="14"/>
  <c r="D423" i="14"/>
  <c r="C423" i="14"/>
  <c r="B423" i="14"/>
  <c r="D420" i="14"/>
  <c r="C420" i="14"/>
  <c r="B420" i="14"/>
  <c r="D419" i="14"/>
  <c r="C419" i="14"/>
  <c r="B419" i="14"/>
  <c r="D418" i="14"/>
  <c r="C418" i="14"/>
  <c r="B418" i="14"/>
  <c r="AO416" i="14"/>
  <c r="AN416" i="14"/>
  <c r="AM416" i="14"/>
  <c r="AL416" i="14"/>
  <c r="AK416" i="14"/>
  <c r="AJ416" i="14"/>
  <c r="AI416" i="14"/>
  <c r="AH416" i="14"/>
  <c r="AG416" i="14"/>
  <c r="U416" i="14"/>
  <c r="R416" i="14"/>
  <c r="K416" i="14"/>
  <c r="H416" i="14"/>
  <c r="D415" i="14"/>
  <c r="C415" i="14"/>
  <c r="B415" i="14"/>
  <c r="D413" i="14"/>
  <c r="AO409" i="14"/>
  <c r="AN409" i="14"/>
  <c r="AM409" i="14"/>
  <c r="AL409" i="14"/>
  <c r="AK409" i="14"/>
  <c r="AJ409" i="14"/>
  <c r="AI409" i="14"/>
  <c r="AH409" i="14"/>
  <c r="AG409" i="14"/>
  <c r="U409" i="14"/>
  <c r="R409" i="14"/>
  <c r="K409" i="14"/>
  <c r="H409" i="14"/>
  <c r="D408" i="14"/>
  <c r="C408" i="14"/>
  <c r="B408" i="14"/>
  <c r="AI405" i="14"/>
  <c r="AI404" i="14"/>
  <c r="D404" i="14"/>
  <c r="C404" i="14"/>
  <c r="B404" i="14"/>
  <c r="AI403" i="14"/>
  <c r="D403" i="14"/>
  <c r="C403" i="14"/>
  <c r="B403" i="14"/>
  <c r="AI402" i="14"/>
  <c r="D402" i="14"/>
  <c r="C402" i="14"/>
  <c r="B402" i="14"/>
  <c r="AL400" i="14"/>
  <c r="AO399" i="14"/>
  <c r="AN399" i="14"/>
  <c r="AM399" i="14"/>
  <c r="AL399" i="14"/>
  <c r="AK399" i="14"/>
  <c r="AJ399" i="14"/>
  <c r="AI399" i="14"/>
  <c r="AH399" i="14"/>
  <c r="AG399" i="14"/>
  <c r="U399" i="14"/>
  <c r="R399" i="14"/>
  <c r="K399" i="14"/>
  <c r="H399" i="14"/>
  <c r="AO398" i="14"/>
  <c r="AO400" i="14" s="1"/>
  <c r="AN398" i="14"/>
  <c r="AN400" i="14" s="1"/>
  <c r="AM398" i="14"/>
  <c r="AM400" i="14" s="1"/>
  <c r="AL398" i="14"/>
  <c r="AK398" i="14"/>
  <c r="AK400" i="14" s="1"/>
  <c r="AJ398" i="14"/>
  <c r="AJ400" i="14" s="1"/>
  <c r="AI398" i="14"/>
  <c r="AH398" i="14"/>
  <c r="U398" i="14"/>
  <c r="U400" i="14" s="1"/>
  <c r="AI400" i="14" s="1"/>
  <c r="R398" i="14"/>
  <c r="R400" i="14" s="1"/>
  <c r="AH400" i="14" s="1"/>
  <c r="K398" i="14"/>
  <c r="H398" i="14"/>
  <c r="AO396" i="14"/>
  <c r="AN396" i="14"/>
  <c r="AM396" i="14"/>
  <c r="AL396" i="14"/>
  <c r="AK396" i="14"/>
  <c r="AJ396" i="14"/>
  <c r="AI396" i="14"/>
  <c r="AH396" i="14"/>
  <c r="U396" i="14"/>
  <c r="R396" i="14"/>
  <c r="K396" i="14"/>
  <c r="AG396" i="14" s="1"/>
  <c r="H396" i="14"/>
  <c r="D395" i="14"/>
  <c r="C395" i="14"/>
  <c r="B395" i="14"/>
  <c r="D393" i="14"/>
  <c r="H390" i="14"/>
  <c r="AO389" i="14"/>
  <c r="AN389" i="14"/>
  <c r="AM389" i="14"/>
  <c r="AL389" i="14"/>
  <c r="AL390" i="14" s="1"/>
  <c r="AK389" i="14"/>
  <c r="AJ389" i="14"/>
  <c r="AI389" i="14"/>
  <c r="AH389" i="14"/>
  <c r="U389" i="14"/>
  <c r="R389" i="14"/>
  <c r="K389" i="14"/>
  <c r="H389" i="14"/>
  <c r="AO388" i="14"/>
  <c r="AN388" i="14"/>
  <c r="AM388" i="14"/>
  <c r="AL388" i="14"/>
  <c r="AK388" i="14"/>
  <c r="AJ388" i="14"/>
  <c r="AI388" i="14"/>
  <c r="AG388" i="14"/>
  <c r="U388" i="14"/>
  <c r="AO390" i="14" s="1"/>
  <c r="R388" i="14"/>
  <c r="K388" i="14"/>
  <c r="AK390" i="14" s="1"/>
  <c r="H388" i="14"/>
  <c r="AO384" i="14"/>
  <c r="AN384" i="14"/>
  <c r="AM384" i="14"/>
  <c r="AL384" i="14"/>
  <c r="AK384" i="14"/>
  <c r="AJ384" i="14"/>
  <c r="AH384" i="14"/>
  <c r="AG384" i="14"/>
  <c r="R384" i="14"/>
  <c r="K384" i="14"/>
  <c r="H384" i="14"/>
  <c r="D383" i="14"/>
  <c r="C383" i="14"/>
  <c r="B383" i="14"/>
  <c r="AM381" i="14"/>
  <c r="AO380" i="14"/>
  <c r="AN380" i="14"/>
  <c r="AM380" i="14"/>
  <c r="AL380" i="14"/>
  <c r="AK380" i="14"/>
  <c r="AJ380" i="14"/>
  <c r="AI380" i="14"/>
  <c r="U380" i="14"/>
  <c r="R380" i="14"/>
  <c r="AH380" i="14" s="1"/>
  <c r="K380" i="14"/>
  <c r="H380" i="14"/>
  <c r="AO379" i="14"/>
  <c r="AO381" i="14" s="1"/>
  <c r="AN379" i="14"/>
  <c r="AN381" i="14" s="1"/>
  <c r="AM379" i="14"/>
  <c r="AL379" i="14"/>
  <c r="AL381" i="14" s="1"/>
  <c r="AK379" i="14"/>
  <c r="AK381" i="14" s="1"/>
  <c r="AJ379" i="14"/>
  <c r="AJ381" i="14" s="1"/>
  <c r="AG379" i="14"/>
  <c r="U379" i="14"/>
  <c r="AI379" i="14" s="1"/>
  <c r="R379" i="14"/>
  <c r="AH379" i="14" s="1"/>
  <c r="K379" i="14"/>
  <c r="K381" i="14" s="1"/>
  <c r="AG381" i="14" s="1"/>
  <c r="H379" i="14"/>
  <c r="AO377" i="14"/>
  <c r="AN377" i="14"/>
  <c r="AM377" i="14"/>
  <c r="AL377" i="14"/>
  <c r="AK377" i="14"/>
  <c r="AJ377" i="14"/>
  <c r="AG377" i="14"/>
  <c r="U377" i="14"/>
  <c r="AI377" i="14" s="1"/>
  <c r="R377" i="14"/>
  <c r="AH377" i="14" s="1"/>
  <c r="K377" i="14"/>
  <c r="H377" i="14"/>
  <c r="D376" i="14"/>
  <c r="C376" i="14"/>
  <c r="B376" i="14"/>
  <c r="D374" i="14"/>
  <c r="K371" i="14"/>
  <c r="W371" i="14" s="1"/>
  <c r="AO370" i="14"/>
  <c r="AN370" i="14"/>
  <c r="AM370" i="14"/>
  <c r="AL370" i="14"/>
  <c r="AK370" i="14"/>
  <c r="AJ370" i="14"/>
  <c r="AG370" i="14"/>
  <c r="U370" i="14"/>
  <c r="AI370" i="14" s="1"/>
  <c r="R370" i="14"/>
  <c r="AH370" i="14" s="1"/>
  <c r="K370" i="14"/>
  <c r="H370" i="14"/>
  <c r="AO369" i="14"/>
  <c r="AN369" i="14"/>
  <c r="AM369" i="14"/>
  <c r="AL369" i="14"/>
  <c r="AK369" i="14"/>
  <c r="AJ369" i="14"/>
  <c r="AJ371" i="14" s="1"/>
  <c r="AH369" i="14"/>
  <c r="AG369" i="14"/>
  <c r="U369" i="14"/>
  <c r="R369" i="14"/>
  <c r="AL371" i="14" s="1"/>
  <c r="K369" i="14"/>
  <c r="H371" i="14" s="1"/>
  <c r="H369" i="14"/>
  <c r="AO365" i="14"/>
  <c r="AN365" i="14"/>
  <c r="AM365" i="14"/>
  <c r="AL365" i="14"/>
  <c r="AK365" i="14"/>
  <c r="AJ365" i="14"/>
  <c r="AH365" i="14"/>
  <c r="R365" i="14"/>
  <c r="K365" i="14"/>
  <c r="AG365" i="14" s="1"/>
  <c r="H365" i="14"/>
  <c r="D364" i="14"/>
  <c r="C364" i="14"/>
  <c r="B364" i="14"/>
  <c r="AL362" i="14"/>
  <c r="AH362" i="14"/>
  <c r="AG362" i="14"/>
  <c r="K362" i="14"/>
  <c r="AO361" i="14"/>
  <c r="AN361" i="14"/>
  <c r="AM361" i="14"/>
  <c r="AL361" i="14"/>
  <c r="AK361" i="14"/>
  <c r="AJ361" i="14"/>
  <c r="AH361" i="14"/>
  <c r="AG361" i="14"/>
  <c r="U361" i="14"/>
  <c r="AI361" i="14" s="1"/>
  <c r="R361" i="14"/>
  <c r="K361" i="14"/>
  <c r="H361" i="14"/>
  <c r="AO360" i="14"/>
  <c r="AO362" i="14" s="1"/>
  <c r="AN360" i="14"/>
  <c r="AN362" i="14" s="1"/>
  <c r="AM360" i="14"/>
  <c r="AM362" i="14" s="1"/>
  <c r="AL360" i="14"/>
  <c r="AK360" i="14"/>
  <c r="AK362" i="14" s="1"/>
  <c r="AJ360" i="14"/>
  <c r="AJ362" i="14" s="1"/>
  <c r="AI360" i="14"/>
  <c r="AH360" i="14"/>
  <c r="AG360" i="14"/>
  <c r="U360" i="14"/>
  <c r="R360" i="14"/>
  <c r="R362" i="14" s="1"/>
  <c r="K360" i="14"/>
  <c r="H362" i="14" s="1"/>
  <c r="H360" i="14"/>
  <c r="AO358" i="14"/>
  <c r="AN358" i="14"/>
  <c r="AM358" i="14"/>
  <c r="AL358" i="14"/>
  <c r="AK358" i="14"/>
  <c r="AJ358" i="14"/>
  <c r="AI358" i="14"/>
  <c r="AH358" i="14"/>
  <c r="AG358" i="14"/>
  <c r="U358" i="14"/>
  <c r="R358" i="14"/>
  <c r="K358" i="14"/>
  <c r="H358" i="14"/>
  <c r="D357" i="14"/>
  <c r="C357" i="14"/>
  <c r="B357" i="14"/>
  <c r="D355" i="14"/>
  <c r="U352" i="14"/>
  <c r="AA352" i="14" s="1"/>
  <c r="AO351" i="14"/>
  <c r="AO352" i="14" s="1"/>
  <c r="AN351" i="14"/>
  <c r="AM351" i="14"/>
  <c r="AL351" i="14"/>
  <c r="AK351" i="14"/>
  <c r="AK352" i="14" s="1"/>
  <c r="AJ351" i="14"/>
  <c r="AI351" i="14"/>
  <c r="AH351" i="14"/>
  <c r="AG351" i="14"/>
  <c r="U351" i="14"/>
  <c r="R351" i="14"/>
  <c r="K351" i="14"/>
  <c r="H351" i="14"/>
  <c r="AO350" i="14"/>
  <c r="AN350" i="14"/>
  <c r="AM350" i="14"/>
  <c r="AL350" i="14"/>
  <c r="AL352" i="14" s="1"/>
  <c r="AK350" i="14"/>
  <c r="AJ350" i="14"/>
  <c r="AI350" i="14"/>
  <c r="AH350" i="14"/>
  <c r="U350" i="14"/>
  <c r="AN352" i="14" s="1"/>
  <c r="R350" i="14"/>
  <c r="AH352" i="14" s="1"/>
  <c r="K350" i="14"/>
  <c r="H350" i="14"/>
  <c r="D346" i="14"/>
  <c r="C346" i="14"/>
  <c r="D345" i="14"/>
  <c r="C345" i="14"/>
  <c r="B345" i="14"/>
  <c r="AO342" i="14"/>
  <c r="AN342" i="14"/>
  <c r="AM342" i="14"/>
  <c r="AL342" i="14"/>
  <c r="AK342" i="14"/>
  <c r="AJ342" i="14"/>
  <c r="AI342" i="14"/>
  <c r="AG342" i="14"/>
  <c r="U342" i="14"/>
  <c r="R342" i="14"/>
  <c r="AH342" i="14" s="1"/>
  <c r="K342" i="14"/>
  <c r="H342" i="14"/>
  <c r="D341" i="14"/>
  <c r="C341" i="14"/>
  <c r="B341" i="14"/>
  <c r="D339" i="14"/>
  <c r="C339" i="14"/>
  <c r="B339" i="14"/>
  <c r="D338" i="14"/>
  <c r="C338" i="14"/>
  <c r="B338" i="14"/>
  <c r="D336" i="14"/>
  <c r="AO332" i="14"/>
  <c r="AN332" i="14"/>
  <c r="AM332" i="14"/>
  <c r="AL332" i="14"/>
  <c r="AK332" i="14"/>
  <c r="AJ332" i="14"/>
  <c r="AH332" i="14"/>
  <c r="U332" i="14"/>
  <c r="AI332" i="14" s="1"/>
  <c r="R332" i="14"/>
  <c r="K332" i="14"/>
  <c r="AG332" i="14" s="1"/>
  <c r="H332" i="14"/>
  <c r="D331" i="14"/>
  <c r="C331" i="14"/>
  <c r="B331" i="14"/>
  <c r="AO327" i="14"/>
  <c r="AN327" i="14"/>
  <c r="AM327" i="14"/>
  <c r="AL327" i="14"/>
  <c r="AK327" i="14"/>
  <c r="AJ327" i="14"/>
  <c r="AH327" i="14"/>
  <c r="R327" i="14"/>
  <c r="K327" i="14"/>
  <c r="AG327" i="14" s="1"/>
  <c r="H327" i="14"/>
  <c r="D326" i="14"/>
  <c r="C326" i="14"/>
  <c r="B326" i="14"/>
  <c r="AO323" i="14"/>
  <c r="AN323" i="14"/>
  <c r="AM323" i="14"/>
  <c r="AL323" i="14"/>
  <c r="AK323" i="14"/>
  <c r="AJ323" i="14"/>
  <c r="AG323" i="14"/>
  <c r="U323" i="14"/>
  <c r="AI323" i="14" s="1"/>
  <c r="R323" i="14"/>
  <c r="AH323" i="14" s="1"/>
  <c r="K323" i="14"/>
  <c r="H323" i="14"/>
  <c r="D322" i="14"/>
  <c r="C322" i="14"/>
  <c r="B322" i="14"/>
  <c r="AO320" i="14"/>
  <c r="AN320" i="14"/>
  <c r="AM320" i="14"/>
  <c r="AL320" i="14"/>
  <c r="AK320" i="14"/>
  <c r="AJ320" i="14"/>
  <c r="U320" i="14"/>
  <c r="AI320" i="14" s="1"/>
  <c r="R320" i="14"/>
  <c r="AH320" i="14" s="1"/>
  <c r="K320" i="14"/>
  <c r="AG320" i="14" s="1"/>
  <c r="H320" i="14"/>
  <c r="D319" i="14"/>
  <c r="C319" i="14"/>
  <c r="B319" i="14"/>
  <c r="D317" i="14"/>
  <c r="R314" i="14"/>
  <c r="Y314" i="14" s="1"/>
  <c r="K314" i="14"/>
  <c r="W314" i="14" s="1"/>
  <c r="AO313" i="14"/>
  <c r="AN313" i="14"/>
  <c r="AM313" i="14"/>
  <c r="AL313" i="14"/>
  <c r="AK313" i="14"/>
  <c r="AJ313" i="14"/>
  <c r="AJ314" i="14" s="1"/>
  <c r="U313" i="14"/>
  <c r="AN314" i="14" s="1"/>
  <c r="R313" i="14"/>
  <c r="AH313" i="14" s="1"/>
  <c r="K313" i="14"/>
  <c r="H314" i="14" s="1"/>
  <c r="H313" i="14"/>
  <c r="AO312" i="14"/>
  <c r="AN312" i="14"/>
  <c r="AM312" i="14"/>
  <c r="AL312" i="14"/>
  <c r="AK312" i="14"/>
  <c r="AJ312" i="14"/>
  <c r="AG312" i="14"/>
  <c r="U312" i="14"/>
  <c r="AI312" i="14" s="1"/>
  <c r="R312" i="14"/>
  <c r="AL314" i="14" s="1"/>
  <c r="K312" i="14"/>
  <c r="AK314" i="14" s="1"/>
  <c r="H312" i="14"/>
  <c r="D308" i="14"/>
  <c r="C308" i="14"/>
  <c r="B308" i="14"/>
  <c r="D307" i="14"/>
  <c r="C307" i="14"/>
  <c r="B307" i="14"/>
  <c r="AO304" i="14"/>
  <c r="AN304" i="14"/>
  <c r="AM304" i="14"/>
  <c r="AL304" i="14"/>
  <c r="AK304" i="14"/>
  <c r="AJ304" i="14"/>
  <c r="AI304" i="14"/>
  <c r="U304" i="14"/>
  <c r="R304" i="14"/>
  <c r="AH304" i="14" s="1"/>
  <c r="K304" i="14"/>
  <c r="AG304" i="14" s="1"/>
  <c r="H304" i="14"/>
  <c r="D303" i="14"/>
  <c r="C303" i="14"/>
  <c r="B303" i="14"/>
  <c r="D301" i="14"/>
  <c r="C301" i="14"/>
  <c r="B301" i="14"/>
  <c r="D300" i="14"/>
  <c r="C300" i="14"/>
  <c r="B300" i="14"/>
  <c r="D298" i="14"/>
  <c r="K295" i="14"/>
  <c r="W295" i="14" s="1"/>
  <c r="AO294" i="14"/>
  <c r="AN294" i="14"/>
  <c r="AM294" i="14"/>
  <c r="AL294" i="14"/>
  <c r="AK294" i="14"/>
  <c r="AJ294" i="14"/>
  <c r="U294" i="14"/>
  <c r="AI294" i="14" s="1"/>
  <c r="R294" i="14"/>
  <c r="AH294" i="14" s="1"/>
  <c r="K294" i="14"/>
  <c r="AG294" i="14" s="1"/>
  <c r="H294" i="14"/>
  <c r="AO293" i="14"/>
  <c r="AN293" i="14"/>
  <c r="AM293" i="14"/>
  <c r="AL293" i="14"/>
  <c r="AK293" i="14"/>
  <c r="AJ293" i="14"/>
  <c r="AJ295" i="14" s="1"/>
  <c r="AG293" i="14"/>
  <c r="U293" i="14"/>
  <c r="R293" i="14"/>
  <c r="AL295" i="14" s="1"/>
  <c r="K293" i="14"/>
  <c r="H295" i="14" s="1"/>
  <c r="B293" i="14"/>
  <c r="D289" i="14"/>
  <c r="C289" i="14"/>
  <c r="B289" i="14"/>
  <c r="D288" i="14"/>
  <c r="C288" i="14"/>
  <c r="B288" i="14"/>
  <c r="AO285" i="14"/>
  <c r="AN285" i="14"/>
  <c r="AM285" i="14"/>
  <c r="AL285" i="14"/>
  <c r="AK285" i="14"/>
  <c r="AJ285" i="14"/>
  <c r="AI285" i="14"/>
  <c r="AH285" i="14"/>
  <c r="U285" i="14"/>
  <c r="R285" i="14"/>
  <c r="K285" i="14"/>
  <c r="AG285" i="14" s="1"/>
  <c r="H285" i="14"/>
  <c r="D284" i="14"/>
  <c r="C284" i="14"/>
  <c r="B284" i="14"/>
  <c r="D282" i="14"/>
  <c r="C282" i="14"/>
  <c r="B282" i="14"/>
  <c r="D281" i="14"/>
  <c r="C281" i="14"/>
  <c r="B281" i="14"/>
  <c r="D279" i="14"/>
  <c r="AO275" i="14"/>
  <c r="AN275" i="14"/>
  <c r="AM275" i="14"/>
  <c r="AL275" i="14"/>
  <c r="AK275" i="14"/>
  <c r="AJ275" i="14"/>
  <c r="AI275" i="14"/>
  <c r="U275" i="14"/>
  <c r="R275" i="14"/>
  <c r="AH275" i="14" s="1"/>
  <c r="K275" i="14"/>
  <c r="AG275" i="14" s="1"/>
  <c r="H275" i="14"/>
  <c r="AO274" i="14"/>
  <c r="AN274" i="14"/>
  <c r="AM274" i="14"/>
  <c r="AL274" i="14"/>
  <c r="AK274" i="14"/>
  <c r="AJ274" i="14"/>
  <c r="AI274" i="14"/>
  <c r="AG274" i="14"/>
  <c r="U274" i="14"/>
  <c r="R274" i="14"/>
  <c r="K274" i="14"/>
  <c r="AK276" i="14" s="1"/>
  <c r="H274" i="14"/>
  <c r="D270" i="14"/>
  <c r="C270" i="14"/>
  <c r="B270" i="14"/>
  <c r="D269" i="14"/>
  <c r="C269" i="14"/>
  <c r="B269" i="14"/>
  <c r="AO266" i="14"/>
  <c r="AN266" i="14"/>
  <c r="AM266" i="14"/>
  <c r="AL266" i="14"/>
  <c r="AK266" i="14"/>
  <c r="AJ266" i="14"/>
  <c r="AI266" i="14"/>
  <c r="AH266" i="14"/>
  <c r="AG266" i="14"/>
  <c r="U266" i="14"/>
  <c r="R266" i="14"/>
  <c r="K266" i="14"/>
  <c r="H266" i="14"/>
  <c r="D265" i="14"/>
  <c r="C265" i="14"/>
  <c r="B265" i="14"/>
  <c r="AO263" i="14"/>
  <c r="AN263" i="14"/>
  <c r="AM263" i="14"/>
  <c r="AL263" i="14"/>
  <c r="AK263" i="14"/>
  <c r="AJ263" i="14"/>
  <c r="AG263" i="14"/>
  <c r="U263" i="14"/>
  <c r="AI263" i="14" s="1"/>
  <c r="R263" i="14"/>
  <c r="AH263" i="14" s="1"/>
  <c r="K263" i="14"/>
  <c r="H263" i="14"/>
  <c r="D262" i="14"/>
  <c r="C262" i="14"/>
  <c r="B262" i="14"/>
  <c r="D260" i="14"/>
  <c r="R257" i="14"/>
  <c r="Y257" i="14" s="1"/>
  <c r="AO256" i="14"/>
  <c r="AN256" i="14"/>
  <c r="AM256" i="14"/>
  <c r="AL256" i="14"/>
  <c r="AK256" i="14"/>
  <c r="AJ256" i="14"/>
  <c r="AG256" i="14"/>
  <c r="U256" i="14"/>
  <c r="AN257" i="14" s="1"/>
  <c r="R256" i="14"/>
  <c r="AH256" i="14" s="1"/>
  <c r="K256" i="14"/>
  <c r="H256" i="14"/>
  <c r="AO255" i="14"/>
  <c r="AN255" i="14"/>
  <c r="AM255" i="14"/>
  <c r="AL255" i="14"/>
  <c r="AK255" i="14"/>
  <c r="AJ255" i="14"/>
  <c r="AH255" i="14"/>
  <c r="U255" i="14"/>
  <c r="R255" i="14"/>
  <c r="AM257" i="14" s="1"/>
  <c r="K255" i="14"/>
  <c r="AJ257" i="14" s="1"/>
  <c r="H255" i="14"/>
  <c r="D251" i="14"/>
  <c r="C251" i="14"/>
  <c r="B251" i="14"/>
  <c r="D250" i="14"/>
  <c r="C250" i="14"/>
  <c r="B250" i="14"/>
  <c r="AO247" i="14"/>
  <c r="AN247" i="14"/>
  <c r="AM247" i="14"/>
  <c r="AL247" i="14"/>
  <c r="AK247" i="14"/>
  <c r="AJ247" i="14"/>
  <c r="U247" i="14"/>
  <c r="AI247" i="14" s="1"/>
  <c r="R247" i="14"/>
  <c r="AH247" i="14" s="1"/>
  <c r="K247" i="14"/>
  <c r="AG247" i="14" s="1"/>
  <c r="H247" i="14"/>
  <c r="AO246" i="14"/>
  <c r="AO248" i="14" s="1"/>
  <c r="AN246" i="14"/>
  <c r="AN248" i="14" s="1"/>
  <c r="AM246" i="14"/>
  <c r="AM248" i="14" s="1"/>
  <c r="AL246" i="14"/>
  <c r="AL248" i="14" s="1"/>
  <c r="AK246" i="14"/>
  <c r="AK248" i="14" s="1"/>
  <c r="AJ246" i="14"/>
  <c r="AJ248" i="14" s="1"/>
  <c r="AG246" i="14"/>
  <c r="U246" i="14"/>
  <c r="U248" i="14" s="1"/>
  <c r="AI248" i="14" s="1"/>
  <c r="R246" i="14"/>
  <c r="R248" i="14" s="1"/>
  <c r="AH248" i="14" s="1"/>
  <c r="K246" i="14"/>
  <c r="K248" i="14" s="1"/>
  <c r="AG248" i="14" s="1"/>
  <c r="H246" i="14"/>
  <c r="H248" i="14" s="1"/>
  <c r="AO244" i="14"/>
  <c r="AN244" i="14"/>
  <c r="AM244" i="14"/>
  <c r="AL244" i="14"/>
  <c r="AK244" i="14"/>
  <c r="AJ244" i="14"/>
  <c r="AG244" i="14"/>
  <c r="U244" i="14"/>
  <c r="AI244" i="14" s="1"/>
  <c r="R244" i="14"/>
  <c r="AH244" i="14" s="1"/>
  <c r="K244" i="14"/>
  <c r="H244" i="14"/>
  <c r="D243" i="14"/>
  <c r="C243" i="14"/>
  <c r="B243" i="14"/>
  <c r="D241" i="14"/>
  <c r="R238" i="14"/>
  <c r="Y238" i="14" s="1"/>
  <c r="AO237" i="14"/>
  <c r="AN237" i="14"/>
  <c r="AM237" i="14"/>
  <c r="AL237" i="14"/>
  <c r="AK237" i="14"/>
  <c r="AJ237" i="14"/>
  <c r="AG237" i="14"/>
  <c r="U237" i="14"/>
  <c r="AN238" i="14" s="1"/>
  <c r="R237" i="14"/>
  <c r="AH237" i="14" s="1"/>
  <c r="K237" i="14"/>
  <c r="H237" i="14"/>
  <c r="AO236" i="14"/>
  <c r="AN236" i="14"/>
  <c r="AM236" i="14"/>
  <c r="AL236" i="14"/>
  <c r="AK236" i="14"/>
  <c r="AJ236" i="14"/>
  <c r="AH236" i="14"/>
  <c r="U236" i="14"/>
  <c r="R236" i="14"/>
  <c r="AM238" i="14" s="1"/>
  <c r="K236" i="14"/>
  <c r="AJ238" i="14" s="1"/>
  <c r="H236" i="14"/>
  <c r="AO232" i="14"/>
  <c r="AN232" i="14"/>
  <c r="AM232" i="14"/>
  <c r="AL232" i="14"/>
  <c r="AK232" i="14"/>
  <c r="AJ232" i="14"/>
  <c r="R232" i="14"/>
  <c r="AH232" i="14" s="1"/>
  <c r="K232" i="14"/>
  <c r="AG232" i="14" s="1"/>
  <c r="H232" i="14"/>
  <c r="D231" i="14"/>
  <c r="C231" i="14"/>
  <c r="B231" i="14"/>
  <c r="AO228" i="14"/>
  <c r="AN228" i="14"/>
  <c r="AM228" i="14"/>
  <c r="AL228" i="14"/>
  <c r="AK228" i="14"/>
  <c r="AJ228" i="14"/>
  <c r="AH228" i="14"/>
  <c r="U228" i="14"/>
  <c r="AI228" i="14" s="1"/>
  <c r="R228" i="14"/>
  <c r="K228" i="14"/>
  <c r="AG228" i="14" s="1"/>
  <c r="H228" i="14"/>
  <c r="D227" i="14"/>
  <c r="C227" i="14"/>
  <c r="B227" i="14"/>
  <c r="D225" i="14"/>
  <c r="C225" i="14"/>
  <c r="B225" i="14"/>
  <c r="D224" i="14"/>
  <c r="C224" i="14"/>
  <c r="B224" i="14"/>
  <c r="D222" i="14"/>
  <c r="AO218" i="14"/>
  <c r="AN218" i="14"/>
  <c r="AM218" i="14"/>
  <c r="AL218" i="14"/>
  <c r="AK218" i="14"/>
  <c r="AJ218" i="14"/>
  <c r="AI218" i="14"/>
  <c r="U218" i="14"/>
  <c r="R218" i="14"/>
  <c r="AH218" i="14" s="1"/>
  <c r="K218" i="14"/>
  <c r="AG218" i="14" s="1"/>
  <c r="H218" i="14"/>
  <c r="D217" i="14"/>
  <c r="C217" i="14"/>
  <c r="B217" i="14"/>
  <c r="AO213" i="14"/>
  <c r="AN213" i="14"/>
  <c r="AM213" i="14"/>
  <c r="AL213" i="14"/>
  <c r="AK213" i="14"/>
  <c r="AJ213" i="14"/>
  <c r="R213" i="14"/>
  <c r="AH213" i="14" s="1"/>
  <c r="K213" i="14"/>
  <c r="AG213" i="14" s="1"/>
  <c r="H213" i="14"/>
  <c r="D212" i="14"/>
  <c r="C212" i="14"/>
  <c r="B212" i="14"/>
  <c r="D209" i="14"/>
  <c r="C209" i="14"/>
  <c r="B209" i="14"/>
  <c r="D208" i="14"/>
  <c r="C208" i="14"/>
  <c r="B208" i="14"/>
  <c r="AO206" i="14"/>
  <c r="AN206" i="14"/>
  <c r="AM206" i="14"/>
  <c r="AL206" i="14"/>
  <c r="AK206" i="14"/>
  <c r="AJ206" i="14"/>
  <c r="AI206" i="14"/>
  <c r="U206" i="14"/>
  <c r="R206" i="14"/>
  <c r="AH206" i="14" s="1"/>
  <c r="K206" i="14"/>
  <c r="AG206" i="14" s="1"/>
  <c r="H206" i="14"/>
  <c r="D205" i="14"/>
  <c r="C205" i="14"/>
  <c r="B205" i="14"/>
  <c r="D203" i="14"/>
  <c r="AO199" i="14"/>
  <c r="AN199" i="14"/>
  <c r="AM199" i="14"/>
  <c r="AL199" i="14"/>
  <c r="AK199" i="14"/>
  <c r="AJ199" i="14"/>
  <c r="AI199" i="14"/>
  <c r="U199" i="14"/>
  <c r="R199" i="14"/>
  <c r="AH199" i="14" s="1"/>
  <c r="K199" i="14"/>
  <c r="AG199" i="14" s="1"/>
  <c r="H199" i="14"/>
  <c r="D198" i="14"/>
  <c r="C198" i="14"/>
  <c r="B198" i="14"/>
  <c r="D194" i="14"/>
  <c r="C194" i="14"/>
  <c r="B194" i="14"/>
  <c r="D193" i="14"/>
  <c r="C193" i="14"/>
  <c r="B193" i="14"/>
  <c r="AO190" i="14"/>
  <c r="AN190" i="14"/>
  <c r="AM190" i="14"/>
  <c r="AL190" i="14"/>
  <c r="AK190" i="14"/>
  <c r="AJ190" i="14"/>
  <c r="AG190" i="14"/>
  <c r="U190" i="14"/>
  <c r="AI190" i="14" s="1"/>
  <c r="R190" i="14"/>
  <c r="AH190" i="14" s="1"/>
  <c r="K190" i="14"/>
  <c r="H190" i="14"/>
  <c r="D189" i="14"/>
  <c r="C189" i="14"/>
  <c r="B189" i="14"/>
  <c r="AO187" i="14"/>
  <c r="AN187" i="14"/>
  <c r="AM187" i="14"/>
  <c r="AL187" i="14"/>
  <c r="AK187" i="14"/>
  <c r="AJ187" i="14"/>
  <c r="U187" i="14"/>
  <c r="AI187" i="14" s="1"/>
  <c r="R187" i="14"/>
  <c r="AH187" i="14" s="1"/>
  <c r="K187" i="14"/>
  <c r="AG187" i="14" s="1"/>
  <c r="H187" i="14"/>
  <c r="D186" i="14"/>
  <c r="C186" i="14"/>
  <c r="B186" i="14"/>
  <c r="D184" i="14"/>
  <c r="D180" i="14"/>
  <c r="C180" i="14"/>
  <c r="B180" i="14"/>
  <c r="AO179" i="14"/>
  <c r="AN179" i="14"/>
  <c r="AM179" i="14"/>
  <c r="AL179" i="14"/>
  <c r="AK179" i="14"/>
  <c r="AJ179" i="14"/>
  <c r="U179" i="14"/>
  <c r="R179" i="14"/>
  <c r="K179" i="14"/>
  <c r="H179" i="14"/>
  <c r="D175" i="14"/>
  <c r="C175" i="14"/>
  <c r="B175" i="14"/>
  <c r="D174" i="14"/>
  <c r="C174" i="14"/>
  <c r="B174" i="14"/>
  <c r="AO171" i="14"/>
  <c r="AN171" i="14"/>
  <c r="AM171" i="14"/>
  <c r="AL171" i="14"/>
  <c r="AK171" i="14"/>
  <c r="AJ171" i="14"/>
  <c r="AH171" i="14"/>
  <c r="U171" i="14"/>
  <c r="AI171" i="14" s="1"/>
  <c r="R171" i="14"/>
  <c r="K171" i="14"/>
  <c r="AG171" i="14" s="1"/>
  <c r="H171" i="14"/>
  <c r="AO170" i="14"/>
  <c r="AO172" i="14" s="1"/>
  <c r="AN170" i="14"/>
  <c r="AN172" i="14" s="1"/>
  <c r="AM170" i="14"/>
  <c r="AM172" i="14" s="1"/>
  <c r="AL170" i="14"/>
  <c r="AL172" i="14" s="1"/>
  <c r="AK170" i="14"/>
  <c r="AK172" i="14" s="1"/>
  <c r="AJ170" i="14"/>
  <c r="AJ172" i="14" s="1"/>
  <c r="AI170" i="14"/>
  <c r="U170" i="14"/>
  <c r="U172" i="14" s="1"/>
  <c r="AI172" i="14" s="1"/>
  <c r="R170" i="14"/>
  <c r="R172" i="14" s="1"/>
  <c r="AH172" i="14" s="1"/>
  <c r="K170" i="14"/>
  <c r="H172" i="14" s="1"/>
  <c r="H170" i="14"/>
  <c r="AO168" i="14"/>
  <c r="AN168" i="14"/>
  <c r="AM168" i="14"/>
  <c r="AL168" i="14"/>
  <c r="AK168" i="14"/>
  <c r="AJ168" i="14"/>
  <c r="AI168" i="14"/>
  <c r="AG168" i="14"/>
  <c r="U168" i="14"/>
  <c r="R168" i="14"/>
  <c r="AH168" i="14" s="1"/>
  <c r="K168" i="14"/>
  <c r="H168" i="14"/>
  <c r="D167" i="14"/>
  <c r="C167" i="14"/>
  <c r="B167" i="14"/>
  <c r="D165" i="14"/>
  <c r="U162" i="14"/>
  <c r="AA162" i="14" s="1"/>
  <c r="AO161" i="14"/>
  <c r="AO162" i="14" s="1"/>
  <c r="AN161" i="14"/>
  <c r="AM161" i="14"/>
  <c r="AL161" i="14"/>
  <c r="AK161" i="14"/>
  <c r="AK162" i="14" s="1"/>
  <c r="AJ161" i="14"/>
  <c r="AI161" i="14"/>
  <c r="AH161" i="14"/>
  <c r="AG161" i="14"/>
  <c r="U161" i="14"/>
  <c r="R161" i="14"/>
  <c r="K161" i="14"/>
  <c r="H161" i="14"/>
  <c r="AO160" i="14"/>
  <c r="AN160" i="14"/>
  <c r="AM160" i="14"/>
  <c r="AL160" i="14"/>
  <c r="AK160" i="14"/>
  <c r="AJ160" i="14"/>
  <c r="AI160" i="14"/>
  <c r="AH160" i="14"/>
  <c r="U160" i="14"/>
  <c r="AN162" i="14" s="1"/>
  <c r="R160" i="14"/>
  <c r="R162" i="14" s="1"/>
  <c r="Y162" i="14" s="1"/>
  <c r="K160" i="14"/>
  <c r="H160" i="14"/>
  <c r="AO156" i="14"/>
  <c r="AN156" i="14"/>
  <c r="AM156" i="14"/>
  <c r="AL156" i="14"/>
  <c r="AK156" i="14"/>
  <c r="AJ156" i="14"/>
  <c r="H156" i="14"/>
  <c r="AH155" i="14"/>
  <c r="R155" i="14"/>
  <c r="K155" i="14"/>
  <c r="D155" i="14"/>
  <c r="C155" i="14"/>
  <c r="B155" i="14"/>
  <c r="AC153" i="14"/>
  <c r="AO152" i="14"/>
  <c r="AO153" i="14" s="1"/>
  <c r="AN152" i="14"/>
  <c r="AM152" i="14"/>
  <c r="AL152" i="14"/>
  <c r="AL153" i="14" s="1"/>
  <c r="AK152" i="14"/>
  <c r="AK153" i="14" s="1"/>
  <c r="AJ152" i="14"/>
  <c r="AI152" i="14"/>
  <c r="AH152" i="14"/>
  <c r="U152" i="14"/>
  <c r="R152" i="14"/>
  <c r="K152" i="14"/>
  <c r="AG152" i="14" s="1"/>
  <c r="H152" i="14"/>
  <c r="AO151" i="14"/>
  <c r="AN151" i="14"/>
  <c r="AN153" i="14" s="1"/>
  <c r="AM151" i="14"/>
  <c r="AM153" i="14" s="1"/>
  <c r="AL151" i="14"/>
  <c r="AK151" i="14"/>
  <c r="AJ151" i="14"/>
  <c r="AJ153" i="14" s="1"/>
  <c r="AI151" i="14"/>
  <c r="AH151" i="14"/>
  <c r="U151" i="14"/>
  <c r="U153" i="14" s="1"/>
  <c r="AI153" i="14" s="1"/>
  <c r="R151" i="14"/>
  <c r="R153" i="14" s="1"/>
  <c r="AH153" i="14" s="1"/>
  <c r="K151" i="14"/>
  <c r="H151" i="14"/>
  <c r="D149" i="14"/>
  <c r="C149" i="14"/>
  <c r="B149" i="14"/>
  <c r="D148" i="14"/>
  <c r="C148" i="14"/>
  <c r="B148" i="14"/>
  <c r="D147" i="14"/>
  <c r="C147" i="14"/>
  <c r="B147" i="14"/>
  <c r="D145" i="14"/>
  <c r="AO141" i="14"/>
  <c r="AN141" i="14"/>
  <c r="AM141" i="14"/>
  <c r="AL141" i="14"/>
  <c r="AK141" i="14"/>
  <c r="AJ141" i="14"/>
  <c r="AI141" i="14"/>
  <c r="AG141" i="14"/>
  <c r="U141" i="14"/>
  <c r="R141" i="14"/>
  <c r="AH141" i="14" s="1"/>
  <c r="K141" i="14"/>
  <c r="H141" i="14"/>
  <c r="AO140" i="14"/>
  <c r="AN140" i="14"/>
  <c r="AM140" i="14"/>
  <c r="AL140" i="14"/>
  <c r="AK140" i="14"/>
  <c r="AJ140" i="14"/>
  <c r="AH140" i="14"/>
  <c r="AG140" i="14"/>
  <c r="U140" i="14"/>
  <c r="R140" i="14"/>
  <c r="AL142" i="14" s="1"/>
  <c r="K140" i="14"/>
  <c r="H140" i="14"/>
  <c r="AO136" i="14"/>
  <c r="AN136" i="14"/>
  <c r="AM136" i="14"/>
  <c r="AL136" i="14"/>
  <c r="AK136" i="14"/>
  <c r="AJ136" i="14"/>
  <c r="AH136" i="14"/>
  <c r="R136" i="14"/>
  <c r="K136" i="14"/>
  <c r="AG136" i="14" s="1"/>
  <c r="H136" i="14"/>
  <c r="D135" i="14"/>
  <c r="C135" i="14"/>
  <c r="B135" i="14"/>
  <c r="AO132" i="14"/>
  <c r="AN132" i="14"/>
  <c r="AM132" i="14"/>
  <c r="AL132" i="14"/>
  <c r="AK132" i="14"/>
  <c r="AJ132" i="14"/>
  <c r="AI132" i="14"/>
  <c r="AG132" i="14"/>
  <c r="U132" i="14"/>
  <c r="R132" i="14"/>
  <c r="AH132" i="14" s="1"/>
  <c r="K132" i="14"/>
  <c r="H132" i="14"/>
  <c r="AO131" i="14"/>
  <c r="AO133" i="14" s="1"/>
  <c r="AN131" i="14"/>
  <c r="AN133" i="14" s="1"/>
  <c r="AM131" i="14"/>
  <c r="AM133" i="14" s="1"/>
  <c r="AL131" i="14"/>
  <c r="AL133" i="14" s="1"/>
  <c r="AK131" i="14"/>
  <c r="AK133" i="14" s="1"/>
  <c r="AJ131" i="14"/>
  <c r="AJ133" i="14" s="1"/>
  <c r="AH131" i="14"/>
  <c r="U131" i="14"/>
  <c r="U133" i="14" s="1"/>
  <c r="AI133" i="14" s="1"/>
  <c r="R131" i="14"/>
  <c r="R133" i="14" s="1"/>
  <c r="AH133" i="14" s="1"/>
  <c r="K131" i="14"/>
  <c r="K133" i="14" s="1"/>
  <c r="AG133" i="14" s="1"/>
  <c r="H131" i="14"/>
  <c r="D129" i="14"/>
  <c r="C129" i="14"/>
  <c r="B129" i="14"/>
  <c r="D128" i="14"/>
  <c r="C128" i="14"/>
  <c r="B128" i="14"/>
  <c r="D126" i="14"/>
  <c r="AO122" i="14"/>
  <c r="AN122" i="14"/>
  <c r="AM122" i="14"/>
  <c r="AL122" i="14"/>
  <c r="AK122" i="14"/>
  <c r="AJ122" i="14"/>
  <c r="AH122" i="14"/>
  <c r="U122" i="14"/>
  <c r="AN123" i="14" s="1"/>
  <c r="R122" i="14"/>
  <c r="K122" i="14"/>
  <c r="H123" i="14" s="1"/>
  <c r="H122" i="14"/>
  <c r="AO121" i="14"/>
  <c r="AN121" i="14"/>
  <c r="AM121" i="14"/>
  <c r="AL121" i="14"/>
  <c r="AK121" i="14"/>
  <c r="AJ121" i="14"/>
  <c r="AI121" i="14"/>
  <c r="AG121" i="14"/>
  <c r="U121" i="14"/>
  <c r="R121" i="14"/>
  <c r="R123" i="14" s="1"/>
  <c r="Y123" i="14" s="1"/>
  <c r="K121" i="14"/>
  <c r="AJ123" i="14" s="1"/>
  <c r="H121" i="14"/>
  <c r="AO117" i="14"/>
  <c r="AN117" i="14"/>
  <c r="AM117" i="14"/>
  <c r="AL117" i="14"/>
  <c r="AK117" i="14"/>
  <c r="AJ117" i="14"/>
  <c r="AG117" i="14"/>
  <c r="R117" i="14"/>
  <c r="AH117" i="14" s="1"/>
  <c r="K117" i="14"/>
  <c r="H117" i="14"/>
  <c r="D116" i="14"/>
  <c r="C116" i="14"/>
  <c r="B116" i="14"/>
  <c r="AO113" i="14"/>
  <c r="AN113" i="14"/>
  <c r="AM113" i="14"/>
  <c r="AL113" i="14"/>
  <c r="AK113" i="14"/>
  <c r="AJ113" i="14"/>
  <c r="AI113" i="14"/>
  <c r="U113" i="14"/>
  <c r="R113" i="14"/>
  <c r="AH113" i="14" s="1"/>
  <c r="K113" i="14"/>
  <c r="AG113" i="14" s="1"/>
  <c r="H113" i="14"/>
  <c r="D112" i="14"/>
  <c r="C112" i="14"/>
  <c r="B112" i="14"/>
  <c r="AO110" i="14"/>
  <c r="AN110" i="14"/>
  <c r="AM110" i="14"/>
  <c r="AL110" i="14"/>
  <c r="AK110" i="14"/>
  <c r="AJ110" i="14"/>
  <c r="AH110" i="14"/>
  <c r="U110" i="14"/>
  <c r="AI110" i="14" s="1"/>
  <c r="R110" i="14"/>
  <c r="K110" i="14"/>
  <c r="AG110" i="14" s="1"/>
  <c r="H110" i="14"/>
  <c r="D109" i="14"/>
  <c r="C109" i="14"/>
  <c r="B109" i="14"/>
  <c r="D107" i="14"/>
  <c r="AO103" i="14"/>
  <c r="AN103" i="14"/>
  <c r="AM103" i="14"/>
  <c r="AL103" i="14"/>
  <c r="AK103" i="14"/>
  <c r="AJ103" i="14"/>
  <c r="AH103" i="14"/>
  <c r="U103" i="14"/>
  <c r="AI103" i="14" s="1"/>
  <c r="R103" i="14"/>
  <c r="K103" i="14"/>
  <c r="H104" i="14" s="1"/>
  <c r="H103" i="14"/>
  <c r="AO102" i="14"/>
  <c r="AN102" i="14"/>
  <c r="AM102" i="14"/>
  <c r="AL102" i="14"/>
  <c r="AK102" i="14"/>
  <c r="AJ102" i="14"/>
  <c r="AI102" i="14"/>
  <c r="U102" i="14"/>
  <c r="AN104" i="14" s="1"/>
  <c r="R102" i="14"/>
  <c r="R104" i="14" s="1"/>
  <c r="Y104" i="14" s="1"/>
  <c r="K102" i="14"/>
  <c r="AJ104" i="14" s="1"/>
  <c r="H102" i="14"/>
  <c r="AO98" i="14"/>
  <c r="AN98" i="14"/>
  <c r="AM98" i="14"/>
  <c r="AL98" i="14"/>
  <c r="AK98" i="14"/>
  <c r="AJ98" i="14"/>
  <c r="AG98" i="14"/>
  <c r="R98" i="14"/>
  <c r="AH98" i="14" s="1"/>
  <c r="K98" i="14"/>
  <c r="H98" i="14"/>
  <c r="D97" i="14"/>
  <c r="C97" i="14"/>
  <c r="B97" i="14"/>
  <c r="AO94" i="14"/>
  <c r="AN94" i="14"/>
  <c r="AM94" i="14"/>
  <c r="AL94" i="14"/>
  <c r="AK94" i="14"/>
  <c r="AJ94" i="14"/>
  <c r="AI94" i="14"/>
  <c r="U94" i="14"/>
  <c r="R94" i="14"/>
  <c r="AH94" i="14" s="1"/>
  <c r="K94" i="14"/>
  <c r="AG94" i="14" s="1"/>
  <c r="H94" i="14"/>
  <c r="AO93" i="14"/>
  <c r="AO95" i="14" s="1"/>
  <c r="AN93" i="14"/>
  <c r="AN95" i="14" s="1"/>
  <c r="AM93" i="14"/>
  <c r="AM95" i="14" s="1"/>
  <c r="AL93" i="14"/>
  <c r="AL95" i="14" s="1"/>
  <c r="AK93" i="14"/>
  <c r="AK95" i="14" s="1"/>
  <c r="AJ93" i="14"/>
  <c r="AJ95" i="14" s="1"/>
  <c r="U93" i="14"/>
  <c r="U95" i="14" s="1"/>
  <c r="AI95" i="14" s="1"/>
  <c r="R93" i="14"/>
  <c r="AH93" i="14" s="1"/>
  <c r="K93" i="14"/>
  <c r="K95" i="14" s="1"/>
  <c r="AG95" i="14" s="1"/>
  <c r="H93" i="14"/>
  <c r="AO91" i="14"/>
  <c r="AN91" i="14"/>
  <c r="AM91" i="14"/>
  <c r="AL91" i="14"/>
  <c r="AK91" i="14"/>
  <c r="AJ91" i="14"/>
  <c r="U91" i="14"/>
  <c r="AI91" i="14" s="1"/>
  <c r="R91" i="14"/>
  <c r="AH91" i="14" s="1"/>
  <c r="K91" i="14"/>
  <c r="AG91" i="14" s="1"/>
  <c r="H91" i="14"/>
  <c r="D90" i="14"/>
  <c r="C90" i="14"/>
  <c r="B90" i="14"/>
  <c r="D88" i="14"/>
  <c r="AO84" i="14"/>
  <c r="AN84" i="14"/>
  <c r="AM84" i="14"/>
  <c r="AL84" i="14"/>
  <c r="AK84" i="14"/>
  <c r="AJ84" i="14"/>
  <c r="AG84" i="14"/>
  <c r="U84" i="14"/>
  <c r="AI84" i="14" s="1"/>
  <c r="R84" i="14"/>
  <c r="AH84" i="14" s="1"/>
  <c r="K84" i="14"/>
  <c r="H84" i="14"/>
  <c r="AO83" i="14"/>
  <c r="AN83" i="14"/>
  <c r="AM83" i="14"/>
  <c r="AL83" i="14"/>
  <c r="AK83" i="14"/>
  <c r="AJ83" i="14"/>
  <c r="AH83" i="14"/>
  <c r="AG83" i="14"/>
  <c r="U83" i="14"/>
  <c r="AI83" i="14" s="1"/>
  <c r="R83" i="14"/>
  <c r="AL85" i="14" s="1"/>
  <c r="K83" i="14"/>
  <c r="H85" i="14" s="1"/>
  <c r="H83" i="14"/>
  <c r="AO79" i="14"/>
  <c r="AN79" i="14"/>
  <c r="AM79" i="14"/>
  <c r="AL79" i="14"/>
  <c r="AK79" i="14"/>
  <c r="AJ79" i="14"/>
  <c r="AH79" i="14"/>
  <c r="R79" i="14"/>
  <c r="K79" i="14"/>
  <c r="AG79" i="14" s="1"/>
  <c r="H79" i="14"/>
  <c r="D78" i="14"/>
  <c r="C78" i="14"/>
  <c r="B78" i="14"/>
  <c r="AO75" i="14"/>
  <c r="AN75" i="14"/>
  <c r="AM75" i="14"/>
  <c r="AL75" i="14"/>
  <c r="AK75" i="14"/>
  <c r="AJ75" i="14"/>
  <c r="AG75" i="14"/>
  <c r="U75" i="14"/>
  <c r="AI75" i="14" s="1"/>
  <c r="R75" i="14"/>
  <c r="AH75" i="14" s="1"/>
  <c r="K75" i="14"/>
  <c r="H75" i="14"/>
  <c r="AO74" i="14"/>
  <c r="AO76" i="14" s="1"/>
  <c r="AN74" i="14"/>
  <c r="AN76" i="14" s="1"/>
  <c r="AM74" i="14"/>
  <c r="AM76" i="14" s="1"/>
  <c r="AL74" i="14"/>
  <c r="AL76" i="14" s="1"/>
  <c r="AK74" i="14"/>
  <c r="AK76" i="14" s="1"/>
  <c r="AJ74" i="14"/>
  <c r="AJ76" i="14" s="1"/>
  <c r="AH74" i="14"/>
  <c r="U74" i="14"/>
  <c r="U76" i="14" s="1"/>
  <c r="AI76" i="14" s="1"/>
  <c r="R74" i="14"/>
  <c r="R76" i="14" s="1"/>
  <c r="AH76" i="14" s="1"/>
  <c r="K74" i="14"/>
  <c r="K76" i="14" s="1"/>
  <c r="AG76" i="14" s="1"/>
  <c r="H74" i="14"/>
  <c r="D72" i="14"/>
  <c r="C72" i="14"/>
  <c r="B72" i="14"/>
  <c r="D71" i="14"/>
  <c r="C71" i="14"/>
  <c r="B71" i="14"/>
  <c r="D69" i="14"/>
  <c r="K65" i="14"/>
  <c r="W65" i="14" s="1"/>
  <c r="AO64" i="14"/>
  <c r="AN64" i="14"/>
  <c r="AM64" i="14"/>
  <c r="AL64" i="14"/>
  <c r="AK64" i="14"/>
  <c r="AJ64" i="14"/>
  <c r="U64" i="14"/>
  <c r="AI64" i="14" s="1"/>
  <c r="R64" i="14"/>
  <c r="AH64" i="14" s="1"/>
  <c r="K64" i="14"/>
  <c r="AG64" i="14" s="1"/>
  <c r="H64" i="14"/>
  <c r="AO63" i="14"/>
  <c r="AN63" i="14"/>
  <c r="AM63" i="14"/>
  <c r="AL63" i="14"/>
  <c r="AK63" i="14"/>
  <c r="AJ63" i="14"/>
  <c r="AJ65" i="14" s="1"/>
  <c r="AG63" i="14"/>
  <c r="U63" i="14"/>
  <c r="AI63" i="14" s="1"/>
  <c r="R63" i="14"/>
  <c r="AL65" i="14" s="1"/>
  <c r="K63" i="14"/>
  <c r="H65" i="14" s="1"/>
  <c r="H63" i="14"/>
  <c r="D59" i="14"/>
  <c r="C59" i="14"/>
  <c r="B59" i="14"/>
  <c r="D58" i="14"/>
  <c r="C58" i="14"/>
  <c r="B58" i="14"/>
  <c r="AO55" i="14"/>
  <c r="AN55" i="14"/>
  <c r="AM55" i="14"/>
  <c r="AL55" i="14"/>
  <c r="AK55" i="14"/>
  <c r="AJ55" i="14"/>
  <c r="AI55" i="14"/>
  <c r="U55" i="14"/>
  <c r="R55" i="14"/>
  <c r="AH55" i="14" s="1"/>
  <c r="K55" i="14"/>
  <c r="AG55" i="14" s="1"/>
  <c r="H55" i="14"/>
  <c r="AO54" i="14"/>
  <c r="AO56" i="14" s="1"/>
  <c r="AN54" i="14"/>
  <c r="AN56" i="14" s="1"/>
  <c r="AM54" i="14"/>
  <c r="AM56" i="14" s="1"/>
  <c r="AL54" i="14"/>
  <c r="AL56" i="14" s="1"/>
  <c r="AK54" i="14"/>
  <c r="AK56" i="14" s="1"/>
  <c r="AJ54" i="14"/>
  <c r="AJ56" i="14" s="1"/>
  <c r="U54" i="14"/>
  <c r="U56" i="14" s="1"/>
  <c r="AI56" i="14" s="1"/>
  <c r="R54" i="14"/>
  <c r="AH54" i="14" s="1"/>
  <c r="K54" i="14"/>
  <c r="K56" i="14" s="1"/>
  <c r="AG56" i="14" s="1"/>
  <c r="H54" i="14"/>
  <c r="AO52" i="14"/>
  <c r="AN52" i="14"/>
  <c r="AM52" i="14"/>
  <c r="AL52" i="14"/>
  <c r="AK52" i="14"/>
  <c r="AJ52" i="14"/>
  <c r="U52" i="14"/>
  <c r="AI52" i="14" s="1"/>
  <c r="R52" i="14"/>
  <c r="AH52" i="14" s="1"/>
  <c r="K52" i="14"/>
  <c r="AG52" i="14" s="1"/>
  <c r="H52" i="14"/>
  <c r="D51" i="14"/>
  <c r="C51" i="14"/>
  <c r="B51" i="14"/>
  <c r="D49" i="14"/>
  <c r="AS45" i="14"/>
  <c r="AS44" i="14"/>
  <c r="AS43" i="14"/>
  <c r="AS42" i="14"/>
  <c r="AS41" i="14"/>
  <c r="AS40" i="14"/>
  <c r="AG40" i="14"/>
  <c r="AY39" i="14"/>
  <c r="AS39" i="14"/>
  <c r="AY38" i="14"/>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S23" i="14"/>
  <c r="AY22" i="14"/>
  <c r="AS22" i="14"/>
  <c r="AY21" i="14"/>
  <c r="AS21" i="14"/>
  <c r="AY20" i="14"/>
  <c r="AS20" i="14"/>
  <c r="AY19" i="14"/>
  <c r="AS19" i="14"/>
  <c r="AF19" i="14"/>
  <c r="AD19" i="14"/>
  <c r="AC19" i="14"/>
  <c r="AY18" i="14"/>
  <c r="AS18" i="14"/>
  <c r="AO18" i="14"/>
  <c r="AN18" i="14"/>
  <c r="AI18" i="14"/>
  <c r="AY17" i="14"/>
  <c r="AS17" i="14"/>
  <c r="AI17" i="14"/>
  <c r="AY16" i="14"/>
  <c r="AS16" i="14"/>
  <c r="AY15" i="14"/>
  <c r="AS15" i="14"/>
  <c r="AY14" i="14"/>
  <c r="AS14" i="14"/>
  <c r="AY13" i="14"/>
  <c r="AS13" i="14"/>
  <c r="AY12" i="14"/>
  <c r="AS12" i="14"/>
  <c r="AY11" i="14"/>
  <c r="AS11" i="14"/>
  <c r="AY10" i="14"/>
  <c r="AS10" i="14"/>
  <c r="C37" i="13"/>
  <c r="B37" i="13"/>
  <c r="C35" i="13"/>
  <c r="B35" i="13"/>
  <c r="C34" i="13"/>
  <c r="B34" i="13"/>
  <c r="C32" i="13"/>
  <c r="B32" i="13"/>
  <c r="C31" i="13"/>
  <c r="B31" i="13"/>
  <c r="C30" i="13"/>
  <c r="B30" i="13"/>
  <c r="C29" i="13"/>
  <c r="B29" i="13"/>
  <c r="C28" i="13"/>
  <c r="B28" i="13"/>
  <c r="C27" i="13"/>
  <c r="B27" i="13"/>
  <c r="C26" i="13"/>
  <c r="B26" i="13"/>
  <c r="C24" i="13"/>
  <c r="B24" i="13"/>
  <c r="C23" i="13"/>
  <c r="B23" i="13"/>
  <c r="C22" i="13"/>
  <c r="B22" i="13"/>
  <c r="C20" i="13"/>
  <c r="B20" i="13"/>
  <c r="C18" i="13"/>
  <c r="B18" i="13"/>
  <c r="C16" i="13"/>
  <c r="B16" i="13"/>
  <c r="C15" i="13"/>
  <c r="B15" i="13"/>
  <c r="T40" i="12"/>
  <c r="S40" i="12"/>
  <c r="AE39" i="12"/>
  <c r="AD39" i="12"/>
  <c r="AC39" i="12"/>
  <c r="AB39" i="12"/>
  <c r="AA39" i="12"/>
  <c r="Z39" i="12"/>
  <c r="Y39" i="12"/>
  <c r="X39" i="12"/>
  <c r="M39" i="12"/>
  <c r="N36" i="12"/>
  <c r="B36" i="12"/>
  <c r="N35" i="12"/>
  <c r="B33" i="12"/>
  <c r="B32" i="12"/>
  <c r="B31" i="12"/>
  <c r="B27" i="12"/>
  <c r="B25" i="12"/>
  <c r="B20" i="12"/>
  <c r="B19" i="12"/>
  <c r="B18" i="12"/>
  <c r="AH17" i="12"/>
  <c r="AH16" i="12"/>
  <c r="AG17" i="12" s="1"/>
  <c r="AG16" i="12"/>
  <c r="K38" i="12" s="1"/>
  <c r="D531" i="7" s="1"/>
  <c r="B16" i="12"/>
  <c r="AH15" i="12"/>
  <c r="AH14" i="12"/>
  <c r="I38" i="12" s="1"/>
  <c r="D529" i="7" s="1"/>
  <c r="B14" i="12"/>
  <c r="B13" i="12"/>
  <c r="H55" i="11"/>
  <c r="C52" i="11"/>
  <c r="B52" i="11"/>
  <c r="C51" i="11"/>
  <c r="B51" i="11"/>
  <c r="C50" i="11"/>
  <c r="B50" i="11"/>
  <c r="C49" i="11"/>
  <c r="B49" i="11"/>
  <c r="R25" i="11" s="1"/>
  <c r="N491" i="7" s="1"/>
  <c r="C47" i="11"/>
  <c r="B47" i="11"/>
  <c r="C46" i="11"/>
  <c r="B46" i="11"/>
  <c r="C45" i="11"/>
  <c r="B45" i="11"/>
  <c r="C44" i="11"/>
  <c r="B44" i="11"/>
  <c r="R24" i="11" s="1"/>
  <c r="N490" i="7" s="1"/>
  <c r="C42" i="11"/>
  <c r="B42" i="11"/>
  <c r="C41" i="11"/>
  <c r="B41" i="11"/>
  <c r="C40" i="11"/>
  <c r="B40" i="11"/>
  <c r="C39" i="11"/>
  <c r="B39" i="11"/>
  <c r="C38" i="11"/>
  <c r="B38" i="11"/>
  <c r="R23" i="11" s="1"/>
  <c r="N489" i="7" s="1"/>
  <c r="C36" i="11"/>
  <c r="B36" i="11"/>
  <c r="C35" i="11"/>
  <c r="B35" i="11"/>
  <c r="C34" i="11"/>
  <c r="B34" i="11"/>
  <c r="C33" i="11"/>
  <c r="B33" i="11"/>
  <c r="C32" i="11"/>
  <c r="B32" i="11"/>
  <c r="C31" i="11"/>
  <c r="AK492" i="7" s="1"/>
  <c r="B31" i="11"/>
  <c r="C30" i="11"/>
  <c r="AK491" i="7" s="1"/>
  <c r="B30" i="11"/>
  <c r="C29" i="11"/>
  <c r="B29" i="11"/>
  <c r="C28" i="11"/>
  <c r="AK489" i="7" s="1"/>
  <c r="B28" i="11"/>
  <c r="C26" i="11"/>
  <c r="B26" i="11"/>
  <c r="C25" i="11"/>
  <c r="AK486" i="7" s="1"/>
  <c r="B25" i="11"/>
  <c r="C24" i="11"/>
  <c r="B24" i="11"/>
  <c r="C23" i="11"/>
  <c r="B23" i="11"/>
  <c r="R22" i="11"/>
  <c r="N488" i="7" s="1"/>
  <c r="R21" i="11"/>
  <c r="C21" i="11"/>
  <c r="AK482" i="7" s="1"/>
  <c r="B21" i="11"/>
  <c r="C20" i="11"/>
  <c r="B20" i="11"/>
  <c r="R19" i="11"/>
  <c r="N485" i="7" s="1"/>
  <c r="C19" i="11"/>
  <c r="B19" i="11"/>
  <c r="C18" i="11"/>
  <c r="B18" i="11"/>
  <c r="C17" i="11"/>
  <c r="B17" i="11"/>
  <c r="C16" i="11"/>
  <c r="B16" i="11"/>
  <c r="R20" i="11" s="1"/>
  <c r="N486" i="7" s="1"/>
  <c r="C14" i="11"/>
  <c r="B14" i="11"/>
  <c r="C13" i="11"/>
  <c r="AK474" i="7" s="1"/>
  <c r="B13" i="11"/>
  <c r="C12" i="11"/>
  <c r="B12" i="11"/>
  <c r="C11" i="11"/>
  <c r="B11" i="11"/>
  <c r="AJ472" i="7" s="1"/>
  <c r="C10" i="11"/>
  <c r="B10" i="11"/>
  <c r="C9" i="11"/>
  <c r="B9" i="11"/>
  <c r="O146" i="10"/>
  <c r="N146" i="10"/>
  <c r="M146" i="10"/>
  <c r="L146" i="10"/>
  <c r="K146" i="10"/>
  <c r="J146" i="10"/>
  <c r="H146" i="10"/>
  <c r="D146" i="10"/>
  <c r="C146" i="10"/>
  <c r="O144" i="10"/>
  <c r="K144" i="10"/>
  <c r="J144" i="10"/>
  <c r="H144" i="10"/>
  <c r="F144" i="10"/>
  <c r="E144" i="10"/>
  <c r="G144" i="10" s="1"/>
  <c r="D144" i="10"/>
  <c r="C144" i="10"/>
  <c r="O142" i="10"/>
  <c r="K142" i="10"/>
  <c r="J142" i="10"/>
  <c r="H142" i="10"/>
  <c r="E142" i="10"/>
  <c r="D142" i="10"/>
  <c r="C142" i="10"/>
  <c r="O140" i="10"/>
  <c r="K140" i="10"/>
  <c r="J140" i="10"/>
  <c r="H140" i="10"/>
  <c r="F140" i="10"/>
  <c r="E140" i="10"/>
  <c r="G140" i="10" s="1"/>
  <c r="D140" i="10"/>
  <c r="C140" i="10"/>
  <c r="O134" i="10"/>
  <c r="K134" i="10"/>
  <c r="J134" i="10"/>
  <c r="H134" i="10"/>
  <c r="F134" i="10"/>
  <c r="E134" i="10"/>
  <c r="G134" i="10" s="1"/>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E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L37" i="9"/>
  <c r="K37" i="9"/>
  <c r="J37" i="9"/>
  <c r="I37" i="9"/>
  <c r="AI32" i="9"/>
  <c r="AH32" i="9"/>
  <c r="AG32" i="9"/>
  <c r="AF32" i="9"/>
  <c r="AE32" i="9"/>
  <c r="AD32" i="9"/>
  <c r="AC32" i="9"/>
  <c r="AB32" i="9"/>
  <c r="C18" i="9"/>
  <c r="B17" i="9"/>
  <c r="AL14" i="9"/>
  <c r="AL13" i="9"/>
  <c r="AL12" i="9"/>
  <c r="AK13" i="9" s="1"/>
  <c r="AL11" i="9"/>
  <c r="I38" i="9" s="1"/>
  <c r="AK11" i="9"/>
  <c r="T9" i="9"/>
  <c r="B390" i="8"/>
  <c r="E390" i="8" s="1"/>
  <c r="B389" i="8"/>
  <c r="E389" i="8" s="1"/>
  <c r="B388" i="8"/>
  <c r="E388" i="8" s="1"/>
  <c r="B387" i="8"/>
  <c r="E387" i="8" s="1"/>
  <c r="B386" i="8"/>
  <c r="E386" i="8" s="1"/>
  <c r="B385" i="8"/>
  <c r="E385" i="8" s="1"/>
  <c r="B384" i="8"/>
  <c r="E384" i="8" s="1"/>
  <c r="B383" i="8"/>
  <c r="E383" i="8" s="1"/>
  <c r="B382" i="8"/>
  <c r="E382" i="8" s="1"/>
  <c r="B381" i="8"/>
  <c r="E381" i="8" s="1"/>
  <c r="E380" i="8"/>
  <c r="B380" i="8"/>
  <c r="E379" i="8"/>
  <c r="B379" i="8"/>
  <c r="E378" i="8"/>
  <c r="B378" i="8"/>
  <c r="E377" i="8"/>
  <c r="B377" i="8"/>
  <c r="E376" i="8"/>
  <c r="B376" i="8"/>
  <c r="E375" i="8"/>
  <c r="B375" i="8"/>
  <c r="E374" i="8"/>
  <c r="B374" i="8"/>
  <c r="E373" i="8"/>
  <c r="E372" i="8"/>
  <c r="B371" i="8"/>
  <c r="E371" i="8" s="1"/>
  <c r="B370" i="8"/>
  <c r="E370" i="8" s="1"/>
  <c r="E369" i="8"/>
  <c r="B368" i="8"/>
  <c r="E368" i="8" s="1"/>
  <c r="B367" i="8"/>
  <c r="E367" i="8" s="1"/>
  <c r="B366" i="8"/>
  <c r="E366" i="8" s="1"/>
  <c r="B365" i="8"/>
  <c r="E365" i="8" s="1"/>
  <c r="B364" i="8"/>
  <c r="E364" i="8" s="1"/>
  <c r="B363" i="8"/>
  <c r="E363" i="8" s="1"/>
  <c r="B362" i="8"/>
  <c r="E362" i="8" s="1"/>
  <c r="E361" i="8"/>
  <c r="E360" i="8"/>
  <c r="B359" i="8"/>
  <c r="E359" i="8" s="1"/>
  <c r="E358" i="8"/>
  <c r="E357" i="8"/>
  <c r="B357" i="8"/>
  <c r="E356" i="8"/>
  <c r="B356" i="8"/>
  <c r="E355" i="8"/>
  <c r="B355" i="8"/>
  <c r="E354" i="8"/>
  <c r="B354" i="8"/>
  <c r="E353" i="8"/>
  <c r="B353" i="8"/>
  <c r="E352" i="8"/>
  <c r="B352" i="8"/>
  <c r="E351" i="8"/>
  <c r="B351" i="8"/>
  <c r="E350" i="8"/>
  <c r="B350" i="8"/>
  <c r="E349" i="8"/>
  <c r="B349" i="8"/>
  <c r="E347" i="8"/>
  <c r="B347" i="8"/>
  <c r="E346" i="8"/>
  <c r="B346" i="8"/>
  <c r="E345" i="8"/>
  <c r="B344" i="8"/>
  <c r="E344" i="8" s="1"/>
  <c r="B343" i="8"/>
  <c r="E343" i="8" s="1"/>
  <c r="B318" i="8"/>
  <c r="E318" i="8" s="1"/>
  <c r="E317" i="8"/>
  <c r="B292" i="8"/>
  <c r="E292" i="8" s="1"/>
  <c r="E291" i="8"/>
  <c r="B290" i="8"/>
  <c r="E290" i="8" s="1"/>
  <c r="E281" i="8"/>
  <c r="E278" i="8"/>
  <c r="B278" i="8"/>
  <c r="E277" i="8"/>
  <c r="B277" i="8"/>
  <c r="E276" i="8"/>
  <c r="E274" i="8"/>
  <c r="E253" i="8"/>
  <c r="E252" i="8"/>
  <c r="B246" i="8"/>
  <c r="E246" i="8" s="1"/>
  <c r="E231" i="8"/>
  <c r="B223" i="8"/>
  <c r="E223" i="8" s="1"/>
  <c r="B220" i="8"/>
  <c r="E220" i="8" s="1"/>
  <c r="B219" i="8"/>
  <c r="E219" i="8" s="1"/>
  <c r="E218" i="8"/>
  <c r="E217" i="8"/>
  <c r="B217" i="8"/>
  <c r="E216" i="8"/>
  <c r="B170" i="8"/>
  <c r="E170" i="8" s="1"/>
  <c r="E169" i="8"/>
  <c r="E126" i="8"/>
  <c r="B123" i="8"/>
  <c r="E123" i="8" s="1"/>
  <c r="E122" i="8"/>
  <c r="E121" i="8"/>
  <c r="B121" i="8"/>
  <c r="E120" i="8"/>
  <c r="B120" i="8"/>
  <c r="E112" i="8"/>
  <c r="B111" i="8"/>
  <c r="E111" i="8" s="1"/>
  <c r="B109" i="8"/>
  <c r="E109" i="8" s="1"/>
  <c r="B108" i="8"/>
  <c r="E108" i="8" s="1"/>
  <c r="E107" i="8"/>
  <c r="E106" i="8"/>
  <c r="E105" i="8"/>
  <c r="E103" i="8"/>
  <c r="E101" i="8"/>
  <c r="E99" i="8"/>
  <c r="B98" i="8"/>
  <c r="E98" i="8" s="1"/>
  <c r="E90" i="8"/>
  <c r="E87" i="8"/>
  <c r="B87" i="8"/>
  <c r="E86" i="8"/>
  <c r="B86" i="8"/>
  <c r="E85" i="8"/>
  <c r="E83" i="8"/>
  <c r="E81" i="8"/>
  <c r="E79" i="8"/>
  <c r="E78" i="8"/>
  <c r="B78" i="8"/>
  <c r="E68" i="8"/>
  <c r="B65" i="8"/>
  <c r="E65" i="8" s="1"/>
  <c r="B64" i="8"/>
  <c r="E64" i="8" s="1"/>
  <c r="E63" i="8"/>
  <c r="E40" i="8"/>
  <c r="E39" i="8"/>
  <c r="E17" i="8"/>
  <c r="E16" i="8"/>
  <c r="E15" i="8"/>
  <c r="B15" i="8"/>
  <c r="E9" i="8"/>
  <c r="B6" i="8"/>
  <c r="E6" i="8" s="1"/>
  <c r="B5" i="8"/>
  <c r="E5" i="8" s="1"/>
  <c r="E4" i="8"/>
  <c r="E3" i="8"/>
  <c r="E2" i="8"/>
  <c r="E1" i="8"/>
  <c r="E682" i="7"/>
  <c r="E655" i="7"/>
  <c r="E640" i="7"/>
  <c r="E622" i="7"/>
  <c r="AI599" i="7"/>
  <c r="AI598" i="7"/>
  <c r="AI597" i="7"/>
  <c r="AI596" i="7"/>
  <c r="AI595" i="7"/>
  <c r="AI594" i="7"/>
  <c r="AI593" i="7"/>
  <c r="AI592" i="7"/>
  <c r="AI591" i="7"/>
  <c r="AI590" i="7"/>
  <c r="AI589" i="7"/>
  <c r="M589" i="7"/>
  <c r="AI588" i="7"/>
  <c r="AI587" i="7"/>
  <c r="AI586" i="7"/>
  <c r="AI585" i="7"/>
  <c r="AI584" i="7"/>
  <c r="AI583" i="7"/>
  <c r="AI582" i="7"/>
  <c r="AI581" i="7"/>
  <c r="AI580" i="7"/>
  <c r="AI579" i="7"/>
  <c r="AI578" i="7"/>
  <c r="AI577" i="7"/>
  <c r="AI576" i="7"/>
  <c r="AI575" i="7"/>
  <c r="AI574" i="7"/>
  <c r="AI573" i="7"/>
  <c r="AI572" i="7"/>
  <c r="AI571" i="7"/>
  <c r="AI570" i="7"/>
  <c r="AJ569" i="7"/>
  <c r="F549" i="7"/>
  <c r="D545" i="7"/>
  <c r="F538" i="7"/>
  <c r="C532" i="7"/>
  <c r="C531" i="7"/>
  <c r="C530" i="7"/>
  <c r="C529" i="7"/>
  <c r="H528" i="7"/>
  <c r="F528" i="7"/>
  <c r="H527" i="7"/>
  <c r="G527" i="7"/>
  <c r="F527" i="7"/>
  <c r="H526" i="7"/>
  <c r="F526" i="7"/>
  <c r="H525" i="7"/>
  <c r="G525" i="7"/>
  <c r="F525" i="7"/>
  <c r="C515" i="7"/>
  <c r="AK513" i="7"/>
  <c r="AJ513" i="7"/>
  <c r="AK512" i="7"/>
  <c r="AJ512" i="7"/>
  <c r="AP511" i="7"/>
  <c r="D511" i="7" s="1"/>
  <c r="AK511" i="7"/>
  <c r="AJ511" i="7"/>
  <c r="AP510" i="7"/>
  <c r="D510" i="7" s="1"/>
  <c r="AK510" i="7"/>
  <c r="AJ510" i="7"/>
  <c r="C509" i="7"/>
  <c r="AK508" i="7"/>
  <c r="AJ508" i="7"/>
  <c r="AK507" i="7"/>
  <c r="AJ507" i="7"/>
  <c r="AK506" i="7"/>
  <c r="AJ506" i="7"/>
  <c r="AK505" i="7"/>
  <c r="AJ505" i="7"/>
  <c r="C505" i="7"/>
  <c r="AK503" i="7"/>
  <c r="AJ503" i="7"/>
  <c r="AK502" i="7"/>
  <c r="AJ502" i="7"/>
  <c r="AK501" i="7"/>
  <c r="AJ501" i="7"/>
  <c r="C501" i="7"/>
  <c r="AK500" i="7"/>
  <c r="AJ500" i="7"/>
  <c r="AP499" i="7"/>
  <c r="D502" i="7" s="1"/>
  <c r="AK499" i="7"/>
  <c r="AJ499" i="7"/>
  <c r="AK497" i="7"/>
  <c r="AJ497" i="7"/>
  <c r="C497" i="7"/>
  <c r="AK496" i="7"/>
  <c r="AJ496" i="7"/>
  <c r="AK495" i="7"/>
  <c r="AJ495" i="7"/>
  <c r="AK494" i="7"/>
  <c r="AJ494" i="7"/>
  <c r="AK493" i="7"/>
  <c r="AJ493" i="7"/>
  <c r="C493" i="7"/>
  <c r="AJ492" i="7"/>
  <c r="AJ491" i="7"/>
  <c r="AK490" i="7"/>
  <c r="AJ490" i="7"/>
  <c r="AJ489" i="7"/>
  <c r="C489" i="7"/>
  <c r="AK487" i="7"/>
  <c r="AJ487" i="7"/>
  <c r="N487" i="7"/>
  <c r="AJ486" i="7"/>
  <c r="AP485" i="7"/>
  <c r="D495" i="7" s="1"/>
  <c r="AK485" i="7"/>
  <c r="AJ485" i="7"/>
  <c r="C485" i="7"/>
  <c r="AP484" i="7"/>
  <c r="D494" i="7" s="1"/>
  <c r="AK484" i="7"/>
  <c r="AJ484" i="7"/>
  <c r="AJ482" i="7"/>
  <c r="AK481" i="7"/>
  <c r="AJ481" i="7"/>
  <c r="AK480" i="7"/>
  <c r="AJ480" i="7"/>
  <c r="AK479" i="7"/>
  <c r="AJ479" i="7"/>
  <c r="AK478" i="7"/>
  <c r="AJ478" i="7"/>
  <c r="AP477" i="7"/>
  <c r="D490" i="7" s="1"/>
  <c r="AK477" i="7"/>
  <c r="AJ477" i="7"/>
  <c r="B477" i="7"/>
  <c r="AK475" i="7"/>
  <c r="AJ475" i="7"/>
  <c r="AJ474" i="7"/>
  <c r="AK473" i="7"/>
  <c r="AJ473" i="7"/>
  <c r="H473" i="7"/>
  <c r="AK472" i="7"/>
  <c r="AK471" i="7"/>
  <c r="AJ471" i="7"/>
  <c r="AK470" i="7"/>
  <c r="AJ470" i="7"/>
  <c r="A464" i="7"/>
  <c r="H463" i="7"/>
  <c r="B463" i="7"/>
  <c r="A455" i="7"/>
  <c r="B450" i="7"/>
  <c r="H448" i="7"/>
  <c r="C444" i="7"/>
  <c r="C443" i="7"/>
  <c r="C442" i="7"/>
  <c r="I441" i="7"/>
  <c r="C441" i="7"/>
  <c r="H440" i="7"/>
  <c r="I439" i="7"/>
  <c r="I438" i="7"/>
  <c r="H438" i="7"/>
  <c r="B434" i="7"/>
  <c r="AC424" i="7"/>
  <c r="N6" i="21" s="1"/>
  <c r="B410" i="7"/>
  <c r="B409" i="7"/>
  <c r="B408" i="7"/>
  <c r="B407" i="7"/>
  <c r="B406" i="7"/>
  <c r="B405" i="7"/>
  <c r="B404" i="7"/>
  <c r="B403" i="7"/>
  <c r="C402" i="7"/>
  <c r="C403" i="7" s="1"/>
  <c r="C404" i="7" s="1"/>
  <c r="C405" i="7" s="1"/>
  <c r="C406" i="7" s="1"/>
  <c r="C407" i="7" s="1"/>
  <c r="C408" i="7" s="1"/>
  <c r="C409" i="7" s="1"/>
  <c r="C410" i="7" s="1"/>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C312" i="7"/>
  <c r="C313" i="7" s="1"/>
  <c r="C314" i="7" s="1"/>
  <c r="C315" i="7" s="1"/>
  <c r="C316" i="7" s="1"/>
  <c r="C317" i="7" s="1"/>
  <c r="C318" i="7" s="1"/>
  <c r="C311" i="7"/>
  <c r="C308" i="7"/>
  <c r="C309" i="7" s="1"/>
  <c r="C310" i="7" s="1"/>
  <c r="C304" i="7"/>
  <c r="C305" i="7" s="1"/>
  <c r="C306" i="7" s="1"/>
  <c r="C307" i="7" s="1"/>
  <c r="C303" i="7"/>
  <c r="C302" i="7"/>
  <c r="C301" i="7"/>
  <c r="C300" i="7"/>
  <c r="C299" i="7"/>
  <c r="C298" i="7"/>
  <c r="C297" i="7"/>
  <c r="C296" i="7"/>
  <c r="C295" i="7"/>
  <c r="C294" i="7"/>
  <c r="C293" i="7"/>
  <c r="C292" i="7"/>
  <c r="C291" i="7"/>
  <c r="C290" i="7"/>
  <c r="C289" i="7"/>
  <c r="C288" i="7"/>
  <c r="C287" i="7"/>
  <c r="B287" i="7"/>
  <c r="C286" i="7"/>
  <c r="C285" i="7"/>
  <c r="B285" i="7"/>
  <c r="C284" i="7"/>
  <c r="C283" i="7"/>
  <c r="C282" i="7"/>
  <c r="C281" i="7"/>
  <c r="B281" i="7"/>
  <c r="C280" i="7"/>
  <c r="C279" i="7"/>
  <c r="E278" i="7"/>
  <c r="C278" i="7"/>
  <c r="C277" i="7"/>
  <c r="C276" i="7"/>
  <c r="C275" i="7"/>
  <c r="C274" i="7"/>
  <c r="C273" i="7"/>
  <c r="C272" i="7"/>
  <c r="C271" i="7"/>
  <c r="C268" i="7"/>
  <c r="C269" i="7" s="1"/>
  <c r="C270" i="7" s="1"/>
  <c r="C267" i="7"/>
  <c r="C266" i="7"/>
  <c r="C265" i="7"/>
  <c r="C264" i="7"/>
  <c r="C263" i="7"/>
  <c r="C262" i="7"/>
  <c r="C261" i="7"/>
  <c r="C260" i="7"/>
  <c r="C259" i="7"/>
  <c r="C258" i="7"/>
  <c r="E257" i="7"/>
  <c r="C257" i="7"/>
  <c r="C256" i="7"/>
  <c r="C255" i="7"/>
  <c r="C253" i="7"/>
  <c r="C254" i="7" s="1"/>
  <c r="C252" i="7"/>
  <c r="C251" i="7"/>
  <c r="C250" i="7"/>
  <c r="C249" i="7"/>
  <c r="C248" i="7"/>
  <c r="C247" i="7"/>
  <c r="C246" i="7"/>
  <c r="C245" i="7"/>
  <c r="C244" i="7"/>
  <c r="C243" i="7"/>
  <c r="C242" i="7"/>
  <c r="C223" i="7"/>
  <c r="C224" i="7" s="1"/>
  <c r="C225" i="7" s="1"/>
  <c r="C226" i="7" s="1"/>
  <c r="C227" i="7" s="1"/>
  <c r="C222" i="7"/>
  <c r="C221" i="7"/>
  <c r="C220" i="7"/>
  <c r="C219" i="7"/>
  <c r="C218" i="7"/>
  <c r="C217" i="7"/>
  <c r="C216" i="7"/>
  <c r="E215" i="7"/>
  <c r="C215" i="7"/>
  <c r="C214" i="7"/>
  <c r="C210" i="7"/>
  <c r="C211" i="7" s="1"/>
  <c r="C212" i="7" s="1"/>
  <c r="C213" i="7" s="1"/>
  <c r="C209" i="7"/>
  <c r="C208" i="7"/>
  <c r="C207" i="7"/>
  <c r="C206" i="7"/>
  <c r="C201" i="7"/>
  <c r="C202" i="7" s="1"/>
  <c r="C203" i="7" s="1"/>
  <c r="C204" i="7" s="1"/>
  <c r="C205" i="7" s="1"/>
  <c r="C200" i="7"/>
  <c r="C199" i="7"/>
  <c r="C198" i="7"/>
  <c r="C197" i="7"/>
  <c r="C196" i="7"/>
  <c r="C195" i="7"/>
  <c r="C194" i="7"/>
  <c r="C193" i="7"/>
  <c r="C192" i="7"/>
  <c r="C191" i="7"/>
  <c r="C190" i="7"/>
  <c r="C189" i="7"/>
  <c r="C188" i="7"/>
  <c r="C187" i="7"/>
  <c r="C186" i="7"/>
  <c r="B186" i="7"/>
  <c r="C185" i="7"/>
  <c r="C184" i="7"/>
  <c r="C183" i="7"/>
  <c r="C182" i="7"/>
  <c r="C181" i="7"/>
  <c r="C180" i="7"/>
  <c r="C179" i="7"/>
  <c r="B179" i="7"/>
  <c r="C178" i="7"/>
  <c r="C177" i="7"/>
  <c r="C176" i="7"/>
  <c r="C175" i="7"/>
  <c r="C174" i="7"/>
  <c r="C173" i="7"/>
  <c r="C172" i="7"/>
  <c r="C171" i="7"/>
  <c r="C170" i="7"/>
  <c r="C169" i="7"/>
  <c r="C168" i="7"/>
  <c r="C167" i="7"/>
  <c r="C166" i="7"/>
  <c r="C165" i="7"/>
  <c r="C164" i="7"/>
  <c r="C163" i="7"/>
  <c r="C162" i="7"/>
  <c r="C161" i="7"/>
  <c r="C160" i="7"/>
  <c r="C159" i="7"/>
  <c r="C158" i="7"/>
  <c r="C157" i="7"/>
  <c r="C156" i="7"/>
  <c r="B156" i="7"/>
  <c r="C155" i="7"/>
  <c r="C154" i="7"/>
  <c r="C153" i="7"/>
  <c r="C152" i="7"/>
  <c r="C151" i="7"/>
  <c r="C150" i="7"/>
  <c r="C149" i="7"/>
  <c r="C148" i="7"/>
  <c r="C147" i="7"/>
  <c r="C122" i="7"/>
  <c r="C121" i="7"/>
  <c r="C120" i="7"/>
  <c r="C119" i="7"/>
  <c r="C118" i="7"/>
  <c r="C117" i="7"/>
  <c r="C116" i="7"/>
  <c r="C115" i="7"/>
  <c r="C109" i="7"/>
  <c r="C110" i="7" s="1"/>
  <c r="C111" i="7" s="1"/>
  <c r="C112" i="7" s="1"/>
  <c r="C113" i="7" s="1"/>
  <c r="C114" i="7" s="1"/>
  <c r="C108" i="7"/>
  <c r="C107" i="7"/>
  <c r="C106" i="7"/>
  <c r="C105" i="7"/>
  <c r="C104" i="7"/>
  <c r="C103" i="7"/>
  <c r="C102" i="7"/>
  <c r="C97" i="7"/>
  <c r="C98" i="7" s="1"/>
  <c r="C99" i="7" s="1"/>
  <c r="C100" i="7" s="1"/>
  <c r="C101" i="7" s="1"/>
  <c r="C96" i="7"/>
  <c r="C95" i="7"/>
  <c r="C94" i="7"/>
  <c r="C93" i="7"/>
  <c r="C91" i="7"/>
  <c r="C92" i="7" s="1"/>
  <c r="C88" i="7"/>
  <c r="C89" i="7" s="1"/>
  <c r="C90" i="7" s="1"/>
  <c r="C87" i="7"/>
  <c r="C86" i="7"/>
  <c r="C85" i="7"/>
  <c r="C84" i="7"/>
  <c r="C83" i="7"/>
  <c r="C57" i="7"/>
  <c r="C56" i="7"/>
  <c r="C55" i="7"/>
  <c r="C54" i="7"/>
  <c r="C53" i="7"/>
  <c r="C52" i="7"/>
  <c r="C51" i="7"/>
  <c r="C50" i="7"/>
  <c r="C49" i="7"/>
  <c r="C31" i="7"/>
  <c r="C32" i="7" s="1"/>
  <c r="C33" i="7" s="1"/>
  <c r="C34" i="7" s="1"/>
  <c r="C35" i="7" s="1"/>
  <c r="C36" i="7" s="1"/>
  <c r="C30" i="7"/>
  <c r="C29" i="7"/>
  <c r="C26" i="7"/>
  <c r="C27" i="7" s="1"/>
  <c r="C28" i="7" s="1"/>
  <c r="C24" i="7"/>
  <c r="C25" i="7" s="1"/>
  <c r="C23" i="7"/>
  <c r="C17" i="7"/>
  <c r="C18" i="7" s="1"/>
  <c r="C19" i="7" s="1"/>
  <c r="C20" i="7" s="1"/>
  <c r="C21" i="7" s="1"/>
  <c r="C22" i="7" s="1"/>
  <c r="C16" i="7"/>
  <c r="C15" i="7"/>
  <c r="C14" i="7"/>
  <c r="C13" i="7"/>
  <c r="C12" i="7"/>
  <c r="C11" i="7"/>
  <c r="C10" i="7"/>
  <c r="C9" i="7"/>
  <c r="C8" i="7"/>
  <c r="C7" i="7"/>
  <c r="C6" i="7"/>
  <c r="C5" i="7"/>
  <c r="C4" i="7"/>
  <c r="E466" i="6"/>
  <c r="P466" i="6" s="1"/>
  <c r="E465" i="6"/>
  <c r="P465" i="6" s="1"/>
  <c r="E464" i="6"/>
  <c r="P464" i="6" s="1"/>
  <c r="E463" i="6"/>
  <c r="P463" i="6" s="1"/>
  <c r="E462" i="6"/>
  <c r="P462" i="6" s="1"/>
  <c r="E461" i="6"/>
  <c r="P461" i="6" s="1"/>
  <c r="E460" i="6"/>
  <c r="P460" i="6" s="1"/>
  <c r="E459" i="6"/>
  <c r="P459" i="6" s="1"/>
  <c r="P458" i="6"/>
  <c r="E458" i="6"/>
  <c r="B457" i="6"/>
  <c r="A457" i="6"/>
  <c r="B456" i="6"/>
  <c r="B455" i="6"/>
  <c r="B454" i="6"/>
  <c r="B453" i="6"/>
  <c r="E452" i="6"/>
  <c r="P451" i="6"/>
  <c r="E454" i="6" s="1"/>
  <c r="B451" i="6"/>
  <c r="B401" i="7" s="1"/>
  <c r="A451" i="6"/>
  <c r="E449" i="6"/>
  <c r="E447" i="6"/>
  <c r="E445" i="6"/>
  <c r="E443" i="6"/>
  <c r="P442" i="6"/>
  <c r="B452" i="6" s="1"/>
  <c r="B442" i="6"/>
  <c r="A442" i="6"/>
  <c r="E440" i="6"/>
  <c r="E438" i="6"/>
  <c r="P436" i="6"/>
  <c r="B436" i="6"/>
  <c r="A436" i="6"/>
  <c r="E434" i="6"/>
  <c r="E433" i="6"/>
  <c r="E432" i="6"/>
  <c r="E430" i="6"/>
  <c r="P429" i="6"/>
  <c r="E435" i="6" s="1"/>
  <c r="B429" i="6"/>
  <c r="B398" i="7" s="1"/>
  <c r="A429" i="6"/>
  <c r="AE427" i="6"/>
  <c r="P426" i="6"/>
  <c r="C426" i="6"/>
  <c r="A426" i="6"/>
  <c r="P425" i="6"/>
  <c r="D425" i="6"/>
  <c r="C425" i="6"/>
  <c r="A425" i="6"/>
  <c r="B29" i="9" s="1"/>
  <c r="P424" i="6"/>
  <c r="D424" i="6"/>
  <c r="C424" i="6"/>
  <c r="A424" i="6"/>
  <c r="P423" i="6"/>
  <c r="D423" i="6"/>
  <c r="C423" i="6"/>
  <c r="A423" i="6"/>
  <c r="B24" i="12" s="1"/>
  <c r="P422" i="6"/>
  <c r="D422" i="6"/>
  <c r="C422" i="6"/>
  <c r="A422" i="6"/>
  <c r="P421" i="6"/>
  <c r="D421" i="6"/>
  <c r="C421" i="6"/>
  <c r="A421" i="6"/>
  <c r="P420" i="6"/>
  <c r="D420" i="6"/>
  <c r="C420" i="6"/>
  <c r="A420" i="6"/>
  <c r="P419" i="6"/>
  <c r="D419" i="6"/>
  <c r="C419" i="6"/>
  <c r="A419" i="6"/>
  <c r="B31" i="9" s="1"/>
  <c r="R418" i="6"/>
  <c r="P418" i="6"/>
  <c r="D418" i="6"/>
  <c r="C418" i="6"/>
  <c r="A418" i="6"/>
  <c r="R417" i="6"/>
  <c r="P417" i="6"/>
  <c r="D417" i="6"/>
  <c r="C417" i="6"/>
  <c r="A417" i="6"/>
  <c r="Q416" i="6"/>
  <c r="P416" i="6"/>
  <c r="D416" i="6"/>
  <c r="C416" i="6"/>
  <c r="A416" i="6"/>
  <c r="AS415" i="6"/>
  <c r="P415" i="6"/>
  <c r="Q415" i="6" s="1"/>
  <c r="D415" i="6"/>
  <c r="C415" i="6"/>
  <c r="A415" i="6"/>
  <c r="R414" i="6"/>
  <c r="P414" i="6"/>
  <c r="D414" i="6"/>
  <c r="C414" i="6"/>
  <c r="A414" i="6"/>
  <c r="E413" i="6"/>
  <c r="E412" i="6"/>
  <c r="E409" i="6"/>
  <c r="P408" i="6"/>
  <c r="E410" i="6" s="1"/>
  <c r="A408" i="6"/>
  <c r="P407" i="6"/>
  <c r="D407" i="6"/>
  <c r="C407" i="6"/>
  <c r="A407" i="6"/>
  <c r="P406" i="6"/>
  <c r="D406" i="6"/>
  <c r="C406" i="6"/>
  <c r="A406" i="6"/>
  <c r="P405" i="6"/>
  <c r="Q405" i="6" s="1"/>
  <c r="E363" i="7" s="1"/>
  <c r="D405" i="6"/>
  <c r="C405" i="6"/>
  <c r="A405" i="6"/>
  <c r="B30" i="9" s="1"/>
  <c r="R404" i="6"/>
  <c r="P404" i="6"/>
  <c r="D404" i="6"/>
  <c r="C404" i="6"/>
  <c r="A404" i="6"/>
  <c r="G403" i="6"/>
  <c r="F403" i="6"/>
  <c r="E403" i="6"/>
  <c r="R402" i="6"/>
  <c r="Q402" i="6"/>
  <c r="E361" i="7" s="1"/>
  <c r="P402" i="6"/>
  <c r="D402" i="6"/>
  <c r="C402" i="6"/>
  <c r="A402" i="6"/>
  <c r="O401" i="6"/>
  <c r="N401" i="6"/>
  <c r="M401" i="6"/>
  <c r="L401" i="6"/>
  <c r="K401" i="6"/>
  <c r="J401" i="6"/>
  <c r="I401" i="6"/>
  <c r="H401" i="6"/>
  <c r="G401" i="6"/>
  <c r="F401" i="6"/>
  <c r="E401" i="6"/>
  <c r="X400" i="6"/>
  <c r="E398" i="6"/>
  <c r="B398" i="6"/>
  <c r="E396" i="6"/>
  <c r="E395" i="6"/>
  <c r="Q394" i="6"/>
  <c r="P394" i="6"/>
  <c r="E397" i="6" s="1"/>
  <c r="A394" i="6"/>
  <c r="E392" i="6"/>
  <c r="E389" i="6"/>
  <c r="P387" i="6"/>
  <c r="E391" i="6" s="1"/>
  <c r="A387" i="6"/>
  <c r="K386" i="6"/>
  <c r="J386" i="6"/>
  <c r="I386" i="6"/>
  <c r="H386" i="6"/>
  <c r="G386" i="6"/>
  <c r="F386" i="6"/>
  <c r="E386" i="6"/>
  <c r="AE380" i="6"/>
  <c r="R378" i="6"/>
  <c r="E378" i="6"/>
  <c r="F48" i="16" s="1"/>
  <c r="B378" i="6"/>
  <c r="C48" i="16" s="1"/>
  <c r="R377" i="6"/>
  <c r="E377" i="6"/>
  <c r="F47" i="16" s="1"/>
  <c r="R376" i="6"/>
  <c r="R375" i="6"/>
  <c r="E375" i="6"/>
  <c r="F44" i="16" s="1"/>
  <c r="R374" i="6"/>
  <c r="E374" i="6"/>
  <c r="F43" i="16" s="1"/>
  <c r="B374" i="6"/>
  <c r="C43" i="16" s="1"/>
  <c r="R373" i="6"/>
  <c r="E373" i="6"/>
  <c r="F42" i="16" s="1"/>
  <c r="R372" i="6"/>
  <c r="P372" i="6"/>
  <c r="F41" i="16" s="1"/>
  <c r="G31" i="16" s="1"/>
  <c r="G647" i="7" s="1"/>
  <c r="D372" i="6"/>
  <c r="A372" i="6"/>
  <c r="R371" i="6"/>
  <c r="Q371" i="6"/>
  <c r="P371" i="6"/>
  <c r="B376" i="6" s="1"/>
  <c r="C46" i="16" s="1"/>
  <c r="D371" i="6"/>
  <c r="C371" i="6"/>
  <c r="B371" i="6"/>
  <c r="B319" i="7" s="1"/>
  <c r="A371" i="6"/>
  <c r="E367" i="6"/>
  <c r="Q366" i="6"/>
  <c r="E318" i="7" s="1"/>
  <c r="P366" i="6"/>
  <c r="D23" i="16" s="1"/>
  <c r="E366" i="6"/>
  <c r="E365" i="6"/>
  <c r="P364" i="6"/>
  <c r="D22" i="16" s="1"/>
  <c r="L632" i="7" s="1"/>
  <c r="E364" i="6"/>
  <c r="P362" i="6"/>
  <c r="P360" i="6"/>
  <c r="B360" i="6"/>
  <c r="B315" i="7" s="1"/>
  <c r="P359" i="6"/>
  <c r="D17" i="16" s="1"/>
  <c r="B359" i="6"/>
  <c r="B314" i="7" s="1"/>
  <c r="Q358" i="6"/>
  <c r="E313" i="7" s="1"/>
  <c r="P358" i="6"/>
  <c r="D16" i="16" s="1"/>
  <c r="Q357" i="6"/>
  <c r="E312" i="7" s="1"/>
  <c r="P357" i="6"/>
  <c r="D15" i="16" s="1"/>
  <c r="P356" i="6"/>
  <c r="B356" i="6"/>
  <c r="B311" i="7" s="1"/>
  <c r="D355" i="6"/>
  <c r="B354" i="6"/>
  <c r="B353" i="6"/>
  <c r="P351" i="6"/>
  <c r="B366" i="6" s="1"/>
  <c r="B318" i="7" s="1"/>
  <c r="Q349" i="6"/>
  <c r="E309" i="7" s="1"/>
  <c r="P349" i="6"/>
  <c r="E22" i="16" s="1"/>
  <c r="E348" i="6"/>
  <c r="Q347" i="6"/>
  <c r="E308" i="7" s="1"/>
  <c r="P347" i="6"/>
  <c r="E21" i="16" s="1"/>
  <c r="E347" i="6"/>
  <c r="B347" i="6"/>
  <c r="Q345" i="6"/>
  <c r="E307" i="7" s="1"/>
  <c r="P345" i="6"/>
  <c r="E18" i="16" s="1"/>
  <c r="Q344" i="6"/>
  <c r="E306" i="7" s="1"/>
  <c r="P344" i="6"/>
  <c r="E17" i="16" s="1"/>
  <c r="P343" i="6"/>
  <c r="B343" i="6"/>
  <c r="P342" i="6"/>
  <c r="E15" i="16" s="1"/>
  <c r="B342" i="6"/>
  <c r="Q341" i="6"/>
  <c r="E303" i="7" s="1"/>
  <c r="P341" i="6"/>
  <c r="E14" i="16" s="1"/>
  <c r="K340" i="6"/>
  <c r="J340" i="6"/>
  <c r="I340" i="6"/>
  <c r="H340" i="6"/>
  <c r="G340" i="6"/>
  <c r="F340" i="6"/>
  <c r="D340" i="6"/>
  <c r="E339" i="6"/>
  <c r="R338" i="6"/>
  <c r="P338" i="6"/>
  <c r="E338" i="6"/>
  <c r="B369" i="6" s="1"/>
  <c r="B338" i="6"/>
  <c r="B302" i="7" s="1"/>
  <c r="A338" i="6"/>
  <c r="R337" i="6"/>
  <c r="P337" i="6"/>
  <c r="Q337" i="6" s="1"/>
  <c r="E301" i="7" s="1"/>
  <c r="D337" i="6"/>
  <c r="C337" i="6"/>
  <c r="A337" i="6"/>
  <c r="Q336" i="6"/>
  <c r="E300" i="7" s="1"/>
  <c r="P336" i="6"/>
  <c r="Q54" i="19" s="1"/>
  <c r="F364" i="14" s="1"/>
  <c r="D336" i="6"/>
  <c r="R54" i="19" s="1"/>
  <c r="G364" i="14" s="1"/>
  <c r="C336" i="6"/>
  <c r="A336" i="6"/>
  <c r="P330" i="6"/>
  <c r="A330" i="6"/>
  <c r="R329" i="6"/>
  <c r="P329" i="6"/>
  <c r="C329" i="6"/>
  <c r="A329" i="6"/>
  <c r="AW328" i="6"/>
  <c r="R328" i="6"/>
  <c r="Q328" i="6"/>
  <c r="E297" i="7" s="1"/>
  <c r="P328" i="6"/>
  <c r="Q70" i="19" s="1"/>
  <c r="F461" i="14" s="1"/>
  <c r="D328" i="6"/>
  <c r="R70" i="19" s="1"/>
  <c r="G461" i="14" s="1"/>
  <c r="C328" i="6"/>
  <c r="A328" i="6"/>
  <c r="R327" i="6"/>
  <c r="P327" i="6"/>
  <c r="Q67" i="19" s="1"/>
  <c r="F442" i="14" s="1"/>
  <c r="D327" i="6"/>
  <c r="R67" i="19" s="1"/>
  <c r="G442" i="14" s="1"/>
  <c r="C327" i="6"/>
  <c r="A327" i="6"/>
  <c r="AU326" i="6"/>
  <c r="BD326" i="6" s="1"/>
  <c r="R326" i="6"/>
  <c r="Q326" i="6"/>
  <c r="E295" i="7" s="1"/>
  <c r="P326" i="6"/>
  <c r="Q73" i="19" s="1"/>
  <c r="F480" i="14" s="1"/>
  <c r="D326" i="6"/>
  <c r="R73" i="19" s="1"/>
  <c r="G480" i="14" s="1"/>
  <c r="C326" i="6"/>
  <c r="A326" i="6"/>
  <c r="R325" i="6"/>
  <c r="P325" i="6"/>
  <c r="Q61" i="19" s="1"/>
  <c r="F404" i="14" s="1"/>
  <c r="D325" i="6"/>
  <c r="R61" i="19" s="1"/>
  <c r="G404" i="14" s="1"/>
  <c r="C325" i="6"/>
  <c r="A325" i="6"/>
  <c r="R324" i="6"/>
  <c r="P324" i="6"/>
  <c r="C324" i="6"/>
  <c r="A324" i="6"/>
  <c r="R323" i="6"/>
  <c r="P323" i="6"/>
  <c r="Q109" i="19" s="1"/>
  <c r="F762" i="14" s="1"/>
  <c r="D323" i="6"/>
  <c r="R109" i="19" s="1"/>
  <c r="G762" i="14" s="1"/>
  <c r="C323" i="6"/>
  <c r="A323" i="6"/>
  <c r="R322" i="6"/>
  <c r="P322" i="6"/>
  <c r="D322" i="6"/>
  <c r="R108" i="19" s="1"/>
  <c r="G761" i="14" s="1"/>
  <c r="C322" i="6"/>
  <c r="B322" i="6"/>
  <c r="A322" i="6"/>
  <c r="R321" i="6"/>
  <c r="Q321" i="6"/>
  <c r="P321" i="6"/>
  <c r="Q49" i="19" s="1"/>
  <c r="F326" i="14" s="1"/>
  <c r="D321" i="6"/>
  <c r="R49" i="19" s="1"/>
  <c r="G326" i="14" s="1"/>
  <c r="C321" i="6"/>
  <c r="B321" i="6"/>
  <c r="A321" i="6"/>
  <c r="R320" i="6"/>
  <c r="P320" i="6"/>
  <c r="D320" i="6"/>
  <c r="R26" i="19" s="1"/>
  <c r="G175" i="14" s="1"/>
  <c r="C320" i="6"/>
  <c r="A320" i="6"/>
  <c r="R319" i="6"/>
  <c r="R318" i="6"/>
  <c r="R317" i="6"/>
  <c r="E317" i="6"/>
  <c r="E46" i="16" s="1"/>
  <c r="R316" i="6"/>
  <c r="R315" i="6"/>
  <c r="R314" i="6"/>
  <c r="R313" i="6"/>
  <c r="P313" i="6"/>
  <c r="D313" i="6"/>
  <c r="A313" i="6"/>
  <c r="R312" i="6"/>
  <c r="P312" i="6"/>
  <c r="D312" i="6"/>
  <c r="R25" i="19" s="1"/>
  <c r="G174" i="14" s="1"/>
  <c r="C312" i="6"/>
  <c r="B312" i="6"/>
  <c r="A174" i="14" s="1"/>
  <c r="A312" i="6"/>
  <c r="R311" i="6"/>
  <c r="P311" i="6"/>
  <c r="Q31" i="19" s="1"/>
  <c r="F212" i="14" s="1"/>
  <c r="C311" i="6"/>
  <c r="A311" i="6"/>
  <c r="R310" i="6"/>
  <c r="Q310" i="6"/>
  <c r="E285" i="7" s="1"/>
  <c r="P310" i="6"/>
  <c r="Q29" i="19" s="1"/>
  <c r="F194" i="14" s="1"/>
  <c r="D310" i="6"/>
  <c r="R29" i="19" s="1"/>
  <c r="G194" i="14" s="1"/>
  <c r="C310" i="6"/>
  <c r="B310" i="6"/>
  <c r="A194" i="14" s="1"/>
  <c r="A310" i="6"/>
  <c r="R309" i="6"/>
  <c r="P309" i="6"/>
  <c r="Q83" i="19" s="1"/>
  <c r="F539" i="14" s="1"/>
  <c r="D309" i="6"/>
  <c r="R83" i="19" s="1"/>
  <c r="G539" i="14" s="1"/>
  <c r="C309" i="6"/>
  <c r="B309" i="6"/>
  <c r="A539" i="14" s="1"/>
  <c r="A309" i="6"/>
  <c r="R308" i="6"/>
  <c r="P308" i="6"/>
  <c r="D308" i="6"/>
  <c r="R59" i="19" s="1"/>
  <c r="G402" i="14" s="1"/>
  <c r="C308" i="6"/>
  <c r="A308" i="6"/>
  <c r="R307" i="6"/>
  <c r="Q307" i="6"/>
  <c r="AC307" i="6" s="1"/>
  <c r="P307" i="6"/>
  <c r="Q82" i="19" s="1"/>
  <c r="F538" i="14" s="1"/>
  <c r="D307" i="6"/>
  <c r="R82" i="19" s="1"/>
  <c r="G538" i="14" s="1"/>
  <c r="C307" i="6"/>
  <c r="B307" i="6"/>
  <c r="A307" i="6"/>
  <c r="R306" i="6"/>
  <c r="P306" i="6"/>
  <c r="C306" i="6"/>
  <c r="B306" i="6"/>
  <c r="A423" i="14" s="1"/>
  <c r="A306" i="6"/>
  <c r="B18" i="9" s="1"/>
  <c r="R305" i="6"/>
  <c r="Q305" i="6"/>
  <c r="E280" i="7" s="1"/>
  <c r="P305" i="6"/>
  <c r="Q18" i="19" s="1"/>
  <c r="F135" i="14" s="1"/>
  <c r="D305" i="6"/>
  <c r="R18" i="19" s="1"/>
  <c r="G135" i="14" s="1"/>
  <c r="C305" i="6"/>
  <c r="B305" i="6"/>
  <c r="A305" i="6"/>
  <c r="R304" i="6"/>
  <c r="Q304" i="6"/>
  <c r="E279" i="7" s="1"/>
  <c r="P304" i="6"/>
  <c r="Q56" i="19" s="1"/>
  <c r="F383" i="14" s="1"/>
  <c r="D304" i="6"/>
  <c r="R56" i="19" s="1"/>
  <c r="G383" i="14" s="1"/>
  <c r="C304" i="6"/>
  <c r="B304" i="6"/>
  <c r="A304" i="6"/>
  <c r="R303" i="6"/>
  <c r="Q303" i="6"/>
  <c r="P303" i="6"/>
  <c r="Q78" i="19" s="1"/>
  <c r="F519" i="14" s="1"/>
  <c r="D303" i="6"/>
  <c r="R78" i="19" s="1"/>
  <c r="G519" i="14" s="1"/>
  <c r="C303" i="6"/>
  <c r="A303" i="6"/>
  <c r="R302" i="6"/>
  <c r="B303" i="6" s="1"/>
  <c r="Q302" i="6"/>
  <c r="E277" i="7" s="1"/>
  <c r="P302" i="6"/>
  <c r="G17" i="9" s="1"/>
  <c r="H17" i="9" s="1"/>
  <c r="D302" i="6"/>
  <c r="C302" i="6"/>
  <c r="B302" i="6"/>
  <c r="B277" i="7" s="1"/>
  <c r="A302" i="6"/>
  <c r="R301" i="6"/>
  <c r="Q301" i="6"/>
  <c r="E276" i="7" s="1"/>
  <c r="P301" i="6"/>
  <c r="Q41" i="19" s="1"/>
  <c r="F270" i="14" s="1"/>
  <c r="D301" i="6"/>
  <c r="R40" i="19" s="1"/>
  <c r="G269" i="14" s="1"/>
  <c r="C301" i="6"/>
  <c r="B301" i="6"/>
  <c r="R300" i="6"/>
  <c r="Q300" i="6"/>
  <c r="P300" i="6"/>
  <c r="Q40" i="19" s="1"/>
  <c r="F269" i="14" s="1"/>
  <c r="D300" i="6"/>
  <c r="C300" i="6"/>
  <c r="A300" i="6"/>
  <c r="R299" i="6"/>
  <c r="Q299" i="6"/>
  <c r="E274" i="7" s="1"/>
  <c r="P299" i="6"/>
  <c r="Q51" i="19" s="1"/>
  <c r="F345" i="14" s="1"/>
  <c r="D299" i="6"/>
  <c r="R51" i="19" s="1"/>
  <c r="G345" i="14" s="1"/>
  <c r="C299" i="6"/>
  <c r="B299" i="6"/>
  <c r="A299" i="6"/>
  <c r="R298" i="6"/>
  <c r="P298" i="6"/>
  <c r="C298" i="6"/>
  <c r="A298" i="6"/>
  <c r="AW297" i="6"/>
  <c r="R297" i="6"/>
  <c r="Q297" i="6"/>
  <c r="E272" i="7" s="1"/>
  <c r="P297" i="6"/>
  <c r="Q46" i="19" s="1"/>
  <c r="F307" i="14" s="1"/>
  <c r="D297" i="6"/>
  <c r="R46" i="19" s="1"/>
  <c r="G307" i="14" s="1"/>
  <c r="C297" i="6"/>
  <c r="A297" i="6"/>
  <c r="R296" i="6"/>
  <c r="P296" i="6"/>
  <c r="Q44" i="19" s="1"/>
  <c r="F289" i="14" s="1"/>
  <c r="C296" i="6"/>
  <c r="A296" i="6"/>
  <c r="P294" i="6"/>
  <c r="F132" i="10" s="1"/>
  <c r="E294" i="6"/>
  <c r="B296" i="6" s="1"/>
  <c r="E293" i="6"/>
  <c r="P293" i="6" s="1"/>
  <c r="P292" i="6"/>
  <c r="P291" i="6" s="1"/>
  <c r="E268" i="7" s="1"/>
  <c r="E292" i="6"/>
  <c r="A291" i="6"/>
  <c r="R290" i="6"/>
  <c r="P290" i="6"/>
  <c r="Q43" i="19" s="1"/>
  <c r="F288" i="14" s="1"/>
  <c r="D290" i="6"/>
  <c r="R43" i="19" s="1"/>
  <c r="G288" i="14" s="1"/>
  <c r="C290" i="6"/>
  <c r="B290" i="6"/>
  <c r="A290" i="6"/>
  <c r="R289" i="6"/>
  <c r="Q289" i="6"/>
  <c r="E266" i="7" s="1"/>
  <c r="P289" i="6"/>
  <c r="Q60" i="19" s="1"/>
  <c r="F403" i="14" s="1"/>
  <c r="D289" i="6"/>
  <c r="R60" i="19" s="1"/>
  <c r="G403" i="14" s="1"/>
  <c r="C289" i="6"/>
  <c r="A289" i="6"/>
  <c r="R288" i="6"/>
  <c r="B289" i="6" s="1"/>
  <c r="A403" i="14" s="1"/>
  <c r="P288" i="6"/>
  <c r="D288" i="6"/>
  <c r="C288" i="6"/>
  <c r="B288" i="6"/>
  <c r="B265" i="7" s="1"/>
  <c r="A288" i="6"/>
  <c r="R287" i="6"/>
  <c r="Q287" i="6"/>
  <c r="E264" i="7" s="1"/>
  <c r="P287" i="6"/>
  <c r="Q38" i="19" s="1"/>
  <c r="F251" i="14" s="1"/>
  <c r="D287" i="6"/>
  <c r="R38" i="19" s="1"/>
  <c r="G251" i="14" s="1"/>
  <c r="C287" i="6"/>
  <c r="A287" i="6"/>
  <c r="R286" i="6"/>
  <c r="B287" i="6" s="1"/>
  <c r="P286" i="6"/>
  <c r="Q37" i="19" s="1"/>
  <c r="F250" i="14" s="1"/>
  <c r="D286" i="6"/>
  <c r="R37" i="19" s="1"/>
  <c r="G250" i="14" s="1"/>
  <c r="C286" i="6"/>
  <c r="A286" i="6"/>
  <c r="R285" i="6"/>
  <c r="P285" i="6"/>
  <c r="D285" i="6"/>
  <c r="R34" i="19" s="1"/>
  <c r="G231" i="14" s="1"/>
  <c r="C285" i="6"/>
  <c r="A285" i="6"/>
  <c r="R284" i="6"/>
  <c r="P284" i="6"/>
  <c r="C284" i="6"/>
  <c r="B284" i="6"/>
  <c r="A284" i="6"/>
  <c r="R283" i="6"/>
  <c r="Q283" i="6"/>
  <c r="E260" i="7" s="1"/>
  <c r="P283" i="6"/>
  <c r="Q100" i="19" s="1"/>
  <c r="F703" i="14" s="1"/>
  <c r="D283" i="6"/>
  <c r="R100" i="19" s="1"/>
  <c r="C283" i="6"/>
  <c r="B283" i="6"/>
  <c r="A283" i="6"/>
  <c r="R282" i="6"/>
  <c r="P282" i="6"/>
  <c r="Q81" i="19" s="1"/>
  <c r="F537" i="14" s="1"/>
  <c r="D282" i="6"/>
  <c r="R81" i="19" s="1"/>
  <c r="G537" i="14" s="1"/>
  <c r="C282" i="6"/>
  <c r="A282" i="6"/>
  <c r="R281" i="6"/>
  <c r="P281" i="6"/>
  <c r="D281" i="6"/>
  <c r="R21" i="19" s="1"/>
  <c r="G155" i="14" s="1"/>
  <c r="C281" i="6"/>
  <c r="B281" i="6"/>
  <c r="A281" i="6"/>
  <c r="R280" i="6"/>
  <c r="Q280" i="6"/>
  <c r="P280" i="6"/>
  <c r="Q16" i="19" s="1"/>
  <c r="F116" i="14" s="1"/>
  <c r="D280" i="6"/>
  <c r="R16" i="19" s="1"/>
  <c r="G116" i="14" s="1"/>
  <c r="C280" i="6"/>
  <c r="A280" i="6"/>
  <c r="R279" i="6"/>
  <c r="P279" i="6"/>
  <c r="D279" i="6"/>
  <c r="R14" i="19" s="1"/>
  <c r="G97" i="14" s="1"/>
  <c r="C279" i="6"/>
  <c r="A279" i="6"/>
  <c r="R278" i="6"/>
  <c r="P278" i="6"/>
  <c r="C278" i="6"/>
  <c r="B278" i="6"/>
  <c r="A278" i="6"/>
  <c r="P277" i="6"/>
  <c r="E277" i="6"/>
  <c r="P276" i="6"/>
  <c r="F142" i="10" s="1"/>
  <c r="E276" i="6"/>
  <c r="E275" i="6"/>
  <c r="P275" i="6" s="1"/>
  <c r="E274" i="6"/>
  <c r="P274" i="6" s="1"/>
  <c r="P273" i="6" s="1"/>
  <c r="E251" i="7" s="1"/>
  <c r="B274" i="6"/>
  <c r="B251" i="7" s="1"/>
  <c r="B252" i="7" s="1"/>
  <c r="B253" i="7" s="1"/>
  <c r="B254" i="7" s="1"/>
  <c r="R273" i="6"/>
  <c r="A273" i="6"/>
  <c r="R272" i="6"/>
  <c r="Q272" i="6"/>
  <c r="P272" i="6"/>
  <c r="D272" i="6"/>
  <c r="R106" i="19" s="1"/>
  <c r="G742" i="14" s="1"/>
  <c r="C272" i="6"/>
  <c r="B272" i="6"/>
  <c r="A272" i="6"/>
  <c r="R271" i="6"/>
  <c r="P271" i="6"/>
  <c r="Q104" i="19" s="1"/>
  <c r="F724" i="14" s="1"/>
  <c r="D271" i="6"/>
  <c r="R104" i="19" s="1"/>
  <c r="G724" i="14" s="1"/>
  <c r="C271" i="6"/>
  <c r="A271" i="6"/>
  <c r="R270" i="6"/>
  <c r="Q270" i="6"/>
  <c r="P270" i="6"/>
  <c r="Q103" i="19" s="1"/>
  <c r="F723" i="14" s="1"/>
  <c r="D270" i="6"/>
  <c r="R103" i="19" s="1"/>
  <c r="G723" i="14" s="1"/>
  <c r="C270" i="6"/>
  <c r="B270" i="6"/>
  <c r="A723" i="14" s="1"/>
  <c r="A270" i="6"/>
  <c r="AS269" i="6"/>
  <c r="R269" i="6"/>
  <c r="Q269" i="6"/>
  <c r="P269" i="6"/>
  <c r="Q102" i="19" s="1"/>
  <c r="F722" i="14" s="1"/>
  <c r="D269" i="6"/>
  <c r="R102" i="19" s="1"/>
  <c r="G722" i="14" s="1"/>
  <c r="C269" i="6"/>
  <c r="A269" i="6"/>
  <c r="R268" i="6"/>
  <c r="P268" i="6"/>
  <c r="D268" i="6"/>
  <c r="R9" i="19" s="1"/>
  <c r="G59" i="14" s="1"/>
  <c r="C268" i="6"/>
  <c r="A268" i="6"/>
  <c r="R267" i="6"/>
  <c r="P267" i="6"/>
  <c r="Q8" i="19" s="1"/>
  <c r="F58" i="14" s="1"/>
  <c r="C267" i="6"/>
  <c r="B267" i="6"/>
  <c r="A267" i="6"/>
  <c r="K266" i="6"/>
  <c r="J266" i="6"/>
  <c r="I266" i="6"/>
  <c r="H266" i="6"/>
  <c r="G266" i="6"/>
  <c r="F266" i="6"/>
  <c r="E266" i="6"/>
  <c r="R265" i="6"/>
  <c r="P265" i="6"/>
  <c r="D265" i="6"/>
  <c r="C265" i="6"/>
  <c r="A265" i="6"/>
  <c r="R264" i="6"/>
  <c r="Q264" i="6"/>
  <c r="E243" i="7" s="1"/>
  <c r="P264" i="6"/>
  <c r="B265" i="6" s="1"/>
  <c r="D264" i="6"/>
  <c r="C264" i="6"/>
  <c r="B264" i="6"/>
  <c r="A264" i="6"/>
  <c r="R263" i="6"/>
  <c r="Q263" i="6"/>
  <c r="E242" i="7" s="1"/>
  <c r="P263" i="6"/>
  <c r="D263" i="6"/>
  <c r="C263" i="6"/>
  <c r="B263" i="6"/>
  <c r="A263" i="6"/>
  <c r="X262" i="6"/>
  <c r="O262" i="6"/>
  <c r="N262" i="6"/>
  <c r="M262" i="6"/>
  <c r="L262" i="6"/>
  <c r="K262" i="6"/>
  <c r="J262" i="6"/>
  <c r="I262" i="6"/>
  <c r="H262" i="6"/>
  <c r="G262" i="6"/>
  <c r="F262" i="6"/>
  <c r="E262" i="6"/>
  <c r="E257" i="6"/>
  <c r="P257" i="6" s="1"/>
  <c r="E256" i="6"/>
  <c r="P256" i="6" s="1"/>
  <c r="P255" i="6"/>
  <c r="E255" i="6"/>
  <c r="R254" i="6"/>
  <c r="P254" i="6"/>
  <c r="E254" i="6"/>
  <c r="P253" i="6"/>
  <c r="E253" i="6"/>
  <c r="E252" i="6"/>
  <c r="A251" i="6"/>
  <c r="R250" i="6"/>
  <c r="Q250" i="6"/>
  <c r="E221" i="7" s="1"/>
  <c r="P250" i="6"/>
  <c r="D250" i="6"/>
  <c r="C250" i="6"/>
  <c r="A250" i="6"/>
  <c r="B15" i="12" s="1"/>
  <c r="R249" i="6"/>
  <c r="P249" i="6"/>
  <c r="D249" i="6"/>
  <c r="F67" i="19" s="1"/>
  <c r="G435" i="14" s="1"/>
  <c r="C249" i="6"/>
  <c r="A249" i="6"/>
  <c r="R248" i="6"/>
  <c r="P248" i="6"/>
  <c r="C248" i="6"/>
  <c r="B248" i="6"/>
  <c r="A248" i="6"/>
  <c r="R247" i="6"/>
  <c r="Q247" i="6"/>
  <c r="P247" i="6"/>
  <c r="E35" i="19" s="1"/>
  <c r="F225" i="14" s="1"/>
  <c r="D247" i="6"/>
  <c r="F35" i="19" s="1"/>
  <c r="G225" i="14" s="1"/>
  <c r="C247" i="6"/>
  <c r="A247" i="6"/>
  <c r="R246" i="6"/>
  <c r="P246" i="6"/>
  <c r="C246" i="6"/>
  <c r="B246" i="6"/>
  <c r="A246" i="6"/>
  <c r="R245" i="6"/>
  <c r="P245" i="6"/>
  <c r="Q245" i="6" s="1"/>
  <c r="AY245" i="6" s="1"/>
  <c r="D245" i="6"/>
  <c r="F82" i="19" s="1"/>
  <c r="G531" i="14" s="1"/>
  <c r="C245" i="6"/>
  <c r="A245" i="6"/>
  <c r="R244" i="6"/>
  <c r="B245" i="6" s="1"/>
  <c r="Q244" i="6"/>
  <c r="P244" i="6"/>
  <c r="D244" i="6"/>
  <c r="C244" i="6"/>
  <c r="A244" i="6"/>
  <c r="AU243" i="6"/>
  <c r="R243" i="6"/>
  <c r="B244" i="6" s="1"/>
  <c r="Q243" i="6"/>
  <c r="E214" i="7" s="1"/>
  <c r="P243" i="6"/>
  <c r="D243" i="6"/>
  <c r="E19" i="10" s="1"/>
  <c r="C243" i="6"/>
  <c r="B243" i="6"/>
  <c r="A243" i="6"/>
  <c r="P241" i="6"/>
  <c r="E241" i="6"/>
  <c r="E240" i="6"/>
  <c r="P240" i="6" s="1"/>
  <c r="E239" i="6"/>
  <c r="P239" i="6" s="1"/>
  <c r="P238" i="6"/>
  <c r="E238" i="6"/>
  <c r="R237" i="6"/>
  <c r="A237" i="6"/>
  <c r="AZ236" i="6"/>
  <c r="AV236" i="6"/>
  <c r="R236" i="6"/>
  <c r="Q236" i="6"/>
  <c r="J40" i="20" s="1"/>
  <c r="P236" i="6"/>
  <c r="D236" i="6"/>
  <c r="E24" i="15" s="1"/>
  <c r="C236" i="6"/>
  <c r="A236" i="6"/>
  <c r="B24" i="15" s="1"/>
  <c r="R235" i="6"/>
  <c r="P235" i="6"/>
  <c r="D235" i="6"/>
  <c r="F33" i="12" s="1"/>
  <c r="C235" i="6"/>
  <c r="A235" i="6"/>
  <c r="R234" i="6"/>
  <c r="P234" i="6"/>
  <c r="D234" i="6"/>
  <c r="F76" i="19" s="1"/>
  <c r="G493" i="14" s="1"/>
  <c r="C234" i="6"/>
  <c r="A234" i="6"/>
  <c r="C233" i="6"/>
  <c r="R231" i="6"/>
  <c r="P231" i="6"/>
  <c r="E232" i="6" s="1"/>
  <c r="A231" i="6"/>
  <c r="B229" i="6"/>
  <c r="P228" i="6"/>
  <c r="E228" i="6"/>
  <c r="E227" i="6"/>
  <c r="P227" i="6" s="1"/>
  <c r="E226" i="6"/>
  <c r="B226" i="6"/>
  <c r="E225" i="6"/>
  <c r="P225" i="6" s="1"/>
  <c r="B225" i="6"/>
  <c r="P224" i="6"/>
  <c r="E224" i="6"/>
  <c r="C224" i="6"/>
  <c r="B224" i="6"/>
  <c r="P223" i="6"/>
  <c r="E223" i="6"/>
  <c r="C223" i="6"/>
  <c r="B223" i="6"/>
  <c r="B200" i="7" s="1"/>
  <c r="B201" i="7" s="1"/>
  <c r="B202" i="7" s="1"/>
  <c r="B203" i="7" s="1"/>
  <c r="B204" i="7" s="1"/>
  <c r="B205" i="7" s="1"/>
  <c r="R222" i="6"/>
  <c r="B222" i="6"/>
  <c r="A222" i="6"/>
  <c r="R221" i="6"/>
  <c r="P221" i="6"/>
  <c r="D221" i="6"/>
  <c r="C221" i="6"/>
  <c r="B221" i="6"/>
  <c r="A221" i="6"/>
  <c r="X220" i="6"/>
  <c r="R220" i="6"/>
  <c r="Q220" i="6"/>
  <c r="P220" i="6"/>
  <c r="D220" i="6"/>
  <c r="F71" i="19" s="1"/>
  <c r="G455" i="14" s="1"/>
  <c r="C220" i="6"/>
  <c r="A220" i="6"/>
  <c r="R219" i="6"/>
  <c r="P219" i="6"/>
  <c r="D219" i="6"/>
  <c r="C219" i="6"/>
  <c r="A219" i="6"/>
  <c r="R218" i="6"/>
  <c r="P218" i="6"/>
  <c r="D218" i="6"/>
  <c r="F78" i="19" s="1"/>
  <c r="G511" i="14" s="1"/>
  <c r="C218" i="6"/>
  <c r="B218" i="6"/>
  <c r="A218" i="6"/>
  <c r="R217" i="6"/>
  <c r="Q217" i="6"/>
  <c r="P217" i="6"/>
  <c r="D217" i="6"/>
  <c r="F54" i="19" s="1"/>
  <c r="G357" i="14" s="1"/>
  <c r="C217" i="6"/>
  <c r="A217" i="6"/>
  <c r="R216" i="6"/>
  <c r="P216" i="6"/>
  <c r="G28" i="9" s="1"/>
  <c r="H28" i="9" s="1"/>
  <c r="D216" i="6"/>
  <c r="C216" i="6"/>
  <c r="A216" i="6"/>
  <c r="B28" i="9" s="1"/>
  <c r="R212" i="6"/>
  <c r="P212" i="6"/>
  <c r="E214" i="6" s="1"/>
  <c r="A212" i="6"/>
  <c r="B33" i="9" s="1"/>
  <c r="R211" i="6"/>
  <c r="P211" i="6"/>
  <c r="C211" i="6"/>
  <c r="B211" i="6"/>
  <c r="B192" i="7" s="1"/>
  <c r="A211" i="6"/>
  <c r="R210" i="6"/>
  <c r="P210" i="6"/>
  <c r="C210" i="6"/>
  <c r="B210" i="6"/>
  <c r="A210" i="6"/>
  <c r="B16" i="9" s="1"/>
  <c r="R209" i="6"/>
  <c r="P209" i="6"/>
  <c r="D209" i="6"/>
  <c r="C209" i="6"/>
  <c r="A209" i="6"/>
  <c r="R208" i="6"/>
  <c r="Q208" i="6"/>
  <c r="P208" i="6"/>
  <c r="D208" i="6"/>
  <c r="F27" i="12" s="1"/>
  <c r="C208" i="6"/>
  <c r="B208" i="6"/>
  <c r="A208" i="6"/>
  <c r="R207" i="6"/>
  <c r="Q207" i="6"/>
  <c r="P207" i="6"/>
  <c r="D207" i="6"/>
  <c r="C207" i="6"/>
  <c r="B207" i="6"/>
  <c r="B188" i="7" s="1"/>
  <c r="A207" i="6"/>
  <c r="R206" i="6"/>
  <c r="P206" i="6"/>
  <c r="E98" i="19" s="1"/>
  <c r="F677" i="14" s="1"/>
  <c r="D206" i="6"/>
  <c r="F98" i="19" s="1"/>
  <c r="G677" i="14" s="1"/>
  <c r="C206" i="6"/>
  <c r="B206" i="6"/>
  <c r="A206" i="6"/>
  <c r="R205" i="6"/>
  <c r="P205" i="6"/>
  <c r="D205" i="6"/>
  <c r="C205" i="6"/>
  <c r="B205" i="6"/>
  <c r="A205" i="6"/>
  <c r="R204" i="6"/>
  <c r="P204" i="6"/>
  <c r="F21" i="15" s="1"/>
  <c r="D204" i="6"/>
  <c r="E21" i="15" s="1"/>
  <c r="C204" i="6"/>
  <c r="A204" i="6"/>
  <c r="B21" i="15" s="1"/>
  <c r="AZ203" i="6"/>
  <c r="AV203" i="6"/>
  <c r="AU203" i="6"/>
  <c r="R203" i="6"/>
  <c r="Q203" i="6"/>
  <c r="P203" i="6"/>
  <c r="F20" i="15" s="1"/>
  <c r="D203" i="6"/>
  <c r="E20" i="15" s="1"/>
  <c r="C203" i="6"/>
  <c r="A203" i="6"/>
  <c r="B20" i="15" s="1"/>
  <c r="R202" i="6"/>
  <c r="B203" i="6" s="1"/>
  <c r="B184" i="7" s="1"/>
  <c r="P202" i="6"/>
  <c r="E52" i="19" s="1"/>
  <c r="F339" i="14" s="1"/>
  <c r="D202" i="6"/>
  <c r="F52" i="19" s="1"/>
  <c r="G339" i="14" s="1"/>
  <c r="C202" i="6"/>
  <c r="A202" i="6"/>
  <c r="AS201" i="6"/>
  <c r="R201" i="6"/>
  <c r="Q201" i="6"/>
  <c r="P201" i="6"/>
  <c r="E51" i="19" s="1"/>
  <c r="F338" i="14" s="1"/>
  <c r="D201" i="6"/>
  <c r="F51" i="19" s="1"/>
  <c r="G338" i="14" s="1"/>
  <c r="C201" i="6"/>
  <c r="B201" i="6"/>
  <c r="A201" i="6"/>
  <c r="R200" i="6"/>
  <c r="Q200" i="6"/>
  <c r="E181" i="7" s="1"/>
  <c r="P200" i="6"/>
  <c r="G23" i="12" s="1"/>
  <c r="D200" i="6"/>
  <c r="F23" i="12" s="1"/>
  <c r="C200" i="6"/>
  <c r="B200" i="6"/>
  <c r="A200" i="6"/>
  <c r="B23" i="12" s="1"/>
  <c r="R199" i="6"/>
  <c r="Q199" i="6"/>
  <c r="P199" i="6"/>
  <c r="G22" i="12" s="1"/>
  <c r="D199" i="6"/>
  <c r="F22" i="12" s="1"/>
  <c r="C199" i="6"/>
  <c r="B199" i="6"/>
  <c r="A199" i="6"/>
  <c r="B22" i="12" s="1"/>
  <c r="R198" i="6"/>
  <c r="P198" i="6"/>
  <c r="E49" i="19" s="1"/>
  <c r="F319" i="14" s="1"/>
  <c r="C198" i="6"/>
  <c r="B198" i="6"/>
  <c r="A198" i="6"/>
  <c r="R197" i="6"/>
  <c r="P197" i="6"/>
  <c r="D197" i="6"/>
  <c r="F24" i="9" s="1"/>
  <c r="C197" i="6"/>
  <c r="B197" i="6"/>
  <c r="C24" i="9" s="1"/>
  <c r="A197" i="6"/>
  <c r="B24" i="9" s="1"/>
  <c r="R196" i="6"/>
  <c r="Q196" i="6"/>
  <c r="AW196" i="6" s="1"/>
  <c r="P196" i="6"/>
  <c r="D196" i="6"/>
  <c r="C196" i="6"/>
  <c r="B196" i="6"/>
  <c r="A196" i="6"/>
  <c r="R195" i="6"/>
  <c r="P195" i="6"/>
  <c r="D195" i="6"/>
  <c r="C195" i="6"/>
  <c r="A195" i="6"/>
  <c r="R194" i="6"/>
  <c r="P194" i="6"/>
  <c r="E44" i="19" s="1"/>
  <c r="F282" i="14" s="1"/>
  <c r="D194" i="6"/>
  <c r="F44" i="19" s="1"/>
  <c r="G282" i="14" s="1"/>
  <c r="C194" i="6"/>
  <c r="A194" i="6"/>
  <c r="R193" i="6"/>
  <c r="Q193" i="6"/>
  <c r="AS193" i="6" s="1"/>
  <c r="P193" i="6"/>
  <c r="D193" i="6"/>
  <c r="F43" i="19" s="1"/>
  <c r="G281" i="14" s="1"/>
  <c r="C193" i="6"/>
  <c r="B193" i="6"/>
  <c r="A193" i="6"/>
  <c r="R192" i="6"/>
  <c r="P192" i="6"/>
  <c r="D192" i="6"/>
  <c r="C192" i="6"/>
  <c r="A192" i="6"/>
  <c r="R191" i="6"/>
  <c r="Q191" i="6"/>
  <c r="P191" i="6"/>
  <c r="D191" i="6"/>
  <c r="C191" i="6"/>
  <c r="A191" i="6"/>
  <c r="R190" i="6"/>
  <c r="Q190" i="6"/>
  <c r="P190" i="6"/>
  <c r="D190" i="6"/>
  <c r="C190" i="6"/>
  <c r="B190" i="6"/>
  <c r="A190" i="6"/>
  <c r="R189" i="6"/>
  <c r="P189" i="6"/>
  <c r="D189" i="6"/>
  <c r="C189" i="6"/>
  <c r="A189" i="6"/>
  <c r="B19" i="15" s="1"/>
  <c r="BJ188" i="6"/>
  <c r="R188" i="6"/>
  <c r="P188" i="6"/>
  <c r="Q188" i="6" s="1"/>
  <c r="D188" i="6"/>
  <c r="C188" i="6"/>
  <c r="A188" i="6"/>
  <c r="B23" i="15" s="1"/>
  <c r="BJ187" i="6"/>
  <c r="R187" i="6"/>
  <c r="Q187" i="6"/>
  <c r="AU187" i="6" s="1"/>
  <c r="P187" i="6"/>
  <c r="D187" i="6"/>
  <c r="C187" i="6"/>
  <c r="A187" i="6"/>
  <c r="B18" i="15" s="1"/>
  <c r="R186" i="6"/>
  <c r="B187" i="6" s="1"/>
  <c r="B168" i="7" s="1"/>
  <c r="Q186" i="6"/>
  <c r="AY186" i="6" s="1"/>
  <c r="BH187" i="6" s="1"/>
  <c r="P186" i="6"/>
  <c r="D186" i="6"/>
  <c r="C186" i="6"/>
  <c r="B186" i="6"/>
  <c r="A186" i="6"/>
  <c r="R185" i="6"/>
  <c r="P185" i="6"/>
  <c r="C185" i="6"/>
  <c r="B185" i="6"/>
  <c r="A185" i="6"/>
  <c r="R184" i="6"/>
  <c r="P184" i="6"/>
  <c r="C184" i="6"/>
  <c r="A184" i="6"/>
  <c r="R183" i="6"/>
  <c r="B184" i="6" s="1"/>
  <c r="P183" i="6"/>
  <c r="C183" i="6"/>
  <c r="B183" i="6"/>
  <c r="A183" i="6"/>
  <c r="R182" i="6"/>
  <c r="P182" i="6"/>
  <c r="P96" i="5" s="1"/>
  <c r="D182" i="6"/>
  <c r="C182" i="6"/>
  <c r="B182" i="6"/>
  <c r="B163" i="7" s="1"/>
  <c r="A182" i="6"/>
  <c r="R181" i="6"/>
  <c r="P181" i="6"/>
  <c r="D181" i="6"/>
  <c r="C181" i="6"/>
  <c r="A181" i="6"/>
  <c r="B22" i="15" s="1"/>
  <c r="R180" i="6"/>
  <c r="P180" i="6"/>
  <c r="D180" i="6"/>
  <c r="Q180" i="6" s="1"/>
  <c r="C180" i="6"/>
  <c r="B180" i="6"/>
  <c r="A180" i="6"/>
  <c r="R179" i="6"/>
  <c r="P179" i="6"/>
  <c r="D179" i="6"/>
  <c r="Q179" i="6" s="1"/>
  <c r="C179" i="6"/>
  <c r="A179" i="6"/>
  <c r="R178" i="6"/>
  <c r="P178" i="6"/>
  <c r="B179" i="6" s="1"/>
  <c r="D178" i="6"/>
  <c r="C178" i="6"/>
  <c r="A178" i="6"/>
  <c r="R177" i="6"/>
  <c r="Q177" i="6"/>
  <c r="AY177" i="6" s="1"/>
  <c r="P177" i="6"/>
  <c r="E21" i="19" s="1"/>
  <c r="F147" i="14" s="1"/>
  <c r="D177" i="6"/>
  <c r="F21" i="19" s="1"/>
  <c r="G147" i="14" s="1"/>
  <c r="C177" i="6"/>
  <c r="B177" i="6"/>
  <c r="A177" i="6"/>
  <c r="R176" i="6"/>
  <c r="P176" i="6"/>
  <c r="E19" i="19" s="1"/>
  <c r="F129" i="14" s="1"/>
  <c r="D176" i="6"/>
  <c r="F19" i="19" s="1"/>
  <c r="G129" i="14" s="1"/>
  <c r="C176" i="6"/>
  <c r="A176" i="6"/>
  <c r="R175" i="6"/>
  <c r="P175" i="6"/>
  <c r="D175" i="6"/>
  <c r="F18" i="19" s="1"/>
  <c r="G128" i="14" s="1"/>
  <c r="C175" i="6"/>
  <c r="B175" i="6"/>
  <c r="A175" i="6"/>
  <c r="R174" i="6"/>
  <c r="P174" i="6"/>
  <c r="E14" i="19" s="1"/>
  <c r="F90" i="14" s="1"/>
  <c r="D174" i="6"/>
  <c r="F14" i="19" s="1"/>
  <c r="G90" i="14" s="1"/>
  <c r="C174" i="6"/>
  <c r="A174" i="6"/>
  <c r="R173" i="6"/>
  <c r="P173" i="6"/>
  <c r="D173" i="6"/>
  <c r="F16" i="19" s="1"/>
  <c r="G109" i="14" s="1"/>
  <c r="C173" i="6"/>
  <c r="B173" i="6"/>
  <c r="A173" i="6"/>
  <c r="R172" i="6"/>
  <c r="P172" i="6"/>
  <c r="E12" i="19" s="1"/>
  <c r="F72" i="14" s="1"/>
  <c r="D172" i="6"/>
  <c r="F12" i="19" s="1"/>
  <c r="G72" i="14" s="1"/>
  <c r="C172" i="6"/>
  <c r="A172" i="6"/>
  <c r="R171" i="6"/>
  <c r="P171" i="6"/>
  <c r="E11" i="19" s="1"/>
  <c r="F71" i="14" s="1"/>
  <c r="D171" i="6"/>
  <c r="F11" i="19" s="1"/>
  <c r="G71" i="14" s="1"/>
  <c r="C171" i="6"/>
  <c r="B171" i="6"/>
  <c r="A171" i="6"/>
  <c r="R170" i="6"/>
  <c r="P170" i="6"/>
  <c r="E8" i="19" s="1"/>
  <c r="F51" i="14" s="1"/>
  <c r="C170" i="6"/>
  <c r="B170" i="6"/>
  <c r="A170" i="6"/>
  <c r="K169" i="6"/>
  <c r="J169" i="6"/>
  <c r="I169" i="6"/>
  <c r="H169" i="6"/>
  <c r="G169" i="6"/>
  <c r="F169" i="6"/>
  <c r="E169" i="6"/>
  <c r="E168" i="6"/>
  <c r="P167" i="6"/>
  <c r="G35" i="12" s="1"/>
  <c r="A167" i="6"/>
  <c r="B35" i="12" s="1"/>
  <c r="R166" i="6"/>
  <c r="P166" i="6"/>
  <c r="D166" i="6"/>
  <c r="F29" i="12" s="1"/>
  <c r="C166" i="6"/>
  <c r="B166" i="6"/>
  <c r="A166" i="6"/>
  <c r="R165" i="6"/>
  <c r="P165" i="6"/>
  <c r="D165" i="6"/>
  <c r="Q165" i="6" s="1"/>
  <c r="C165" i="6"/>
  <c r="B165" i="6"/>
  <c r="A165" i="6"/>
  <c r="O164" i="6"/>
  <c r="N164" i="6"/>
  <c r="M164" i="6"/>
  <c r="L164" i="6"/>
  <c r="K164" i="6"/>
  <c r="J164" i="6"/>
  <c r="I164" i="6"/>
  <c r="H164" i="6"/>
  <c r="G164" i="6"/>
  <c r="F164" i="6"/>
  <c r="E164" i="6"/>
  <c r="AA163" i="6"/>
  <c r="V163" i="6"/>
  <c r="AP163" i="6" s="1"/>
  <c r="Q163" i="6"/>
  <c r="E147" i="7" s="1"/>
  <c r="P163" i="6"/>
  <c r="D163" i="6"/>
  <c r="C163" i="6"/>
  <c r="A163" i="6"/>
  <c r="C21" i="10" s="1"/>
  <c r="AB162" i="6"/>
  <c r="AA162" i="6"/>
  <c r="Z162" i="6"/>
  <c r="O162" i="6"/>
  <c r="N162" i="6"/>
  <c r="M162" i="6"/>
  <c r="L162" i="6"/>
  <c r="K162" i="6"/>
  <c r="AC162" i="6" s="1"/>
  <c r="J162" i="6"/>
  <c r="I162" i="6"/>
  <c r="H162" i="6"/>
  <c r="G162" i="6"/>
  <c r="Y162" i="6" s="1"/>
  <c r="F162" i="6"/>
  <c r="E162" i="6"/>
  <c r="R157" i="6"/>
  <c r="P157" i="6"/>
  <c r="D157" i="6"/>
  <c r="Q157" i="6" s="1"/>
  <c r="C157" i="6"/>
  <c r="A157" i="6"/>
  <c r="R156" i="6"/>
  <c r="Q156" i="6"/>
  <c r="E121" i="7" s="1"/>
  <c r="P156" i="6"/>
  <c r="D156" i="6"/>
  <c r="C156" i="6"/>
  <c r="B156" i="6"/>
  <c r="B121" i="7" s="1"/>
  <c r="A156" i="6"/>
  <c r="R155" i="6"/>
  <c r="P155" i="6"/>
  <c r="W82" i="19" s="1"/>
  <c r="F543" i="14" s="1"/>
  <c r="D155" i="6"/>
  <c r="X82" i="19" s="1"/>
  <c r="G543" i="14" s="1"/>
  <c r="C155" i="6"/>
  <c r="A155" i="6"/>
  <c r="R154" i="6"/>
  <c r="P154" i="6"/>
  <c r="C154" i="6"/>
  <c r="B154" i="6"/>
  <c r="A154" i="6"/>
  <c r="R152" i="6"/>
  <c r="P152" i="6"/>
  <c r="G34" i="9" s="1"/>
  <c r="A152" i="6"/>
  <c r="B34" i="9" s="1"/>
  <c r="R151" i="6"/>
  <c r="P151" i="6"/>
  <c r="B152" i="6" s="1"/>
  <c r="C151" i="6"/>
  <c r="B151" i="6"/>
  <c r="A151" i="6"/>
  <c r="R150" i="6"/>
  <c r="P150" i="6"/>
  <c r="C150" i="6"/>
  <c r="B150" i="6"/>
  <c r="A150" i="6"/>
  <c r="R149" i="6"/>
  <c r="P149" i="6"/>
  <c r="C149" i="6"/>
  <c r="B149" i="6"/>
  <c r="A149" i="6"/>
  <c r="P147" i="6"/>
  <c r="E147" i="6"/>
  <c r="E146" i="6"/>
  <c r="P146" i="6" s="1"/>
  <c r="R145" i="6"/>
  <c r="E145" i="6"/>
  <c r="P145" i="6" s="1"/>
  <c r="R144" i="6"/>
  <c r="E144" i="6"/>
  <c r="P144" i="6" s="1"/>
  <c r="R143" i="6"/>
  <c r="E143" i="6"/>
  <c r="P143" i="6" s="1"/>
  <c r="C143" i="6"/>
  <c r="E142" i="6"/>
  <c r="P142" i="6" s="1"/>
  <c r="P141" i="6" s="1"/>
  <c r="E109" i="7" s="1"/>
  <c r="C142" i="6"/>
  <c r="R141" i="6"/>
  <c r="A141" i="6"/>
  <c r="R140" i="6"/>
  <c r="P140" i="6"/>
  <c r="B146" i="6" s="1"/>
  <c r="B113" i="7" s="1"/>
  <c r="D140" i="6"/>
  <c r="C140" i="6"/>
  <c r="B140" i="6"/>
  <c r="A140" i="6"/>
  <c r="B23" i="9" s="1"/>
  <c r="R139" i="6"/>
  <c r="Q139" i="6"/>
  <c r="E107" i="7" s="1"/>
  <c r="P139" i="6"/>
  <c r="D139" i="6"/>
  <c r="C139" i="6"/>
  <c r="B139" i="6"/>
  <c r="A139" i="6"/>
  <c r="R138" i="6"/>
  <c r="Q138" i="6"/>
  <c r="E106" i="7" s="1"/>
  <c r="P138" i="6"/>
  <c r="D138" i="6"/>
  <c r="C138" i="6"/>
  <c r="B138" i="6"/>
  <c r="A138" i="6"/>
  <c r="AR137" i="6"/>
  <c r="AQ137" i="6"/>
  <c r="AP137" i="6"/>
  <c r="AO137" i="6"/>
  <c r="AN137" i="6"/>
  <c r="AM137" i="6"/>
  <c r="AL137" i="6"/>
  <c r="AK137" i="6"/>
  <c r="AJ137" i="6"/>
  <c r="AI137" i="6"/>
  <c r="AH137" i="6"/>
  <c r="R137" i="6"/>
  <c r="P137" i="6"/>
  <c r="D137" i="6"/>
  <c r="X89" i="19" s="1"/>
  <c r="G605" i="14" s="1"/>
  <c r="C137" i="6"/>
  <c r="B137" i="6"/>
  <c r="B105" i="7" s="1"/>
  <c r="A137" i="6"/>
  <c r="R136" i="6"/>
  <c r="P136" i="6"/>
  <c r="C136" i="6"/>
  <c r="B136" i="6"/>
  <c r="A136" i="6"/>
  <c r="B22" i="9" s="1"/>
  <c r="R135" i="6"/>
  <c r="P135" i="6"/>
  <c r="W49" i="19" s="1"/>
  <c r="F331" i="14" s="1"/>
  <c r="C135" i="6"/>
  <c r="B135" i="6"/>
  <c r="A135" i="6"/>
  <c r="R134" i="6"/>
  <c r="P134" i="6"/>
  <c r="D134" i="6"/>
  <c r="L26" i="10" s="1"/>
  <c r="C134" i="6"/>
  <c r="B134" i="6"/>
  <c r="A134" i="6"/>
  <c r="B25" i="9" s="1"/>
  <c r="P132" i="6"/>
  <c r="E132" i="6"/>
  <c r="P131" i="6"/>
  <c r="E131" i="6"/>
  <c r="E130" i="6"/>
  <c r="P130" i="6" s="1"/>
  <c r="P127" i="6" s="1"/>
  <c r="E97" i="7" s="1"/>
  <c r="P129" i="6"/>
  <c r="E129" i="6"/>
  <c r="P128" i="6"/>
  <c r="E128" i="6"/>
  <c r="A127" i="6"/>
  <c r="R126" i="6"/>
  <c r="P126" i="6"/>
  <c r="D126" i="6"/>
  <c r="Q126" i="6" s="1"/>
  <c r="C126" i="6"/>
  <c r="B126" i="6"/>
  <c r="A126" i="6"/>
  <c r="R125" i="6"/>
  <c r="P125" i="6"/>
  <c r="P57" i="5" s="1"/>
  <c r="D125" i="6"/>
  <c r="C125" i="6"/>
  <c r="B125" i="6"/>
  <c r="A125" i="6"/>
  <c r="R124" i="6"/>
  <c r="Q124" i="6"/>
  <c r="E94" i="7" s="1"/>
  <c r="P124" i="6"/>
  <c r="D124" i="6"/>
  <c r="C124" i="6"/>
  <c r="B124" i="6"/>
  <c r="A124" i="6"/>
  <c r="Z123" i="6"/>
  <c r="R123" i="6"/>
  <c r="Q123" i="6"/>
  <c r="E93" i="7" s="1"/>
  <c r="P123" i="6"/>
  <c r="D123" i="6"/>
  <c r="C123" i="6"/>
  <c r="A123" i="6"/>
  <c r="B19" i="9" s="1"/>
  <c r="P121" i="6"/>
  <c r="E121" i="6"/>
  <c r="E120" i="6"/>
  <c r="P120" i="6" s="1"/>
  <c r="P119" i="6"/>
  <c r="E119" i="6"/>
  <c r="P118" i="6"/>
  <c r="E118" i="6"/>
  <c r="P117" i="6"/>
  <c r="E117" i="6"/>
  <c r="E116" i="6"/>
  <c r="P116" i="6" s="1"/>
  <c r="P115" i="6" s="1"/>
  <c r="E87" i="7" s="1"/>
  <c r="A115" i="6"/>
  <c r="AW114" i="6"/>
  <c r="AE114" i="6"/>
  <c r="AE159" i="6" s="1"/>
  <c r="Q114" i="6"/>
  <c r="E86" i="7" s="1"/>
  <c r="P114" i="6"/>
  <c r="D114" i="6"/>
  <c r="C114" i="6"/>
  <c r="A114" i="6"/>
  <c r="AW113" i="6"/>
  <c r="BF113" i="6" s="1"/>
  <c r="R113" i="6"/>
  <c r="B114" i="6" s="1"/>
  <c r="Q113" i="6"/>
  <c r="AX113" i="6" s="1"/>
  <c r="P113" i="6"/>
  <c r="D113" i="6"/>
  <c r="C113" i="6"/>
  <c r="A113" i="6"/>
  <c r="B14" i="9" s="1"/>
  <c r="R112" i="6"/>
  <c r="P112" i="6"/>
  <c r="G13" i="9" s="1"/>
  <c r="H13" i="9" s="1"/>
  <c r="C112" i="6"/>
  <c r="A112" i="6"/>
  <c r="B13" i="9" s="1"/>
  <c r="K111" i="6"/>
  <c r="AC109" i="6" s="1"/>
  <c r="J111" i="6"/>
  <c r="I111" i="6"/>
  <c r="H111" i="6"/>
  <c r="Z109" i="6" s="1"/>
  <c r="G111" i="6"/>
  <c r="Y109" i="6" s="1"/>
  <c r="F111" i="6"/>
  <c r="E111" i="6"/>
  <c r="R110" i="6"/>
  <c r="Q110" i="6"/>
  <c r="E83" i="7" s="1"/>
  <c r="P110" i="6"/>
  <c r="B112" i="6" s="1"/>
  <c r="D110" i="6"/>
  <c r="C110" i="6"/>
  <c r="B110" i="6"/>
  <c r="B83" i="7" s="1"/>
  <c r="A110" i="6"/>
  <c r="AB109" i="6"/>
  <c r="AY201" i="6" s="1"/>
  <c r="AA109" i="6"/>
  <c r="AA400" i="6" s="1"/>
  <c r="AE107" i="6"/>
  <c r="Q107" i="6"/>
  <c r="E57" i="7" s="1"/>
  <c r="P107" i="6"/>
  <c r="F14" i="15" s="1"/>
  <c r="D107" i="6"/>
  <c r="E14" i="15" s="1"/>
  <c r="C107" i="6"/>
  <c r="A107" i="6"/>
  <c r="B14" i="15" s="1"/>
  <c r="R106" i="6"/>
  <c r="Q106" i="6"/>
  <c r="E56" i="7" s="1"/>
  <c r="P106" i="6"/>
  <c r="B107" i="6" s="1"/>
  <c r="D106" i="6"/>
  <c r="C106" i="6"/>
  <c r="B106" i="6"/>
  <c r="A106" i="6"/>
  <c r="P105" i="6"/>
  <c r="F13" i="15" s="1"/>
  <c r="I15" i="15" s="1"/>
  <c r="D105" i="6"/>
  <c r="E13" i="15" s="1"/>
  <c r="C105" i="6"/>
  <c r="A105" i="6"/>
  <c r="B13" i="15" s="1"/>
  <c r="R104" i="6"/>
  <c r="P104" i="6"/>
  <c r="B105" i="6" s="1"/>
  <c r="B55" i="7" s="1"/>
  <c r="D104" i="6"/>
  <c r="Q104" i="6" s="1"/>
  <c r="C104" i="6"/>
  <c r="B104" i="6"/>
  <c r="A104" i="6"/>
  <c r="K103" i="6"/>
  <c r="J103" i="6"/>
  <c r="I103" i="6"/>
  <c r="H103" i="6"/>
  <c r="G103" i="6"/>
  <c r="F103" i="6"/>
  <c r="E103" i="6"/>
  <c r="R102" i="6"/>
  <c r="Q102" i="6"/>
  <c r="E53" i="7" s="1"/>
  <c r="P102" i="6"/>
  <c r="D102" i="6"/>
  <c r="C102" i="6"/>
  <c r="A102" i="6"/>
  <c r="R101" i="6"/>
  <c r="P101" i="6"/>
  <c r="G28" i="12" s="1"/>
  <c r="D101" i="6"/>
  <c r="F28" i="12" s="1"/>
  <c r="C101" i="6"/>
  <c r="A101" i="6"/>
  <c r="B28" i="12" s="1"/>
  <c r="R100" i="6"/>
  <c r="P100" i="6"/>
  <c r="B101" i="6" s="1"/>
  <c r="D100" i="6"/>
  <c r="Q100" i="6" s="1"/>
  <c r="C100" i="6"/>
  <c r="B100" i="6"/>
  <c r="A100" i="6"/>
  <c r="R99" i="6"/>
  <c r="Q99" i="6"/>
  <c r="E50" i="7" s="1"/>
  <c r="P99" i="6"/>
  <c r="D99" i="6"/>
  <c r="C99" i="6"/>
  <c r="B99" i="6"/>
  <c r="A99" i="6"/>
  <c r="R98" i="6"/>
  <c r="Q98" i="6"/>
  <c r="E49" i="7" s="1"/>
  <c r="P98" i="6"/>
  <c r="D98" i="6"/>
  <c r="C98" i="6"/>
  <c r="B98" i="6"/>
  <c r="A98" i="6"/>
  <c r="E93" i="6"/>
  <c r="P93" i="6" s="1"/>
  <c r="A93" i="6"/>
  <c r="P92" i="6"/>
  <c r="E92" i="6"/>
  <c r="P91" i="6"/>
  <c r="E91" i="6"/>
  <c r="P90" i="6"/>
  <c r="E90" i="6"/>
  <c r="E89" i="6"/>
  <c r="P89" i="6" s="1"/>
  <c r="P87" i="6" s="1"/>
  <c r="E31" i="7" s="1"/>
  <c r="P88" i="6"/>
  <c r="E88" i="6"/>
  <c r="A88" i="6"/>
  <c r="A89" i="6" s="1"/>
  <c r="A90" i="6" s="1"/>
  <c r="A91" i="6" s="1"/>
  <c r="A92" i="6" s="1"/>
  <c r="A94" i="6" s="1"/>
  <c r="A87" i="6"/>
  <c r="E85" i="6"/>
  <c r="P84" i="6"/>
  <c r="E84" i="6" s="1"/>
  <c r="A84" i="6"/>
  <c r="E82" i="6"/>
  <c r="E79" i="6"/>
  <c r="E78" i="6"/>
  <c r="P77" i="6"/>
  <c r="E80" i="6" s="1"/>
  <c r="A77" i="6"/>
  <c r="P74" i="6"/>
  <c r="E74" i="6"/>
  <c r="P73" i="6"/>
  <c r="E73" i="6"/>
  <c r="P72" i="6"/>
  <c r="E72" i="6"/>
  <c r="E71" i="6"/>
  <c r="P71" i="6" s="1"/>
  <c r="P68" i="6" s="1"/>
  <c r="E23" i="7" s="1"/>
  <c r="P70" i="6"/>
  <c r="E70" i="6"/>
  <c r="P69" i="6"/>
  <c r="E69" i="6"/>
  <c r="A68" i="6"/>
  <c r="A69" i="6" s="1"/>
  <c r="A70" i="6" s="1"/>
  <c r="A71" i="6" s="1"/>
  <c r="A72" i="6" s="1"/>
  <c r="A73" i="6" s="1"/>
  <c r="A74" i="6" s="1"/>
  <c r="A75" i="6" s="1"/>
  <c r="E65" i="6"/>
  <c r="P65" i="6" s="1"/>
  <c r="P64" i="6"/>
  <c r="E64" i="6"/>
  <c r="P63" i="6"/>
  <c r="E63" i="6"/>
  <c r="P62" i="6"/>
  <c r="E62" i="6"/>
  <c r="E61" i="6"/>
  <c r="P61" i="6" s="1"/>
  <c r="P60" i="6"/>
  <c r="E60" i="6"/>
  <c r="B58" i="6"/>
  <c r="B17" i="7" s="1"/>
  <c r="B18" i="7" s="1"/>
  <c r="B19" i="7" s="1"/>
  <c r="B20" i="7" s="1"/>
  <c r="B21" i="7" s="1"/>
  <c r="B22" i="7" s="1"/>
  <c r="A58" i="6"/>
  <c r="A59" i="6" s="1"/>
  <c r="A60" i="6" s="1"/>
  <c r="A61" i="6" s="1"/>
  <c r="A62" i="6" s="1"/>
  <c r="A63" i="6" s="1"/>
  <c r="A64" i="6" s="1"/>
  <c r="A65" i="6" s="1"/>
  <c r="Q57" i="6"/>
  <c r="J16" i="20" s="1"/>
  <c r="P57" i="6"/>
  <c r="D57" i="6"/>
  <c r="X95" i="19" s="1"/>
  <c r="G666" i="14" s="1"/>
  <c r="C57" i="6"/>
  <c r="A57" i="6"/>
  <c r="P56" i="6"/>
  <c r="P31" i="5" s="1"/>
  <c r="D56" i="6"/>
  <c r="F95" i="19" s="1"/>
  <c r="G654" i="14" s="1"/>
  <c r="C56" i="6"/>
  <c r="B56" i="6"/>
  <c r="A56" i="6"/>
  <c r="E55" i="6"/>
  <c r="P54" i="6"/>
  <c r="E54" i="6"/>
  <c r="A54" i="6"/>
  <c r="R53" i="6"/>
  <c r="P53" i="6"/>
  <c r="B251" i="6" s="1"/>
  <c r="D53" i="6"/>
  <c r="F21" i="9" s="1"/>
  <c r="C53" i="6"/>
  <c r="B53" i="6"/>
  <c r="A53" i="6"/>
  <c r="B21" i="9" s="1"/>
  <c r="P46" i="6"/>
  <c r="B46" i="6"/>
  <c r="B12" i="7" s="1"/>
  <c r="A46" i="6"/>
  <c r="E45" i="6"/>
  <c r="E44" i="6"/>
  <c r="E43" i="6"/>
  <c r="P42" i="6"/>
  <c r="B285" i="6" s="1"/>
  <c r="B42" i="6"/>
  <c r="B11" i="7" s="1"/>
  <c r="A42" i="6"/>
  <c r="P40" i="6"/>
  <c r="E40" i="6" s="1"/>
  <c r="B40" i="6"/>
  <c r="B10" i="7" s="1"/>
  <c r="A40" i="6"/>
  <c r="P34" i="6"/>
  <c r="E36" i="6" s="1"/>
  <c r="B34" i="6"/>
  <c r="B9" i="7" s="1"/>
  <c r="A34" i="6"/>
  <c r="E32" i="6"/>
  <c r="P27" i="6"/>
  <c r="D278" i="6" s="1"/>
  <c r="R11" i="19" s="1"/>
  <c r="G78" i="14" s="1"/>
  <c r="B27" i="6"/>
  <c r="B8" i="7" s="1"/>
  <c r="A27" i="6"/>
  <c r="E26" i="6"/>
  <c r="E22" i="6"/>
  <c r="P21" i="6"/>
  <c r="G35" i="9" s="1"/>
  <c r="H35" i="9" s="1"/>
  <c r="B21" i="6"/>
  <c r="A21" i="6"/>
  <c r="B35" i="9" s="1"/>
  <c r="E18" i="6"/>
  <c r="P16" i="6"/>
  <c r="E17" i="6" s="1"/>
  <c r="B16" i="6"/>
  <c r="B6" i="7" s="1"/>
  <c r="A16" i="6"/>
  <c r="E14" i="6"/>
  <c r="E12" i="6"/>
  <c r="P11" i="6"/>
  <c r="E13" i="6" s="1"/>
  <c r="A11" i="6"/>
  <c r="P3" i="6"/>
  <c r="E8" i="6" s="1"/>
  <c r="B3" i="6"/>
  <c r="B4" i="7" s="1"/>
  <c r="A3" i="6"/>
  <c r="P234" i="5"/>
  <c r="P233" i="5"/>
  <c r="P232" i="5"/>
  <c r="P231" i="5"/>
  <c r="P230" i="5"/>
  <c r="P229" i="5"/>
  <c r="P228" i="5"/>
  <c r="P227" i="5"/>
  <c r="P226" i="5"/>
  <c r="P225" i="5"/>
  <c r="Q224" i="5"/>
  <c r="F24" i="13" s="1"/>
  <c r="G24" i="13" s="1"/>
  <c r="P224" i="5"/>
  <c r="P223" i="5"/>
  <c r="Q222" i="5"/>
  <c r="F22" i="13" s="1"/>
  <c r="P222" i="5"/>
  <c r="P220" i="5"/>
  <c r="P219" i="5"/>
  <c r="Q218" i="5"/>
  <c r="F16" i="13" s="1"/>
  <c r="P218" i="5"/>
  <c r="P217" i="5"/>
  <c r="Q216" i="5"/>
  <c r="P216" i="5"/>
  <c r="Q210" i="5"/>
  <c r="P210" i="5"/>
  <c r="P209" i="5"/>
  <c r="Q205" i="5"/>
  <c r="P205" i="5"/>
  <c r="Q204" i="5"/>
  <c r="P204" i="5"/>
  <c r="P202" i="5"/>
  <c r="Q201" i="5"/>
  <c r="P201" i="5"/>
  <c r="P200" i="5"/>
  <c r="Q199" i="5"/>
  <c r="P199" i="5"/>
  <c r="P198" i="5"/>
  <c r="P197" i="5"/>
  <c r="P196" i="5"/>
  <c r="P195" i="5"/>
  <c r="Q194" i="5"/>
  <c r="P194" i="5"/>
  <c r="P193" i="5"/>
  <c r="P191" i="5"/>
  <c r="P190" i="5"/>
  <c r="Q189" i="5"/>
  <c r="P189" i="5"/>
  <c r="P188" i="5"/>
  <c r="P187" i="5"/>
  <c r="Q186" i="5"/>
  <c r="P186" i="5"/>
  <c r="P185" i="5"/>
  <c r="Q184" i="5"/>
  <c r="P184" i="5"/>
  <c r="Q183" i="5"/>
  <c r="P183" i="5"/>
  <c r="Q182" i="5"/>
  <c r="P182" i="5"/>
  <c r="Q181" i="5"/>
  <c r="P181" i="5"/>
  <c r="Q180" i="5"/>
  <c r="P180" i="5"/>
  <c r="Q179" i="5"/>
  <c r="P179" i="5"/>
  <c r="Q178" i="5"/>
  <c r="P178" i="5"/>
  <c r="P177" i="5"/>
  <c r="Q176" i="5"/>
  <c r="P176" i="5"/>
  <c r="P175" i="5"/>
  <c r="P173" i="5"/>
  <c r="Q172" i="5"/>
  <c r="P172" i="5"/>
  <c r="P171" i="5"/>
  <c r="Q170" i="5"/>
  <c r="P170" i="5"/>
  <c r="P169" i="5"/>
  <c r="P167" i="5"/>
  <c r="Q166" i="5"/>
  <c r="P166" i="5"/>
  <c r="P165" i="5"/>
  <c r="P164" i="5"/>
  <c r="Q163" i="5"/>
  <c r="P163" i="5"/>
  <c r="P161" i="5"/>
  <c r="Q159" i="5"/>
  <c r="P159" i="5"/>
  <c r="P158" i="5"/>
  <c r="Q157" i="5"/>
  <c r="P157" i="5"/>
  <c r="Q156" i="5"/>
  <c r="P156" i="5"/>
  <c r="P155" i="5"/>
  <c r="P154" i="5"/>
  <c r="P153" i="5"/>
  <c r="Q152" i="5"/>
  <c r="P152" i="5"/>
  <c r="Q151" i="5"/>
  <c r="P151" i="5"/>
  <c r="P146" i="5"/>
  <c r="P145" i="5"/>
  <c r="P144" i="5"/>
  <c r="Q143" i="5"/>
  <c r="P143" i="5"/>
  <c r="P142" i="5"/>
  <c r="P141" i="5"/>
  <c r="Q140" i="5"/>
  <c r="P140" i="5"/>
  <c r="Q139" i="5"/>
  <c r="P139" i="5"/>
  <c r="Q137" i="5"/>
  <c r="P137" i="5"/>
  <c r="P136" i="5"/>
  <c r="P135" i="5"/>
  <c r="Q132" i="5"/>
  <c r="Q131" i="5"/>
  <c r="P131" i="5"/>
  <c r="P130" i="5"/>
  <c r="Q128" i="5"/>
  <c r="P128" i="5"/>
  <c r="P127" i="5"/>
  <c r="P125" i="5"/>
  <c r="P124" i="5"/>
  <c r="P123" i="5"/>
  <c r="Q122" i="5"/>
  <c r="P122" i="5"/>
  <c r="P121" i="5"/>
  <c r="P120" i="5"/>
  <c r="P119" i="5"/>
  <c r="P118" i="5"/>
  <c r="Q117" i="5"/>
  <c r="P117" i="5"/>
  <c r="P116" i="5"/>
  <c r="Q115" i="5"/>
  <c r="P115" i="5"/>
  <c r="Q114" i="5"/>
  <c r="P114" i="5"/>
  <c r="P113" i="5"/>
  <c r="P112" i="5"/>
  <c r="P111" i="5"/>
  <c r="Q110" i="5"/>
  <c r="P110" i="5"/>
  <c r="P109" i="5"/>
  <c r="P108" i="5"/>
  <c r="P107" i="5"/>
  <c r="P106" i="5"/>
  <c r="Q105" i="5"/>
  <c r="P105" i="5"/>
  <c r="P104" i="5"/>
  <c r="P103" i="5"/>
  <c r="P101" i="5"/>
  <c r="Q100" i="5"/>
  <c r="P100" i="5"/>
  <c r="P99" i="5"/>
  <c r="P98" i="5"/>
  <c r="P97" i="5"/>
  <c r="P95" i="5"/>
  <c r="P94" i="5"/>
  <c r="P93" i="5"/>
  <c r="P91" i="5"/>
  <c r="P89" i="5"/>
  <c r="P88" i="5"/>
  <c r="P87" i="5"/>
  <c r="P85" i="5"/>
  <c r="P84" i="5"/>
  <c r="P82" i="5"/>
  <c r="P81" i="5"/>
  <c r="Q80" i="5"/>
  <c r="P80" i="5"/>
  <c r="P75" i="5"/>
  <c r="Q74" i="5"/>
  <c r="P74" i="5"/>
  <c r="P72" i="5"/>
  <c r="P69" i="5"/>
  <c r="P68" i="5"/>
  <c r="P65" i="5"/>
  <c r="Q64" i="5"/>
  <c r="P64" i="5"/>
  <c r="P62" i="5"/>
  <c r="P61" i="5"/>
  <c r="P60" i="5"/>
  <c r="P58" i="5"/>
  <c r="P56" i="5"/>
  <c r="Q55" i="5"/>
  <c r="Q53" i="5"/>
  <c r="Q52" i="5"/>
  <c r="Q50" i="5"/>
  <c r="Q49" i="5"/>
  <c r="P49" i="5"/>
  <c r="Q48" i="5"/>
  <c r="P48" i="5"/>
  <c r="P47" i="5"/>
  <c r="P45" i="5"/>
  <c r="Q44" i="5"/>
  <c r="P44" i="5"/>
  <c r="P42" i="5"/>
  <c r="Q41" i="5"/>
  <c r="P41" i="5"/>
  <c r="Q40" i="5"/>
  <c r="P40" i="5"/>
  <c r="Q32" i="5"/>
  <c r="P32"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E35" i="6" l="1"/>
  <c r="E28" i="6"/>
  <c r="B86" i="7"/>
  <c r="C15" i="9"/>
  <c r="E57" i="17"/>
  <c r="B57" i="7"/>
  <c r="Y262" i="6"/>
  <c r="Y400" i="6"/>
  <c r="Y300" i="6"/>
  <c r="Y247" i="6"/>
  <c r="Y217" i="6"/>
  <c r="Y321" i="6"/>
  <c r="AC262" i="6"/>
  <c r="AC400" i="6"/>
  <c r="AC321" i="6"/>
  <c r="AC220" i="6"/>
  <c r="Q81" i="5"/>
  <c r="E148" i="7"/>
  <c r="E33" i="17"/>
  <c r="E35" i="17" s="1"/>
  <c r="I35" i="17" s="1"/>
  <c r="B52" i="7"/>
  <c r="C28" i="12"/>
  <c r="D311" i="6"/>
  <c r="D284" i="6"/>
  <c r="D267" i="6"/>
  <c r="D184" i="6"/>
  <c r="D306" i="6"/>
  <c r="D246" i="6"/>
  <c r="D426" i="6"/>
  <c r="D329" i="6"/>
  <c r="R52" i="19" s="1"/>
  <c r="G346" i="14" s="1"/>
  <c r="D324" i="6"/>
  <c r="R75" i="19" s="1"/>
  <c r="G499" i="14" s="1"/>
  <c r="D298" i="6"/>
  <c r="R47" i="19" s="1"/>
  <c r="G308" i="14" s="1"/>
  <c r="D185" i="6"/>
  <c r="D149" i="6"/>
  <c r="D183" i="6"/>
  <c r="D151" i="6"/>
  <c r="D296" i="6"/>
  <c r="R44" i="19" s="1"/>
  <c r="G289" i="14" s="1"/>
  <c r="D170" i="6"/>
  <c r="D150" i="6"/>
  <c r="D136" i="6"/>
  <c r="E51" i="7"/>
  <c r="Q42" i="5"/>
  <c r="E54" i="7"/>
  <c r="Q45" i="5"/>
  <c r="Z262" i="6"/>
  <c r="Z299" i="6"/>
  <c r="AW416" i="6"/>
  <c r="Z400" i="6"/>
  <c r="AW244" i="6"/>
  <c r="AW186" i="6"/>
  <c r="BF187" i="6" s="1"/>
  <c r="Z138" i="6"/>
  <c r="Z283" i="6"/>
  <c r="Z310" i="6"/>
  <c r="AW280" i="6"/>
  <c r="Z250" i="6"/>
  <c r="J24" i="20"/>
  <c r="E96" i="7"/>
  <c r="AB126" i="6"/>
  <c r="X126" i="6"/>
  <c r="AA126" i="6"/>
  <c r="V126" i="6"/>
  <c r="Z126" i="6"/>
  <c r="AC126" i="6"/>
  <c r="Y126" i="6"/>
  <c r="Q58" i="5"/>
  <c r="E161" i="7"/>
  <c r="Q94" i="5"/>
  <c r="Z207" i="6"/>
  <c r="AZ270" i="6"/>
  <c r="AC272" i="6"/>
  <c r="BH201" i="6"/>
  <c r="C34" i="9"/>
  <c r="B118" i="7"/>
  <c r="E122" i="7"/>
  <c r="AB157" i="6"/>
  <c r="X157" i="6"/>
  <c r="AA157" i="6"/>
  <c r="V157" i="6"/>
  <c r="F122" i="7" s="1"/>
  <c r="Z157" i="6"/>
  <c r="AC157" i="6"/>
  <c r="Y157" i="6"/>
  <c r="Q75" i="5"/>
  <c r="AW188" i="6"/>
  <c r="AE188" i="6"/>
  <c r="AZ188" i="6"/>
  <c r="AV188" i="6"/>
  <c r="E169" i="7"/>
  <c r="AX188" i="6"/>
  <c r="AU188" i="6"/>
  <c r="AS188" i="6"/>
  <c r="Q102" i="5"/>
  <c r="AY188" i="6"/>
  <c r="P59" i="6"/>
  <c r="C13" i="9"/>
  <c r="B84" i="7"/>
  <c r="A149" i="14"/>
  <c r="D20" i="11"/>
  <c r="G20" i="11" s="1"/>
  <c r="B160" i="7"/>
  <c r="AY179" i="6"/>
  <c r="AU179" i="6"/>
  <c r="E160" i="7"/>
  <c r="AV179" i="6"/>
  <c r="Q93" i="5"/>
  <c r="AZ179" i="6"/>
  <c r="AS179" i="6"/>
  <c r="AX179" i="6"/>
  <c r="AW179" i="6"/>
  <c r="A473" i="14"/>
  <c r="C14" i="12"/>
  <c r="B165" i="7"/>
  <c r="Z190" i="6"/>
  <c r="A519" i="14"/>
  <c r="B278" i="7"/>
  <c r="AC371" i="6"/>
  <c r="B404" i="6"/>
  <c r="B286" i="6"/>
  <c r="B216" i="6"/>
  <c r="B426" i="6"/>
  <c r="B425" i="6"/>
  <c r="B424" i="6"/>
  <c r="B423" i="6"/>
  <c r="B422" i="6"/>
  <c r="B421" i="6"/>
  <c r="B420" i="6"/>
  <c r="B419" i="6"/>
  <c r="B417" i="6"/>
  <c r="B408" i="6"/>
  <c r="B366" i="7" s="1"/>
  <c r="B407" i="6"/>
  <c r="B406" i="6"/>
  <c r="B405" i="6"/>
  <c r="P29" i="5"/>
  <c r="P43" i="5"/>
  <c r="Q47" i="5"/>
  <c r="Q56" i="5"/>
  <c r="Q65" i="5"/>
  <c r="P86" i="5"/>
  <c r="P90" i="5"/>
  <c r="P92" i="5"/>
  <c r="P102" i="5"/>
  <c r="P129" i="5"/>
  <c r="E5" i="6"/>
  <c r="E9" i="6"/>
  <c r="B12" i="6"/>
  <c r="B14" i="6"/>
  <c r="C35" i="9"/>
  <c r="B7" i="7"/>
  <c r="E24" i="6"/>
  <c r="E30" i="6"/>
  <c r="E37" i="6"/>
  <c r="A231" i="14"/>
  <c r="B262" i="7"/>
  <c r="E48" i="6"/>
  <c r="W95" i="19"/>
  <c r="F666" i="14" s="1"/>
  <c r="I16" i="20"/>
  <c r="E81" i="6"/>
  <c r="E37" i="17"/>
  <c r="E39" i="17" s="1"/>
  <c r="I39" i="17" s="1"/>
  <c r="B51" i="7"/>
  <c r="E60" i="17"/>
  <c r="E62" i="17" s="1"/>
  <c r="I62" i="17" s="1"/>
  <c r="B54" i="7"/>
  <c r="F16" i="15"/>
  <c r="G14" i="9"/>
  <c r="H14" i="9" s="1"/>
  <c r="AU113" i="6"/>
  <c r="AY113" i="6"/>
  <c r="B17" i="15"/>
  <c r="B15" i="9"/>
  <c r="F17" i="15"/>
  <c r="G15" i="9"/>
  <c r="H15" i="9" s="1"/>
  <c r="AU114" i="6"/>
  <c r="AY114" i="6"/>
  <c r="B117" i="6"/>
  <c r="B121" i="6"/>
  <c r="W93" i="19"/>
  <c r="F645" i="14" s="1"/>
  <c r="M21" i="10"/>
  <c r="G19" i="9"/>
  <c r="H19" i="9" s="1"/>
  <c r="X123" i="6"/>
  <c r="AB123" i="6"/>
  <c r="X28" i="19"/>
  <c r="G198" i="14" s="1"/>
  <c r="L23" i="10"/>
  <c r="V124" i="6"/>
  <c r="AA124" i="6"/>
  <c r="A180" i="14"/>
  <c r="B96" i="7"/>
  <c r="K25" i="10"/>
  <c r="B131" i="6"/>
  <c r="A217" i="14"/>
  <c r="K26" i="10"/>
  <c r="C25" i="9"/>
  <c r="B102" i="7"/>
  <c r="Q134" i="6"/>
  <c r="U331" i="14"/>
  <c r="K331" i="14"/>
  <c r="R331" i="14"/>
  <c r="W87" i="19"/>
  <c r="F585" i="14" s="1"/>
  <c r="M20" i="10"/>
  <c r="X138" i="6"/>
  <c r="AB138" i="6"/>
  <c r="X78" i="19"/>
  <c r="G523" i="14" s="1"/>
  <c r="L32" i="10"/>
  <c r="N32" i="10" s="1"/>
  <c r="V139" i="6"/>
  <c r="AA139" i="6"/>
  <c r="B141" i="6"/>
  <c r="B142" i="6"/>
  <c r="B109" i="7" s="1"/>
  <c r="B143" i="6"/>
  <c r="B110" i="7" s="1"/>
  <c r="B147" i="6"/>
  <c r="B114" i="7" s="1"/>
  <c r="W63" i="19"/>
  <c r="F428" i="14" s="1"/>
  <c r="M33" i="10"/>
  <c r="AD117" i="10" s="1"/>
  <c r="E153" i="6"/>
  <c r="D154" i="6"/>
  <c r="V156" i="6"/>
  <c r="F121" i="7" s="1"/>
  <c r="AA156" i="6"/>
  <c r="B157" i="6"/>
  <c r="B122" i="7" s="1"/>
  <c r="E93" i="19"/>
  <c r="F633" i="14" s="1"/>
  <c r="M144" i="10"/>
  <c r="F21" i="10"/>
  <c r="Y163" i="6"/>
  <c r="AC163" i="6"/>
  <c r="AK163" i="6"/>
  <c r="AO163" i="6"/>
  <c r="H37" i="17"/>
  <c r="H39" i="17" s="1"/>
  <c r="B148" i="7"/>
  <c r="B172" i="6"/>
  <c r="Q172" i="6"/>
  <c r="E153" i="7" s="1"/>
  <c r="B174" i="6"/>
  <c r="Q174" i="6"/>
  <c r="AX177" i="6"/>
  <c r="A167" i="14"/>
  <c r="D25" i="10"/>
  <c r="B161" i="7"/>
  <c r="E31" i="19"/>
  <c r="F205" i="14" s="1"/>
  <c r="F26" i="10"/>
  <c r="AC116" i="10" s="1"/>
  <c r="AS186" i="6"/>
  <c r="BB187" i="6" s="1"/>
  <c r="BK187" i="6" s="1"/>
  <c r="AS187" i="6"/>
  <c r="AY187" i="6"/>
  <c r="Y190" i="6"/>
  <c r="E37" i="19"/>
  <c r="F243" i="14" s="1"/>
  <c r="G19" i="12"/>
  <c r="B192" i="6"/>
  <c r="Y199" i="6"/>
  <c r="N23" i="12"/>
  <c r="H23" i="12"/>
  <c r="A338" i="14"/>
  <c r="B182" i="7"/>
  <c r="E182" i="7"/>
  <c r="AW201" i="6"/>
  <c r="AZ201" i="6"/>
  <c r="AV201" i="6"/>
  <c r="AX201" i="6"/>
  <c r="Y207" i="6"/>
  <c r="G27" i="12"/>
  <c r="B209" i="6"/>
  <c r="B190" i="7" s="1"/>
  <c r="G16" i="9"/>
  <c r="H16" i="9" s="1"/>
  <c r="D210" i="6"/>
  <c r="I34" i="20"/>
  <c r="B212" i="6"/>
  <c r="B213" i="6"/>
  <c r="B217" i="6"/>
  <c r="E195" i="7"/>
  <c r="AB217" i="6"/>
  <c r="X217" i="6"/>
  <c r="AA217" i="6"/>
  <c r="V217" i="6"/>
  <c r="AC217" i="6"/>
  <c r="F79" i="19"/>
  <c r="G512" i="14" s="1"/>
  <c r="F25" i="12"/>
  <c r="B220" i="6"/>
  <c r="J36" i="20"/>
  <c r="E198" i="7"/>
  <c r="AA220" i="6"/>
  <c r="V220" i="6"/>
  <c r="F198" i="7" s="1"/>
  <c r="Z220" i="6"/>
  <c r="AB220" i="6"/>
  <c r="E231" i="6"/>
  <c r="AY244" i="6"/>
  <c r="AU245" i="6"/>
  <c r="B247" i="6"/>
  <c r="E218" i="7"/>
  <c r="AA247" i="6"/>
  <c r="V247" i="6"/>
  <c r="Z247" i="6"/>
  <c r="AB247" i="6"/>
  <c r="X247" i="6"/>
  <c r="E247" i="7"/>
  <c r="AZ269" i="6"/>
  <c r="AV269" i="6"/>
  <c r="AY269" i="6"/>
  <c r="AU269" i="6"/>
  <c r="AW269" i="6"/>
  <c r="A289" i="14"/>
  <c r="B271" i="7"/>
  <c r="Q47" i="19"/>
  <c r="F308" i="14" s="1"/>
  <c r="Q298" i="6"/>
  <c r="B300" i="6"/>
  <c r="E275" i="7"/>
  <c r="AA304" i="6"/>
  <c r="V304" i="6"/>
  <c r="AC304" i="6"/>
  <c r="Y304" i="6"/>
  <c r="Y307" i="6"/>
  <c r="Q26" i="19"/>
  <c r="F175" i="14" s="1"/>
  <c r="Q320" i="6"/>
  <c r="Q52" i="19"/>
  <c r="F346" i="14" s="1"/>
  <c r="Q329" i="6"/>
  <c r="E332" i="6"/>
  <c r="B337" i="6"/>
  <c r="E335" i="6"/>
  <c r="E331" i="6"/>
  <c r="B336" i="6"/>
  <c r="E333" i="6"/>
  <c r="E330" i="6"/>
  <c r="D21" i="16"/>
  <c r="E363" i="6"/>
  <c r="Q362" i="6"/>
  <c r="E316" i="7" s="1"/>
  <c r="E362" i="6"/>
  <c r="Y371" i="6"/>
  <c r="K73" i="19"/>
  <c r="F476" i="14" s="1"/>
  <c r="E37" i="13"/>
  <c r="Q426" i="6"/>
  <c r="B266" i="7"/>
  <c r="E7" i="6"/>
  <c r="B11" i="6"/>
  <c r="B5" i="7" s="1"/>
  <c r="B13" i="6"/>
  <c r="P46" i="5"/>
  <c r="P66" i="5"/>
  <c r="Q98" i="5"/>
  <c r="Q104" i="5"/>
  <c r="E6" i="6"/>
  <c r="E25" i="6"/>
  <c r="E31" i="6"/>
  <c r="E38" i="6"/>
  <c r="G22" i="9"/>
  <c r="H22" i="9" s="1"/>
  <c r="F22" i="9"/>
  <c r="E49" i="6"/>
  <c r="B57" i="6"/>
  <c r="E18" i="17"/>
  <c r="B50" i="7"/>
  <c r="D112" i="6"/>
  <c r="F13" i="9" s="1"/>
  <c r="B113" i="6"/>
  <c r="AV113" i="6"/>
  <c r="AZ113" i="6"/>
  <c r="BI113" i="6" s="1"/>
  <c r="AV114" i="6"/>
  <c r="AZ114" i="6"/>
  <c r="B116" i="6"/>
  <c r="B87" i="7" s="1"/>
  <c r="B88" i="7" s="1"/>
  <c r="B89" i="7" s="1"/>
  <c r="B90" i="7" s="1"/>
  <c r="B91" i="7" s="1"/>
  <c r="B92" i="7" s="1"/>
  <c r="B120" i="6"/>
  <c r="B123" i="6"/>
  <c r="Y123" i="6"/>
  <c r="AC123" i="6"/>
  <c r="W28" i="19"/>
  <c r="F198" i="14" s="1"/>
  <c r="M23" i="10"/>
  <c r="AD115" i="10" s="1"/>
  <c r="X124" i="6"/>
  <c r="AB124" i="6"/>
  <c r="X85" i="19"/>
  <c r="G565" i="14" s="1"/>
  <c r="L35" i="10"/>
  <c r="B127" i="6"/>
  <c r="B130" i="6"/>
  <c r="A331" i="14"/>
  <c r="B103" i="7"/>
  <c r="W67" i="19"/>
  <c r="F447" i="14" s="1"/>
  <c r="M36" i="10"/>
  <c r="A585" i="14"/>
  <c r="K20" i="10"/>
  <c r="B106" i="7"/>
  <c r="Y138" i="6"/>
  <c r="AC138" i="6"/>
  <c r="W78" i="19"/>
  <c r="F523" i="14" s="1"/>
  <c r="M32" i="10"/>
  <c r="X139" i="6"/>
  <c r="AB139" i="6"/>
  <c r="X91" i="19"/>
  <c r="G625" i="14" s="1"/>
  <c r="F23" i="9"/>
  <c r="E141" i="6"/>
  <c r="B144" i="6"/>
  <c r="B111" i="7" s="1"/>
  <c r="B145" i="6"/>
  <c r="B112" i="7" s="1"/>
  <c r="A428" i="14"/>
  <c r="K33" i="10"/>
  <c r="B115" i="7"/>
  <c r="W70" i="19"/>
  <c r="F466" i="14" s="1"/>
  <c r="M37" i="10"/>
  <c r="E152" i="6"/>
  <c r="W81" i="19"/>
  <c r="F542" i="14" s="1"/>
  <c r="M19" i="10"/>
  <c r="X156" i="6"/>
  <c r="AB156" i="6"/>
  <c r="B163" i="6"/>
  <c r="Z163" i="6"/>
  <c r="AH163" i="6"/>
  <c r="AL163" i="6"/>
  <c r="R51" i="14"/>
  <c r="K51" i="14"/>
  <c r="U51" i="14"/>
  <c r="R147" i="14"/>
  <c r="K147" i="14"/>
  <c r="U147" i="14"/>
  <c r="H147" i="14"/>
  <c r="AS177" i="6"/>
  <c r="F28" i="19"/>
  <c r="G186" i="14" s="1"/>
  <c r="E23" i="10"/>
  <c r="E73" i="19"/>
  <c r="F473" i="14" s="1"/>
  <c r="G14" i="12"/>
  <c r="A553" i="14"/>
  <c r="D35" i="10"/>
  <c r="B166" i="7"/>
  <c r="H60" i="17"/>
  <c r="H62" i="17" s="1"/>
  <c r="A205" i="14"/>
  <c r="B167" i="7"/>
  <c r="D26" i="10"/>
  <c r="D23" i="11"/>
  <c r="E167" i="7"/>
  <c r="AZ186" i="6"/>
  <c r="BI187" i="6" s="1"/>
  <c r="AV186" i="6"/>
  <c r="BE187" i="6" s="1"/>
  <c r="AU186" i="6"/>
  <c r="BD187" i="6" s="1"/>
  <c r="F23" i="15"/>
  <c r="F18" i="15"/>
  <c r="B191" i="6"/>
  <c r="E172" i="7"/>
  <c r="E43" i="19"/>
  <c r="F281" i="14" s="1"/>
  <c r="B195" i="6"/>
  <c r="B194" i="6"/>
  <c r="A301" i="14"/>
  <c r="D33" i="11"/>
  <c r="C16" i="12"/>
  <c r="B177" i="7"/>
  <c r="E177" i="7"/>
  <c r="AY196" i="6"/>
  <c r="AU196" i="6"/>
  <c r="AX196" i="6"/>
  <c r="AS196" i="6"/>
  <c r="AZ196" i="6"/>
  <c r="D198" i="6"/>
  <c r="F49" i="19" s="1"/>
  <c r="G319" i="14" s="1"/>
  <c r="H319" i="14" s="1"/>
  <c r="Z199" i="6"/>
  <c r="D35" i="11"/>
  <c r="C23" i="12"/>
  <c r="B181" i="7"/>
  <c r="F89" i="19"/>
  <c r="G593" i="14" s="1"/>
  <c r="L132" i="10"/>
  <c r="E22" i="10"/>
  <c r="C27" i="12"/>
  <c r="B189" i="7"/>
  <c r="E189" i="7"/>
  <c r="G36" i="12"/>
  <c r="G33" i="9"/>
  <c r="E213" i="6"/>
  <c r="E79" i="19"/>
  <c r="F512" i="14" s="1"/>
  <c r="G25" i="12"/>
  <c r="Q219" i="6"/>
  <c r="F91" i="19"/>
  <c r="G613" i="14" s="1"/>
  <c r="F32" i="12"/>
  <c r="E24" i="10"/>
  <c r="P222" i="6"/>
  <c r="P226" i="6"/>
  <c r="E222" i="6"/>
  <c r="A531" i="14"/>
  <c r="B215" i="7"/>
  <c r="D45" i="11"/>
  <c r="A376" i="14"/>
  <c r="D46" i="11"/>
  <c r="G46" i="11" s="1"/>
  <c r="B216" i="7"/>
  <c r="E63" i="19"/>
  <c r="F415" i="14" s="1"/>
  <c r="F33" i="10"/>
  <c r="AC117" i="10" s="1"/>
  <c r="D248" i="6"/>
  <c r="Q248" i="6" s="1"/>
  <c r="AA262" i="6"/>
  <c r="H34" i="17"/>
  <c r="B244" i="7"/>
  <c r="A58" i="14"/>
  <c r="B245" i="7"/>
  <c r="Q9" i="19"/>
  <c r="F59" i="14" s="1"/>
  <c r="Q268" i="6"/>
  <c r="AL723" i="14"/>
  <c r="AO723" i="14"/>
  <c r="AK723" i="14"/>
  <c r="AN723" i="14"/>
  <c r="AJ723" i="14"/>
  <c r="AM723" i="14"/>
  <c r="E248" i="7"/>
  <c r="AX270" i="6"/>
  <c r="AS270" i="6"/>
  <c r="AW270" i="6"/>
  <c r="AY270" i="6"/>
  <c r="AU270" i="6"/>
  <c r="A742" i="14"/>
  <c r="B250" i="7"/>
  <c r="J46" i="20"/>
  <c r="AA272" i="6"/>
  <c r="V272" i="6"/>
  <c r="Z272" i="6"/>
  <c r="AB272" i="6"/>
  <c r="X272" i="6"/>
  <c r="Q21" i="19"/>
  <c r="F155" i="14" s="1"/>
  <c r="Q281" i="6"/>
  <c r="A251" i="14"/>
  <c r="B264" i="7"/>
  <c r="Z304" i="6"/>
  <c r="Q108" i="19"/>
  <c r="F761" i="14" s="1"/>
  <c r="B323" i="6"/>
  <c r="Q322" i="6"/>
  <c r="Z322" i="6" s="1"/>
  <c r="B328" i="6"/>
  <c r="E334" i="6"/>
  <c r="K16" i="19"/>
  <c r="F112" i="14" s="1"/>
  <c r="E18" i="13"/>
  <c r="Q406" i="6"/>
  <c r="K28" i="19"/>
  <c r="F189" i="14" s="1"/>
  <c r="E20" i="13"/>
  <c r="Q407" i="6"/>
  <c r="E368" i="7"/>
  <c r="AZ415" i="6"/>
  <c r="AV415" i="6"/>
  <c r="AY415" i="6"/>
  <c r="AU415" i="6"/>
  <c r="AW415" i="6"/>
  <c r="B416" i="6"/>
  <c r="E369" i="7"/>
  <c r="AY416" i="6"/>
  <c r="AU416" i="6"/>
  <c r="AX416" i="6"/>
  <c r="AS416" i="6"/>
  <c r="AZ416" i="6"/>
  <c r="AV416" i="6"/>
  <c r="E28" i="13"/>
  <c r="G31" i="9"/>
  <c r="H31" i="9" s="1"/>
  <c r="Q419" i="6"/>
  <c r="K52" i="19"/>
  <c r="F341" i="14" s="1"/>
  <c r="E29" i="13"/>
  <c r="Q420" i="6"/>
  <c r="K63" i="19"/>
  <c r="F418" i="14" s="1"/>
  <c r="E30" i="13"/>
  <c r="Q421" i="6"/>
  <c r="K49" i="19"/>
  <c r="F322" i="14" s="1"/>
  <c r="E31" i="13"/>
  <c r="Q422" i="6"/>
  <c r="E32" i="13"/>
  <c r="G24" i="12"/>
  <c r="Q423" i="6"/>
  <c r="K40" i="19"/>
  <c r="F265" i="14" s="1"/>
  <c r="E34" i="13"/>
  <c r="Q424" i="6"/>
  <c r="E35" i="13"/>
  <c r="G29" i="9"/>
  <c r="H29" i="9" s="1"/>
  <c r="Q425" i="6"/>
  <c r="E85" i="7"/>
  <c r="B248" i="7"/>
  <c r="E250" i="7"/>
  <c r="L22" i="10"/>
  <c r="L24" i="10"/>
  <c r="N24" i="10" s="1"/>
  <c r="G132" i="10"/>
  <c r="I13" i="20"/>
  <c r="G21" i="9"/>
  <c r="H21" i="9" s="1"/>
  <c r="B282" i="6"/>
  <c r="B258" i="6"/>
  <c r="B253" i="6"/>
  <c r="B249" i="6"/>
  <c r="B324" i="6"/>
  <c r="B308" i="6"/>
  <c r="B255" i="6"/>
  <c r="B254" i="6"/>
  <c r="B234" i="6"/>
  <c r="B326" i="6"/>
  <c r="B257" i="6"/>
  <c r="B252" i="6"/>
  <c r="B222" i="7" s="1"/>
  <c r="B223" i="7" s="1"/>
  <c r="B224" i="7" s="1"/>
  <c r="B225" i="7" s="1"/>
  <c r="B226" i="7" s="1"/>
  <c r="B227" i="7" s="1"/>
  <c r="B250" i="6"/>
  <c r="B54" i="6"/>
  <c r="B14" i="7" s="1"/>
  <c r="E95" i="19"/>
  <c r="F654" i="14" s="1"/>
  <c r="I15" i="20"/>
  <c r="E17" i="17"/>
  <c r="E19" i="17" s="1"/>
  <c r="B49" i="7"/>
  <c r="N28" i="12"/>
  <c r="H28" i="12"/>
  <c r="B102" i="6"/>
  <c r="J30" i="15"/>
  <c r="T430" i="7" s="1"/>
  <c r="I30" i="15"/>
  <c r="S430" i="7" s="1"/>
  <c r="E56" i="17"/>
  <c r="E58" i="17" s="1"/>
  <c r="B56" i="7"/>
  <c r="AB400" i="6"/>
  <c r="AB262" i="6"/>
  <c r="B119" i="6"/>
  <c r="A198" i="14"/>
  <c r="B94" i="7"/>
  <c r="F16" i="11"/>
  <c r="K23" i="10"/>
  <c r="Y124" i="6"/>
  <c r="AC124" i="6"/>
  <c r="W85" i="19"/>
  <c r="F565" i="14" s="1"/>
  <c r="M35" i="10"/>
  <c r="AD114" i="10" s="1"/>
  <c r="X25" i="19"/>
  <c r="G180" i="14" s="1"/>
  <c r="L25" i="10"/>
  <c r="B129" i="6"/>
  <c r="B133" i="6"/>
  <c r="X31" i="19"/>
  <c r="G217" i="14" s="1"/>
  <c r="F25" i="9"/>
  <c r="A447" i="14"/>
  <c r="K36" i="10"/>
  <c r="B104" i="7"/>
  <c r="C22" i="9"/>
  <c r="W89" i="19"/>
  <c r="F605" i="14" s="1"/>
  <c r="M22" i="10"/>
  <c r="A523" i="14"/>
  <c r="K32" i="10"/>
  <c r="AD32" i="10" s="1"/>
  <c r="B107" i="7"/>
  <c r="Y139" i="6"/>
  <c r="AC139" i="6"/>
  <c r="I26" i="20"/>
  <c r="W91" i="19"/>
  <c r="F625" i="14" s="1"/>
  <c r="G23" i="9"/>
  <c r="H23" i="9" s="1"/>
  <c r="M24" i="10"/>
  <c r="A466" i="14"/>
  <c r="K37" i="10"/>
  <c r="B116" i="7"/>
  <c r="W59" i="19"/>
  <c r="F408" i="14" s="1"/>
  <c r="I28" i="20"/>
  <c r="M34" i="10"/>
  <c r="K34" i="9"/>
  <c r="H34" i="9"/>
  <c r="A542" i="14"/>
  <c r="K19" i="10"/>
  <c r="B119" i="7"/>
  <c r="U543" i="14"/>
  <c r="AI543" i="14" s="1"/>
  <c r="R543" i="14"/>
  <c r="AH543" i="14" s="1"/>
  <c r="K543" i="14"/>
  <c r="AG543" i="14" s="1"/>
  <c r="H543" i="14"/>
  <c r="Y156" i="6"/>
  <c r="AC156" i="6"/>
  <c r="F147" i="7"/>
  <c r="AI163" i="6"/>
  <c r="AM163" i="6"/>
  <c r="AQ163" i="6"/>
  <c r="F33" i="17"/>
  <c r="B29" i="12"/>
  <c r="I32" i="20"/>
  <c r="G29" i="12"/>
  <c r="B167" i="6"/>
  <c r="A51" i="14"/>
  <c r="R71" i="14"/>
  <c r="K71" i="14"/>
  <c r="H71" i="14"/>
  <c r="U71" i="14"/>
  <c r="E16" i="19"/>
  <c r="F109" i="14" s="1"/>
  <c r="AA173" i="6"/>
  <c r="X173" i="6"/>
  <c r="E18" i="19"/>
  <c r="F128" i="14" s="1"/>
  <c r="K129" i="14"/>
  <c r="AG129" i="14" s="1"/>
  <c r="H129" i="14"/>
  <c r="U129" i="14"/>
  <c r="AI129" i="14" s="1"/>
  <c r="R129" i="14"/>
  <c r="AH129" i="14" s="1"/>
  <c r="A147" i="14"/>
  <c r="B158" i="7"/>
  <c r="D18" i="11"/>
  <c r="G18" i="11" s="1"/>
  <c r="E158" i="7"/>
  <c r="AZ177" i="6"/>
  <c r="AV177" i="6"/>
  <c r="AU177" i="6"/>
  <c r="E22" i="19"/>
  <c r="F148" i="14" s="1"/>
  <c r="F26" i="15"/>
  <c r="F23" i="19"/>
  <c r="G149" i="14" s="1"/>
  <c r="E27" i="15"/>
  <c r="F25" i="19"/>
  <c r="G167" i="14" s="1"/>
  <c r="E25" i="10"/>
  <c r="E22" i="15"/>
  <c r="F31" i="12"/>
  <c r="E28" i="19"/>
  <c r="F186" i="14" s="1"/>
  <c r="F23" i="10"/>
  <c r="AC115" i="10" s="1"/>
  <c r="Q182" i="6"/>
  <c r="E168" i="7"/>
  <c r="AW187" i="6"/>
  <c r="AE187" i="6"/>
  <c r="AZ187" i="6"/>
  <c r="AV187" i="6"/>
  <c r="F19" i="15"/>
  <c r="M134" i="10"/>
  <c r="A224" i="14"/>
  <c r="D24" i="11"/>
  <c r="C18" i="12"/>
  <c r="B171" i="7"/>
  <c r="AB190" i="6"/>
  <c r="X190" i="6"/>
  <c r="AA190" i="6"/>
  <c r="V190" i="6"/>
  <c r="E171" i="7"/>
  <c r="AC190" i="6"/>
  <c r="F40" i="19"/>
  <c r="G262" i="14" s="1"/>
  <c r="F20" i="12"/>
  <c r="L140" i="10"/>
  <c r="N140" i="10" s="1"/>
  <c r="A281" i="14"/>
  <c r="B174" i="7"/>
  <c r="D30" i="11"/>
  <c r="E174" i="7"/>
  <c r="AZ193" i="6"/>
  <c r="AV193" i="6"/>
  <c r="AY193" i="6"/>
  <c r="AU193" i="6"/>
  <c r="AW193" i="6"/>
  <c r="F46" i="19"/>
  <c r="G300" i="14" s="1"/>
  <c r="L142" i="10"/>
  <c r="G24" i="9"/>
  <c r="Q197" i="6"/>
  <c r="C22" i="12"/>
  <c r="B180" i="7"/>
  <c r="E180" i="7"/>
  <c r="AC199" i="6"/>
  <c r="BB201" i="6"/>
  <c r="E89" i="19"/>
  <c r="F593" i="14" s="1"/>
  <c r="M132" i="10"/>
  <c r="F22" i="10"/>
  <c r="Q205" i="6"/>
  <c r="A573" i="14"/>
  <c r="D20" i="10"/>
  <c r="E188" i="7"/>
  <c r="AB207" i="6"/>
  <c r="X207" i="6"/>
  <c r="AA207" i="6"/>
  <c r="V207" i="6"/>
  <c r="AC207" i="6"/>
  <c r="B191" i="7"/>
  <c r="C16" i="9"/>
  <c r="E78" i="19"/>
  <c r="F511" i="14" s="1"/>
  <c r="F32" i="10"/>
  <c r="AA218" i="6"/>
  <c r="V218" i="6"/>
  <c r="F196" i="7" s="1"/>
  <c r="B219" i="6"/>
  <c r="Y218" i="6"/>
  <c r="I39" i="20"/>
  <c r="G33" i="12"/>
  <c r="B241" i="6"/>
  <c r="B237" i="6"/>
  <c r="B242" i="6"/>
  <c r="B238" i="6"/>
  <c r="B210" i="7" s="1"/>
  <c r="B211" i="7" s="1"/>
  <c r="B212" i="7" s="1"/>
  <c r="B213" i="7" s="1"/>
  <c r="Q235" i="6"/>
  <c r="B240" i="6"/>
  <c r="B236" i="6"/>
  <c r="B209" i="7" s="1"/>
  <c r="B239" i="6"/>
  <c r="E216" i="7"/>
  <c r="AW245" i="6"/>
  <c r="AZ245" i="6"/>
  <c r="AV245" i="6"/>
  <c r="AX245" i="6"/>
  <c r="AS245" i="6"/>
  <c r="P252" i="6"/>
  <c r="P251" i="6" s="1"/>
  <c r="E222" i="7" s="1"/>
  <c r="E251" i="6"/>
  <c r="B256" i="6"/>
  <c r="Q14" i="19"/>
  <c r="F97" i="14" s="1"/>
  <c r="Q279" i="6"/>
  <c r="B280" i="6"/>
  <c r="AY280" i="6"/>
  <c r="A193" i="14"/>
  <c r="B261" i="7"/>
  <c r="Q34" i="19"/>
  <c r="F231" i="14" s="1"/>
  <c r="Q285" i="6"/>
  <c r="AM403" i="14"/>
  <c r="AL403" i="14"/>
  <c r="AO403" i="14"/>
  <c r="AK403" i="14"/>
  <c r="AN403" i="14"/>
  <c r="AJ403" i="14"/>
  <c r="A270" i="14"/>
  <c r="B276" i="7"/>
  <c r="AA302" i="6"/>
  <c r="V302" i="6"/>
  <c r="AM302" i="6" s="1"/>
  <c r="AC302" i="6"/>
  <c r="Y302" i="6"/>
  <c r="A135" i="14"/>
  <c r="B280" i="7"/>
  <c r="A538" i="14"/>
  <c r="B282" i="7"/>
  <c r="E282" i="7"/>
  <c r="AA307" i="6"/>
  <c r="V307" i="6"/>
  <c r="Z307" i="6"/>
  <c r="AB307" i="6"/>
  <c r="X307" i="6"/>
  <c r="I50" i="20"/>
  <c r="Q25" i="19"/>
  <c r="F174" i="14" s="1"/>
  <c r="B318" i="6"/>
  <c r="B314" i="6"/>
  <c r="B313" i="6"/>
  <c r="B288" i="7" s="1"/>
  <c r="B319" i="6"/>
  <c r="B315" i="6"/>
  <c r="Q312" i="6"/>
  <c r="B392" i="6"/>
  <c r="B317" i="6"/>
  <c r="V312" i="6"/>
  <c r="F287" i="7" s="1"/>
  <c r="E16" i="16"/>
  <c r="B358" i="6"/>
  <c r="B313" i="7" s="1"/>
  <c r="Q343" i="6"/>
  <c r="E305" i="7" s="1"/>
  <c r="E23" i="16"/>
  <c r="L634" i="7" s="1"/>
  <c r="E352" i="6"/>
  <c r="Q351" i="6"/>
  <c r="E310" i="7" s="1"/>
  <c r="E351" i="6"/>
  <c r="E319" i="7"/>
  <c r="AA371" i="6"/>
  <c r="V371" i="6"/>
  <c r="Z371" i="6"/>
  <c r="AB371" i="6"/>
  <c r="X371" i="6"/>
  <c r="B387" i="6"/>
  <c r="B339" i="7" s="1"/>
  <c r="L81" i="19"/>
  <c r="G533" i="14" s="1"/>
  <c r="D15" i="13"/>
  <c r="K43" i="19"/>
  <c r="F284" i="14" s="1"/>
  <c r="E26" i="13"/>
  <c r="B418" i="6"/>
  <c r="Z417" i="6"/>
  <c r="AC417" i="6"/>
  <c r="Q417" i="6"/>
  <c r="AA417" i="6"/>
  <c r="V417" i="6"/>
  <c r="F370" i="7" s="1"/>
  <c r="L34" i="9"/>
  <c r="G32" i="10"/>
  <c r="E36" i="10"/>
  <c r="P63" i="5"/>
  <c r="P70" i="5"/>
  <c r="P73" i="5"/>
  <c r="Q91" i="5"/>
  <c r="Q101" i="5"/>
  <c r="Q107" i="5"/>
  <c r="Q113" i="5"/>
  <c r="Q121" i="5"/>
  <c r="Q141" i="5"/>
  <c r="P162" i="5"/>
  <c r="P168" i="5"/>
  <c r="E4" i="6"/>
  <c r="E23" i="6"/>
  <c r="E29" i="6"/>
  <c r="E47" i="6"/>
  <c r="C21" i="9"/>
  <c r="B13" i="7"/>
  <c r="Q53" i="6"/>
  <c r="A654" i="14"/>
  <c r="B15" i="7"/>
  <c r="Q56" i="6"/>
  <c r="Q101" i="6"/>
  <c r="Q105" i="6"/>
  <c r="Q112" i="6"/>
  <c r="E16" i="15"/>
  <c r="F14" i="9"/>
  <c r="AS113" i="6"/>
  <c r="E17" i="15"/>
  <c r="F15" i="9"/>
  <c r="AS114" i="6"/>
  <c r="AX114" i="6"/>
  <c r="BG113" i="6" s="1"/>
  <c r="B115" i="6"/>
  <c r="B118" i="6"/>
  <c r="B122" i="6"/>
  <c r="X93" i="19"/>
  <c r="G645" i="14" s="1"/>
  <c r="L21" i="10"/>
  <c r="N21" i="10" s="1"/>
  <c r="F19" i="9"/>
  <c r="V123" i="6"/>
  <c r="AA123" i="6"/>
  <c r="Z124" i="6"/>
  <c r="A565" i="14"/>
  <c r="B95" i="7"/>
  <c r="F17" i="11"/>
  <c r="K35" i="10"/>
  <c r="Q125" i="6"/>
  <c r="W25" i="19"/>
  <c r="F180" i="14" s="1"/>
  <c r="I24" i="20"/>
  <c r="M25" i="10"/>
  <c r="B128" i="6"/>
  <c r="B97" i="7" s="1"/>
  <c r="B98" i="7" s="1"/>
  <c r="B99" i="7" s="1"/>
  <c r="B100" i="7" s="1"/>
  <c r="B101" i="7" s="1"/>
  <c r="B132" i="6"/>
  <c r="W31" i="19"/>
  <c r="F217" i="14" s="1"/>
  <c r="G25" i="9"/>
  <c r="H25" i="9" s="1"/>
  <c r="M26" i="10"/>
  <c r="AD116" i="10" s="1"/>
  <c r="D135" i="6"/>
  <c r="A605" i="14"/>
  <c r="K22" i="10"/>
  <c r="Q137" i="6"/>
  <c r="X87" i="19"/>
  <c r="G585" i="14" s="1"/>
  <c r="L20" i="10"/>
  <c r="N20" i="10" s="1"/>
  <c r="V138" i="6"/>
  <c r="AA138" i="6"/>
  <c r="Z139" i="6"/>
  <c r="A625" i="14"/>
  <c r="K24" i="10"/>
  <c r="AD24" i="10" s="1"/>
  <c r="B108" i="7"/>
  <c r="C23" i="9"/>
  <c r="Q140" i="6"/>
  <c r="B148" i="6"/>
  <c r="A408" i="14"/>
  <c r="F44" i="11"/>
  <c r="G44" i="11" s="1"/>
  <c r="K34" i="10"/>
  <c r="B117" i="7"/>
  <c r="Q151" i="6"/>
  <c r="B155" i="6"/>
  <c r="Q155" i="6"/>
  <c r="Z156" i="6"/>
  <c r="F93" i="19"/>
  <c r="G633" i="14" s="1"/>
  <c r="L144" i="10"/>
  <c r="N144" i="10" s="1"/>
  <c r="E21" i="10"/>
  <c r="X163" i="6"/>
  <c r="AB163" i="6"/>
  <c r="AJ163" i="6"/>
  <c r="AN163" i="6"/>
  <c r="AR163" i="6"/>
  <c r="H33" i="17"/>
  <c r="H35" i="17" s="1"/>
  <c r="G33" i="17"/>
  <c r="C29" i="12"/>
  <c r="B149" i="7"/>
  <c r="Q166" i="6"/>
  <c r="E167" i="6"/>
  <c r="A71" i="14"/>
  <c r="B152" i="7"/>
  <c r="Q171" i="6"/>
  <c r="U72" i="14"/>
  <c r="AI72" i="14" s="1"/>
  <c r="R72" i="14"/>
  <c r="AH72" i="14" s="1"/>
  <c r="K72" i="14"/>
  <c r="AG72" i="14" s="1"/>
  <c r="H72" i="14"/>
  <c r="A109" i="14"/>
  <c r="D11" i="11"/>
  <c r="B154" i="7"/>
  <c r="Q173" i="6"/>
  <c r="AB173" i="6" s="1"/>
  <c r="R90" i="14"/>
  <c r="K90" i="14"/>
  <c r="H90" i="14"/>
  <c r="U90" i="14"/>
  <c r="A128" i="14"/>
  <c r="D13" i="11"/>
  <c r="G13" i="11" s="1"/>
  <c r="Q175" i="6"/>
  <c r="X175" i="6" s="1"/>
  <c r="B176" i="6"/>
  <c r="Q176" i="6"/>
  <c r="AA175" i="6" s="1"/>
  <c r="AW177" i="6"/>
  <c r="B178" i="6"/>
  <c r="Q178" i="6"/>
  <c r="E25" i="19"/>
  <c r="F167" i="14" s="1"/>
  <c r="F25" i="10"/>
  <c r="B181" i="6"/>
  <c r="F22" i="15"/>
  <c r="G31" i="12"/>
  <c r="Q181" i="6"/>
  <c r="AC180" i="6" s="1"/>
  <c r="A454" i="14"/>
  <c r="D37" i="10"/>
  <c r="C13" i="12"/>
  <c r="B164" i="7"/>
  <c r="AX186" i="6"/>
  <c r="BG187" i="6" s="1"/>
  <c r="AX187" i="6"/>
  <c r="B188" i="6"/>
  <c r="B169" i="7" s="1"/>
  <c r="B189" i="6"/>
  <c r="B170" i="7" s="1"/>
  <c r="Q189" i="6"/>
  <c r="E40" i="19"/>
  <c r="F262" i="14" s="1"/>
  <c r="G20" i="12"/>
  <c r="M140" i="10"/>
  <c r="Q192" i="6"/>
  <c r="AX193" i="6"/>
  <c r="AV196" i="6"/>
  <c r="AA199" i="6"/>
  <c r="V199" i="6"/>
  <c r="F180" i="7" s="1"/>
  <c r="AU201" i="6"/>
  <c r="E184" i="7"/>
  <c r="AX203" i="6"/>
  <c r="AS203" i="6"/>
  <c r="AW203" i="6"/>
  <c r="AE203" i="6"/>
  <c r="AY203" i="6"/>
  <c r="Q209" i="6"/>
  <c r="AA208" i="6" s="1"/>
  <c r="D211" i="6"/>
  <c r="Q211" i="6" s="1"/>
  <c r="B214" i="6"/>
  <c r="F28" i="9"/>
  <c r="Q216" i="6"/>
  <c r="Z217" i="6"/>
  <c r="A511" i="14"/>
  <c r="D32" i="10"/>
  <c r="AC32" i="10" s="1"/>
  <c r="C464" i="7" s="1"/>
  <c r="B196" i="7"/>
  <c r="Q218" i="6"/>
  <c r="X218" i="6" s="1"/>
  <c r="AB218" i="6"/>
  <c r="I36" i="20"/>
  <c r="E71" i="19"/>
  <c r="F455" i="14" s="1"/>
  <c r="Y220" i="6"/>
  <c r="I42" i="20"/>
  <c r="E76" i="19"/>
  <c r="F493" i="14" s="1"/>
  <c r="B235" i="6"/>
  <c r="Q234" i="6"/>
  <c r="P237" i="6"/>
  <c r="E210" i="7" s="1"/>
  <c r="AY243" i="6"/>
  <c r="AB243" i="6" s="1"/>
  <c r="AC247" i="6"/>
  <c r="H17" i="17"/>
  <c r="H19" i="17" s="1"/>
  <c r="AH57" i="17" s="1"/>
  <c r="B242" i="7"/>
  <c r="Q265" i="6"/>
  <c r="AX269" i="6"/>
  <c r="AV270" i="6"/>
  <c r="Y272" i="6"/>
  <c r="Q11" i="19"/>
  <c r="F78" i="14" s="1"/>
  <c r="B279" i="6"/>
  <c r="Q278" i="6"/>
  <c r="AC300" i="6"/>
  <c r="Z302" i="6"/>
  <c r="Q59" i="19"/>
  <c r="F402" i="14" s="1"/>
  <c r="Q308" i="6"/>
  <c r="E41" i="16"/>
  <c r="G34" i="16" s="1"/>
  <c r="G650" i="7" s="1"/>
  <c r="E319" i="6"/>
  <c r="E48" i="16" s="1"/>
  <c r="E315" i="6"/>
  <c r="E43" i="16" s="1"/>
  <c r="B320" i="6"/>
  <c r="E316" i="6"/>
  <c r="E44" i="16" s="1"/>
  <c r="E318" i="6"/>
  <c r="E47" i="16" s="1"/>
  <c r="E314" i="6"/>
  <c r="E42" i="16" s="1"/>
  <c r="B316" i="6"/>
  <c r="A326" i="14"/>
  <c r="B290" i="7"/>
  <c r="E290" i="7"/>
  <c r="AA321" i="6"/>
  <c r="V321" i="6"/>
  <c r="Z321" i="6"/>
  <c r="AB321" i="6"/>
  <c r="X321" i="6"/>
  <c r="Q75" i="19"/>
  <c r="F499" i="14" s="1"/>
  <c r="Q324" i="6"/>
  <c r="AY326" i="6"/>
  <c r="BH326" i="6" s="1"/>
  <c r="C15" i="16"/>
  <c r="B630" i="7" s="1"/>
  <c r="B304" i="7"/>
  <c r="C21" i="16"/>
  <c r="B308" i="7"/>
  <c r="D14" i="16"/>
  <c r="Q356" i="6"/>
  <c r="E311" i="7" s="1"/>
  <c r="D18" i="16"/>
  <c r="Q360" i="6"/>
  <c r="E315" i="7" s="1"/>
  <c r="B402" i="6"/>
  <c r="B361" i="7" s="1"/>
  <c r="B415" i="6"/>
  <c r="AX415" i="6"/>
  <c r="L46" i="19"/>
  <c r="G303" i="14" s="1"/>
  <c r="D27" i="13"/>
  <c r="E16" i="7"/>
  <c r="B151" i="7"/>
  <c r="AU236" i="6"/>
  <c r="AY236" i="6"/>
  <c r="A530" i="14"/>
  <c r="D19" i="10"/>
  <c r="B214" i="7"/>
  <c r="AS243" i="6"/>
  <c r="AX243" i="6"/>
  <c r="AV244" i="6"/>
  <c r="AZ244" i="6"/>
  <c r="A395" i="14"/>
  <c r="D34" i="10"/>
  <c r="U225" i="14"/>
  <c r="AI225" i="14" s="1"/>
  <c r="R225" i="14"/>
  <c r="AH225" i="14" s="1"/>
  <c r="K225" i="14"/>
  <c r="AG225" i="14" s="1"/>
  <c r="H225" i="14"/>
  <c r="Y250" i="6"/>
  <c r="AC250" i="6"/>
  <c r="H29" i="17"/>
  <c r="H31" i="17" s="1"/>
  <c r="H40" i="17" s="1"/>
  <c r="AH56" i="17" s="1"/>
  <c r="B243" i="7"/>
  <c r="R58" i="14"/>
  <c r="K58" i="14"/>
  <c r="R722" i="14"/>
  <c r="K722" i="14"/>
  <c r="H722" i="14"/>
  <c r="R723" i="14"/>
  <c r="K723" i="14"/>
  <c r="H723" i="14"/>
  <c r="Q106" i="19"/>
  <c r="F742" i="14" s="1"/>
  <c r="I46" i="20"/>
  <c r="B275" i="6"/>
  <c r="AV280" i="6"/>
  <c r="AZ280" i="6"/>
  <c r="A703" i="14"/>
  <c r="B260" i="7"/>
  <c r="Y283" i="6"/>
  <c r="AC283" i="6"/>
  <c r="I59" i="20"/>
  <c r="Q28" i="19"/>
  <c r="F193" i="14" s="1"/>
  <c r="B297" i="6"/>
  <c r="AV297" i="6"/>
  <c r="AZ297" i="6"/>
  <c r="A345" i="14"/>
  <c r="B274" i="7"/>
  <c r="Y299" i="6"/>
  <c r="AC299" i="6"/>
  <c r="R269" i="14"/>
  <c r="K269" i="14"/>
  <c r="H269" i="14"/>
  <c r="X300" i="6"/>
  <c r="AB300" i="6"/>
  <c r="R270" i="14"/>
  <c r="AH270" i="14" s="1"/>
  <c r="K270" i="14"/>
  <c r="AG270" i="14" s="1"/>
  <c r="AK302" i="6"/>
  <c r="AO302" i="6"/>
  <c r="K519" i="14"/>
  <c r="H519" i="14"/>
  <c r="R519" i="14"/>
  <c r="A383" i="14"/>
  <c r="B279" i="7"/>
  <c r="AK304" i="6"/>
  <c r="AO304" i="6"/>
  <c r="H135" i="14"/>
  <c r="R135" i="14"/>
  <c r="K135" i="14"/>
  <c r="AK423" i="14"/>
  <c r="AJ423" i="14"/>
  <c r="K538" i="14"/>
  <c r="AG538" i="14" s="1"/>
  <c r="H538" i="14"/>
  <c r="R538" i="14"/>
  <c r="AH538" i="14" s="1"/>
  <c r="AO194" i="14"/>
  <c r="AK194" i="14"/>
  <c r="AN194" i="14"/>
  <c r="AJ194" i="14"/>
  <c r="AM194" i="14"/>
  <c r="AL194" i="14"/>
  <c r="Y310" i="6"/>
  <c r="AC310" i="6"/>
  <c r="R212" i="14"/>
  <c r="K212" i="14"/>
  <c r="R326" i="14"/>
  <c r="K326" i="14"/>
  <c r="H326" i="14"/>
  <c r="AC326" i="6"/>
  <c r="AS326" i="6"/>
  <c r="BB326" i="6" s="1"/>
  <c r="AX326" i="6"/>
  <c r="BG326" i="6" s="1"/>
  <c r="AV328" i="6"/>
  <c r="AZ328" i="6"/>
  <c r="C16" i="16"/>
  <c r="B631" i="7" s="1"/>
  <c r="B305" i="7"/>
  <c r="F15" i="16"/>
  <c r="D630" i="7" s="1"/>
  <c r="C630" i="7"/>
  <c r="B364" i="6"/>
  <c r="B317" i="7" s="1"/>
  <c r="B375" i="6"/>
  <c r="C44" i="16" s="1"/>
  <c r="E376" i="6"/>
  <c r="F46" i="16" s="1"/>
  <c r="E388" i="6"/>
  <c r="L16" i="19"/>
  <c r="G112" i="14" s="1"/>
  <c r="D18" i="13"/>
  <c r="L28" i="19"/>
  <c r="G189" i="14" s="1"/>
  <c r="D20" i="13"/>
  <c r="E411" i="6"/>
  <c r="B414" i="6"/>
  <c r="Q414" i="6"/>
  <c r="K34" i="19"/>
  <c r="F227" i="14" s="1"/>
  <c r="E24" i="13"/>
  <c r="L43" i="19"/>
  <c r="G284" i="14" s="1"/>
  <c r="D26" i="13"/>
  <c r="D28" i="13"/>
  <c r="F31" i="9"/>
  <c r="L52" i="19"/>
  <c r="G341" i="14" s="1"/>
  <c r="D29" i="13"/>
  <c r="L63" i="19"/>
  <c r="G418" i="14" s="1"/>
  <c r="D30" i="13"/>
  <c r="L49" i="19"/>
  <c r="G322" i="14" s="1"/>
  <c r="D31" i="13"/>
  <c r="D32" i="13"/>
  <c r="F24" i="12"/>
  <c r="L40" i="19"/>
  <c r="G265" i="14" s="1"/>
  <c r="D34" i="13"/>
  <c r="D35" i="13"/>
  <c r="F29" i="9"/>
  <c r="E437" i="6"/>
  <c r="E439" i="6"/>
  <c r="E146" i="10"/>
  <c r="G528" i="7"/>
  <c r="L38" i="12"/>
  <c r="D532" i="7" s="1"/>
  <c r="F34" i="19"/>
  <c r="G224" i="14" s="1"/>
  <c r="F18" i="12"/>
  <c r="R282" i="14"/>
  <c r="AH282" i="14" s="1"/>
  <c r="K282" i="14"/>
  <c r="AG282" i="14" s="1"/>
  <c r="H282" i="14"/>
  <c r="U282" i="14"/>
  <c r="AI282" i="14" s="1"/>
  <c r="E46" i="19"/>
  <c r="F300" i="14" s="1"/>
  <c r="M142" i="10"/>
  <c r="F47" i="19"/>
  <c r="G301" i="14" s="1"/>
  <c r="F16" i="12"/>
  <c r="D34" i="11"/>
  <c r="R319" i="14"/>
  <c r="K319" i="14"/>
  <c r="U319" i="14"/>
  <c r="H339" i="14"/>
  <c r="U339" i="14"/>
  <c r="AI339" i="14" s="1"/>
  <c r="R339" i="14"/>
  <c r="AH339" i="14" s="1"/>
  <c r="K339" i="14"/>
  <c r="AG339" i="14" s="1"/>
  <c r="H56" i="17"/>
  <c r="H58" i="17" s="1"/>
  <c r="H63" i="17" s="1"/>
  <c r="AH54" i="17" s="1"/>
  <c r="A593" i="14"/>
  <c r="D22" i="10"/>
  <c r="R677" i="14"/>
  <c r="U677" i="14"/>
  <c r="H677" i="14"/>
  <c r="K677" i="14"/>
  <c r="F87" i="19"/>
  <c r="G573" i="14" s="1"/>
  <c r="E20" i="10"/>
  <c r="E91" i="19"/>
  <c r="F613" i="14" s="1"/>
  <c r="G32" i="12"/>
  <c r="F24" i="10"/>
  <c r="B228" i="6"/>
  <c r="AE236" i="6"/>
  <c r="AW236" i="6"/>
  <c r="AV243" i="6"/>
  <c r="AZ243" i="6"/>
  <c r="F56" i="19"/>
  <c r="G376" i="14" s="1"/>
  <c r="F81" i="19"/>
  <c r="G530" i="14" s="1"/>
  <c r="AS244" i="6"/>
  <c r="AX244" i="6"/>
  <c r="A415" i="14"/>
  <c r="D33" i="10"/>
  <c r="E67" i="19"/>
  <c r="F435" i="14" s="1"/>
  <c r="F36" i="10"/>
  <c r="F75" i="19"/>
  <c r="G492" i="14" s="1"/>
  <c r="F15" i="12"/>
  <c r="V250" i="6"/>
  <c r="AA250" i="6"/>
  <c r="B268" i="6"/>
  <c r="R724" i="14"/>
  <c r="AH724" i="14" s="1"/>
  <c r="K724" i="14"/>
  <c r="AG724" i="14" s="1"/>
  <c r="H724" i="14"/>
  <c r="B273" i="6"/>
  <c r="B277" i="6"/>
  <c r="A78" i="14"/>
  <c r="B255" i="7"/>
  <c r="AS280" i="6"/>
  <c r="AX280" i="6"/>
  <c r="A155" i="14"/>
  <c r="B258" i="7"/>
  <c r="R537" i="14"/>
  <c r="K537" i="14"/>
  <c r="H537" i="14"/>
  <c r="V283" i="6"/>
  <c r="AA283" i="6"/>
  <c r="R250" i="14"/>
  <c r="K250" i="14"/>
  <c r="H250" i="14"/>
  <c r="H288" i="14"/>
  <c r="R288" i="14"/>
  <c r="K288" i="14"/>
  <c r="B291" i="6"/>
  <c r="B268" i="7" s="1"/>
  <c r="B269" i="7" s="1"/>
  <c r="B270" i="7" s="1"/>
  <c r="R289" i="14"/>
  <c r="AH289" i="14" s="1"/>
  <c r="H289" i="14"/>
  <c r="K289" i="14"/>
  <c r="AG289" i="14" s="1"/>
  <c r="AS297" i="6"/>
  <c r="AX297" i="6"/>
  <c r="B298" i="6"/>
  <c r="V299" i="6"/>
  <c r="AA299" i="6"/>
  <c r="Z300" i="6"/>
  <c r="R41" i="19"/>
  <c r="G270" i="14" s="1"/>
  <c r="H270" i="14" s="1"/>
  <c r="F17" i="9"/>
  <c r="AI302" i="6"/>
  <c r="AI304" i="6"/>
  <c r="AM304" i="6"/>
  <c r="AQ304" i="6"/>
  <c r="H539" i="14"/>
  <c r="R539" i="14"/>
  <c r="AH539" i="14" s="1"/>
  <c r="K539" i="14"/>
  <c r="AG539" i="14" s="1"/>
  <c r="V310" i="6"/>
  <c r="AA310" i="6"/>
  <c r="AL174" i="14"/>
  <c r="AO174" i="14"/>
  <c r="AK174" i="14"/>
  <c r="AN174" i="14"/>
  <c r="AJ174" i="14"/>
  <c r="AM174" i="14"/>
  <c r="A761" i="14"/>
  <c r="B291" i="7"/>
  <c r="H762" i="14"/>
  <c r="R762" i="14"/>
  <c r="AH762" i="14" s="1"/>
  <c r="K762" i="14"/>
  <c r="AG762" i="14" s="1"/>
  <c r="R404" i="14"/>
  <c r="AH404" i="14" s="1"/>
  <c r="K404" i="14"/>
  <c r="AG404" i="14" s="1"/>
  <c r="H404" i="14"/>
  <c r="AV326" i="6"/>
  <c r="BE326" i="6" s="1"/>
  <c r="AZ326" i="6"/>
  <c r="BI326" i="6" s="1"/>
  <c r="K442" i="14"/>
  <c r="R442" i="14"/>
  <c r="H442" i="14"/>
  <c r="AS328" i="6"/>
  <c r="AX328" i="6"/>
  <c r="B340" i="6"/>
  <c r="B341" i="6"/>
  <c r="B345" i="6"/>
  <c r="B349" i="6"/>
  <c r="E350" i="6"/>
  <c r="B355" i="6"/>
  <c r="F17" i="16"/>
  <c r="D632" i="7" s="1"/>
  <c r="C632" i="7"/>
  <c r="F22" i="16"/>
  <c r="B368" i="6"/>
  <c r="B372" i="6"/>
  <c r="B320" i="7" s="1"/>
  <c r="B373" i="6"/>
  <c r="C42" i="16" s="1"/>
  <c r="B377" i="6"/>
  <c r="C47" i="16" s="1"/>
  <c r="E390" i="6"/>
  <c r="K81" i="19"/>
  <c r="F533" i="14" s="1"/>
  <c r="E15" i="13"/>
  <c r="X404" i="6"/>
  <c r="L82" i="19"/>
  <c r="G534" i="14" s="1"/>
  <c r="F30" i="9"/>
  <c r="D16" i="13"/>
  <c r="L32" i="19"/>
  <c r="G209" i="14" s="1"/>
  <c r="L65" i="19"/>
  <c r="G420" i="14" s="1"/>
  <c r="D22" i="13"/>
  <c r="L64" i="19"/>
  <c r="G419" i="14" s="1"/>
  <c r="L31" i="19"/>
  <c r="G208" i="14" s="1"/>
  <c r="D23" i="13"/>
  <c r="K46" i="19"/>
  <c r="F303" i="14" s="1"/>
  <c r="E27" i="13"/>
  <c r="P457" i="6"/>
  <c r="E402" i="7" s="1"/>
  <c r="B178" i="7"/>
  <c r="E209" i="7"/>
  <c r="S9" i="9"/>
  <c r="D441" i="7"/>
  <c r="AK12" i="9"/>
  <c r="V9" i="9"/>
  <c r="AK14" i="9"/>
  <c r="U9" i="9"/>
  <c r="I440" i="7"/>
  <c r="F22" i="19"/>
  <c r="G148" i="14" s="1"/>
  <c r="E26" i="15"/>
  <c r="E23" i="19"/>
  <c r="F149" i="14" s="1"/>
  <c r="F27" i="15"/>
  <c r="A186" i="14"/>
  <c r="D16" i="11"/>
  <c r="D23" i="10"/>
  <c r="E70" i="19"/>
  <c r="F454" i="14" s="1"/>
  <c r="F37" i="10"/>
  <c r="G13" i="12"/>
  <c r="E85" i="19"/>
  <c r="F553" i="14" s="1"/>
  <c r="F35" i="10"/>
  <c r="AC114" i="10" s="1"/>
  <c r="F31" i="19"/>
  <c r="G205" i="14" s="1"/>
  <c r="E26" i="10"/>
  <c r="E23" i="15"/>
  <c r="E18" i="15"/>
  <c r="E19" i="15"/>
  <c r="L134" i="10"/>
  <c r="N134" i="10" s="1"/>
  <c r="E34" i="19"/>
  <c r="F224" i="14" s="1"/>
  <c r="G18" i="12"/>
  <c r="F37" i="19"/>
  <c r="G243" i="14" s="1"/>
  <c r="F19" i="12"/>
  <c r="Q194" i="6"/>
  <c r="Q195" i="6"/>
  <c r="E47" i="19"/>
  <c r="F301" i="14" s="1"/>
  <c r="G16" i="12"/>
  <c r="A319" i="14"/>
  <c r="D28" i="11"/>
  <c r="Q198" i="6"/>
  <c r="N22" i="12"/>
  <c r="H22" i="12"/>
  <c r="X199" i="6"/>
  <c r="AB199" i="6"/>
  <c r="U338" i="14"/>
  <c r="R338" i="14"/>
  <c r="K338" i="14"/>
  <c r="H338" i="14"/>
  <c r="B202" i="6"/>
  <c r="Q202" i="6"/>
  <c r="B204" i="6"/>
  <c r="B185" i="7" s="1"/>
  <c r="Q204" i="6"/>
  <c r="A677" i="14"/>
  <c r="Q206" i="6"/>
  <c r="E87" i="19"/>
  <c r="F573" i="14" s="1"/>
  <c r="F20" i="10"/>
  <c r="E54" i="19"/>
  <c r="F357" i="14" s="1"/>
  <c r="F146" i="10"/>
  <c r="A613" i="14"/>
  <c r="C32" i="12"/>
  <c r="D24" i="10"/>
  <c r="Q221" i="6"/>
  <c r="B227" i="6"/>
  <c r="B231" i="6"/>
  <c r="B206" i="7" s="1"/>
  <c r="I40" i="20"/>
  <c r="F24" i="15"/>
  <c r="AS236" i="6"/>
  <c r="AX236" i="6"/>
  <c r="E81" i="19"/>
  <c r="F530" i="14" s="1"/>
  <c r="F19" i="10"/>
  <c r="F27" i="10" s="1"/>
  <c r="AW243" i="6"/>
  <c r="Z243" i="6" s="1"/>
  <c r="E56" i="19"/>
  <c r="F376" i="14" s="1"/>
  <c r="E82" i="19"/>
  <c r="F531" i="14" s="1"/>
  <c r="AU244" i="6"/>
  <c r="X243" i="6" s="1"/>
  <c r="E59" i="19"/>
  <c r="F395" i="14" s="1"/>
  <c r="F34" i="10"/>
  <c r="Q249" i="6"/>
  <c r="E75" i="19"/>
  <c r="F492" i="14" s="1"/>
  <c r="G15" i="12"/>
  <c r="X250" i="6"/>
  <c r="AB250" i="6"/>
  <c r="B271" i="6"/>
  <c r="Q271" i="6"/>
  <c r="B276" i="6"/>
  <c r="H116" i="14"/>
  <c r="R116" i="14"/>
  <c r="K116" i="14"/>
  <c r="AU280" i="6"/>
  <c r="Q282" i="6"/>
  <c r="R703" i="14"/>
  <c r="K703" i="14"/>
  <c r="H703" i="14"/>
  <c r="X283" i="6"/>
  <c r="AB283" i="6"/>
  <c r="Q286" i="6"/>
  <c r="Z286" i="6" s="1"/>
  <c r="Y286" i="6"/>
  <c r="AC286" i="6"/>
  <c r="K251" i="14"/>
  <c r="AG251" i="14" s="1"/>
  <c r="H251" i="14"/>
  <c r="R251" i="14"/>
  <c r="AH251" i="14" s="1"/>
  <c r="Q288" i="6"/>
  <c r="Y288" i="6" s="1"/>
  <c r="K403" i="14"/>
  <c r="AG403" i="14" s="1"/>
  <c r="H403" i="14"/>
  <c r="R403" i="14"/>
  <c r="AH403" i="14" s="1"/>
  <c r="A288" i="14"/>
  <c r="B267" i="7"/>
  <c r="Q290" i="6"/>
  <c r="Q296" i="6"/>
  <c r="H307" i="14"/>
  <c r="K307" i="14"/>
  <c r="R307" i="14"/>
  <c r="AU297" i="6"/>
  <c r="AY297" i="6"/>
  <c r="K345" i="14"/>
  <c r="H345" i="14"/>
  <c r="R345" i="14"/>
  <c r="X299" i="6"/>
  <c r="AB299" i="6"/>
  <c r="V300" i="6"/>
  <c r="F275" i="7" s="1"/>
  <c r="AA300" i="6"/>
  <c r="X302" i="6"/>
  <c r="AB302" i="6"/>
  <c r="AJ302" i="6"/>
  <c r="AN302" i="6"/>
  <c r="K383" i="14"/>
  <c r="H383" i="14"/>
  <c r="R383" i="14"/>
  <c r="X304" i="6"/>
  <c r="AB304" i="6"/>
  <c r="AJ304" i="6"/>
  <c r="AN304" i="6"/>
  <c r="AR304" i="6"/>
  <c r="Q63" i="19"/>
  <c r="F423" i="14" s="1"/>
  <c r="G18" i="9"/>
  <c r="H18" i="9" s="1"/>
  <c r="AM539" i="14"/>
  <c r="AL539" i="14"/>
  <c r="AO539" i="14"/>
  <c r="AK539" i="14"/>
  <c r="AN539" i="14"/>
  <c r="AJ539" i="14"/>
  <c r="Q309" i="6"/>
  <c r="R194" i="14"/>
  <c r="AH194" i="14" s="1"/>
  <c r="K194" i="14"/>
  <c r="AG194" i="14" s="1"/>
  <c r="H194" i="14"/>
  <c r="X310" i="6"/>
  <c r="AB310" i="6"/>
  <c r="Q323" i="6"/>
  <c r="X322" i="6" s="1"/>
  <c r="B325" i="6"/>
  <c r="Q325" i="6"/>
  <c r="R480" i="14"/>
  <c r="K480" i="14"/>
  <c r="H480" i="14"/>
  <c r="X326" i="6"/>
  <c r="AB326" i="6"/>
  <c r="AW326" i="6"/>
  <c r="BF326" i="6" s="1"/>
  <c r="B327" i="6"/>
  <c r="Q327" i="6"/>
  <c r="Y326" i="6" s="1"/>
  <c r="K461" i="14"/>
  <c r="R461" i="14"/>
  <c r="H461" i="14"/>
  <c r="AU328" i="6"/>
  <c r="AY328" i="6"/>
  <c r="R364" i="14"/>
  <c r="K364" i="14"/>
  <c r="H364" i="14"/>
  <c r="Q342" i="6"/>
  <c r="E304" i="7" s="1"/>
  <c r="B344" i="6"/>
  <c r="E349" i="6"/>
  <c r="B351" i="6"/>
  <c r="B357" i="6"/>
  <c r="B312" i="7" s="1"/>
  <c r="F16" i="16"/>
  <c r="D631" i="7" s="1"/>
  <c r="C631" i="7"/>
  <c r="Q359" i="6"/>
  <c r="E314" i="7" s="1"/>
  <c r="B362" i="6"/>
  <c r="B316" i="7" s="1"/>
  <c r="Q364" i="6"/>
  <c r="E317" i="7" s="1"/>
  <c r="F23" i="16"/>
  <c r="Q387" i="6"/>
  <c r="B394" i="6"/>
  <c r="B340" i="7" s="1"/>
  <c r="Q404" i="6"/>
  <c r="Y404" i="6"/>
  <c r="K82" i="19"/>
  <c r="F534" i="14" s="1"/>
  <c r="E16" i="13"/>
  <c r="G30" i="9"/>
  <c r="H30" i="9" s="1"/>
  <c r="K65" i="19"/>
  <c r="F420" i="14" s="1"/>
  <c r="K32" i="19"/>
  <c r="F209" i="14" s="1"/>
  <c r="E22" i="13"/>
  <c r="K31" i="19"/>
  <c r="F208" i="14" s="1"/>
  <c r="K64" i="19"/>
  <c r="F419" i="14" s="1"/>
  <c r="E23" i="13"/>
  <c r="L34" i="19"/>
  <c r="G227" i="14" s="1"/>
  <c r="D24" i="13"/>
  <c r="Q418" i="6"/>
  <c r="B187" i="7"/>
  <c r="B199" i="7"/>
  <c r="B217" i="7"/>
  <c r="B219" i="7"/>
  <c r="B284" i="7"/>
  <c r="K38" i="9"/>
  <c r="D443" i="7"/>
  <c r="C17" i="9"/>
  <c r="G142" i="10"/>
  <c r="E431" i="6"/>
  <c r="E446" i="6"/>
  <c r="E453" i="6"/>
  <c r="E455" i="6"/>
  <c r="AG15" i="12"/>
  <c r="E444" i="6"/>
  <c r="E448" i="6"/>
  <c r="AI54" i="14"/>
  <c r="R56" i="14"/>
  <c r="AH56" i="14" s="1"/>
  <c r="AI65" i="14"/>
  <c r="AM65" i="14"/>
  <c r="AG74" i="14"/>
  <c r="H76" i="14"/>
  <c r="K85" i="14"/>
  <c r="AI85" i="14"/>
  <c r="AM85" i="14"/>
  <c r="AI93" i="14"/>
  <c r="R95" i="14"/>
  <c r="AH95" i="14" s="1"/>
  <c r="AH102" i="14"/>
  <c r="AG103" i="14"/>
  <c r="U104" i="14"/>
  <c r="AA104" i="14" s="1"/>
  <c r="AK104" i="14"/>
  <c r="AO104" i="14"/>
  <c r="AH121" i="14"/>
  <c r="AG122" i="14"/>
  <c r="U123" i="14"/>
  <c r="AA123" i="14" s="1"/>
  <c r="AG123" i="14"/>
  <c r="AK123" i="14"/>
  <c r="AO123" i="14"/>
  <c r="AI131" i="14"/>
  <c r="H142" i="14"/>
  <c r="AK142" i="14"/>
  <c r="AG142" i="14"/>
  <c r="R142" i="14"/>
  <c r="Y142" i="14" s="1"/>
  <c r="AJ142" i="14"/>
  <c r="AI238" i="14"/>
  <c r="AI295" i="14"/>
  <c r="R65" i="14"/>
  <c r="Y65" i="14" s="1"/>
  <c r="AN65" i="14"/>
  <c r="R85" i="14"/>
  <c r="Y85" i="14" s="1"/>
  <c r="AJ85" i="14"/>
  <c r="AN85" i="14"/>
  <c r="AH104" i="14"/>
  <c r="AL104" i="14"/>
  <c r="AH123" i="14"/>
  <c r="AL123" i="14"/>
  <c r="AM142" i="14"/>
  <c r="K153" i="14"/>
  <c r="AG153" i="14" s="1"/>
  <c r="H153" i="14"/>
  <c r="AG151" i="14"/>
  <c r="E172" i="14"/>
  <c r="D172" i="14"/>
  <c r="AG54" i="14"/>
  <c r="H56" i="14"/>
  <c r="AH63" i="14"/>
  <c r="AH65" i="14" s="1"/>
  <c r="U65" i="14"/>
  <c r="AA65" i="14" s="1"/>
  <c r="AG65" i="14"/>
  <c r="AK65" i="14"/>
  <c r="AO65" i="14"/>
  <c r="AI74" i="14"/>
  <c r="U85" i="14"/>
  <c r="AA85" i="14" s="1"/>
  <c r="AG85" i="14"/>
  <c r="AK85" i="14"/>
  <c r="AO85" i="14"/>
  <c r="AG93" i="14"/>
  <c r="H95" i="14"/>
  <c r="K104" i="14"/>
  <c r="W104" i="14" s="1"/>
  <c r="AI104" i="14"/>
  <c r="AM104" i="14"/>
  <c r="AI122" i="14"/>
  <c r="AI123" i="14" s="1"/>
  <c r="K123" i="14"/>
  <c r="W123" i="14" s="1"/>
  <c r="AM123" i="14"/>
  <c r="AG131" i="14"/>
  <c r="H133" i="14"/>
  <c r="AI140" i="14"/>
  <c r="AI142" i="14" s="1"/>
  <c r="AO142" i="14"/>
  <c r="U142" i="14"/>
  <c r="AA142" i="14" s="1"/>
  <c r="AN142" i="14"/>
  <c r="AG155" i="14"/>
  <c r="AJ162" i="14"/>
  <c r="AG160" i="14"/>
  <c r="AG162" i="14" s="1"/>
  <c r="K162" i="14"/>
  <c r="W162" i="14" s="1"/>
  <c r="H162" i="14"/>
  <c r="AH85" i="14"/>
  <c r="AG102" i="14"/>
  <c r="AG104" i="14" s="1"/>
  <c r="K142" i="14"/>
  <c r="W142" i="14" s="1"/>
  <c r="E248" i="14"/>
  <c r="D248" i="14"/>
  <c r="AH162" i="14"/>
  <c r="AL162" i="14"/>
  <c r="AH170" i="14"/>
  <c r="K172" i="14"/>
  <c r="AG172" i="14" s="1"/>
  <c r="AI179" i="14"/>
  <c r="U238" i="14"/>
  <c r="AA238" i="14" s="1"/>
  <c r="AK238" i="14"/>
  <c r="AO238" i="14"/>
  <c r="U257" i="14"/>
  <c r="AA257" i="14" s="1"/>
  <c r="AK257" i="14"/>
  <c r="AO257" i="14"/>
  <c r="AH274" i="14"/>
  <c r="AH276" i="14" s="1"/>
  <c r="R276" i="14"/>
  <c r="Y276" i="14" s="1"/>
  <c r="AL276" i="14"/>
  <c r="AH142" i="14"/>
  <c r="AI162" i="14"/>
  <c r="AM162" i="14"/>
  <c r="AI236" i="14"/>
  <c r="H238" i="14"/>
  <c r="AH238" i="14"/>
  <c r="AL238" i="14"/>
  <c r="AH246" i="14"/>
  <c r="AI255" i="14"/>
  <c r="AI257" i="14" s="1"/>
  <c r="H257" i="14"/>
  <c r="AH257" i="14"/>
  <c r="AL257" i="14"/>
  <c r="AO276" i="14"/>
  <c r="U276" i="14"/>
  <c r="AA276" i="14" s="1"/>
  <c r="AN276" i="14"/>
  <c r="AM276" i="14"/>
  <c r="AI293" i="14"/>
  <c r="AO295" i="14"/>
  <c r="U295" i="14"/>
  <c r="AA295" i="14" s="1"/>
  <c r="R295" i="14"/>
  <c r="Y295" i="14" s="1"/>
  <c r="AG179" i="14"/>
  <c r="AI237" i="14"/>
  <c r="K238" i="14"/>
  <c r="W238" i="14" s="1"/>
  <c r="AI246" i="14"/>
  <c r="AI256" i="14"/>
  <c r="K257" i="14"/>
  <c r="W257" i="14" s="1"/>
  <c r="H276" i="14"/>
  <c r="AM295" i="14"/>
  <c r="AG170" i="14"/>
  <c r="AH179" i="14"/>
  <c r="AG236" i="14"/>
  <c r="AG238" i="14" s="1"/>
  <c r="AG255" i="14"/>
  <c r="AG257" i="14" s="1"/>
  <c r="K276" i="14"/>
  <c r="W276" i="14" s="1"/>
  <c r="AI276" i="14"/>
  <c r="AN295" i="14"/>
  <c r="E362" i="14"/>
  <c r="D362" i="14"/>
  <c r="AI313" i="14"/>
  <c r="AI314" i="14"/>
  <c r="AM314" i="14"/>
  <c r="U362" i="14"/>
  <c r="AI362" i="14" s="1"/>
  <c r="AM371" i="14"/>
  <c r="R381" i="14"/>
  <c r="AH381" i="14" s="1"/>
  <c r="D459" i="14"/>
  <c r="E459" i="14"/>
  <c r="AI369" i="14"/>
  <c r="AO371" i="14"/>
  <c r="U371" i="14"/>
  <c r="AA371" i="14" s="1"/>
  <c r="AN371" i="14"/>
  <c r="U381" i="14"/>
  <c r="AI381" i="14" s="1"/>
  <c r="D440" i="14"/>
  <c r="E440" i="14"/>
  <c r="R459" i="14"/>
  <c r="AH459" i="14" s="1"/>
  <c r="AJ276" i="14"/>
  <c r="AH293" i="14"/>
  <c r="AG295" i="14"/>
  <c r="AK295" i="14"/>
  <c r="AH312" i="14"/>
  <c r="AG313" i="14"/>
  <c r="U314" i="14"/>
  <c r="AA314" i="14" s="1"/>
  <c r="AG314" i="14"/>
  <c r="AO314" i="14"/>
  <c r="AJ352" i="14"/>
  <c r="AG350" i="14"/>
  <c r="AG352" i="14" s="1"/>
  <c r="K352" i="14"/>
  <c r="W352" i="14" s="1"/>
  <c r="H352" i="14"/>
  <c r="AI371" i="14"/>
  <c r="AG389" i="14"/>
  <c r="AJ390" i="14"/>
  <c r="K390" i="14"/>
  <c r="W390" i="14" s="1"/>
  <c r="R440" i="14"/>
  <c r="AH440" i="14" s="1"/>
  <c r="AG276" i="14"/>
  <c r="AH295" i="14"/>
  <c r="AH314" i="14"/>
  <c r="R352" i="14"/>
  <c r="Y352" i="14" s="1"/>
  <c r="AM352" i="14"/>
  <c r="R371" i="14"/>
  <c r="Y371" i="14" s="1"/>
  <c r="AG380" i="14"/>
  <c r="H381" i="14"/>
  <c r="AH388" i="14"/>
  <c r="R390" i="14"/>
  <c r="Y390" i="14" s="1"/>
  <c r="AM390" i="14"/>
  <c r="AH390" i="14"/>
  <c r="H400" i="14"/>
  <c r="AG398" i="14"/>
  <c r="K400" i="14"/>
  <c r="AG400" i="14" s="1"/>
  <c r="H497" i="14"/>
  <c r="AG495" i="14"/>
  <c r="AO560" i="14"/>
  <c r="AN560" i="14"/>
  <c r="AI352" i="14"/>
  <c r="AG371" i="14"/>
  <c r="AK371" i="14"/>
  <c r="AI390" i="14"/>
  <c r="U440" i="14"/>
  <c r="AI440" i="14" s="1"/>
  <c r="U459" i="14"/>
  <c r="AI459" i="14" s="1"/>
  <c r="H516" i="14"/>
  <c r="AG514" i="14"/>
  <c r="AI596" i="14"/>
  <c r="U598" i="14"/>
  <c r="AI598" i="14" s="1"/>
  <c r="AH371" i="14"/>
  <c r="AN390" i="14"/>
  <c r="AG438" i="14"/>
  <c r="AG457" i="14"/>
  <c r="K497" i="14"/>
  <c r="AG497" i="14" s="1"/>
  <c r="U390" i="14"/>
  <c r="AA390" i="14" s="1"/>
  <c r="AG390" i="14"/>
  <c r="K516" i="14"/>
  <c r="AG516" i="14" s="1"/>
  <c r="AK520" i="14"/>
  <c r="AI556" i="14"/>
  <c r="U558" i="14"/>
  <c r="AI558" i="14" s="1"/>
  <c r="AH485" i="14"/>
  <c r="AG486" i="14"/>
  <c r="AG487" i="14" s="1"/>
  <c r="U487" i="14"/>
  <c r="AA487" i="14" s="1"/>
  <c r="AK487" i="14"/>
  <c r="AO487" i="14"/>
  <c r="AI495" i="14"/>
  <c r="AH504" i="14"/>
  <c r="AH506" i="14" s="1"/>
  <c r="AG505" i="14"/>
  <c r="AG506" i="14" s="1"/>
  <c r="U506" i="14"/>
  <c r="AA506" i="14" s="1"/>
  <c r="AK506" i="14"/>
  <c r="AO506" i="14"/>
  <c r="AI514" i="14"/>
  <c r="AL558" i="14"/>
  <c r="AM562" i="14"/>
  <c r="AH562" i="14"/>
  <c r="R562" i="14"/>
  <c r="Y562" i="14" s="1"/>
  <c r="AL562" i="14"/>
  <c r="AH560" i="14"/>
  <c r="U659" i="14"/>
  <c r="AI659" i="14" s="1"/>
  <c r="AI657" i="14"/>
  <c r="AH681" i="14"/>
  <c r="R682" i="14"/>
  <c r="AH682" i="14" s="1"/>
  <c r="AH487" i="14"/>
  <c r="AL487" i="14"/>
  <c r="AL506" i="14"/>
  <c r="AJ520" i="14"/>
  <c r="K558" i="14"/>
  <c r="AG558" i="14" s="1"/>
  <c r="AG556" i="14"/>
  <c r="H520" i="14"/>
  <c r="H558" i="14"/>
  <c r="D558" i="14" s="1"/>
  <c r="K560" i="14"/>
  <c r="H560" i="14"/>
  <c r="K578" i="14"/>
  <c r="AG578" i="14" s="1"/>
  <c r="AG576" i="14"/>
  <c r="H578" i="14"/>
  <c r="D578" i="14" s="1"/>
  <c r="H582" i="14"/>
  <c r="D582" i="14" s="1"/>
  <c r="K618" i="14"/>
  <c r="AG618" i="14" s="1"/>
  <c r="AG616" i="14"/>
  <c r="H618" i="14"/>
  <c r="D618" i="14" s="1"/>
  <c r="AG622" i="14"/>
  <c r="K622" i="14"/>
  <c r="W622" i="14" s="1"/>
  <c r="AK622" i="14"/>
  <c r="AJ622" i="14"/>
  <c r="AG620" i="14"/>
  <c r="H622" i="14"/>
  <c r="D622" i="14" s="1"/>
  <c r="U638" i="14"/>
  <c r="AI638" i="14" s="1"/>
  <c r="K561" i="14"/>
  <c r="AG561" i="14" s="1"/>
  <c r="AN561" i="14"/>
  <c r="AI576" i="14"/>
  <c r="AL598" i="14"/>
  <c r="AL622" i="14"/>
  <c r="AH620" i="14"/>
  <c r="AH622" i="14"/>
  <c r="AG657" i="14"/>
  <c r="H659" i="14"/>
  <c r="D659" i="14" s="1"/>
  <c r="K598" i="14"/>
  <c r="AG598" i="14" s="1"/>
  <c r="AG596" i="14"/>
  <c r="H638" i="14"/>
  <c r="D638" i="14" s="1"/>
  <c r="U682" i="14"/>
  <c r="AI682" i="14" s="1"/>
  <c r="AI680" i="14"/>
  <c r="H598" i="14"/>
  <c r="D598" i="14" s="1"/>
  <c r="AL618" i="14"/>
  <c r="R638" i="14"/>
  <c r="AH638" i="14" s="1"/>
  <c r="AH636" i="14"/>
  <c r="K638" i="14"/>
  <c r="AG638" i="14" s="1"/>
  <c r="R659" i="14"/>
  <c r="AH659" i="14" s="1"/>
  <c r="AG696" i="14"/>
  <c r="K698" i="14"/>
  <c r="R717" i="14"/>
  <c r="AH715" i="14"/>
  <c r="U720" i="14"/>
  <c r="AI720" i="14" s="1"/>
  <c r="AI718" i="14"/>
  <c r="AM749" i="14"/>
  <c r="AH748" i="14"/>
  <c r="R749" i="14"/>
  <c r="Y749" i="14" s="1"/>
  <c r="AI768" i="14"/>
  <c r="AI766" i="14"/>
  <c r="AO768" i="14"/>
  <c r="U768" i="14"/>
  <c r="AA768" i="14" s="1"/>
  <c r="AN768" i="14"/>
  <c r="AI689" i="14"/>
  <c r="AI691" i="14" s="1"/>
  <c r="AO691" i="14"/>
  <c r="U691" i="14"/>
  <c r="AA691" i="14" s="1"/>
  <c r="AN691" i="14"/>
  <c r="U698" i="14"/>
  <c r="AL710" i="14"/>
  <c r="AM717" i="14"/>
  <c r="AG735" i="14"/>
  <c r="AL749" i="14"/>
  <c r="AI754" i="14"/>
  <c r="H698" i="14"/>
  <c r="AI708" i="14"/>
  <c r="AO710" i="14"/>
  <c r="U710" i="14"/>
  <c r="AA710" i="14" s="1"/>
  <c r="AN710" i="14"/>
  <c r="AI710" i="14"/>
  <c r="AG728" i="14"/>
  <c r="U737" i="14"/>
  <c r="AI735" i="14"/>
  <c r="E740" i="14"/>
  <c r="D740" i="14"/>
  <c r="AJ698" i="14"/>
  <c r="AN698" i="14"/>
  <c r="AM710" i="14"/>
  <c r="K716" i="14"/>
  <c r="AG716" i="14" s="1"/>
  <c r="H716" i="14"/>
  <c r="U716" i="14"/>
  <c r="AG718" i="14"/>
  <c r="K720" i="14"/>
  <c r="AG720" i="14" s="1"/>
  <c r="H720" i="14"/>
  <c r="AO730" i="14"/>
  <c r="U730" i="14"/>
  <c r="AA730" i="14" s="1"/>
  <c r="AI728" i="14"/>
  <c r="AI730" i="14" s="1"/>
  <c r="AJ740" i="14"/>
  <c r="AN740" i="14"/>
  <c r="H755" i="14"/>
  <c r="U755" i="14"/>
  <c r="AI755" i="14" s="1"/>
  <c r="R755" i="14"/>
  <c r="AH755" i="14" s="1"/>
  <c r="K755" i="14"/>
  <c r="AG755" i="14" s="1"/>
  <c r="AG680" i="14"/>
  <c r="K689" i="14"/>
  <c r="R696" i="14"/>
  <c r="AI696" i="14"/>
  <c r="AG699" i="14"/>
  <c r="H701" i="14"/>
  <c r="AG708" i="14"/>
  <c r="R710" i="14"/>
  <c r="Y710" i="14" s="1"/>
  <c r="AJ710" i="14"/>
  <c r="H717" i="14"/>
  <c r="R718" i="14"/>
  <c r="H719" i="14"/>
  <c r="R728" i="14"/>
  <c r="H729" i="14"/>
  <c r="H730" i="14" s="1"/>
  <c r="R735" i="14"/>
  <c r="H736" i="14"/>
  <c r="R740" i="14"/>
  <c r="AH740" i="14" s="1"/>
  <c r="AJ749" i="14"/>
  <c r="R754" i="14"/>
  <c r="H759" i="14"/>
  <c r="AG757" i="14"/>
  <c r="K759" i="14"/>
  <c r="AG759" i="14" s="1"/>
  <c r="R689" i="14"/>
  <c r="AH708" i="14"/>
  <c r="AH710" i="14" s="1"/>
  <c r="AG710" i="14"/>
  <c r="AK710" i="14"/>
  <c r="K719" i="14"/>
  <c r="AG719" i="14" s="1"/>
  <c r="K729" i="14"/>
  <c r="K736" i="14"/>
  <c r="AG736" i="14" s="1"/>
  <c r="AG739" i="14"/>
  <c r="AG747" i="14"/>
  <c r="K749" i="14"/>
  <c r="W749" i="14" s="1"/>
  <c r="AK749" i="14"/>
  <c r="AL756" i="14"/>
  <c r="AG749" i="14"/>
  <c r="K754" i="14"/>
  <c r="H754" i="14"/>
  <c r="AM768" i="14"/>
  <c r="R768" i="14"/>
  <c r="Y768" i="14" s="1"/>
  <c r="AJ768" i="14"/>
  <c r="AH749" i="14"/>
  <c r="AH766" i="14"/>
  <c r="AG768" i="14"/>
  <c r="AK768" i="14"/>
  <c r="H768" i="14"/>
  <c r="AH768" i="14"/>
  <c r="AL768" i="14"/>
  <c r="Z180" i="6" l="1"/>
  <c r="J34" i="20"/>
  <c r="E192" i="7"/>
  <c r="Z211" i="6"/>
  <c r="AC211" i="6"/>
  <c r="Y211" i="6"/>
  <c r="X211" i="6"/>
  <c r="Q125" i="5"/>
  <c r="V211" i="6"/>
  <c r="AB211" i="6"/>
  <c r="AA211" i="6"/>
  <c r="D701" i="14"/>
  <c r="E701" i="14"/>
  <c r="E76" i="14"/>
  <c r="D76" i="14"/>
  <c r="A442" i="14"/>
  <c r="B296" i="7"/>
  <c r="AJ482" i="14"/>
  <c r="AG480" i="14"/>
  <c r="AG482" i="14"/>
  <c r="K482" i="14"/>
  <c r="AK482" i="14"/>
  <c r="H482" i="14"/>
  <c r="AL385" i="14"/>
  <c r="AH383" i="14"/>
  <c r="R385" i="14"/>
  <c r="Y385" i="14" s="1"/>
  <c r="AM385" i="14"/>
  <c r="AH385" i="14"/>
  <c r="K395" i="14"/>
  <c r="U395" i="14"/>
  <c r="R395" i="14"/>
  <c r="E187" i="7"/>
  <c r="AC206" i="6"/>
  <c r="Y206" i="6"/>
  <c r="AB206" i="6"/>
  <c r="X206" i="6"/>
  <c r="AA206" i="6"/>
  <c r="Z206" i="6"/>
  <c r="Q120" i="5"/>
  <c r="V206" i="6"/>
  <c r="N18" i="12"/>
  <c r="H18" i="12"/>
  <c r="AM730" i="14"/>
  <c r="AL730" i="14"/>
  <c r="AH730" i="14"/>
  <c r="AH728" i="14"/>
  <c r="R730" i="14"/>
  <c r="Y730" i="14" s="1"/>
  <c r="H737" i="14"/>
  <c r="H357" i="14"/>
  <c r="U357" i="14"/>
  <c r="K357" i="14"/>
  <c r="R357" i="14"/>
  <c r="E183" i="7"/>
  <c r="AZ202" i="6"/>
  <c r="BI202" i="6" s="1"/>
  <c r="AV202" i="6"/>
  <c r="BE202" i="6" s="1"/>
  <c r="AY202" i="6"/>
  <c r="AU202" i="6"/>
  <c r="BD202" i="6" s="1"/>
  <c r="AS202" i="6"/>
  <c r="AX202" i="6"/>
  <c r="BG202" i="6" s="1"/>
  <c r="Q116" i="5"/>
  <c r="AW202" i="6"/>
  <c r="BF202" i="6" s="1"/>
  <c r="E175" i="7"/>
  <c r="BH194" i="6"/>
  <c r="AZ194" i="6"/>
  <c r="AV194" i="6"/>
  <c r="BK194" i="6"/>
  <c r="BG194" i="6"/>
  <c r="AY194" i="6"/>
  <c r="AU194" i="6"/>
  <c r="BJ194" i="6"/>
  <c r="AX194" i="6"/>
  <c r="BI194" i="6"/>
  <c r="AW194" i="6"/>
  <c r="BF194" i="6"/>
  <c r="AS194" i="6"/>
  <c r="Q108" i="5"/>
  <c r="BD194" i="6"/>
  <c r="F274" i="7"/>
  <c r="AR299" i="6"/>
  <c r="AN299" i="6"/>
  <c r="AJ299" i="6"/>
  <c r="AQ299" i="6"/>
  <c r="AM299" i="6"/>
  <c r="AI299" i="6"/>
  <c r="AO299" i="6"/>
  <c r="AK299" i="6"/>
  <c r="AP299" i="6"/>
  <c r="AL299" i="6"/>
  <c r="AH299" i="6"/>
  <c r="AG290" i="14"/>
  <c r="K290" i="14"/>
  <c r="AG288" i="14"/>
  <c r="AK290" i="14"/>
  <c r="H290" i="14"/>
  <c r="AJ290" i="14"/>
  <c r="AM155" i="14"/>
  <c r="AL155" i="14"/>
  <c r="AO155" i="14"/>
  <c r="AK155" i="14"/>
  <c r="AN155" i="14"/>
  <c r="AJ155" i="14"/>
  <c r="AK415" i="14"/>
  <c r="AK417" i="14" s="1"/>
  <c r="AJ415" i="14"/>
  <c r="AJ417" i="14" s="1"/>
  <c r="U679" i="14"/>
  <c r="AI677" i="14"/>
  <c r="A420" i="14"/>
  <c r="A209" i="14"/>
  <c r="B367" i="7"/>
  <c r="AM328" i="14"/>
  <c r="AH328" i="14"/>
  <c r="R328" i="14"/>
  <c r="Y328" i="14" s="1"/>
  <c r="AL328" i="14"/>
  <c r="AH326" i="14"/>
  <c r="AH519" i="14"/>
  <c r="AM520" i="14"/>
  <c r="AH520" i="14"/>
  <c r="R520" i="14"/>
  <c r="Y520" i="14" s="1"/>
  <c r="AL520" i="14"/>
  <c r="AL271" i="14"/>
  <c r="AH269" i="14"/>
  <c r="AM271" i="14"/>
  <c r="R271" i="14"/>
  <c r="Y271" i="14" s="1"/>
  <c r="AH271" i="14"/>
  <c r="AN345" i="14"/>
  <c r="AJ345" i="14"/>
  <c r="AM345" i="14"/>
  <c r="AK345" i="14"/>
  <c r="AO345" i="14"/>
  <c r="AL345" i="14"/>
  <c r="Z288" i="6"/>
  <c r="K742" i="14"/>
  <c r="H742" i="14"/>
  <c r="R742" i="14"/>
  <c r="F14" i="16"/>
  <c r="C629" i="7"/>
  <c r="AQ321" i="6"/>
  <c r="AM321" i="6"/>
  <c r="AI321" i="6"/>
  <c r="AP321" i="6"/>
  <c r="AL321" i="6"/>
  <c r="AH321" i="6"/>
  <c r="F290" i="7"/>
  <c r="AR321" i="6"/>
  <c r="AN321" i="6"/>
  <c r="AJ321" i="6"/>
  <c r="AK321" i="6"/>
  <c r="AO321" i="6"/>
  <c r="AO326" i="14"/>
  <c r="AK326" i="14"/>
  <c r="AN326" i="14"/>
  <c r="AJ326" i="14"/>
  <c r="AM326" i="14"/>
  <c r="AL326" i="14"/>
  <c r="AN511" i="14"/>
  <c r="AJ511" i="14"/>
  <c r="AM511" i="14"/>
  <c r="AL511" i="14"/>
  <c r="AO511" i="14"/>
  <c r="AK511" i="14"/>
  <c r="BD201" i="6"/>
  <c r="E173" i="7"/>
  <c r="AC191" i="6"/>
  <c r="Q106" i="5"/>
  <c r="AL454" i="14"/>
  <c r="AN454" i="14"/>
  <c r="AM454" i="14"/>
  <c r="AO454" i="14"/>
  <c r="A129" i="14"/>
  <c r="D14" i="11"/>
  <c r="G14" i="11" s="1"/>
  <c r="B157" i="7"/>
  <c r="AO128" i="14"/>
  <c r="AK128" i="14"/>
  <c r="AN128" i="14"/>
  <c r="AJ128" i="14"/>
  <c r="AM128" i="14"/>
  <c r="AL128" i="14"/>
  <c r="R92" i="14"/>
  <c r="AH90" i="14"/>
  <c r="E152" i="7"/>
  <c r="Q85" i="5"/>
  <c r="A543" i="14"/>
  <c r="F45" i="11"/>
  <c r="B120" i="7"/>
  <c r="J26" i="20"/>
  <c r="E108" i="7"/>
  <c r="AC140" i="6"/>
  <c r="Y140" i="6"/>
  <c r="AB140" i="6"/>
  <c r="X140" i="6"/>
  <c r="AA140" i="6"/>
  <c r="V140" i="6"/>
  <c r="Z140" i="6"/>
  <c r="Q66" i="5"/>
  <c r="AO625" i="14"/>
  <c r="AK625" i="14"/>
  <c r="AL625" i="14"/>
  <c r="AJ625" i="14"/>
  <c r="AN625" i="14"/>
  <c r="AM625" i="14"/>
  <c r="AN605" i="14"/>
  <c r="AJ605" i="14"/>
  <c r="AM605" i="14"/>
  <c r="AL605" i="14"/>
  <c r="AK605" i="14"/>
  <c r="AO605" i="14"/>
  <c r="R217" i="14"/>
  <c r="K217" i="14"/>
  <c r="H217" i="14"/>
  <c r="U217" i="14"/>
  <c r="E55" i="7"/>
  <c r="Q46" i="5"/>
  <c r="AE105" i="6"/>
  <c r="AM654" i="14"/>
  <c r="AM656" i="14" s="1"/>
  <c r="AK654" i="14"/>
  <c r="AK656" i="14" s="1"/>
  <c r="AO654" i="14"/>
  <c r="AO656" i="14" s="1"/>
  <c r="AJ654" i="14"/>
  <c r="AJ656" i="14" s="1"/>
  <c r="AN654" i="14"/>
  <c r="AN656" i="14" s="1"/>
  <c r="AL654" i="14"/>
  <c r="AL656" i="14" s="1"/>
  <c r="A32" i="10"/>
  <c r="J50" i="20"/>
  <c r="E287" i="7"/>
  <c r="AP312" i="6"/>
  <c r="AL312" i="6"/>
  <c r="AH312" i="6"/>
  <c r="AO312" i="6"/>
  <c r="AK312" i="6"/>
  <c r="AQ312" i="6"/>
  <c r="AM312" i="6"/>
  <c r="AI312" i="6"/>
  <c r="AN312" i="6"/>
  <c r="AJ312" i="6"/>
  <c r="AR312" i="6"/>
  <c r="Q191" i="5"/>
  <c r="AM135" i="14"/>
  <c r="AL135" i="14"/>
  <c r="AO135" i="14"/>
  <c r="AK135" i="14"/>
  <c r="AN135" i="14"/>
  <c r="AJ135" i="14"/>
  <c r="H97" i="14"/>
  <c r="R97" i="14"/>
  <c r="K97" i="14"/>
  <c r="AO573" i="14"/>
  <c r="AO575" i="14" s="1"/>
  <c r="AK573" i="14"/>
  <c r="AK575" i="14" s="1"/>
  <c r="AN573" i="14"/>
  <c r="AN575" i="14" s="1"/>
  <c r="AJ573" i="14"/>
  <c r="AJ575" i="14" s="1"/>
  <c r="AM573" i="14"/>
  <c r="AM575" i="14" s="1"/>
  <c r="AL573" i="14"/>
  <c r="AL575" i="14" s="1"/>
  <c r="H593" i="14"/>
  <c r="U593" i="14"/>
  <c r="R593" i="14"/>
  <c r="K593" i="14"/>
  <c r="N142" i="10"/>
  <c r="F171" i="7"/>
  <c r="AR190" i="6"/>
  <c r="AN190" i="6"/>
  <c r="AJ190" i="6"/>
  <c r="AQ190" i="6"/>
  <c r="AM190" i="6"/>
  <c r="AI190" i="6"/>
  <c r="AP190" i="6"/>
  <c r="AH190" i="6"/>
  <c r="AO190" i="6"/>
  <c r="AL190" i="6"/>
  <c r="AK190" i="6"/>
  <c r="G25" i="10"/>
  <c r="A25" i="10"/>
  <c r="I28" i="15"/>
  <c r="AI71" i="14"/>
  <c r="U73" i="14"/>
  <c r="H625" i="14"/>
  <c r="U625" i="14"/>
  <c r="R625" i="14"/>
  <c r="K625" i="14"/>
  <c r="U605" i="14"/>
  <c r="H605" i="14"/>
  <c r="R605" i="14"/>
  <c r="K605" i="14"/>
  <c r="E29" i="17"/>
  <c r="E31" i="17" s="1"/>
  <c r="B53" i="7"/>
  <c r="J19" i="17"/>
  <c r="I19" i="17"/>
  <c r="AG57" i="17"/>
  <c r="AJ57" i="17" s="1"/>
  <c r="F613" i="7" s="1"/>
  <c r="A492" i="14"/>
  <c r="C15" i="12"/>
  <c r="D21" i="11"/>
  <c r="G21" i="11" s="1"/>
  <c r="B221" i="7"/>
  <c r="A493" i="14"/>
  <c r="B207" i="7"/>
  <c r="D41" i="11"/>
  <c r="G41" i="11" s="1"/>
  <c r="A499" i="14"/>
  <c r="B293" i="7"/>
  <c r="A537" i="14"/>
  <c r="B259" i="7"/>
  <c r="AA424" i="6"/>
  <c r="V424" i="6"/>
  <c r="Z424" i="6"/>
  <c r="E377" i="7"/>
  <c r="AB424" i="6"/>
  <c r="X424" i="6"/>
  <c r="AC424" i="6"/>
  <c r="Y424" i="6"/>
  <c r="Q232" i="5"/>
  <c r="F34" i="13" s="1"/>
  <c r="G34" i="13" s="1"/>
  <c r="N24" i="12"/>
  <c r="H24" i="12"/>
  <c r="U322" i="14"/>
  <c r="R322" i="14"/>
  <c r="K322" i="14"/>
  <c r="H322" i="14"/>
  <c r="AA420" i="6"/>
  <c r="V420" i="6"/>
  <c r="Z420" i="6"/>
  <c r="E373" i="7"/>
  <c r="AB420" i="6"/>
  <c r="X420" i="6"/>
  <c r="AC420" i="6"/>
  <c r="Y420" i="6"/>
  <c r="Q228" i="5"/>
  <c r="F29" i="13" s="1"/>
  <c r="G29" i="13" s="1"/>
  <c r="E365" i="7"/>
  <c r="AA407" i="6"/>
  <c r="V407" i="6"/>
  <c r="Z407" i="6"/>
  <c r="AB407" i="6"/>
  <c r="X407" i="6"/>
  <c r="AC407" i="6"/>
  <c r="Y407" i="6"/>
  <c r="Q220" i="5"/>
  <c r="F20" i="13" s="1"/>
  <c r="G20" i="13" s="1"/>
  <c r="H21" i="13" s="1"/>
  <c r="V326" i="6"/>
  <c r="Y322" i="6"/>
  <c r="H761" i="14"/>
  <c r="R761" i="14"/>
  <c r="K761" i="14"/>
  <c r="E246" i="7"/>
  <c r="Q155" i="5"/>
  <c r="E219" i="7"/>
  <c r="Z248" i="6"/>
  <c r="AC248" i="6"/>
  <c r="Y248" i="6"/>
  <c r="AA248" i="6"/>
  <c r="V248" i="6"/>
  <c r="X248" i="6"/>
  <c r="Q144" i="5"/>
  <c r="AB248" i="6"/>
  <c r="AL507" i="7"/>
  <c r="AN531" i="14"/>
  <c r="AJ531" i="14"/>
  <c r="AM531" i="14"/>
  <c r="AL531" i="14"/>
  <c r="AK531" i="14"/>
  <c r="AO531" i="14"/>
  <c r="A24" i="10"/>
  <c r="G24" i="10"/>
  <c r="N25" i="12"/>
  <c r="H25" i="12"/>
  <c r="A22" i="10"/>
  <c r="G22" i="10"/>
  <c r="BG193" i="6"/>
  <c r="BP193" i="6" s="1"/>
  <c r="A300" i="14"/>
  <c r="D32" i="11"/>
  <c r="G32" i="11" s="1"/>
  <c r="B176" i="7"/>
  <c r="AM205" i="14"/>
  <c r="AM207" i="14" s="1"/>
  <c r="AL205" i="14"/>
  <c r="AL207" i="14" s="1"/>
  <c r="AO205" i="14"/>
  <c r="AO207" i="14" s="1"/>
  <c r="AK205" i="14"/>
  <c r="AK207" i="14" s="1"/>
  <c r="AN205" i="14"/>
  <c r="AN207" i="14" s="1"/>
  <c r="AJ205" i="14"/>
  <c r="AJ207" i="14" s="1"/>
  <c r="G23" i="10"/>
  <c r="A23" i="10"/>
  <c r="AH147" i="14"/>
  <c r="V171" i="6"/>
  <c r="F152" i="7" s="1"/>
  <c r="R53" i="14"/>
  <c r="AH51" i="14"/>
  <c r="A633" i="14"/>
  <c r="D21" i="10"/>
  <c r="AC21" i="10" s="1"/>
  <c r="B147" i="7"/>
  <c r="AN331" i="14"/>
  <c r="AN333" i="14" s="1"/>
  <c r="AO331" i="14"/>
  <c r="AM331" i="14"/>
  <c r="AL331" i="14"/>
  <c r="R198" i="14"/>
  <c r="K198" i="14"/>
  <c r="H198" i="14"/>
  <c r="U198" i="14"/>
  <c r="U476" i="14"/>
  <c r="R476" i="14"/>
  <c r="K476" i="14"/>
  <c r="E23" i="17"/>
  <c r="E25" i="17" s="1"/>
  <c r="B301" i="7"/>
  <c r="E289" i="7"/>
  <c r="Q193" i="5"/>
  <c r="Q230" i="5"/>
  <c r="F31" i="13" s="1"/>
  <c r="G31" i="13" s="1"/>
  <c r="AK300" i="6"/>
  <c r="AH300" i="6"/>
  <c r="AM300" i="6"/>
  <c r="E273" i="7"/>
  <c r="AW298" i="6"/>
  <c r="AZ298" i="6"/>
  <c r="AV298" i="6"/>
  <c r="AX298" i="6"/>
  <c r="AS298" i="6"/>
  <c r="AY298" i="6"/>
  <c r="AU298" i="6"/>
  <c r="Q177" i="5"/>
  <c r="A455" i="14"/>
  <c r="B198" i="7"/>
  <c r="V208" i="6"/>
  <c r="BG201" i="6"/>
  <c r="AK199" i="6"/>
  <c r="Y191" i="6"/>
  <c r="AA191" i="6"/>
  <c r="R205" i="14"/>
  <c r="K205" i="14"/>
  <c r="H205" i="14"/>
  <c r="U205" i="14"/>
  <c r="AO167" i="14"/>
  <c r="AO169" i="14" s="1"/>
  <c r="AK167" i="14"/>
  <c r="AK169" i="14" s="1"/>
  <c r="AN167" i="14"/>
  <c r="AN169" i="14" s="1"/>
  <c r="AJ167" i="14"/>
  <c r="AJ169" i="14" s="1"/>
  <c r="AM167" i="14"/>
  <c r="AM169" i="14" s="1"/>
  <c r="AL167" i="14"/>
  <c r="AL169" i="14" s="1"/>
  <c r="AB175" i="6"/>
  <c r="X81" i="19"/>
  <c r="G542" i="14" s="1"/>
  <c r="L19" i="10"/>
  <c r="Q154" i="6"/>
  <c r="AM333" i="14"/>
  <c r="AH331" i="14"/>
  <c r="AH333" i="14" s="1"/>
  <c r="AL333" i="14"/>
  <c r="R333" i="14"/>
  <c r="Y333" i="14" s="1"/>
  <c r="E102" i="7"/>
  <c r="AB134" i="6"/>
  <c r="X134" i="6"/>
  <c r="AA134" i="6"/>
  <c r="V134" i="6"/>
  <c r="Z134" i="6"/>
  <c r="AC134" i="6"/>
  <c r="Y134" i="6"/>
  <c r="Q60" i="5"/>
  <c r="N23" i="10"/>
  <c r="AD23" i="10" s="1"/>
  <c r="BD113" i="6"/>
  <c r="AM231" i="14"/>
  <c r="AL231" i="14"/>
  <c r="AO231" i="14"/>
  <c r="AK231" i="14"/>
  <c r="AN231" i="14"/>
  <c r="AJ231" i="14"/>
  <c r="A418" i="14"/>
  <c r="B374" i="7"/>
  <c r="B378" i="7"/>
  <c r="C29" i="9"/>
  <c r="A533" i="14"/>
  <c r="B362" i="7"/>
  <c r="AN473" i="14"/>
  <c r="AN475" i="14" s="1"/>
  <c r="AM473" i="14"/>
  <c r="AM475" i="14" s="1"/>
  <c r="AL473" i="14"/>
  <c r="AL475" i="14" s="1"/>
  <c r="AO473" i="14"/>
  <c r="AO475" i="14" s="1"/>
  <c r="AO149" i="14"/>
  <c r="AK149" i="14"/>
  <c r="AN149" i="14"/>
  <c r="AJ149" i="14"/>
  <c r="AM149" i="14"/>
  <c r="AL149" i="14"/>
  <c r="E17" i="7"/>
  <c r="B330" i="6"/>
  <c r="B299" i="7" s="1"/>
  <c r="B329" i="6"/>
  <c r="B84" i="6"/>
  <c r="B30" i="7" s="1"/>
  <c r="B77" i="6"/>
  <c r="B29" i="7" s="1"/>
  <c r="B311" i="6"/>
  <c r="B68" i="6"/>
  <c r="B23" i="7" s="1"/>
  <c r="B24" i="7" s="1"/>
  <c r="B25" i="7" s="1"/>
  <c r="B26" i="7" s="1"/>
  <c r="B27" i="7" s="1"/>
  <c r="B28" i="7" s="1"/>
  <c r="B269" i="6"/>
  <c r="B87" i="6"/>
  <c r="B31" i="7" s="1"/>
  <c r="B32" i="7" s="1"/>
  <c r="B33" i="7" s="1"/>
  <c r="B34" i="7" s="1"/>
  <c r="B35" i="7" s="1"/>
  <c r="B36" i="7" s="1"/>
  <c r="F96" i="7"/>
  <c r="AR126" i="6"/>
  <c r="AN126" i="6"/>
  <c r="AJ126" i="6"/>
  <c r="AQ126" i="6"/>
  <c r="AM126" i="6"/>
  <c r="AI126" i="6"/>
  <c r="AP126" i="6"/>
  <c r="AL126" i="6"/>
  <c r="AH126" i="6"/>
  <c r="AO126" i="6"/>
  <c r="AK126" i="6"/>
  <c r="F8" i="19"/>
  <c r="G51" i="14" s="1"/>
  <c r="H51" i="14" s="1"/>
  <c r="Q170" i="6"/>
  <c r="X63" i="19"/>
  <c r="G428" i="14" s="1"/>
  <c r="L33" i="10"/>
  <c r="N33" i="10" s="1"/>
  <c r="Q149" i="6"/>
  <c r="F73" i="19"/>
  <c r="G473" i="14" s="1"/>
  <c r="AJ473" i="14" s="1"/>
  <c r="AJ475" i="14" s="1"/>
  <c r="F14" i="12"/>
  <c r="Q184" i="6"/>
  <c r="E165" i="7" s="1"/>
  <c r="AL199" i="6"/>
  <c r="D717" i="14"/>
  <c r="E717" i="14"/>
  <c r="K691" i="14"/>
  <c r="W691" i="14" s="1"/>
  <c r="H691" i="14"/>
  <c r="AK691" i="14"/>
  <c r="AG691" i="14"/>
  <c r="AJ691" i="14"/>
  <c r="AG689" i="14"/>
  <c r="AJ562" i="14"/>
  <c r="AG562" i="14"/>
  <c r="K562" i="14"/>
  <c r="W562" i="14" s="1"/>
  <c r="AK562" i="14"/>
  <c r="AG560" i="14"/>
  <c r="H562" i="14"/>
  <c r="D562" i="14" s="1"/>
  <c r="J38" i="12"/>
  <c r="D530" i="7" s="1"/>
  <c r="G526" i="7"/>
  <c r="AG366" i="14"/>
  <c r="K366" i="14"/>
  <c r="AG364" i="14"/>
  <c r="AK366" i="14"/>
  <c r="H366" i="14"/>
  <c r="AJ366" i="14"/>
  <c r="E271" i="7"/>
  <c r="AZ296" i="6"/>
  <c r="BI296" i="6" s="1"/>
  <c r="AV296" i="6"/>
  <c r="BE296" i="6" s="1"/>
  <c r="AY296" i="6"/>
  <c r="BH296" i="6" s="1"/>
  <c r="AU296" i="6"/>
  <c r="BD296" i="6" s="1"/>
  <c r="AW296" i="6"/>
  <c r="BF296" i="6" s="1"/>
  <c r="AS296" i="6"/>
  <c r="BB296" i="6" s="1"/>
  <c r="AX296" i="6"/>
  <c r="BG296" i="6" s="1"/>
  <c r="V290" i="6"/>
  <c r="F267" i="7" s="1"/>
  <c r="Q175" i="5"/>
  <c r="E133" i="14"/>
  <c r="D133" i="14"/>
  <c r="E56" i="14"/>
  <c r="D56" i="14"/>
  <c r="E362" i="7"/>
  <c r="AO404" i="6"/>
  <c r="AR404" i="6"/>
  <c r="AJ404" i="6"/>
  <c r="AL404" i="6"/>
  <c r="AI404" i="6"/>
  <c r="AA404" i="6"/>
  <c r="AQ404" i="6"/>
  <c r="V404" i="6"/>
  <c r="AK404" i="6" s="1"/>
  <c r="AM404" i="6"/>
  <c r="Q217" i="5"/>
  <c r="C17" i="16"/>
  <c r="B632" i="7" s="1"/>
  <c r="B306" i="7"/>
  <c r="AL463" i="14"/>
  <c r="AH463" i="14"/>
  <c r="AH461" i="14"/>
  <c r="AM463" i="14"/>
  <c r="R463" i="14"/>
  <c r="Y463" i="14" s="1"/>
  <c r="AH309" i="14"/>
  <c r="AH307" i="14"/>
  <c r="U492" i="14"/>
  <c r="R492" i="14"/>
  <c r="K492" i="14"/>
  <c r="H492" i="14"/>
  <c r="R530" i="14"/>
  <c r="K530" i="14"/>
  <c r="H530" i="14"/>
  <c r="U530" i="14"/>
  <c r="D38" i="11"/>
  <c r="G38" i="11" s="1"/>
  <c r="R340" i="14"/>
  <c r="AH338" i="14"/>
  <c r="AM319" i="14"/>
  <c r="AM321" i="14" s="1"/>
  <c r="AL319" i="14"/>
  <c r="AL321" i="14" s="1"/>
  <c r="AO319" i="14"/>
  <c r="AO321" i="14" s="1"/>
  <c r="AK319" i="14"/>
  <c r="AK321" i="14" s="1"/>
  <c r="AN319" i="14"/>
  <c r="AN321" i="14" s="1"/>
  <c r="AJ319" i="14"/>
  <c r="AJ321" i="14" s="1"/>
  <c r="R553" i="14"/>
  <c r="U553" i="14"/>
  <c r="K553" i="14"/>
  <c r="K303" i="14"/>
  <c r="H303" i="14"/>
  <c r="R303" i="14"/>
  <c r="U303" i="14"/>
  <c r="C22" i="16"/>
  <c r="B309" i="7"/>
  <c r="AJ444" i="14"/>
  <c r="K444" i="14"/>
  <c r="AG444" i="14"/>
  <c r="H444" i="14"/>
  <c r="AG442" i="14"/>
  <c r="AK444" i="14"/>
  <c r="X288" i="6"/>
  <c r="AK252" i="14"/>
  <c r="H252" i="14"/>
  <c r="AJ252" i="14"/>
  <c r="AG252" i="14"/>
  <c r="K252" i="14"/>
  <c r="AG250" i="14"/>
  <c r="AO78" i="14"/>
  <c r="AK78" i="14"/>
  <c r="AN78" i="14"/>
  <c r="AJ78" i="14"/>
  <c r="AM78" i="14"/>
  <c r="AL78" i="14"/>
  <c r="A20" i="10"/>
  <c r="G20" i="10"/>
  <c r="R321" i="14"/>
  <c r="AH319" i="14"/>
  <c r="AG729" i="14"/>
  <c r="AJ730" i="14"/>
  <c r="AG730" i="14"/>
  <c r="K730" i="14"/>
  <c r="W730" i="14" s="1"/>
  <c r="AO702" i="14"/>
  <c r="AN702" i="14"/>
  <c r="U702" i="14"/>
  <c r="AA702" i="14" s="1"/>
  <c r="AI698" i="14"/>
  <c r="AI702" i="14"/>
  <c r="E520" i="14"/>
  <c r="D520" i="14"/>
  <c r="H209" i="14"/>
  <c r="U209" i="14"/>
  <c r="AI209" i="14" s="1"/>
  <c r="R209" i="14"/>
  <c r="AH209" i="14" s="1"/>
  <c r="K209" i="14"/>
  <c r="AG209" i="14" s="1"/>
  <c r="R534" i="14"/>
  <c r="AH534" i="14" s="1"/>
  <c r="K534" i="14"/>
  <c r="AG534" i="14" s="1"/>
  <c r="H534" i="14"/>
  <c r="U534" i="14"/>
  <c r="AI534" i="14" s="1"/>
  <c r="E284" i="7"/>
  <c r="AC309" i="6"/>
  <c r="Y309" i="6"/>
  <c r="AB309" i="6"/>
  <c r="X309" i="6"/>
  <c r="Z309" i="6"/>
  <c r="Q188" i="5"/>
  <c r="AA309" i="6"/>
  <c r="V309" i="6"/>
  <c r="R423" i="14"/>
  <c r="K423" i="14"/>
  <c r="AG385" i="14"/>
  <c r="K385" i="14"/>
  <c r="AK385" i="14"/>
  <c r="H385" i="14"/>
  <c r="AJ385" i="14"/>
  <c r="AG383" i="14"/>
  <c r="AG345" i="14"/>
  <c r="K309" i="14"/>
  <c r="AG307" i="14"/>
  <c r="AJ309" i="14"/>
  <c r="AQ302" i="6"/>
  <c r="A308" i="14"/>
  <c r="B273" i="7"/>
  <c r="AM290" i="14"/>
  <c r="AH290" i="14"/>
  <c r="R290" i="14"/>
  <c r="Y290" i="14" s="1"/>
  <c r="AH288" i="14"/>
  <c r="AL290" i="14"/>
  <c r="AB286" i="6"/>
  <c r="AM252" i="14"/>
  <c r="AH252" i="14"/>
  <c r="R252" i="14"/>
  <c r="Y252" i="14" s="1"/>
  <c r="AH250" i="14"/>
  <c r="AL252" i="14"/>
  <c r="K540" i="14"/>
  <c r="H540" i="14"/>
  <c r="AG537" i="14"/>
  <c r="F221" i="7"/>
  <c r="AR250" i="6"/>
  <c r="AN250" i="6"/>
  <c r="AJ250" i="6"/>
  <c r="AQ250" i="6"/>
  <c r="AM250" i="6"/>
  <c r="AI250" i="6"/>
  <c r="AO250" i="6"/>
  <c r="AK250" i="6"/>
  <c r="AP250" i="6"/>
  <c r="AL250" i="6"/>
  <c r="AH250" i="6"/>
  <c r="U435" i="14"/>
  <c r="R435" i="14"/>
  <c r="K435" i="14"/>
  <c r="H435" i="14"/>
  <c r="AC243" i="6"/>
  <c r="R679" i="14"/>
  <c r="AH677" i="14"/>
  <c r="AI319" i="14"/>
  <c r="U321" i="14"/>
  <c r="R300" i="14"/>
  <c r="K300" i="14"/>
  <c r="U300" i="14"/>
  <c r="H300" i="14"/>
  <c r="AK214" i="14"/>
  <c r="AJ214" i="14"/>
  <c r="AG212" i="14"/>
  <c r="AG214" i="14"/>
  <c r="K214" i="14"/>
  <c r="AK137" i="14"/>
  <c r="AJ137" i="14"/>
  <c r="K137" i="14"/>
  <c r="AG135" i="14"/>
  <c r="AG137" i="14"/>
  <c r="H137" i="14"/>
  <c r="AG722" i="14"/>
  <c r="K725" i="14"/>
  <c r="W725" i="14" s="1"/>
  <c r="H725" i="14"/>
  <c r="K60" i="14"/>
  <c r="AG58" i="14"/>
  <c r="AJ60" i="14"/>
  <c r="AA243" i="6"/>
  <c r="A175" i="14"/>
  <c r="B289" i="7"/>
  <c r="E283" i="7"/>
  <c r="Z308" i="6"/>
  <c r="AC308" i="6"/>
  <c r="Y308" i="6"/>
  <c r="AA308" i="6"/>
  <c r="V308" i="6"/>
  <c r="AB308" i="6"/>
  <c r="X308" i="6"/>
  <c r="Q187" i="5"/>
  <c r="E255" i="7"/>
  <c r="AY278" i="6"/>
  <c r="AU278" i="6"/>
  <c r="AX278" i="6"/>
  <c r="AS278" i="6"/>
  <c r="AZ278" i="6"/>
  <c r="AV278" i="6"/>
  <c r="AW278" i="6"/>
  <c r="Q161" i="5"/>
  <c r="J42" i="20"/>
  <c r="E207" i="7"/>
  <c r="AY234" i="6"/>
  <c r="AU234" i="6"/>
  <c r="AX234" i="6"/>
  <c r="AS234" i="6"/>
  <c r="AZ234" i="6"/>
  <c r="AV234" i="6"/>
  <c r="AW234" i="6"/>
  <c r="Q146" i="5"/>
  <c r="Q135" i="5"/>
  <c r="E196" i="7"/>
  <c r="AQ218" i="6"/>
  <c r="AM218" i="6"/>
  <c r="AI218" i="6"/>
  <c r="AP218" i="6"/>
  <c r="AL218" i="6"/>
  <c r="AH218" i="6"/>
  <c r="AN218" i="6"/>
  <c r="AK218" i="6"/>
  <c r="AR218" i="6"/>
  <c r="AJ218" i="6"/>
  <c r="Q129" i="5"/>
  <c r="AO218" i="6"/>
  <c r="X208" i="6"/>
  <c r="BJ193" i="6"/>
  <c r="BS193" i="6" s="1"/>
  <c r="E162" i="7"/>
  <c r="Q95" i="5"/>
  <c r="AE181" i="6"/>
  <c r="X180" i="6"/>
  <c r="H167" i="14"/>
  <c r="U167" i="14"/>
  <c r="R167" i="14"/>
  <c r="K167" i="14"/>
  <c r="Z175" i="6"/>
  <c r="AI90" i="14"/>
  <c r="U92" i="14"/>
  <c r="Y173" i="6"/>
  <c r="AO109" i="14"/>
  <c r="AO111" i="14" s="1"/>
  <c r="AK109" i="14"/>
  <c r="AK111" i="14" s="1"/>
  <c r="AN109" i="14"/>
  <c r="AN111" i="14" s="1"/>
  <c r="AJ109" i="14"/>
  <c r="AJ111" i="14" s="1"/>
  <c r="AM109" i="14"/>
  <c r="AM111" i="14" s="1"/>
  <c r="AL109" i="14"/>
  <c r="AL111" i="14" s="1"/>
  <c r="J32" i="20"/>
  <c r="E149" i="7"/>
  <c r="Q82" i="5"/>
  <c r="AL505" i="7"/>
  <c r="N23" i="9"/>
  <c r="X49" i="19"/>
  <c r="G331" i="14" s="1"/>
  <c r="H331" i="14" s="1"/>
  <c r="Q135" i="6"/>
  <c r="R180" i="14"/>
  <c r="K180" i="14"/>
  <c r="H180" i="14"/>
  <c r="U180" i="14"/>
  <c r="F93" i="7"/>
  <c r="AQ123" i="6"/>
  <c r="AM123" i="6"/>
  <c r="AI123" i="6"/>
  <c r="AP123" i="6"/>
  <c r="AL123" i="6"/>
  <c r="AH123" i="6"/>
  <c r="AO123" i="6"/>
  <c r="AK123" i="6"/>
  <c r="AR123" i="6"/>
  <c r="AN123" i="6"/>
  <c r="AJ123" i="6"/>
  <c r="E52" i="7"/>
  <c r="Q43" i="5"/>
  <c r="J13" i="20"/>
  <c r="E13" i="7"/>
  <c r="Q29" i="5"/>
  <c r="E370" i="7"/>
  <c r="AP417" i="6"/>
  <c r="AL417" i="6"/>
  <c r="AH417" i="6"/>
  <c r="AO417" i="6"/>
  <c r="AK417" i="6"/>
  <c r="AQ417" i="6"/>
  <c r="AM417" i="6"/>
  <c r="AI417" i="6"/>
  <c r="AN417" i="6"/>
  <c r="AJ417" i="6"/>
  <c r="AR417" i="6"/>
  <c r="Q225" i="5"/>
  <c r="F26" i="13" s="1"/>
  <c r="A303" i="14"/>
  <c r="B371" i="7"/>
  <c r="E33" i="11"/>
  <c r="G33" i="11" s="1"/>
  <c r="AA312" i="6"/>
  <c r="Y312" i="6"/>
  <c r="Z312" i="6"/>
  <c r="R174" i="14"/>
  <c r="K174" i="14"/>
  <c r="H174" i="14"/>
  <c r="E262" i="7"/>
  <c r="Z285" i="6"/>
  <c r="AC285" i="6"/>
  <c r="Y285" i="6"/>
  <c r="AA285" i="6"/>
  <c r="V285" i="6"/>
  <c r="AB285" i="6"/>
  <c r="X285" i="6"/>
  <c r="Q168" i="5"/>
  <c r="G19" i="10"/>
  <c r="J39" i="20"/>
  <c r="E208" i="7"/>
  <c r="AW235" i="6"/>
  <c r="AZ235" i="6"/>
  <c r="AV235" i="6"/>
  <c r="AX235" i="6"/>
  <c r="AS235" i="6"/>
  <c r="Q136" i="5"/>
  <c r="AY235" i="6"/>
  <c r="AU235" i="6"/>
  <c r="Z218" i="6"/>
  <c r="F38" i="10"/>
  <c r="AC119" i="10"/>
  <c r="E186" i="7"/>
  <c r="Z205" i="6"/>
  <c r="AC205" i="6"/>
  <c r="Y205" i="6"/>
  <c r="AB205" i="6"/>
  <c r="Q119" i="5"/>
  <c r="AA205" i="6"/>
  <c r="X205" i="6"/>
  <c r="V205" i="6"/>
  <c r="AI199" i="6"/>
  <c r="AJ199" i="6"/>
  <c r="U186" i="14"/>
  <c r="R186" i="14"/>
  <c r="K186" i="14"/>
  <c r="H186" i="14"/>
  <c r="U148" i="14"/>
  <c r="AI148" i="14" s="1"/>
  <c r="R148" i="14"/>
  <c r="AH148" i="14" s="1"/>
  <c r="K148" i="14"/>
  <c r="AG148" i="14" s="1"/>
  <c r="H148" i="14"/>
  <c r="AM147" i="14"/>
  <c r="AL147" i="14"/>
  <c r="AJ147" i="14"/>
  <c r="AO147" i="14"/>
  <c r="AN147" i="14"/>
  <c r="AK147" i="14"/>
  <c r="H128" i="14"/>
  <c r="U128" i="14"/>
  <c r="R128" i="14"/>
  <c r="K128" i="14"/>
  <c r="H109" i="14"/>
  <c r="U109" i="14"/>
  <c r="R109" i="14"/>
  <c r="K109" i="14"/>
  <c r="AM51" i="14"/>
  <c r="AM53" i="14" s="1"/>
  <c r="AL51" i="14"/>
  <c r="AL53" i="14" s="1"/>
  <c r="AO51" i="14"/>
  <c r="AO53" i="14" s="1"/>
  <c r="AK51" i="14"/>
  <c r="AK53" i="14" s="1"/>
  <c r="AN51" i="14"/>
  <c r="AN53" i="14" s="1"/>
  <c r="AJ51" i="14"/>
  <c r="AJ53" i="14" s="1"/>
  <c r="AM542" i="14"/>
  <c r="AL542" i="14"/>
  <c r="AO542" i="14"/>
  <c r="AK542" i="14"/>
  <c r="AN542" i="14"/>
  <c r="AJ542" i="14"/>
  <c r="AN466" i="14"/>
  <c r="AL466" i="14"/>
  <c r="AO466" i="14"/>
  <c r="AM466" i="14"/>
  <c r="N22" i="9"/>
  <c r="AL447" i="14"/>
  <c r="AM447" i="14"/>
  <c r="K565" i="14"/>
  <c r="H565" i="14"/>
  <c r="U565" i="14"/>
  <c r="R565" i="14"/>
  <c r="E63" i="17"/>
  <c r="I58" i="17"/>
  <c r="A435" i="14"/>
  <c r="D36" i="10"/>
  <c r="D52" i="11"/>
  <c r="G52" i="11" s="1"/>
  <c r="B220" i="7"/>
  <c r="N22" i="10"/>
  <c r="AA425" i="6"/>
  <c r="V425" i="6"/>
  <c r="E378" i="7"/>
  <c r="Z425" i="6"/>
  <c r="AB425" i="6"/>
  <c r="X425" i="6"/>
  <c r="AC425" i="6"/>
  <c r="Y425" i="6"/>
  <c r="Q233" i="5"/>
  <c r="F35" i="13" s="1"/>
  <c r="G35" i="13" s="1"/>
  <c r="AA421" i="6"/>
  <c r="V421" i="6"/>
  <c r="E374" i="7"/>
  <c r="Z421" i="6"/>
  <c r="AB421" i="6"/>
  <c r="X421" i="6"/>
  <c r="AC421" i="6"/>
  <c r="Y421" i="6"/>
  <c r="Q229" i="5"/>
  <c r="F30" i="13" s="1"/>
  <c r="G30" i="13" s="1"/>
  <c r="A227" i="14"/>
  <c r="E24" i="11"/>
  <c r="B369" i="7"/>
  <c r="K112" i="14"/>
  <c r="H112" i="14"/>
  <c r="U112" i="14"/>
  <c r="R112" i="14"/>
  <c r="V322" i="6"/>
  <c r="F291" i="7" s="1"/>
  <c r="AC322" i="6"/>
  <c r="AN251" i="14"/>
  <c r="AJ251" i="14"/>
  <c r="AM251" i="14"/>
  <c r="AL251" i="14"/>
  <c r="AO251" i="14"/>
  <c r="AK251" i="14"/>
  <c r="R59" i="14"/>
  <c r="AH59" i="14" s="1"/>
  <c r="K59" i="14"/>
  <c r="AG59" i="14" s="1"/>
  <c r="H59" i="14"/>
  <c r="AM376" i="14"/>
  <c r="AM378" i="14" s="1"/>
  <c r="AL376" i="14"/>
  <c r="AL378" i="14" s="1"/>
  <c r="AK376" i="14"/>
  <c r="AK378" i="14" s="1"/>
  <c r="AJ376" i="14"/>
  <c r="AJ378" i="14" s="1"/>
  <c r="AO376" i="14"/>
  <c r="AO378" i="14" s="1"/>
  <c r="AN376" i="14"/>
  <c r="AN378" i="14" s="1"/>
  <c r="H512" i="14"/>
  <c r="U512" i="14"/>
  <c r="AI512" i="14" s="1"/>
  <c r="R512" i="14"/>
  <c r="AH512" i="14" s="1"/>
  <c r="K512" i="14"/>
  <c r="AG512" i="14" s="1"/>
  <c r="N132" i="10"/>
  <c r="AN301" i="14"/>
  <c r="AJ301" i="14"/>
  <c r="AM301" i="14"/>
  <c r="AO301" i="14"/>
  <c r="AK301" i="14"/>
  <c r="AL301" i="14"/>
  <c r="BK193" i="6"/>
  <c r="BT193" i="6" s="1"/>
  <c r="K281" i="14"/>
  <c r="H281" i="14"/>
  <c r="U281" i="14"/>
  <c r="R281" i="14"/>
  <c r="AM553" i="14"/>
  <c r="AM555" i="14" s="1"/>
  <c r="AK553" i="14"/>
  <c r="AK555" i="14" s="1"/>
  <c r="AJ553" i="14"/>
  <c r="AJ555" i="14" s="1"/>
  <c r="AN553" i="14"/>
  <c r="AN555" i="14" s="1"/>
  <c r="AI51" i="14"/>
  <c r="U53" i="14"/>
  <c r="M27" i="10"/>
  <c r="U466" i="14"/>
  <c r="K466" i="14"/>
  <c r="R466" i="14"/>
  <c r="AN428" i="14"/>
  <c r="AJ428" i="14"/>
  <c r="AO428" i="14"/>
  <c r="AM428" i="14"/>
  <c r="AL428" i="14"/>
  <c r="AK428" i="14"/>
  <c r="M38" i="10"/>
  <c r="AD119" i="10"/>
  <c r="K447" i="14"/>
  <c r="R447" i="14"/>
  <c r="U447" i="14"/>
  <c r="BE113" i="6"/>
  <c r="X417" i="6"/>
  <c r="H23" i="17"/>
  <c r="H25" i="17" s="1"/>
  <c r="AH58" i="17" s="1"/>
  <c r="A364" i="14"/>
  <c r="B300" i="7"/>
  <c r="R175" i="14"/>
  <c r="AH175" i="14" s="1"/>
  <c r="K175" i="14"/>
  <c r="AG175" i="14" s="1"/>
  <c r="H175" i="14"/>
  <c r="AJ300" i="6"/>
  <c r="AL300" i="6"/>
  <c r="AQ300" i="6"/>
  <c r="R308" i="14"/>
  <c r="AH308" i="14" s="1"/>
  <c r="K308" i="14"/>
  <c r="AG308" i="14" s="1"/>
  <c r="H308" i="14"/>
  <c r="AB269" i="6"/>
  <c r="AR217" i="6"/>
  <c r="AN217" i="6"/>
  <c r="AJ217" i="6"/>
  <c r="AQ217" i="6"/>
  <c r="AM217" i="6"/>
  <c r="AI217" i="6"/>
  <c r="F195" i="7"/>
  <c r="AL217" i="6"/>
  <c r="AK217" i="6"/>
  <c r="AP217" i="6"/>
  <c r="AH217" i="6"/>
  <c r="AO217" i="6"/>
  <c r="C36" i="12"/>
  <c r="B193" i="7"/>
  <c r="C33" i="9"/>
  <c r="Y208" i="6"/>
  <c r="BE201" i="6"/>
  <c r="AN338" i="14"/>
  <c r="AJ338" i="14"/>
  <c r="AK338" i="14"/>
  <c r="AO338" i="14"/>
  <c r="AM338" i="14"/>
  <c r="AL338" i="14"/>
  <c r="Z191" i="6"/>
  <c r="N19" i="12"/>
  <c r="H19" i="12"/>
  <c r="E155" i="7"/>
  <c r="Q88" i="5"/>
  <c r="A72" i="14"/>
  <c r="D10" i="11"/>
  <c r="G10" i="11" s="1"/>
  <c r="B153" i="7"/>
  <c r="F107" i="7"/>
  <c r="AP139" i="6"/>
  <c r="AL139" i="6"/>
  <c r="AH139" i="6"/>
  <c r="AO139" i="6"/>
  <c r="AK139" i="6"/>
  <c r="AR139" i="6"/>
  <c r="AN139" i="6"/>
  <c r="AJ139" i="6"/>
  <c r="AQ139" i="6"/>
  <c r="AM139" i="6"/>
  <c r="AI139" i="6"/>
  <c r="AM217" i="14"/>
  <c r="AL217" i="14"/>
  <c r="AO217" i="14"/>
  <c r="AK217" i="14"/>
  <c r="AN217" i="14"/>
  <c r="AJ217" i="14"/>
  <c r="AM180" i="14"/>
  <c r="AL180" i="14"/>
  <c r="AO180" i="14"/>
  <c r="AK180" i="14"/>
  <c r="AN180" i="14"/>
  <c r="AJ180" i="14"/>
  <c r="K666" i="14"/>
  <c r="R666" i="14"/>
  <c r="H666" i="14"/>
  <c r="U666" i="14"/>
  <c r="P35" i="9"/>
  <c r="B13" i="8" s="1"/>
  <c r="E13" i="8" s="1"/>
  <c r="R35" i="9"/>
  <c r="Q35" i="9"/>
  <c r="A534" i="14"/>
  <c r="B363" i="7"/>
  <c r="C30" i="9"/>
  <c r="A284" i="14"/>
  <c r="B370" i="7"/>
  <c r="E30" i="11"/>
  <c r="G30" i="11" s="1"/>
  <c r="A322" i="14"/>
  <c r="E28" i="11"/>
  <c r="B375" i="7"/>
  <c r="A476" i="14"/>
  <c r="B379" i="7"/>
  <c r="AB417" i="6"/>
  <c r="V180" i="6"/>
  <c r="F85" i="19"/>
  <c r="G553" i="14" s="1"/>
  <c r="H553" i="14" s="1"/>
  <c r="E35" i="10"/>
  <c r="Q185" i="6"/>
  <c r="L73" i="19"/>
  <c r="G476" i="14" s="1"/>
  <c r="H476" i="14" s="1"/>
  <c r="D37" i="13"/>
  <c r="R8" i="19"/>
  <c r="G58" i="14" s="1"/>
  <c r="H58" i="14" s="1"/>
  <c r="Q267" i="6"/>
  <c r="BD193" i="6"/>
  <c r="BM193" i="6" s="1"/>
  <c r="E720" i="14"/>
  <c r="D720" i="14"/>
  <c r="E381" i="14"/>
  <c r="D381" i="14"/>
  <c r="E153" i="14"/>
  <c r="D153" i="14"/>
  <c r="E292" i="7"/>
  <c r="Q196" i="5"/>
  <c r="N15" i="12"/>
  <c r="H15" i="12"/>
  <c r="K756" i="14"/>
  <c r="H756" i="14"/>
  <c r="AG754" i="14"/>
  <c r="AN731" i="14"/>
  <c r="AI731" i="14"/>
  <c r="AO731" i="14"/>
  <c r="AO741" i="14"/>
  <c r="AI737" i="14"/>
  <c r="AN741" i="14"/>
  <c r="AI741" i="14"/>
  <c r="U741" i="14"/>
  <c r="AA741" i="14" s="1"/>
  <c r="E698" i="14"/>
  <c r="D698" i="14"/>
  <c r="E95" i="14"/>
  <c r="D95" i="14"/>
  <c r="AM366" i="14"/>
  <c r="AH366" i="14"/>
  <c r="R366" i="14"/>
  <c r="Y366" i="14" s="1"/>
  <c r="AL366" i="14"/>
  <c r="AH364" i="14"/>
  <c r="AM482" i="14"/>
  <c r="AH482" i="14"/>
  <c r="R482" i="14"/>
  <c r="Y482" i="14" s="1"/>
  <c r="AL482" i="14"/>
  <c r="AH480" i="14"/>
  <c r="E267" i="7"/>
  <c r="AX290" i="6"/>
  <c r="BG290" i="6" s="1"/>
  <c r="AS290" i="6"/>
  <c r="BB290" i="6" s="1"/>
  <c r="AO290" i="6"/>
  <c r="AK290" i="6"/>
  <c r="AC290" i="6"/>
  <c r="AW290" i="6"/>
  <c r="BF290" i="6" s="1"/>
  <c r="AR290" i="6"/>
  <c r="AN290" i="6"/>
  <c r="AJ290" i="6"/>
  <c r="AB290" i="6"/>
  <c r="AY290" i="6"/>
  <c r="BH290" i="6" s="1"/>
  <c r="AU290" i="6"/>
  <c r="BD290" i="6" s="1"/>
  <c r="AP290" i="6"/>
  <c r="AL290" i="6"/>
  <c r="AH290" i="6"/>
  <c r="AM290" i="6"/>
  <c r="AZ290" i="6"/>
  <c r="BI290" i="6" s="1"/>
  <c r="AI290" i="6"/>
  <c r="AV290" i="6"/>
  <c r="BE290" i="6" s="1"/>
  <c r="AA290" i="6"/>
  <c r="AQ290" i="6"/>
  <c r="Q173" i="5"/>
  <c r="AC24" i="10"/>
  <c r="C460" i="7" s="1"/>
  <c r="R224" i="14"/>
  <c r="K224" i="14"/>
  <c r="H224" i="14"/>
  <c r="U224" i="14"/>
  <c r="AN186" i="14"/>
  <c r="AN188" i="14" s="1"/>
  <c r="AJ186" i="14"/>
  <c r="AJ188" i="14" s="1"/>
  <c r="AM186" i="14"/>
  <c r="AM188" i="14" s="1"/>
  <c r="AL186" i="14"/>
  <c r="AL188" i="14" s="1"/>
  <c r="AO186" i="14"/>
  <c r="AO188" i="14" s="1"/>
  <c r="AK186" i="14"/>
  <c r="AK188" i="14" s="1"/>
  <c r="E759" i="14"/>
  <c r="D759" i="14"/>
  <c r="K717" i="14"/>
  <c r="K737" i="14"/>
  <c r="AG463" i="14"/>
  <c r="K463" i="14"/>
  <c r="AJ463" i="14"/>
  <c r="AG461" i="14"/>
  <c r="AK463" i="14"/>
  <c r="H463" i="14"/>
  <c r="E294" i="7"/>
  <c r="AC325" i="6"/>
  <c r="Y325" i="6"/>
  <c r="AB325" i="6"/>
  <c r="X325" i="6"/>
  <c r="Z325" i="6"/>
  <c r="V325" i="6"/>
  <c r="AA325" i="6"/>
  <c r="Q198" i="5"/>
  <c r="E263" i="7"/>
  <c r="AA286" i="6"/>
  <c r="V286" i="6"/>
  <c r="F263" i="7" s="1"/>
  <c r="Q169" i="5"/>
  <c r="AJ705" i="14"/>
  <c r="AG705" i="14"/>
  <c r="K705" i="14"/>
  <c r="W705" i="14" s="1"/>
  <c r="AK705" i="14"/>
  <c r="H705" i="14"/>
  <c r="D705" i="14" s="1"/>
  <c r="AG703" i="14"/>
  <c r="AK118" i="14"/>
  <c r="H118" i="14"/>
  <c r="AJ118" i="14"/>
  <c r="AG116" i="14"/>
  <c r="AG118" i="14"/>
  <c r="K118" i="14"/>
  <c r="E249" i="7"/>
  <c r="AZ271" i="6"/>
  <c r="AV271" i="6"/>
  <c r="Y269" i="6" s="1"/>
  <c r="AY271" i="6"/>
  <c r="AU271" i="6"/>
  <c r="X269" i="6" s="1"/>
  <c r="AW271" i="6"/>
  <c r="Z269" i="6" s="1"/>
  <c r="AX271" i="6"/>
  <c r="AS271" i="6"/>
  <c r="V269" i="6" s="1"/>
  <c r="Q158" i="5"/>
  <c r="E220" i="7"/>
  <c r="AC249" i="6"/>
  <c r="Y249" i="6"/>
  <c r="AB249" i="6"/>
  <c r="X249" i="6"/>
  <c r="Z249" i="6"/>
  <c r="Q145" i="5"/>
  <c r="AA249" i="6"/>
  <c r="V249" i="6"/>
  <c r="U531" i="14"/>
  <c r="AI531" i="14" s="1"/>
  <c r="R531" i="14"/>
  <c r="AH531" i="14" s="1"/>
  <c r="K531" i="14"/>
  <c r="AG531" i="14" s="1"/>
  <c r="H531" i="14"/>
  <c r="AM677" i="14"/>
  <c r="AM679" i="14" s="1"/>
  <c r="AK677" i="14"/>
  <c r="AK679" i="14" s="1"/>
  <c r="AN677" i="14"/>
  <c r="AN679" i="14" s="1"/>
  <c r="AL677" i="14"/>
  <c r="AL679" i="14" s="1"/>
  <c r="AJ677" i="14"/>
  <c r="AJ679" i="14" s="1"/>
  <c r="AO677" i="14"/>
  <c r="AO679" i="14" s="1"/>
  <c r="A339" i="14"/>
  <c r="D36" i="11"/>
  <c r="B183" i="7"/>
  <c r="U340" i="14"/>
  <c r="AI338" i="14"/>
  <c r="O26" i="12"/>
  <c r="N16" i="12"/>
  <c r="H16" i="12"/>
  <c r="A26" i="10"/>
  <c r="G26" i="10"/>
  <c r="K454" i="14"/>
  <c r="U454" i="14"/>
  <c r="R454" i="14"/>
  <c r="D442" i="7"/>
  <c r="H439" i="7"/>
  <c r="J38" i="9"/>
  <c r="K533" i="14"/>
  <c r="H533" i="14"/>
  <c r="U533" i="14"/>
  <c r="R533" i="14"/>
  <c r="C18" i="16"/>
  <c r="B633" i="7" s="1"/>
  <c r="B307" i="7"/>
  <c r="AM691" i="14"/>
  <c r="AL691" i="14"/>
  <c r="AH689" i="14"/>
  <c r="AH691" i="14" s="1"/>
  <c r="R691" i="14"/>
  <c r="Y691" i="14" s="1"/>
  <c r="AH754" i="14"/>
  <c r="R756" i="14"/>
  <c r="R737" i="14"/>
  <c r="AH735" i="14"/>
  <c r="R720" i="14"/>
  <c r="AH720" i="14" s="1"/>
  <c r="AH718" i="14"/>
  <c r="R698" i="14"/>
  <c r="AH696" i="14"/>
  <c r="U717" i="14"/>
  <c r="AI716" i="14"/>
  <c r="AK730" i="14"/>
  <c r="U756" i="14"/>
  <c r="AL721" i="14"/>
  <c r="AH717" i="14"/>
  <c r="AM721" i="14"/>
  <c r="AK702" i="14"/>
  <c r="AG702" i="14"/>
  <c r="H702" i="14"/>
  <c r="E702" i="14" s="1"/>
  <c r="AJ702" i="14"/>
  <c r="AG698" i="14"/>
  <c r="K702" i="14"/>
  <c r="E516" i="14"/>
  <c r="D516" i="14"/>
  <c r="E497" i="14"/>
  <c r="D497" i="14"/>
  <c r="E400" i="14"/>
  <c r="D400" i="14"/>
  <c r="W85" i="14"/>
  <c r="N17" i="9"/>
  <c r="E371" i="7"/>
  <c r="Q226" i="5"/>
  <c r="F27" i="13" s="1"/>
  <c r="R419" i="14"/>
  <c r="AH419" i="14" s="1"/>
  <c r="K419" i="14"/>
  <c r="AG419" i="14" s="1"/>
  <c r="H419" i="14"/>
  <c r="U419" i="14"/>
  <c r="AI419" i="14" s="1"/>
  <c r="U420" i="14"/>
  <c r="AI420" i="14" s="1"/>
  <c r="R420" i="14"/>
  <c r="AH420" i="14" s="1"/>
  <c r="K420" i="14"/>
  <c r="AG420" i="14" s="1"/>
  <c r="H420" i="14"/>
  <c r="AC404" i="6"/>
  <c r="C23" i="16"/>
  <c r="B310" i="7"/>
  <c r="E296" i="7"/>
  <c r="AZ327" i="6"/>
  <c r="BI327" i="6" s="1"/>
  <c r="AV327" i="6"/>
  <c r="BE327" i="6" s="1"/>
  <c r="AY327" i="6"/>
  <c r="BH327" i="6" s="1"/>
  <c r="AU327" i="6"/>
  <c r="BD327" i="6" s="1"/>
  <c r="AW327" i="6"/>
  <c r="BF327" i="6" s="1"/>
  <c r="AS327" i="6"/>
  <c r="BB327" i="6" s="1"/>
  <c r="Z326" i="6"/>
  <c r="AX327" i="6"/>
  <c r="BG327" i="6" s="1"/>
  <c r="Q200" i="5"/>
  <c r="A404" i="14"/>
  <c r="B294" i="7"/>
  <c r="AR302" i="6"/>
  <c r="AM288" i="14"/>
  <c r="AL288" i="14"/>
  <c r="AO288" i="14"/>
  <c r="AN288" i="14"/>
  <c r="AK288" i="14"/>
  <c r="AJ288" i="14"/>
  <c r="AM705" i="14"/>
  <c r="AH705" i="14"/>
  <c r="R705" i="14"/>
  <c r="Y705" i="14" s="1"/>
  <c r="AL705" i="14"/>
  <c r="AH703" i="14"/>
  <c r="AH116" i="14"/>
  <c r="AM118" i="14"/>
  <c r="AH118" i="14"/>
  <c r="R118" i="14"/>
  <c r="Y118" i="14" s="1"/>
  <c r="AL118" i="14"/>
  <c r="A724" i="14"/>
  <c r="B249" i="7"/>
  <c r="R376" i="14"/>
  <c r="K376" i="14"/>
  <c r="H376" i="14"/>
  <c r="U376" i="14"/>
  <c r="AO613" i="14"/>
  <c r="AO615" i="14" s="1"/>
  <c r="AK613" i="14"/>
  <c r="AK615" i="14" s="1"/>
  <c r="AJ613" i="14"/>
  <c r="AJ615" i="14" s="1"/>
  <c r="AN613" i="14"/>
  <c r="AN615" i="14" s="1"/>
  <c r="AM613" i="14"/>
  <c r="AM615" i="14" s="1"/>
  <c r="AL613" i="14"/>
  <c r="AL615" i="14" s="1"/>
  <c r="H573" i="14"/>
  <c r="U573" i="14"/>
  <c r="R573" i="14"/>
  <c r="K573" i="14"/>
  <c r="E185" i="7"/>
  <c r="AY204" i="6"/>
  <c r="AU204" i="6"/>
  <c r="AX204" i="6"/>
  <c r="AA201" i="6" s="1"/>
  <c r="AS204" i="6"/>
  <c r="AV204" i="6"/>
  <c r="Y201" i="6" s="1"/>
  <c r="AE204" i="6"/>
  <c r="AZ204" i="6"/>
  <c r="Q118" i="5"/>
  <c r="AW204" i="6"/>
  <c r="E179" i="7"/>
  <c r="AC198" i="6"/>
  <c r="Y198" i="6"/>
  <c r="AB198" i="6"/>
  <c r="X198" i="6"/>
  <c r="Q97" i="5"/>
  <c r="AA198" i="6"/>
  <c r="Z198" i="6"/>
  <c r="Q112" i="5"/>
  <c r="V198" i="6"/>
  <c r="U301" i="14"/>
  <c r="AI301" i="14" s="1"/>
  <c r="R301" i="14"/>
  <c r="AH301" i="14" s="1"/>
  <c r="H301" i="14"/>
  <c r="K301" i="14"/>
  <c r="AG301" i="14" s="1"/>
  <c r="AC23" i="10"/>
  <c r="H149" i="14"/>
  <c r="U149" i="14"/>
  <c r="AI149" i="14" s="1"/>
  <c r="R149" i="14"/>
  <c r="AH149" i="14" s="1"/>
  <c r="K149" i="14"/>
  <c r="AG149" i="14" s="1"/>
  <c r="AB404" i="6"/>
  <c r="C14" i="16"/>
  <c r="B629" i="7" s="1"/>
  <c r="B303" i="7"/>
  <c r="AA326" i="6"/>
  <c r="AM761" i="14"/>
  <c r="AL761" i="14"/>
  <c r="AK761" i="14"/>
  <c r="AJ761" i="14"/>
  <c r="AO761" i="14"/>
  <c r="AN761" i="14"/>
  <c r="F285" i="7"/>
  <c r="AR310" i="6"/>
  <c r="AN310" i="6"/>
  <c r="AJ310" i="6"/>
  <c r="AQ310" i="6"/>
  <c r="AM310" i="6"/>
  <c r="AI310" i="6"/>
  <c r="AO310" i="6"/>
  <c r="AK310" i="6"/>
  <c r="AP310" i="6"/>
  <c r="AL310" i="6"/>
  <c r="AH310" i="6"/>
  <c r="X286" i="6"/>
  <c r="R540" i="14"/>
  <c r="AH537" i="14"/>
  <c r="A59" i="14"/>
  <c r="B246" i="7"/>
  <c r="D51" i="11"/>
  <c r="Y243" i="6"/>
  <c r="N32" i="12"/>
  <c r="H32" i="12"/>
  <c r="K679" i="14"/>
  <c r="H679" i="14"/>
  <c r="D679" i="14" s="1"/>
  <c r="AG677" i="14"/>
  <c r="AC22" i="10"/>
  <c r="G146" i="10"/>
  <c r="K227" i="14"/>
  <c r="H227" i="14"/>
  <c r="U227" i="14"/>
  <c r="R227" i="14"/>
  <c r="AH212" i="14"/>
  <c r="AM214" i="14"/>
  <c r="AH214" i="14"/>
  <c r="R214" i="14"/>
  <c r="Y214" i="14" s="1"/>
  <c r="AL214" i="14"/>
  <c r="AM137" i="14"/>
  <c r="AH137" i="14"/>
  <c r="R137" i="14"/>
  <c r="Y137" i="14" s="1"/>
  <c r="AH135" i="14"/>
  <c r="AL137" i="14"/>
  <c r="AG519" i="14"/>
  <c r="AG520" i="14"/>
  <c r="K520" i="14"/>
  <c r="R193" i="14"/>
  <c r="K193" i="14"/>
  <c r="H193" i="14"/>
  <c r="AG723" i="14"/>
  <c r="AG725" i="14"/>
  <c r="AK725" i="14"/>
  <c r="AJ725" i="14"/>
  <c r="R725" i="14"/>
  <c r="Y725" i="14" s="1"/>
  <c r="AH722" i="14"/>
  <c r="AM60" i="14"/>
  <c r="AH60" i="14"/>
  <c r="AH58" i="14"/>
  <c r="AL60" i="14"/>
  <c r="AL395" i="14"/>
  <c r="AL397" i="14" s="1"/>
  <c r="AJ395" i="14"/>
  <c r="AJ397" i="14" s="1"/>
  <c r="V243" i="6"/>
  <c r="AC19" i="10"/>
  <c r="A419" i="14"/>
  <c r="A208" i="14"/>
  <c r="E23" i="11"/>
  <c r="G23" i="11" s="1"/>
  <c r="B368" i="7"/>
  <c r="F18" i="16"/>
  <c r="D633" i="7" s="1"/>
  <c r="C633" i="7"/>
  <c r="E293" i="7"/>
  <c r="Z324" i="6"/>
  <c r="AC324" i="6"/>
  <c r="Y324" i="6"/>
  <c r="AA324" i="6"/>
  <c r="V324" i="6"/>
  <c r="AB324" i="6"/>
  <c r="Q197" i="5"/>
  <c r="X324" i="6"/>
  <c r="R402" i="14"/>
  <c r="K402" i="14"/>
  <c r="H402" i="14"/>
  <c r="A97" i="14"/>
  <c r="B256" i="7"/>
  <c r="AA269" i="6"/>
  <c r="B208" i="7"/>
  <c r="C33" i="12"/>
  <c r="R455" i="14"/>
  <c r="AH455" i="14" s="1"/>
  <c r="U455" i="14"/>
  <c r="AI455" i="14" s="1"/>
  <c r="K455" i="14"/>
  <c r="AG455" i="14" s="1"/>
  <c r="H455" i="14"/>
  <c r="E194" i="7"/>
  <c r="AC216" i="6"/>
  <c r="Y216" i="6"/>
  <c r="AB216" i="6"/>
  <c r="X216" i="6"/>
  <c r="Z216" i="6"/>
  <c r="V216" i="6"/>
  <c r="Q127" i="5"/>
  <c r="AA216" i="6"/>
  <c r="E190" i="7"/>
  <c r="Q123" i="5"/>
  <c r="AC208" i="6"/>
  <c r="AP199" i="6"/>
  <c r="N20" i="12"/>
  <c r="H20" i="12"/>
  <c r="X191" i="6"/>
  <c r="N31" i="12"/>
  <c r="O34" i="12" s="1"/>
  <c r="H31" i="12"/>
  <c r="E159" i="7"/>
  <c r="AW178" i="6"/>
  <c r="Z177" i="6" s="1"/>
  <c r="AE178" i="6"/>
  <c r="AV178" i="6"/>
  <c r="Y177" i="6" s="1"/>
  <c r="AZ178" i="6"/>
  <c r="AC177" i="6" s="1"/>
  <c r="AU178" i="6"/>
  <c r="AY178" i="6"/>
  <c r="AB177" i="6" s="1"/>
  <c r="AS178" i="6"/>
  <c r="V177" i="6" s="1"/>
  <c r="Q92" i="5"/>
  <c r="AX178" i="6"/>
  <c r="AA177" i="6" s="1"/>
  <c r="E156" i="7"/>
  <c r="Q89" i="5"/>
  <c r="E154" i="7"/>
  <c r="AM173" i="6"/>
  <c r="AN173" i="6"/>
  <c r="Q87" i="5"/>
  <c r="AL173" i="6"/>
  <c r="AK173" i="6"/>
  <c r="Q86" i="5"/>
  <c r="AO173" i="6"/>
  <c r="AC171" i="6"/>
  <c r="D9" i="11"/>
  <c r="J28" i="20"/>
  <c r="E117" i="7"/>
  <c r="AC151" i="6"/>
  <c r="Y151" i="6"/>
  <c r="AB151" i="6"/>
  <c r="X151" i="6"/>
  <c r="AA151" i="6"/>
  <c r="V151" i="6"/>
  <c r="Z151" i="6"/>
  <c r="Q70" i="5"/>
  <c r="AM408" i="14"/>
  <c r="AL408" i="14"/>
  <c r="E105" i="7"/>
  <c r="Q63" i="5"/>
  <c r="E95" i="7"/>
  <c r="AC125" i="6"/>
  <c r="Y125" i="6"/>
  <c r="AB125" i="6"/>
  <c r="X125" i="6"/>
  <c r="Q57" i="5"/>
  <c r="AA125" i="6"/>
  <c r="V125" i="6"/>
  <c r="Z125" i="6"/>
  <c r="AL565" i="14"/>
  <c r="AO565" i="14"/>
  <c r="AK565" i="14"/>
  <c r="AN565" i="14"/>
  <c r="AJ565" i="14"/>
  <c r="AM565" i="14"/>
  <c r="J15" i="20"/>
  <c r="E15" i="7"/>
  <c r="Q31" i="5"/>
  <c r="Y417" i="6"/>
  <c r="F319" i="7"/>
  <c r="AQ371" i="6"/>
  <c r="AM371" i="6"/>
  <c r="AI371" i="6"/>
  <c r="AP371" i="6"/>
  <c r="AL371" i="6"/>
  <c r="AH371" i="6"/>
  <c r="AR371" i="6"/>
  <c r="AN371" i="6"/>
  <c r="AJ371" i="6"/>
  <c r="AO371" i="6"/>
  <c r="AK371" i="6"/>
  <c r="AC312" i="6"/>
  <c r="F282" i="7"/>
  <c r="AQ307" i="6"/>
  <c r="AM307" i="6"/>
  <c r="AI307" i="6"/>
  <c r="AP307" i="6"/>
  <c r="AL307" i="6"/>
  <c r="AH307" i="6"/>
  <c r="AR307" i="6"/>
  <c r="AN307" i="6"/>
  <c r="AJ307" i="6"/>
  <c r="AO307" i="6"/>
  <c r="AK307" i="6"/>
  <c r="AN538" i="14"/>
  <c r="AJ538" i="14"/>
  <c r="AM538" i="14"/>
  <c r="AL538" i="14"/>
  <c r="AK538" i="14"/>
  <c r="AO538" i="14"/>
  <c r="AO270" i="14"/>
  <c r="AK270" i="14"/>
  <c r="AN270" i="14"/>
  <c r="AJ270" i="14"/>
  <c r="AM270" i="14"/>
  <c r="AL270" i="14"/>
  <c r="H231" i="14"/>
  <c r="R231" i="14"/>
  <c r="K231" i="14"/>
  <c r="A116" i="14"/>
  <c r="B257" i="7"/>
  <c r="N33" i="12"/>
  <c r="H33" i="12"/>
  <c r="A512" i="14"/>
  <c r="C25" i="12"/>
  <c r="D40" i="11"/>
  <c r="G40" i="11" s="1"/>
  <c r="B197" i="7"/>
  <c r="U511" i="14"/>
  <c r="R511" i="14"/>
  <c r="K511" i="14"/>
  <c r="H511" i="14"/>
  <c r="F188" i="7"/>
  <c r="AR207" i="6"/>
  <c r="AN207" i="6"/>
  <c r="AJ207" i="6"/>
  <c r="AQ207" i="6"/>
  <c r="AM207" i="6"/>
  <c r="AI207" i="6"/>
  <c r="AP207" i="6"/>
  <c r="AH207" i="6"/>
  <c r="AO207" i="6"/>
  <c r="AL207" i="6"/>
  <c r="AK207" i="6"/>
  <c r="AM199" i="6"/>
  <c r="AN199" i="6"/>
  <c r="Z197" i="6"/>
  <c r="AC197" i="6"/>
  <c r="Y197" i="6"/>
  <c r="E178" i="7"/>
  <c r="AB197" i="6"/>
  <c r="Q111" i="5"/>
  <c r="AA197" i="6"/>
  <c r="X197" i="6"/>
  <c r="V197" i="6"/>
  <c r="BI193" i="6"/>
  <c r="BR193" i="6" s="1"/>
  <c r="AL281" i="14"/>
  <c r="AO281" i="14"/>
  <c r="AK281" i="14"/>
  <c r="AN281" i="14"/>
  <c r="AM281" i="14"/>
  <c r="AJ281" i="14"/>
  <c r="G24" i="11"/>
  <c r="X177" i="6"/>
  <c r="Y175" i="6"/>
  <c r="AC173" i="6"/>
  <c r="AB171" i="6"/>
  <c r="H73" i="14"/>
  <c r="AG71" i="14"/>
  <c r="K73" i="14"/>
  <c r="C35" i="12"/>
  <c r="B150" i="7"/>
  <c r="U408" i="14"/>
  <c r="R408" i="14"/>
  <c r="K408" i="14"/>
  <c r="AM523" i="14"/>
  <c r="AL523" i="14"/>
  <c r="AO523" i="14"/>
  <c r="AK523" i="14"/>
  <c r="AN523" i="14"/>
  <c r="AJ523" i="14"/>
  <c r="N25" i="10"/>
  <c r="R654" i="14"/>
  <c r="U654" i="14"/>
  <c r="K654" i="14"/>
  <c r="H654" i="14"/>
  <c r="H265" i="14"/>
  <c r="U265" i="14"/>
  <c r="R265" i="14"/>
  <c r="K265" i="14"/>
  <c r="AA422" i="6"/>
  <c r="V422" i="6"/>
  <c r="Z422" i="6"/>
  <c r="E375" i="7"/>
  <c r="AB422" i="6"/>
  <c r="X422" i="6"/>
  <c r="AC422" i="6"/>
  <c r="Y422" i="6"/>
  <c r="R341" i="14"/>
  <c r="K341" i="14"/>
  <c r="U341" i="14"/>
  <c r="H341" i="14"/>
  <c r="H189" i="14"/>
  <c r="U189" i="14"/>
  <c r="R189" i="14"/>
  <c r="K189" i="14"/>
  <c r="AA322" i="6"/>
  <c r="AO300" i="6"/>
  <c r="E258" i="7"/>
  <c r="Z281" i="6"/>
  <c r="AC281" i="6"/>
  <c r="Y281" i="6"/>
  <c r="AA281" i="6"/>
  <c r="V281" i="6"/>
  <c r="X281" i="6"/>
  <c r="AB281" i="6"/>
  <c r="Q164" i="5"/>
  <c r="U415" i="14"/>
  <c r="R415" i="14"/>
  <c r="K415" i="14"/>
  <c r="G45" i="11"/>
  <c r="AB208" i="6"/>
  <c r="BF193" i="6"/>
  <c r="BO193" i="6" s="1"/>
  <c r="BH193" i="6"/>
  <c r="BQ193" i="6" s="1"/>
  <c r="AC26" i="10"/>
  <c r="N14" i="12"/>
  <c r="H14" i="12"/>
  <c r="AI147" i="14"/>
  <c r="U150" i="14"/>
  <c r="V173" i="6"/>
  <c r="F154" i="7" s="1"/>
  <c r="R542" i="14"/>
  <c r="K542" i="14"/>
  <c r="H542" i="14"/>
  <c r="U542" i="14"/>
  <c r="R523" i="14"/>
  <c r="K523" i="14"/>
  <c r="H523" i="14"/>
  <c r="U523" i="14"/>
  <c r="AD20" i="10"/>
  <c r="C14" i="9"/>
  <c r="B85" i="7"/>
  <c r="A666" i="14"/>
  <c r="B16" i="7"/>
  <c r="AA426" i="6"/>
  <c r="V426" i="6"/>
  <c r="Z426" i="6"/>
  <c r="E379" i="7"/>
  <c r="AB426" i="6"/>
  <c r="X426" i="6"/>
  <c r="AC426" i="6"/>
  <c r="Y426" i="6"/>
  <c r="Q234" i="5"/>
  <c r="F37" i="13" s="1"/>
  <c r="G37" i="13" s="1"/>
  <c r="H38" i="13" s="1"/>
  <c r="F21" i="16"/>
  <c r="L630" i="7"/>
  <c r="Z329" i="6"/>
  <c r="E298" i="7"/>
  <c r="AC329" i="6"/>
  <c r="Y329" i="6"/>
  <c r="AA329" i="6"/>
  <c r="V329" i="6"/>
  <c r="AB329" i="6"/>
  <c r="X329" i="6"/>
  <c r="Q202" i="5"/>
  <c r="Q209" i="5"/>
  <c r="X312" i="6"/>
  <c r="F279" i="7"/>
  <c r="AL304" i="6"/>
  <c r="AH304" i="6"/>
  <c r="AP304" i="6"/>
  <c r="AN300" i="6"/>
  <c r="AP300" i="6"/>
  <c r="AC269" i="6"/>
  <c r="A225" i="14"/>
  <c r="D50" i="11"/>
  <c r="G50" i="11" s="1"/>
  <c r="B218" i="7"/>
  <c r="A357" i="14"/>
  <c r="D39" i="11"/>
  <c r="G39" i="11" s="1"/>
  <c r="B195" i="7"/>
  <c r="Z208" i="6"/>
  <c r="N27" i="12"/>
  <c r="H27" i="12"/>
  <c r="BI201" i="6"/>
  <c r="AC201" i="6"/>
  <c r="BF201" i="6"/>
  <c r="Z201" i="6"/>
  <c r="A262" i="14"/>
  <c r="D26" i="11"/>
  <c r="G26" i="11" s="1"/>
  <c r="C20" i="12"/>
  <c r="B173" i="7"/>
  <c r="H243" i="14"/>
  <c r="U243" i="14"/>
  <c r="R243" i="14"/>
  <c r="K243" i="14"/>
  <c r="V186" i="6"/>
  <c r="A90" i="14"/>
  <c r="D12" i="11"/>
  <c r="G12" i="11" s="1"/>
  <c r="B155" i="7"/>
  <c r="Z171" i="6"/>
  <c r="K333" i="14"/>
  <c r="W333" i="14" s="1"/>
  <c r="AG331" i="14"/>
  <c r="AG333" i="14" s="1"/>
  <c r="H333" i="14"/>
  <c r="N25" i="9"/>
  <c r="K645" i="14"/>
  <c r="R645" i="14"/>
  <c r="H645" i="14"/>
  <c r="U645" i="14"/>
  <c r="I25" i="15"/>
  <c r="A112" i="14"/>
  <c r="E11" i="11"/>
  <c r="B364" i="7"/>
  <c r="B372" i="7"/>
  <c r="E34" i="11"/>
  <c r="G34" i="11" s="1"/>
  <c r="C31" i="9"/>
  <c r="B376" i="7"/>
  <c r="C24" i="12"/>
  <c r="E35" i="11"/>
  <c r="G35" i="11" s="1"/>
  <c r="B194" i="7"/>
  <c r="C28" i="9"/>
  <c r="AB312" i="6"/>
  <c r="Y180" i="6"/>
  <c r="AA180" i="6"/>
  <c r="AB180" i="6"/>
  <c r="X67" i="19"/>
  <c r="G447" i="14" s="1"/>
  <c r="AN447" i="14" s="1"/>
  <c r="L36" i="10"/>
  <c r="N36" i="10" s="1"/>
  <c r="Q136" i="6"/>
  <c r="X59" i="19"/>
  <c r="G408" i="14" s="1"/>
  <c r="AO408" i="14" s="1"/>
  <c r="L34" i="10"/>
  <c r="N34" i="10" s="1"/>
  <c r="F59" i="19"/>
  <c r="G395" i="14" s="1"/>
  <c r="AO395" i="14" s="1"/>
  <c r="AO397" i="14" s="1"/>
  <c r="E34" i="10"/>
  <c r="Q246" i="6"/>
  <c r="R28" i="19"/>
  <c r="G193" i="14" s="1"/>
  <c r="AO193" i="14" s="1"/>
  <c r="Q284" i="6"/>
  <c r="N15" i="9"/>
  <c r="U208" i="14"/>
  <c r="R208" i="14"/>
  <c r="K208" i="14"/>
  <c r="H208" i="14"/>
  <c r="AH345" i="14"/>
  <c r="AL347" i="14"/>
  <c r="E265" i="7"/>
  <c r="V288" i="6"/>
  <c r="F265" i="7" s="1"/>
  <c r="AA288" i="6"/>
  <c r="Q171" i="5"/>
  <c r="E259" i="7"/>
  <c r="AC282" i="6"/>
  <c r="Y282" i="6"/>
  <c r="AB282" i="6"/>
  <c r="X282" i="6"/>
  <c r="Z282" i="6"/>
  <c r="AA282" i="6"/>
  <c r="Q165" i="5"/>
  <c r="V282" i="6"/>
  <c r="V14" i="10"/>
  <c r="U27" i="10"/>
  <c r="B82" i="8" s="1"/>
  <c r="E82" i="8" s="1"/>
  <c r="T27" i="10"/>
  <c r="B80" i="8" s="1"/>
  <c r="E80" i="8" s="1"/>
  <c r="W14" i="10"/>
  <c r="E199" i="7"/>
  <c r="AC221" i="6"/>
  <c r="Y221" i="6"/>
  <c r="AB221" i="6"/>
  <c r="X221" i="6"/>
  <c r="AA221" i="6"/>
  <c r="Z221" i="6"/>
  <c r="V221" i="6"/>
  <c r="F199" i="7" s="1"/>
  <c r="K340" i="14"/>
  <c r="H340" i="14"/>
  <c r="AG338" i="14"/>
  <c r="AZ195" i="6"/>
  <c r="BK195" i="6" s="1"/>
  <c r="AV195" i="6"/>
  <c r="BG195" i="6" s="1"/>
  <c r="AY195" i="6"/>
  <c r="BJ195" i="6" s="1"/>
  <c r="AU195" i="6"/>
  <c r="BF195" i="6" s="1"/>
  <c r="E176" i="7"/>
  <c r="AX195" i="6"/>
  <c r="BI195" i="6" s="1"/>
  <c r="Q109" i="5"/>
  <c r="AW195" i="6"/>
  <c r="BH195" i="6" s="1"/>
  <c r="AS195" i="6"/>
  <c r="BD195" i="6" s="1"/>
  <c r="H13" i="12"/>
  <c r="G16" i="11"/>
  <c r="L38" i="9"/>
  <c r="W9" i="9"/>
  <c r="D444" i="7"/>
  <c r="X9" i="9"/>
  <c r="H441" i="7"/>
  <c r="AH444" i="14"/>
  <c r="AH442" i="14"/>
  <c r="AM444" i="14"/>
  <c r="AL444" i="14"/>
  <c r="R444" i="14"/>
  <c r="Y444" i="14" s="1"/>
  <c r="AB288" i="6"/>
  <c r="F260" i="7"/>
  <c r="AR283" i="6"/>
  <c r="AN283" i="6"/>
  <c r="AJ283" i="6"/>
  <c r="AQ283" i="6"/>
  <c r="AM283" i="6"/>
  <c r="AI283" i="6"/>
  <c r="AO283" i="6"/>
  <c r="AK283" i="6"/>
  <c r="AL283" i="6"/>
  <c r="AH283" i="6"/>
  <c r="AP283" i="6"/>
  <c r="H613" i="14"/>
  <c r="R613" i="14"/>
  <c r="K613" i="14"/>
  <c r="U613" i="14"/>
  <c r="AO593" i="14"/>
  <c r="AO595" i="14" s="1"/>
  <c r="AK593" i="14"/>
  <c r="AK595" i="14" s="1"/>
  <c r="AM593" i="14"/>
  <c r="AM595" i="14" s="1"/>
  <c r="AL593" i="14"/>
  <c r="AL595" i="14" s="1"/>
  <c r="AJ593" i="14"/>
  <c r="AJ595" i="14" s="1"/>
  <c r="AN593" i="14"/>
  <c r="AN595" i="14" s="1"/>
  <c r="K321" i="14"/>
  <c r="H321" i="14"/>
  <c r="AG319" i="14"/>
  <c r="E367" i="7"/>
  <c r="AY414" i="6"/>
  <c r="BH414" i="6" s="1"/>
  <c r="BR414" i="6" s="1"/>
  <c r="AB408" i="6" s="1"/>
  <c r="AU414" i="6"/>
  <c r="BD414" i="6" s="1"/>
  <c r="BN414" i="6" s="1"/>
  <c r="X408" i="6" s="1"/>
  <c r="AX414" i="6"/>
  <c r="BG414" i="6" s="1"/>
  <c r="BQ414" i="6" s="1"/>
  <c r="AA408" i="6" s="1"/>
  <c r="AS414" i="6"/>
  <c r="BB414" i="6" s="1"/>
  <c r="BL414" i="6" s="1"/>
  <c r="V408" i="6" s="1"/>
  <c r="AZ414" i="6"/>
  <c r="BI414" i="6" s="1"/>
  <c r="BS414" i="6" s="1"/>
  <c r="AC408" i="6" s="1"/>
  <c r="AV414" i="6"/>
  <c r="BE414" i="6" s="1"/>
  <c r="BO414" i="6" s="1"/>
  <c r="Y408" i="6" s="1"/>
  <c r="Q223" i="5"/>
  <c r="F23" i="13" s="1"/>
  <c r="G22" i="13" s="1"/>
  <c r="H25" i="13" s="1"/>
  <c r="AW414" i="6"/>
  <c r="BF414" i="6" s="1"/>
  <c r="BP414" i="6" s="1"/>
  <c r="Z408" i="6" s="1"/>
  <c r="AG328" i="14"/>
  <c r="K328" i="14"/>
  <c r="AK328" i="14"/>
  <c r="H328" i="14"/>
  <c r="AJ328" i="14"/>
  <c r="AG326" i="14"/>
  <c r="AN383" i="14"/>
  <c r="AJ383" i="14"/>
  <c r="AM383" i="14"/>
  <c r="AL383" i="14"/>
  <c r="AO383" i="14"/>
  <c r="AK383" i="14"/>
  <c r="AG271" i="14"/>
  <c r="K271" i="14"/>
  <c r="AG269" i="14"/>
  <c r="AK271" i="14"/>
  <c r="H271" i="14"/>
  <c r="AJ271" i="14"/>
  <c r="A307" i="14"/>
  <c r="B272" i="7"/>
  <c r="AO703" i="14"/>
  <c r="AK703" i="14"/>
  <c r="AN703" i="14"/>
  <c r="AJ703" i="14"/>
  <c r="AM703" i="14"/>
  <c r="AL703" i="14"/>
  <c r="AM725" i="14"/>
  <c r="AH725" i="14"/>
  <c r="AL725" i="14"/>
  <c r="AH723" i="14"/>
  <c r="AM530" i="14"/>
  <c r="AM532" i="14" s="1"/>
  <c r="AL530" i="14"/>
  <c r="AL532" i="14" s="1"/>
  <c r="AO530" i="14"/>
  <c r="AO532" i="14" s="1"/>
  <c r="AK530" i="14"/>
  <c r="AK532" i="14" s="1"/>
  <c r="AN530" i="14"/>
  <c r="AN532" i="14" s="1"/>
  <c r="AJ530" i="14"/>
  <c r="AJ532" i="14" s="1"/>
  <c r="Z404" i="6"/>
  <c r="Z427" i="6" s="1"/>
  <c r="R499" i="14"/>
  <c r="K499" i="14"/>
  <c r="H499" i="14"/>
  <c r="R78" i="14"/>
  <c r="K78" i="14"/>
  <c r="H78" i="14"/>
  <c r="E244" i="7"/>
  <c r="Q153" i="5"/>
  <c r="H493" i="14"/>
  <c r="U493" i="14"/>
  <c r="AI493" i="14" s="1"/>
  <c r="R493" i="14"/>
  <c r="AH493" i="14" s="1"/>
  <c r="K493" i="14"/>
  <c r="AG493" i="14" s="1"/>
  <c r="D464" i="7"/>
  <c r="E464" i="7"/>
  <c r="AH199" i="6"/>
  <c r="U262" i="14"/>
  <c r="R262" i="14"/>
  <c r="K262" i="14"/>
  <c r="H262" i="14"/>
  <c r="E170" i="7"/>
  <c r="AW189" i="6"/>
  <c r="Z186" i="6" s="1"/>
  <c r="AE189" i="6"/>
  <c r="AZ189" i="6"/>
  <c r="AC186" i="6" s="1"/>
  <c r="AV189" i="6"/>
  <c r="Y186" i="6" s="1"/>
  <c r="AX189" i="6"/>
  <c r="AA186" i="6" s="1"/>
  <c r="Q103" i="5"/>
  <c r="AU189" i="6"/>
  <c r="BD188" i="6" s="1"/>
  <c r="AS189" i="6"/>
  <c r="BB188" i="6" s="1"/>
  <c r="BK188" i="6" s="1"/>
  <c r="AY189" i="6"/>
  <c r="AB186" i="6" s="1"/>
  <c r="X186" i="6"/>
  <c r="C31" i="12"/>
  <c r="B162" i="7"/>
  <c r="A148" i="14"/>
  <c r="D19" i="11"/>
  <c r="G19" i="11" s="1"/>
  <c r="B159" i="7"/>
  <c r="E157" i="7"/>
  <c r="Q90" i="5"/>
  <c r="AL474" i="7"/>
  <c r="K92" i="14"/>
  <c r="H92" i="14"/>
  <c r="AG90" i="14"/>
  <c r="Y171" i="6"/>
  <c r="AM71" i="14"/>
  <c r="AL71" i="14"/>
  <c r="AO71" i="14"/>
  <c r="AK71" i="14"/>
  <c r="AN71" i="14"/>
  <c r="AJ71" i="14"/>
  <c r="G21" i="10"/>
  <c r="A21" i="10"/>
  <c r="E120" i="7"/>
  <c r="Q73" i="5"/>
  <c r="AQ138" i="6"/>
  <c r="AM138" i="6"/>
  <c r="AI138" i="6"/>
  <c r="AP138" i="6"/>
  <c r="AL138" i="6"/>
  <c r="AH138" i="6"/>
  <c r="AO138" i="6"/>
  <c r="AK138" i="6"/>
  <c r="F106" i="7"/>
  <c r="AR138" i="6"/>
  <c r="AN138" i="6"/>
  <c r="AJ138" i="6"/>
  <c r="AD22" i="10"/>
  <c r="AD35" i="10"/>
  <c r="E84" i="7"/>
  <c r="AX112" i="6"/>
  <c r="AS112" i="6"/>
  <c r="V112" i="6" s="1"/>
  <c r="AO112" i="6"/>
  <c r="Q51" i="5"/>
  <c r="AW112" i="6"/>
  <c r="AR112" i="6"/>
  <c r="AJ112" i="6"/>
  <c r="AZ112" i="6"/>
  <c r="AV112" i="6"/>
  <c r="AM112" i="6"/>
  <c r="AI112" i="6"/>
  <c r="AY112" i="6"/>
  <c r="AU112" i="6"/>
  <c r="AP112" i="6"/>
  <c r="AL112" i="6"/>
  <c r="AH112" i="6"/>
  <c r="N21" i="9"/>
  <c r="G36" i="10"/>
  <c r="A36" i="10"/>
  <c r="K284" i="14"/>
  <c r="H284" i="14"/>
  <c r="U284" i="14"/>
  <c r="R284" i="14"/>
  <c r="F277" i="7"/>
  <c r="AP302" i="6"/>
  <c r="AL302" i="6"/>
  <c r="AH302" i="6"/>
  <c r="E256" i="7"/>
  <c r="AW279" i="6"/>
  <c r="AZ279" i="6"/>
  <c r="AV279" i="6"/>
  <c r="AX279" i="6"/>
  <c r="AS279" i="6"/>
  <c r="AY279" i="6"/>
  <c r="AU279" i="6"/>
  <c r="Q162" i="5"/>
  <c r="AC20" i="10"/>
  <c r="C456" i="7" s="1"/>
  <c r="AO199" i="6"/>
  <c r="AQ199" i="6"/>
  <c r="AR199" i="6"/>
  <c r="H24" i="9"/>
  <c r="H37" i="9" s="1"/>
  <c r="N24" i="9"/>
  <c r="AM224" i="14"/>
  <c r="AL224" i="14"/>
  <c r="AO224" i="14"/>
  <c r="AK224" i="14"/>
  <c r="AN224" i="14"/>
  <c r="AJ224" i="14"/>
  <c r="BI188" i="6"/>
  <c r="AC182" i="6"/>
  <c r="Y182" i="6"/>
  <c r="E163" i="7"/>
  <c r="AA182" i="6"/>
  <c r="Z182" i="6"/>
  <c r="X182" i="6"/>
  <c r="Q96" i="5"/>
  <c r="AB182" i="6"/>
  <c r="V182" i="6"/>
  <c r="AL479" i="7"/>
  <c r="V175" i="6"/>
  <c r="F156" i="7" s="1"/>
  <c r="X171" i="6"/>
  <c r="AH71" i="14"/>
  <c r="R73" i="14"/>
  <c r="N29" i="12"/>
  <c r="H29" i="12"/>
  <c r="AD36" i="10"/>
  <c r="AM198" i="14"/>
  <c r="AL198" i="14"/>
  <c r="AO198" i="14"/>
  <c r="AK198" i="14"/>
  <c r="AN198" i="14"/>
  <c r="AJ198" i="14"/>
  <c r="A480" i="14"/>
  <c r="B295" i="7"/>
  <c r="A402" i="14"/>
  <c r="B283" i="7"/>
  <c r="AA423" i="6"/>
  <c r="V423" i="6"/>
  <c r="E376" i="7"/>
  <c r="Z423" i="6"/>
  <c r="AB423" i="6"/>
  <c r="X423" i="6"/>
  <c r="AC423" i="6"/>
  <c r="Y423" i="6"/>
  <c r="Q231" i="5"/>
  <c r="F32" i="13" s="1"/>
  <c r="G32" i="13" s="1"/>
  <c r="K418" i="14"/>
  <c r="H418" i="14"/>
  <c r="U418" i="14"/>
  <c r="R418" i="14"/>
  <c r="AA419" i="6"/>
  <c r="V419" i="6"/>
  <c r="E372" i="7"/>
  <c r="Z419" i="6"/>
  <c r="AB419" i="6"/>
  <c r="X419" i="6"/>
  <c r="AC419" i="6"/>
  <c r="Y419" i="6"/>
  <c r="Q227" i="5"/>
  <c r="F28" i="13" s="1"/>
  <c r="G28" i="13" s="1"/>
  <c r="E364" i="7"/>
  <c r="AA406" i="6"/>
  <c r="V406" i="6"/>
  <c r="Z406" i="6"/>
  <c r="AB406" i="6"/>
  <c r="X406" i="6"/>
  <c r="X427" i="6" s="1"/>
  <c r="AC406" i="6"/>
  <c r="Y406" i="6"/>
  <c r="Y427" i="6" s="1"/>
  <c r="Q219" i="5"/>
  <c r="F18" i="13" s="1"/>
  <c r="G18" i="13" s="1"/>
  <c r="H19" i="13" s="1"/>
  <c r="A461" i="14"/>
  <c r="B297" i="7"/>
  <c r="E291" i="7"/>
  <c r="AP322" i="6"/>
  <c r="AL322" i="6"/>
  <c r="AH322" i="6"/>
  <c r="AO322" i="6"/>
  <c r="AK322" i="6"/>
  <c r="AQ322" i="6"/>
  <c r="AM322" i="6"/>
  <c r="AI322" i="6"/>
  <c r="AR322" i="6"/>
  <c r="AN322" i="6"/>
  <c r="AJ322" i="6"/>
  <c r="AB322" i="6"/>
  <c r="Q195" i="5"/>
  <c r="A762" i="14"/>
  <c r="B292" i="7"/>
  <c r="AC288" i="6"/>
  <c r="K156" i="14"/>
  <c r="H155" i="14"/>
  <c r="R156" i="14"/>
  <c r="F250" i="7"/>
  <c r="AQ272" i="6"/>
  <c r="AM272" i="6"/>
  <c r="AI272" i="6"/>
  <c r="AP272" i="6"/>
  <c r="AL272" i="6"/>
  <c r="AH272" i="6"/>
  <c r="AR272" i="6"/>
  <c r="AN272" i="6"/>
  <c r="AJ272" i="6"/>
  <c r="AO272" i="6"/>
  <c r="AK272" i="6"/>
  <c r="AL742" i="14"/>
  <c r="AK742" i="14"/>
  <c r="AO742" i="14"/>
  <c r="AJ742" i="14"/>
  <c r="AN742" i="14"/>
  <c r="AM742" i="14"/>
  <c r="AM58" i="14"/>
  <c r="AL58" i="14"/>
  <c r="AO58" i="14"/>
  <c r="AK58" i="14"/>
  <c r="AN58" i="14"/>
  <c r="AJ58" i="14"/>
  <c r="F63" i="19"/>
  <c r="G415" i="14" s="1"/>
  <c r="AL415" i="14" s="1"/>
  <c r="AL417" i="14" s="1"/>
  <c r="E33" i="10"/>
  <c r="E200" i="7"/>
  <c r="P132" i="5"/>
  <c r="E197" i="7"/>
  <c r="Q130" i="5"/>
  <c r="K33" i="9"/>
  <c r="H33" i="9"/>
  <c r="L33" i="9"/>
  <c r="A282" i="14"/>
  <c r="B175" i="7"/>
  <c r="D31" i="11"/>
  <c r="G31" i="11" s="1"/>
  <c r="AB191" i="6"/>
  <c r="A243" i="14"/>
  <c r="C19" i="12"/>
  <c r="D25" i="11"/>
  <c r="G25" i="11" s="1"/>
  <c r="B172" i="7"/>
  <c r="U473" i="14"/>
  <c r="R473" i="14"/>
  <c r="K473" i="14"/>
  <c r="H473" i="14"/>
  <c r="K150" i="14"/>
  <c r="H150" i="14"/>
  <c r="AG147" i="14"/>
  <c r="AA171" i="6"/>
  <c r="K53" i="14"/>
  <c r="H53" i="14"/>
  <c r="AG51" i="14"/>
  <c r="AD33" i="10"/>
  <c r="AO585" i="14"/>
  <c r="AK585" i="14"/>
  <c r="AM585" i="14"/>
  <c r="AL585" i="14"/>
  <c r="AJ585" i="14"/>
  <c r="AN585" i="14"/>
  <c r="N35" i="10"/>
  <c r="A645" i="14"/>
  <c r="B93" i="7"/>
  <c r="K21" i="10"/>
  <c r="AD21" i="10" s="1"/>
  <c r="C19" i="9"/>
  <c r="K346" i="14"/>
  <c r="AG346" i="14" s="1"/>
  <c r="H346" i="14"/>
  <c r="R346" i="14"/>
  <c r="AH346" i="14" s="1"/>
  <c r="AR300" i="6"/>
  <c r="AI300" i="6"/>
  <c r="A269" i="14"/>
  <c r="B275" i="7"/>
  <c r="AL289" i="14"/>
  <c r="AO289" i="14"/>
  <c r="AK289" i="14"/>
  <c r="AM289" i="14"/>
  <c r="AJ289" i="14"/>
  <c r="AN289" i="14"/>
  <c r="F218" i="7"/>
  <c r="AQ247" i="6"/>
  <c r="AM247" i="6"/>
  <c r="AI247" i="6"/>
  <c r="AP247" i="6"/>
  <c r="AL247" i="6"/>
  <c r="AH247" i="6"/>
  <c r="AR247" i="6"/>
  <c r="AN247" i="6"/>
  <c r="AJ247" i="6"/>
  <c r="AO247" i="6"/>
  <c r="AK247" i="6"/>
  <c r="AC218" i="6"/>
  <c r="F16" i="9"/>
  <c r="N16" i="9" s="1"/>
  <c r="Q210" i="6"/>
  <c r="V191" i="6"/>
  <c r="AC25" i="10"/>
  <c r="C461" i="7" s="1"/>
  <c r="Z173" i="6"/>
  <c r="K633" i="14"/>
  <c r="U633" i="14"/>
  <c r="R633" i="14"/>
  <c r="H633" i="14"/>
  <c r="U428" i="14"/>
  <c r="K428" i="14"/>
  <c r="H428" i="14"/>
  <c r="R428" i="14"/>
  <c r="H585" i="14"/>
  <c r="U585" i="14"/>
  <c r="R585" i="14"/>
  <c r="K585" i="14"/>
  <c r="AI333" i="14"/>
  <c r="AO333" i="14"/>
  <c r="AI331" i="14"/>
  <c r="U333" i="14"/>
  <c r="AA333" i="14" s="1"/>
  <c r="F23" i="11"/>
  <c r="AD25" i="10"/>
  <c r="F94" i="7"/>
  <c r="AP124" i="6"/>
  <c r="AL124" i="6"/>
  <c r="AH124" i="6"/>
  <c r="AO124" i="6"/>
  <c r="AK124" i="6"/>
  <c r="AR124" i="6"/>
  <c r="AN124" i="6"/>
  <c r="AJ124" i="6"/>
  <c r="AQ124" i="6"/>
  <c r="AM124" i="6"/>
  <c r="AI124" i="6"/>
  <c r="BH113" i="6"/>
  <c r="A189" i="14"/>
  <c r="B365" i="7"/>
  <c r="E16" i="11"/>
  <c r="A341" i="14"/>
  <c r="B373" i="7"/>
  <c r="E36" i="11"/>
  <c r="A265" i="14"/>
  <c r="E42" i="11"/>
  <c r="G42" i="11" s="1"/>
  <c r="B377" i="7"/>
  <c r="A250" i="14"/>
  <c r="B263" i="7"/>
  <c r="AN519" i="14"/>
  <c r="AJ519" i="14"/>
  <c r="AM519" i="14"/>
  <c r="AL519" i="14"/>
  <c r="AK519" i="14"/>
  <c r="AO519" i="14"/>
  <c r="AL481" i="7"/>
  <c r="N13" i="9"/>
  <c r="AC175" i="6"/>
  <c r="R34" i="9"/>
  <c r="B61" i="8" s="1"/>
  <c r="E61" i="8" s="1"/>
  <c r="Q34" i="9"/>
  <c r="B38" i="8" s="1"/>
  <c r="E38" i="8" s="1"/>
  <c r="N26" i="10"/>
  <c r="AD26" i="10" s="1"/>
  <c r="X70" i="19"/>
  <c r="G466" i="14" s="1"/>
  <c r="AJ466" i="14" s="1"/>
  <c r="L37" i="10"/>
  <c r="N37" i="10" s="1"/>
  <c r="Q150" i="6"/>
  <c r="F70" i="19"/>
  <c r="G454" i="14" s="1"/>
  <c r="AK454" i="14" s="1"/>
  <c r="F13" i="12"/>
  <c r="N13" i="12" s="1"/>
  <c r="O17" i="12" s="1"/>
  <c r="E37" i="10"/>
  <c r="Q183" i="6"/>
  <c r="R63" i="19"/>
  <c r="G423" i="14" s="1"/>
  <c r="H423" i="14" s="1"/>
  <c r="F18" i="9"/>
  <c r="N18" i="9" s="1"/>
  <c r="Q306" i="6"/>
  <c r="R31" i="19"/>
  <c r="G212" i="14" s="1"/>
  <c r="H212" i="14" s="1"/>
  <c r="H214" i="14" s="1"/>
  <c r="Q311" i="6"/>
  <c r="G26" i="13" l="1"/>
  <c r="E214" i="14"/>
  <c r="D214" i="14"/>
  <c r="D11" i="21"/>
  <c r="I380" i="7"/>
  <c r="H38" i="9"/>
  <c r="C439" i="7" s="1"/>
  <c r="U10" i="9"/>
  <c r="X10" i="9"/>
  <c r="T10" i="9"/>
  <c r="C438" i="7"/>
  <c r="W10" i="9"/>
  <c r="S10" i="9"/>
  <c r="V10" i="9"/>
  <c r="G9" i="1"/>
  <c r="F9" i="1"/>
  <c r="E9" i="1"/>
  <c r="D9" i="1"/>
  <c r="AL496" i="7"/>
  <c r="AL495" i="7"/>
  <c r="F158" i="7"/>
  <c r="AL177" i="6"/>
  <c r="AN177" i="6"/>
  <c r="AQ177" i="6"/>
  <c r="AO177" i="6"/>
  <c r="AR177" i="6"/>
  <c r="AM177" i="6"/>
  <c r="AK177" i="6"/>
  <c r="AI177" i="6"/>
  <c r="AP177" i="6"/>
  <c r="AH177" i="6"/>
  <c r="AJ177" i="6"/>
  <c r="AL491" i="7"/>
  <c r="G27" i="11"/>
  <c r="AL484" i="7"/>
  <c r="H23" i="11"/>
  <c r="AM484" i="7" s="1"/>
  <c r="AL494" i="7"/>
  <c r="C11" i="21"/>
  <c r="H380" i="7"/>
  <c r="F247" i="7"/>
  <c r="AO269" i="6"/>
  <c r="AM269" i="6"/>
  <c r="AP269" i="6"/>
  <c r="AR269" i="6"/>
  <c r="AI269" i="6"/>
  <c r="AL269" i="6"/>
  <c r="AN269" i="6"/>
  <c r="AH269" i="6"/>
  <c r="AJ269" i="6"/>
  <c r="AQ269" i="6"/>
  <c r="AK269" i="6"/>
  <c r="E150" i="14"/>
  <c r="D150" i="14"/>
  <c r="G33" i="10"/>
  <c r="A33" i="10"/>
  <c r="AG156" i="14"/>
  <c r="K157" i="14"/>
  <c r="AG157" i="14"/>
  <c r="H157" i="14"/>
  <c r="AJ157" i="14"/>
  <c r="AK157" i="14"/>
  <c r="D92" i="14"/>
  <c r="E92" i="14"/>
  <c r="AO189" i="14"/>
  <c r="AO191" i="14" s="1"/>
  <c r="AK189" i="14"/>
  <c r="AK191" i="14" s="1"/>
  <c r="AN189" i="14"/>
  <c r="AN191" i="14" s="1"/>
  <c r="AJ189" i="14"/>
  <c r="AJ191" i="14" s="1"/>
  <c r="AM189" i="14"/>
  <c r="AM191" i="14" s="1"/>
  <c r="AL189" i="14"/>
  <c r="AL191" i="14" s="1"/>
  <c r="AO430" i="14"/>
  <c r="AI428" i="14"/>
  <c r="AI430" i="14" s="1"/>
  <c r="AN430" i="14"/>
  <c r="U430" i="14"/>
  <c r="AA430" i="14" s="1"/>
  <c r="H635" i="14"/>
  <c r="D635" i="14" s="1"/>
  <c r="AG633" i="14"/>
  <c r="K635" i="14"/>
  <c r="F172" i="7"/>
  <c r="AO191" i="6"/>
  <c r="AI191" i="6"/>
  <c r="AP191" i="6"/>
  <c r="AN191" i="6"/>
  <c r="AK191" i="6"/>
  <c r="AQ191" i="6"/>
  <c r="AL191" i="6"/>
  <c r="AJ191" i="6"/>
  <c r="AM191" i="6"/>
  <c r="AH191" i="6"/>
  <c r="AR191" i="6"/>
  <c r="AL645" i="14"/>
  <c r="AO645" i="14"/>
  <c r="AJ645" i="14"/>
  <c r="AN645" i="14"/>
  <c r="AM645" i="14"/>
  <c r="AK645" i="14"/>
  <c r="AJ57" i="14"/>
  <c r="K57" i="14"/>
  <c r="AG53" i="14"/>
  <c r="AK57" i="14"/>
  <c r="AG57" i="14"/>
  <c r="H57" i="14"/>
  <c r="K154" i="14"/>
  <c r="H154" i="14"/>
  <c r="E154" i="14" s="1"/>
  <c r="AG150" i="14"/>
  <c r="AG154" i="14"/>
  <c r="U475" i="14"/>
  <c r="AI473" i="14"/>
  <c r="AO243" i="14"/>
  <c r="AO245" i="14" s="1"/>
  <c r="AK243" i="14"/>
  <c r="AK245" i="14" s="1"/>
  <c r="AN243" i="14"/>
  <c r="AN245" i="14" s="1"/>
  <c r="AJ243" i="14"/>
  <c r="AJ245" i="14" s="1"/>
  <c r="AM243" i="14"/>
  <c r="AM245" i="14" s="1"/>
  <c r="AL243" i="14"/>
  <c r="AL245" i="14" s="1"/>
  <c r="AM282" i="14"/>
  <c r="AL282" i="14"/>
  <c r="AK282" i="14"/>
  <c r="AJ282" i="14"/>
  <c r="AO282" i="14"/>
  <c r="AN282" i="14"/>
  <c r="H421" i="14"/>
  <c r="AG418" i="14"/>
  <c r="F376" i="7"/>
  <c r="AQ423" i="6"/>
  <c r="AM423" i="6"/>
  <c r="AI423" i="6"/>
  <c r="AP423" i="6"/>
  <c r="AL423" i="6"/>
  <c r="AH423" i="6"/>
  <c r="AR423" i="6"/>
  <c r="AN423" i="6"/>
  <c r="AJ423" i="6"/>
  <c r="AO423" i="6"/>
  <c r="AK423" i="6"/>
  <c r="AH77" i="14"/>
  <c r="R77" i="14"/>
  <c r="Y77" i="14" s="1"/>
  <c r="AH73" i="14"/>
  <c r="F163" i="7"/>
  <c r="AO182" i="6"/>
  <c r="AK182" i="6"/>
  <c r="AP182" i="6"/>
  <c r="AJ182" i="6"/>
  <c r="AN182" i="6"/>
  <c r="AI182" i="6"/>
  <c r="AR182" i="6"/>
  <c r="AM182" i="6"/>
  <c r="AH182" i="6"/>
  <c r="AQ182" i="6"/>
  <c r="AL182" i="6"/>
  <c r="O26" i="9"/>
  <c r="BI112" i="6"/>
  <c r="AC112" i="6"/>
  <c r="BF112" i="6"/>
  <c r="Z112" i="6"/>
  <c r="F84" i="7"/>
  <c r="K96" i="14"/>
  <c r="AG92" i="14"/>
  <c r="AG96" i="14"/>
  <c r="H96" i="14"/>
  <c r="E96" i="14" s="1"/>
  <c r="AL480" i="7"/>
  <c r="D328" i="14"/>
  <c r="E328" i="14"/>
  <c r="F366" i="7"/>
  <c r="AP408" i="6"/>
  <c r="AL408" i="6"/>
  <c r="AH408" i="6"/>
  <c r="AO408" i="6"/>
  <c r="AK408" i="6"/>
  <c r="AQ408" i="6"/>
  <c r="AM408" i="6"/>
  <c r="AI408" i="6"/>
  <c r="AN408" i="6"/>
  <c r="AJ408" i="6"/>
  <c r="AR408" i="6"/>
  <c r="R615" i="14"/>
  <c r="AH613" i="14"/>
  <c r="E340" i="14"/>
  <c r="D340" i="14"/>
  <c r="AQ288" i="6"/>
  <c r="AJ288" i="6"/>
  <c r="AO288" i="6"/>
  <c r="R347" i="14"/>
  <c r="Y347" i="14" s="1"/>
  <c r="K210" i="14"/>
  <c r="AG210" i="14" s="1"/>
  <c r="H210" i="14"/>
  <c r="AG208" i="14"/>
  <c r="G34" i="10"/>
  <c r="A34" i="10"/>
  <c r="E104" i="7"/>
  <c r="Z136" i="6"/>
  <c r="AC136" i="6"/>
  <c r="Y136" i="6"/>
  <c r="AB136" i="6"/>
  <c r="X136" i="6"/>
  <c r="Q62" i="5"/>
  <c r="AA136" i="6"/>
  <c r="V136" i="6"/>
  <c r="F29" i="11"/>
  <c r="G29" i="11" s="1"/>
  <c r="N31" i="9"/>
  <c r="E54" i="11"/>
  <c r="AM90" i="14"/>
  <c r="AM92" i="14" s="1"/>
  <c r="AL90" i="14"/>
  <c r="AL92" i="14" s="1"/>
  <c r="AO90" i="14"/>
  <c r="AO92" i="14" s="1"/>
  <c r="AK90" i="14"/>
  <c r="AK92" i="14" s="1"/>
  <c r="AK96" i="14" s="1"/>
  <c r="AN90" i="14"/>
  <c r="AN92" i="14" s="1"/>
  <c r="AJ90" i="14"/>
  <c r="AJ92" i="14" s="1"/>
  <c r="AJ96" i="14" s="1"/>
  <c r="U245" i="14"/>
  <c r="AI243" i="14"/>
  <c r="J26" i="11"/>
  <c r="B189" i="8" s="1"/>
  <c r="E189" i="8" s="1"/>
  <c r="AL487" i="7"/>
  <c r="I26" i="11"/>
  <c r="B142" i="8" s="1"/>
  <c r="E142" i="8" s="1"/>
  <c r="H26" i="11"/>
  <c r="AM487" i="7" s="1"/>
  <c r="AL525" i="14"/>
  <c r="AH523" i="14"/>
  <c r="AH525" i="14" s="1"/>
  <c r="R525" i="14"/>
  <c r="Y525" i="14" s="1"/>
  <c r="AM525" i="14"/>
  <c r="R544" i="14"/>
  <c r="Y544" i="14" s="1"/>
  <c r="AH542" i="14"/>
  <c r="AH544" i="14" s="1"/>
  <c r="C462" i="7"/>
  <c r="U417" i="14"/>
  <c r="AI415" i="14"/>
  <c r="R343" i="14"/>
  <c r="AH343" i="14" s="1"/>
  <c r="AH341" i="14"/>
  <c r="R656" i="14"/>
  <c r="AH654" i="14"/>
  <c r="AG408" i="14"/>
  <c r="AG410" i="14" s="1"/>
  <c r="K410" i="14"/>
  <c r="W410" i="14" s="1"/>
  <c r="E73" i="14"/>
  <c r="D73" i="14"/>
  <c r="AM283" i="14"/>
  <c r="AL283" i="14"/>
  <c r="AI511" i="14"/>
  <c r="U513" i="14"/>
  <c r="AO512" i="14"/>
  <c r="AK512" i="14"/>
  <c r="AN512" i="14"/>
  <c r="AJ512" i="14"/>
  <c r="AM512" i="14"/>
  <c r="AL512" i="14"/>
  <c r="AM116" i="14"/>
  <c r="AL116" i="14"/>
  <c r="AO116" i="14"/>
  <c r="AK116" i="14"/>
  <c r="AN116" i="14"/>
  <c r="AJ116" i="14"/>
  <c r="F95" i="7"/>
  <c r="AO125" i="6"/>
  <c r="AK125" i="6"/>
  <c r="AR125" i="6"/>
  <c r="AN125" i="6"/>
  <c r="AJ125" i="6"/>
  <c r="AQ125" i="6"/>
  <c r="AM125" i="6"/>
  <c r="AI125" i="6"/>
  <c r="AP125" i="6"/>
  <c r="AL125" i="6"/>
  <c r="AH125" i="6"/>
  <c r="AJ408" i="14"/>
  <c r="AJ410" i="14" s="1"/>
  <c r="G9" i="11"/>
  <c r="AR173" i="6"/>
  <c r="AI173" i="6"/>
  <c r="AK175" i="6"/>
  <c r="AH175" i="6"/>
  <c r="AO175" i="6"/>
  <c r="AE259" i="6"/>
  <c r="BG188" i="6"/>
  <c r="R405" i="14"/>
  <c r="AH402" i="14"/>
  <c r="F293" i="7"/>
  <c r="AP324" i="6"/>
  <c r="AL324" i="6"/>
  <c r="AH324" i="6"/>
  <c r="AO324" i="6"/>
  <c r="AK324" i="6"/>
  <c r="AQ324" i="6"/>
  <c r="AM324" i="6"/>
  <c r="AI324" i="6"/>
  <c r="AJ324" i="6"/>
  <c r="AR324" i="6"/>
  <c r="AN324" i="6"/>
  <c r="D455" i="7"/>
  <c r="AN395" i="14"/>
  <c r="AN397" i="14" s="1"/>
  <c r="AK195" i="14"/>
  <c r="K195" i="14"/>
  <c r="AG193" i="14"/>
  <c r="AJ195" i="14"/>
  <c r="H195" i="14"/>
  <c r="AG195" i="14"/>
  <c r="U229" i="14"/>
  <c r="AI229" i="14" s="1"/>
  <c r="AI227" i="14"/>
  <c r="C458" i="7"/>
  <c r="F179" i="7"/>
  <c r="AO198" i="6"/>
  <c r="AK198" i="6"/>
  <c r="AR198" i="6"/>
  <c r="AN198" i="6"/>
  <c r="AJ198" i="6"/>
  <c r="AP198" i="6"/>
  <c r="AH198" i="6"/>
  <c r="AM198" i="6"/>
  <c r="AL198" i="6"/>
  <c r="AQ198" i="6"/>
  <c r="AI198" i="6"/>
  <c r="K575" i="14"/>
  <c r="AG573" i="14"/>
  <c r="H575" i="14"/>
  <c r="D575" i="14" s="1"/>
  <c r="K378" i="14"/>
  <c r="H378" i="14"/>
  <c r="AG376" i="14"/>
  <c r="AH721" i="14"/>
  <c r="AM760" i="14"/>
  <c r="R760" i="14"/>
  <c r="Y760" i="14" s="1"/>
  <c r="AH756" i="14"/>
  <c r="AL760" i="14"/>
  <c r="AH760" i="14"/>
  <c r="AG533" i="14"/>
  <c r="K535" i="14"/>
  <c r="AG535" i="14" s="1"/>
  <c r="H535" i="14"/>
  <c r="AH454" i="14"/>
  <c r="R456" i="14"/>
  <c r="G36" i="11"/>
  <c r="W118" i="14"/>
  <c r="E118" i="14"/>
  <c r="D118" i="14"/>
  <c r="AQ286" i="6"/>
  <c r="AP286" i="6"/>
  <c r="AK286" i="6"/>
  <c r="E463" i="14"/>
  <c r="D463" i="14"/>
  <c r="W463" i="14"/>
  <c r="AI224" i="14"/>
  <c r="U226" i="14"/>
  <c r="D460" i="7"/>
  <c r="E460" i="7"/>
  <c r="Z290" i="6"/>
  <c r="Y290" i="6"/>
  <c r="G35" i="10"/>
  <c r="A35" i="10"/>
  <c r="AN322" i="14"/>
  <c r="AN324" i="14" s="1"/>
  <c r="AJ322" i="14"/>
  <c r="AJ324" i="14" s="1"/>
  <c r="AM322" i="14"/>
  <c r="AM324" i="14" s="1"/>
  <c r="AL322" i="14"/>
  <c r="AL324" i="14" s="1"/>
  <c r="AO322" i="14"/>
  <c r="AO324" i="14" s="1"/>
  <c r="AK322" i="14"/>
  <c r="AK324" i="14" s="1"/>
  <c r="N30" i="9"/>
  <c r="AH666" i="14"/>
  <c r="AH668" i="14"/>
  <c r="R668" i="14"/>
  <c r="Y668" i="14" s="1"/>
  <c r="AL471" i="7"/>
  <c r="AH447" i="14"/>
  <c r="AH449" i="14" s="1"/>
  <c r="AM449" i="14"/>
  <c r="R449" i="14"/>
  <c r="Y449" i="14" s="1"/>
  <c r="AL449" i="14"/>
  <c r="K468" i="14"/>
  <c r="W468" i="14" s="1"/>
  <c r="AG468" i="14"/>
  <c r="AG466" i="14"/>
  <c r="AJ468" i="14"/>
  <c r="AN57" i="14"/>
  <c r="U57" i="14"/>
  <c r="AA57" i="14" s="1"/>
  <c r="AI53" i="14"/>
  <c r="AI57" i="14"/>
  <c r="AO57" i="14"/>
  <c r="AH112" i="14"/>
  <c r="R114" i="14"/>
  <c r="AH114" i="14" s="1"/>
  <c r="AC36" i="10"/>
  <c r="C468" i="7" s="1"/>
  <c r="AJ567" i="14"/>
  <c r="K567" i="14"/>
  <c r="W567" i="14" s="1"/>
  <c r="AG565" i="14"/>
  <c r="AG567" i="14" s="1"/>
  <c r="H567" i="14"/>
  <c r="AK567" i="14"/>
  <c r="AJ447" i="14"/>
  <c r="BF188" i="6"/>
  <c r="V30" i="10"/>
  <c r="U38" i="10"/>
  <c r="B102" i="8" s="1"/>
  <c r="E102" i="8" s="1"/>
  <c r="T38" i="10"/>
  <c r="B100" i="8" s="1"/>
  <c r="E100" i="8" s="1"/>
  <c r="W30" i="10"/>
  <c r="F262" i="7"/>
  <c r="AP285" i="6"/>
  <c r="AL285" i="6"/>
  <c r="AH285" i="6"/>
  <c r="AO285" i="6"/>
  <c r="AK285" i="6"/>
  <c r="AQ285" i="6"/>
  <c r="AM285" i="6"/>
  <c r="AI285" i="6"/>
  <c r="AN285" i="6"/>
  <c r="AJ285" i="6"/>
  <c r="AR285" i="6"/>
  <c r="AL176" i="14"/>
  <c r="AM176" i="14"/>
  <c r="AH176" i="14"/>
  <c r="R176" i="14"/>
  <c r="Y176" i="14" s="1"/>
  <c r="AH174" i="14"/>
  <c r="AH180" i="14"/>
  <c r="R181" i="14"/>
  <c r="Y181" i="14" s="1"/>
  <c r="AH181" i="14"/>
  <c r="AL181" i="14"/>
  <c r="AM181" i="14"/>
  <c r="Z234" i="6"/>
  <c r="AB278" i="6"/>
  <c r="AO175" i="14"/>
  <c r="AK175" i="14"/>
  <c r="AN175" i="14"/>
  <c r="AJ175" i="14"/>
  <c r="AM175" i="14"/>
  <c r="AL175" i="14"/>
  <c r="H60" i="14"/>
  <c r="AG60" i="14"/>
  <c r="D137" i="14"/>
  <c r="E137" i="14"/>
  <c r="R683" i="14"/>
  <c r="Y683" i="14" s="1"/>
  <c r="AM683" i="14"/>
  <c r="AL683" i="14"/>
  <c r="AH683" i="14"/>
  <c r="AH679" i="14"/>
  <c r="R437" i="14"/>
  <c r="AH435" i="14"/>
  <c r="W540" i="14"/>
  <c r="AG540" i="14"/>
  <c r="H309" i="14"/>
  <c r="AG309" i="14"/>
  <c r="AJ347" i="14"/>
  <c r="F284" i="7"/>
  <c r="AO309" i="6"/>
  <c r="AK309" i="6"/>
  <c r="AR309" i="6"/>
  <c r="AN309" i="6"/>
  <c r="AJ309" i="6"/>
  <c r="AP309" i="6"/>
  <c r="AL309" i="6"/>
  <c r="AH309" i="6"/>
  <c r="AM309" i="6"/>
  <c r="AI309" i="6"/>
  <c r="AQ309" i="6"/>
  <c r="E252" i="14"/>
  <c r="D252" i="14"/>
  <c r="AH303" i="14"/>
  <c r="R305" i="14"/>
  <c r="AH305" i="14" s="1"/>
  <c r="K555" i="14"/>
  <c r="H555" i="14"/>
  <c r="D555" i="14" s="1"/>
  <c r="AG553" i="14"/>
  <c r="AI530" i="14"/>
  <c r="U532" i="14"/>
  <c r="AL309" i="14"/>
  <c r="AM309" i="14"/>
  <c r="F15" i="13"/>
  <c r="G15" i="13" s="1"/>
  <c r="Q235" i="5"/>
  <c r="AA427" i="6"/>
  <c r="AP404" i="6"/>
  <c r="D366" i="14"/>
  <c r="E366" i="14"/>
  <c r="A722" i="14"/>
  <c r="B247" i="7"/>
  <c r="AI205" i="14"/>
  <c r="U207" i="14"/>
  <c r="BH188" i="6"/>
  <c r="AM455" i="14"/>
  <c r="AK455" i="14"/>
  <c r="AK456" i="14" s="1"/>
  <c r="AO455" i="14"/>
  <c r="AJ455" i="14"/>
  <c r="AN455" i="14"/>
  <c r="AL455" i="14"/>
  <c r="H478" i="14"/>
  <c r="AG476" i="14"/>
  <c r="K478" i="14"/>
  <c r="AG478" i="14" s="1"/>
  <c r="AI198" i="14"/>
  <c r="AO200" i="14"/>
  <c r="U200" i="14"/>
  <c r="AA200" i="14" s="1"/>
  <c r="AN200" i="14"/>
  <c r="AI200" i="14"/>
  <c r="AK331" i="14"/>
  <c r="AK333" i="14" s="1"/>
  <c r="AJ331" i="14"/>
  <c r="AJ333" i="14" s="1"/>
  <c r="AL633" i="14"/>
  <c r="AL635" i="14" s="1"/>
  <c r="AM633" i="14"/>
  <c r="AM635" i="14" s="1"/>
  <c r="AK633" i="14"/>
  <c r="AK635" i="14" s="1"/>
  <c r="AO633" i="14"/>
  <c r="AO635" i="14" s="1"/>
  <c r="AJ633" i="14"/>
  <c r="AJ635" i="14" s="1"/>
  <c r="AN633" i="14"/>
  <c r="AN635" i="14" s="1"/>
  <c r="R150" i="14"/>
  <c r="AC35" i="10"/>
  <c r="C467" i="7" s="1"/>
  <c r="AL493" i="7"/>
  <c r="F219" i="7"/>
  <c r="AP248" i="6"/>
  <c r="AL248" i="6"/>
  <c r="AH248" i="6"/>
  <c r="AO248" i="6"/>
  <c r="AK248" i="6"/>
  <c r="AQ248" i="6"/>
  <c r="AM248" i="6"/>
  <c r="AI248" i="6"/>
  <c r="AR248" i="6"/>
  <c r="AN248" i="6"/>
  <c r="AJ248" i="6"/>
  <c r="AJ763" i="14"/>
  <c r="AG761" i="14"/>
  <c r="AG763" i="14"/>
  <c r="K763" i="14"/>
  <c r="W763" i="14" s="1"/>
  <c r="H763" i="14"/>
  <c r="AK763" i="14"/>
  <c r="F295" i="7"/>
  <c r="AH326" i="6"/>
  <c r="AP326" i="6"/>
  <c r="AL326" i="6"/>
  <c r="AK326" i="6"/>
  <c r="AQ326" i="6"/>
  <c r="AO326" i="6"/>
  <c r="AN326" i="6"/>
  <c r="AI326" i="6"/>
  <c r="AR326" i="6"/>
  <c r="AM326" i="6"/>
  <c r="AJ326" i="6"/>
  <c r="K324" i="14"/>
  <c r="AG324" i="14" s="1"/>
  <c r="H324" i="14"/>
  <c r="AG322" i="14"/>
  <c r="F377" i="7"/>
  <c r="AQ424" i="6"/>
  <c r="AM424" i="6"/>
  <c r="AI424" i="6"/>
  <c r="AP424" i="6"/>
  <c r="AL424" i="6"/>
  <c r="AH424" i="6"/>
  <c r="AR424" i="6"/>
  <c r="AN424" i="6"/>
  <c r="AJ424" i="6"/>
  <c r="AO424" i="6"/>
  <c r="AK424" i="6"/>
  <c r="AO493" i="14"/>
  <c r="AK493" i="14"/>
  <c r="AN493" i="14"/>
  <c r="AJ493" i="14"/>
  <c r="AM493" i="14"/>
  <c r="AL493" i="14"/>
  <c r="AN492" i="14"/>
  <c r="AN494" i="14" s="1"/>
  <c r="AJ492" i="14"/>
  <c r="AJ494" i="14" s="1"/>
  <c r="AM492" i="14"/>
  <c r="AM494" i="14" s="1"/>
  <c r="AL492" i="14"/>
  <c r="AL494" i="14" s="1"/>
  <c r="AK492" i="14"/>
  <c r="AK494" i="14" s="1"/>
  <c r="AO492" i="14"/>
  <c r="AM607" i="14"/>
  <c r="AH605" i="14"/>
  <c r="AH607" i="14" s="1"/>
  <c r="AL607" i="14"/>
  <c r="R607" i="14"/>
  <c r="Y607" i="14" s="1"/>
  <c r="R627" i="14"/>
  <c r="Y627" i="14" s="1"/>
  <c r="AM627" i="14"/>
  <c r="AL627" i="14"/>
  <c r="AH625" i="14"/>
  <c r="AH627" i="14" s="1"/>
  <c r="U595" i="14"/>
  <c r="AI593" i="14"/>
  <c r="AK99" i="14"/>
  <c r="H99" i="14"/>
  <c r="AJ99" i="14"/>
  <c r="AG97" i="14"/>
  <c r="AG99" i="14"/>
  <c r="K99" i="14"/>
  <c r="AJ193" i="14"/>
  <c r="AL193" i="14"/>
  <c r="AN543" i="14"/>
  <c r="AJ543" i="14"/>
  <c r="AM543" i="14"/>
  <c r="AM544" i="14" s="1"/>
  <c r="AL543" i="14"/>
  <c r="AL544" i="14" s="1"/>
  <c r="AK543" i="14"/>
  <c r="AO543" i="14"/>
  <c r="AP171" i="6"/>
  <c r="AJ171" i="6"/>
  <c r="AK171" i="6"/>
  <c r="AJ454" i="14"/>
  <c r="AJ456" i="14" s="1"/>
  <c r="AN456" i="14"/>
  <c r="AO513" i="14"/>
  <c r="AN513" i="14"/>
  <c r="F19" i="16"/>
  <c r="D629" i="7"/>
  <c r="AN420" i="14"/>
  <c r="AJ420" i="14"/>
  <c r="AM420" i="14"/>
  <c r="AL420" i="14"/>
  <c r="AO420" i="14"/>
  <c r="AK420" i="14"/>
  <c r="AM415" i="14"/>
  <c r="AM417" i="14" s="1"/>
  <c r="AO415" i="14"/>
  <c r="AO417" i="14" s="1"/>
  <c r="D290" i="14"/>
  <c r="E290" i="14"/>
  <c r="BO194" i="6"/>
  <c r="X193" i="6"/>
  <c r="BS194" i="6"/>
  <c r="AB193" i="6"/>
  <c r="BT194" i="6"/>
  <c r="AC193" i="6"/>
  <c r="BB202" i="6"/>
  <c r="V201" i="6"/>
  <c r="U359" i="14"/>
  <c r="AI357" i="14"/>
  <c r="O21" i="12"/>
  <c r="H395" i="14"/>
  <c r="E286" i="7"/>
  <c r="AA311" i="6"/>
  <c r="V311" i="6"/>
  <c r="Z311" i="6"/>
  <c r="AB311" i="6"/>
  <c r="X311" i="6"/>
  <c r="AC311" i="6"/>
  <c r="Y311" i="6"/>
  <c r="Q190" i="5"/>
  <c r="AO250" i="14"/>
  <c r="AK250" i="14"/>
  <c r="AN250" i="14"/>
  <c r="AJ250" i="14"/>
  <c r="AM250" i="14"/>
  <c r="AL250" i="14"/>
  <c r="E461" i="7"/>
  <c r="D461" i="7"/>
  <c r="R475" i="14"/>
  <c r="AH473" i="14"/>
  <c r="F372" i="7"/>
  <c r="AQ419" i="6"/>
  <c r="AM419" i="6"/>
  <c r="AI419" i="6"/>
  <c r="AP419" i="6"/>
  <c r="AL419" i="6"/>
  <c r="AH419" i="6"/>
  <c r="AR419" i="6"/>
  <c r="AN419" i="6"/>
  <c r="AJ419" i="6"/>
  <c r="AO419" i="6"/>
  <c r="AK419" i="6"/>
  <c r="U286" i="14"/>
  <c r="AI286" i="14" s="1"/>
  <c r="AI284" i="14"/>
  <c r="S21" i="10"/>
  <c r="B71" i="8" s="1"/>
  <c r="E71" i="8" s="1"/>
  <c r="R21" i="10"/>
  <c r="K325" i="14"/>
  <c r="AK325" i="14"/>
  <c r="AG325" i="14"/>
  <c r="H325" i="14"/>
  <c r="AJ325" i="14"/>
  <c r="AG321" i="14"/>
  <c r="AL503" i="7"/>
  <c r="AM430" i="14"/>
  <c r="AH430" i="14"/>
  <c r="AH428" i="14"/>
  <c r="AL430" i="14"/>
  <c r="R430" i="14"/>
  <c r="Y430" i="14" s="1"/>
  <c r="AH156" i="14"/>
  <c r="AL157" i="14"/>
  <c r="AM157" i="14"/>
  <c r="AH157" i="14"/>
  <c r="R157" i="14"/>
  <c r="Y157" i="14" s="1"/>
  <c r="F364" i="7"/>
  <c r="AQ406" i="6"/>
  <c r="AM406" i="6"/>
  <c r="AI406" i="6"/>
  <c r="AP406" i="6"/>
  <c r="AL406" i="6"/>
  <c r="AH406" i="6"/>
  <c r="AR406" i="6"/>
  <c r="AN406" i="6"/>
  <c r="AJ406" i="6"/>
  <c r="AO406" i="6"/>
  <c r="AK406" i="6"/>
  <c r="AK427" i="6" s="1"/>
  <c r="AH418" i="14"/>
  <c r="R421" i="14"/>
  <c r="AH421" i="14" s="1"/>
  <c r="AL480" i="14"/>
  <c r="AO480" i="14"/>
  <c r="AK480" i="14"/>
  <c r="AN480" i="14"/>
  <c r="AJ480" i="14"/>
  <c r="AM480" i="14"/>
  <c r="D456" i="7"/>
  <c r="E456" i="7"/>
  <c r="K286" i="14"/>
  <c r="AG286" i="14" s="1"/>
  <c r="H286" i="14"/>
  <c r="AG284" i="14"/>
  <c r="BG112" i="6"/>
  <c r="AA112" i="6"/>
  <c r="AN148" i="14"/>
  <c r="AJ148" i="14"/>
  <c r="AJ150" i="14" s="1"/>
  <c r="AJ154" i="14" s="1"/>
  <c r="AM148" i="14"/>
  <c r="AL148" i="14"/>
  <c r="AK148" i="14"/>
  <c r="AO148" i="14"/>
  <c r="K264" i="14"/>
  <c r="H264" i="14"/>
  <c r="AG262" i="14"/>
  <c r="AJ501" i="14"/>
  <c r="AG499" i="14"/>
  <c r="AG501" i="14"/>
  <c r="K501" i="14"/>
  <c r="AK501" i="14"/>
  <c r="H501" i="14"/>
  <c r="AM307" i="14"/>
  <c r="AL307" i="14"/>
  <c r="AN307" i="14"/>
  <c r="AJ307" i="14"/>
  <c r="AO307" i="14"/>
  <c r="AK307" i="14"/>
  <c r="AG340" i="14"/>
  <c r="B67" i="8"/>
  <c r="E67" i="8" s="1"/>
  <c r="S27" i="10"/>
  <c r="B77" i="8" s="1"/>
  <c r="E77" i="8" s="1"/>
  <c r="B84" i="8"/>
  <c r="E84" i="8" s="1"/>
  <c r="AI288" i="6"/>
  <c r="AH288" i="6"/>
  <c r="AN288" i="6"/>
  <c r="AM347" i="14"/>
  <c r="AH208" i="14"/>
  <c r="R210" i="14"/>
  <c r="AH210" i="14" s="1"/>
  <c r="J59" i="20"/>
  <c r="E261" i="7"/>
  <c r="AA284" i="6"/>
  <c r="V284" i="6"/>
  <c r="Z284" i="6"/>
  <c r="AB284" i="6"/>
  <c r="X284" i="6"/>
  <c r="Y284" i="6"/>
  <c r="Q167" i="5"/>
  <c r="AC284" i="6"/>
  <c r="AL112" i="14"/>
  <c r="AL114" i="14" s="1"/>
  <c r="AO112" i="14"/>
  <c r="AO114" i="14" s="1"/>
  <c r="AK112" i="14"/>
  <c r="AK114" i="14" s="1"/>
  <c r="AN112" i="14"/>
  <c r="AN114" i="14" s="1"/>
  <c r="AJ112" i="14"/>
  <c r="AJ114" i="14" s="1"/>
  <c r="AM112" i="14"/>
  <c r="AM114" i="14" s="1"/>
  <c r="AH645" i="14"/>
  <c r="AM647" i="14"/>
  <c r="AH647" i="14"/>
  <c r="R647" i="14"/>
  <c r="Y647" i="14" s="1"/>
  <c r="AL647" i="14"/>
  <c r="F167" i="7"/>
  <c r="AP186" i="6"/>
  <c r="AK186" i="6"/>
  <c r="AN186" i="6"/>
  <c r="AI186" i="6"/>
  <c r="AO186" i="6"/>
  <c r="AQ186" i="6"/>
  <c r="AL186" i="6"/>
  <c r="AH186" i="6"/>
  <c r="AM186" i="6"/>
  <c r="AJ186" i="6"/>
  <c r="AR186" i="6"/>
  <c r="AN262" i="14"/>
  <c r="AN264" i="14" s="1"/>
  <c r="AJ262" i="14"/>
  <c r="AJ264" i="14" s="1"/>
  <c r="AM262" i="14"/>
  <c r="AM264" i="14" s="1"/>
  <c r="AO262" i="14"/>
  <c r="AO264" i="14" s="1"/>
  <c r="AL262" i="14"/>
  <c r="AL264" i="14" s="1"/>
  <c r="AK262" i="14"/>
  <c r="AK264" i="14" s="1"/>
  <c r="AL511" i="7"/>
  <c r="AL666" i="14"/>
  <c r="AL668" i="14" s="1"/>
  <c r="AO666" i="14"/>
  <c r="AJ666" i="14"/>
  <c r="AM666" i="14"/>
  <c r="AM668" i="14" s="1"/>
  <c r="AN666" i="14"/>
  <c r="AK666" i="14"/>
  <c r="AI523" i="14"/>
  <c r="AO525" i="14"/>
  <c r="U525" i="14"/>
  <c r="AA525" i="14" s="1"/>
  <c r="AN525" i="14"/>
  <c r="AI525" i="14"/>
  <c r="AN544" i="14"/>
  <c r="AI542" i="14"/>
  <c r="AI544" i="14"/>
  <c r="U544" i="14"/>
  <c r="AA544" i="14" s="1"/>
  <c r="AO544" i="14"/>
  <c r="AL506" i="7"/>
  <c r="H415" i="14"/>
  <c r="F258" i="7"/>
  <c r="AP281" i="6"/>
  <c r="AL281" i="6"/>
  <c r="AH281" i="6"/>
  <c r="AO281" i="6"/>
  <c r="AK281" i="6"/>
  <c r="AQ281" i="6"/>
  <c r="AM281" i="6"/>
  <c r="AI281" i="6"/>
  <c r="AR281" i="6"/>
  <c r="AN281" i="6"/>
  <c r="AJ281" i="6"/>
  <c r="H191" i="14"/>
  <c r="AG189" i="14"/>
  <c r="K191" i="14"/>
  <c r="AG191" i="14" s="1"/>
  <c r="H267" i="14"/>
  <c r="AG265" i="14"/>
  <c r="K267" i="14"/>
  <c r="AG267" i="14" s="1"/>
  <c r="R410" i="14"/>
  <c r="Y410" i="14" s="1"/>
  <c r="AM410" i="14"/>
  <c r="AL410" i="14"/>
  <c r="AH410" i="14"/>
  <c r="AH408" i="14"/>
  <c r="F35" i="12"/>
  <c r="R35" i="12"/>
  <c r="B272" i="8" s="1"/>
  <c r="E272" i="8" s="1"/>
  <c r="Q35" i="12"/>
  <c r="B250" i="8" s="1"/>
  <c r="E250" i="8" s="1"/>
  <c r="BE188" i="6"/>
  <c r="AN283" i="14"/>
  <c r="AK233" i="14"/>
  <c r="H233" i="14"/>
  <c r="AJ233" i="14"/>
  <c r="AG231" i="14"/>
  <c r="AG233" i="14"/>
  <c r="K233" i="14"/>
  <c r="AN408" i="14"/>
  <c r="AP175" i="6"/>
  <c r="AN175" i="6"/>
  <c r="AI175" i="6"/>
  <c r="AM97" i="14"/>
  <c r="AL97" i="14"/>
  <c r="AO97" i="14"/>
  <c r="AK97" i="14"/>
  <c r="AN97" i="14"/>
  <c r="AJ97" i="14"/>
  <c r="F214" i="7"/>
  <c r="AH243" i="6"/>
  <c r="AP243" i="6"/>
  <c r="AL243" i="6"/>
  <c r="AO243" i="6"/>
  <c r="AQ243" i="6"/>
  <c r="AJ243" i="6"/>
  <c r="AN243" i="6"/>
  <c r="AI243" i="6"/>
  <c r="AR243" i="6"/>
  <c r="AK243" i="6"/>
  <c r="AM243" i="6"/>
  <c r="AK395" i="14"/>
  <c r="AK397" i="14" s="1"/>
  <c r="AM195" i="14"/>
  <c r="AH195" i="14"/>
  <c r="AL195" i="14"/>
  <c r="R195" i="14"/>
  <c r="Y195" i="14" s="1"/>
  <c r="AH193" i="14"/>
  <c r="AL59" i="14"/>
  <c r="AO59" i="14"/>
  <c r="AK59" i="14"/>
  <c r="AN59" i="14"/>
  <c r="AJ59" i="14"/>
  <c r="AM59" i="14"/>
  <c r="R575" i="14"/>
  <c r="AH573" i="14"/>
  <c r="R378" i="14"/>
  <c r="AH376" i="14"/>
  <c r="AI717" i="14"/>
  <c r="AO721" i="14"/>
  <c r="AN721" i="14"/>
  <c r="U721" i="14"/>
  <c r="AA721" i="14" s="1"/>
  <c r="AB731" i="14" s="1"/>
  <c r="AF731" i="14" s="1"/>
  <c r="AV43" i="14" s="1"/>
  <c r="AI721" i="14"/>
  <c r="AH533" i="14"/>
  <c r="R535" i="14"/>
  <c r="AH535" i="14" s="1"/>
  <c r="U456" i="14"/>
  <c r="AI454" i="14"/>
  <c r="R26" i="10"/>
  <c r="AO339" i="14"/>
  <c r="AO340" i="14" s="1"/>
  <c r="AO344" i="14" s="1"/>
  <c r="AK339" i="14"/>
  <c r="AL339" i="14"/>
  <c r="AJ339" i="14"/>
  <c r="AN339" i="14"/>
  <c r="AM339" i="14"/>
  <c r="AI286" i="6"/>
  <c r="AJ286" i="6"/>
  <c r="AO286" i="6"/>
  <c r="F294" i="7"/>
  <c r="AO325" i="6"/>
  <c r="AK325" i="6"/>
  <c r="AR325" i="6"/>
  <c r="AN325" i="6"/>
  <c r="AJ325" i="6"/>
  <c r="AP325" i="6"/>
  <c r="AL325" i="6"/>
  <c r="AH325" i="6"/>
  <c r="AQ325" i="6"/>
  <c r="AM325" i="6"/>
  <c r="AI325" i="6"/>
  <c r="AN750" i="14"/>
  <c r="AI750" i="14"/>
  <c r="AO750" i="14"/>
  <c r="AB750" i="14"/>
  <c r="AF750" i="14" s="1"/>
  <c r="AV44" i="14" s="1"/>
  <c r="AO476" i="14"/>
  <c r="AO478" i="14" s="1"/>
  <c r="AK476" i="14"/>
  <c r="AK478" i="14" s="1"/>
  <c r="AN476" i="14"/>
  <c r="AN478" i="14" s="1"/>
  <c r="AJ476" i="14"/>
  <c r="AJ478" i="14" s="1"/>
  <c r="AM476" i="14"/>
  <c r="AM478" i="14" s="1"/>
  <c r="AL476" i="14"/>
  <c r="AL478" i="14" s="1"/>
  <c r="AK668" i="14"/>
  <c r="K668" i="14"/>
  <c r="W668" i="14" s="1"/>
  <c r="AG666" i="14"/>
  <c r="AG668" i="14" s="1"/>
  <c r="AJ668" i="14"/>
  <c r="H668" i="14"/>
  <c r="AN72" i="14"/>
  <c r="AN73" i="14" s="1"/>
  <c r="AJ72" i="14"/>
  <c r="AJ73" i="14" s="1"/>
  <c r="AM72" i="14"/>
  <c r="AM73" i="14" s="1"/>
  <c r="AL72" i="14"/>
  <c r="AO72" i="14"/>
  <c r="AK72" i="14"/>
  <c r="AK73" i="14" s="1"/>
  <c r="AK340" i="14"/>
  <c r="F36" i="12"/>
  <c r="K449" i="14"/>
  <c r="W449" i="14" s="1"/>
  <c r="AG447" i="14"/>
  <c r="AG449" i="14" s="1"/>
  <c r="AJ449" i="14"/>
  <c r="AO468" i="14"/>
  <c r="U468" i="14"/>
  <c r="AA468" i="14" s="1"/>
  <c r="AN468" i="14"/>
  <c r="AI466" i="14"/>
  <c r="AI468" i="14" s="1"/>
  <c r="AO553" i="14"/>
  <c r="AO555" i="14" s="1"/>
  <c r="H283" i="14"/>
  <c r="E283" i="14" s="1"/>
  <c r="AG281" i="14"/>
  <c r="K283" i="14"/>
  <c r="U114" i="14"/>
  <c r="AI114" i="14" s="1"/>
  <c r="AI112" i="14"/>
  <c r="AN435" i="14"/>
  <c r="AN437" i="14" s="1"/>
  <c r="AJ435" i="14"/>
  <c r="AJ437" i="14" s="1"/>
  <c r="AK435" i="14"/>
  <c r="AK437" i="14" s="1"/>
  <c r="AO435" i="14"/>
  <c r="AO437" i="14" s="1"/>
  <c r="AM435" i="14"/>
  <c r="AM437" i="14" s="1"/>
  <c r="AL435" i="14"/>
  <c r="AL437" i="14" s="1"/>
  <c r="R567" i="14"/>
  <c r="Y567" i="14" s="1"/>
  <c r="AH565" i="14"/>
  <c r="AH567" i="14" s="1"/>
  <c r="AM567" i="14"/>
  <c r="AL567" i="14"/>
  <c r="AK447" i="14"/>
  <c r="AK449" i="14" s="1"/>
  <c r="AO447" i="14"/>
  <c r="H111" i="14"/>
  <c r="AG109" i="14"/>
  <c r="K111" i="14"/>
  <c r="AG128" i="14"/>
  <c r="K130" i="14"/>
  <c r="H130" i="14"/>
  <c r="AK150" i="14"/>
  <c r="AK154" i="14" s="1"/>
  <c r="AL150" i="14"/>
  <c r="K188" i="14"/>
  <c r="H188" i="14"/>
  <c r="AG186" i="14"/>
  <c r="AI180" i="14"/>
  <c r="AN181" i="14"/>
  <c r="AI181" i="14"/>
  <c r="U181" i="14"/>
  <c r="AA181" i="14" s="1"/>
  <c r="AO181" i="14"/>
  <c r="E103" i="7"/>
  <c r="AA135" i="6"/>
  <c r="V135" i="6"/>
  <c r="V159" i="6" s="1"/>
  <c r="Z135" i="6"/>
  <c r="AC135" i="6"/>
  <c r="Y135" i="6"/>
  <c r="AB135" i="6"/>
  <c r="X135" i="6"/>
  <c r="Q61" i="5"/>
  <c r="Q76" i="5" s="1"/>
  <c r="F28" i="11"/>
  <c r="F54" i="11" s="1"/>
  <c r="K169" i="14"/>
  <c r="H169" i="14"/>
  <c r="AG167" i="14"/>
  <c r="Y234" i="6"/>
  <c r="V234" i="6"/>
  <c r="Z278" i="6"/>
  <c r="F283" i="7"/>
  <c r="AP308" i="6"/>
  <c r="AL308" i="6"/>
  <c r="AH308" i="6"/>
  <c r="AO308" i="6"/>
  <c r="AK308" i="6"/>
  <c r="AQ308" i="6"/>
  <c r="AM308" i="6"/>
  <c r="AI308" i="6"/>
  <c r="AJ308" i="6"/>
  <c r="AR308" i="6"/>
  <c r="AN308" i="6"/>
  <c r="AK60" i="14"/>
  <c r="D725" i="14"/>
  <c r="E725" i="14"/>
  <c r="AI300" i="14"/>
  <c r="U302" i="14"/>
  <c r="AI321" i="14"/>
  <c r="U437" i="14"/>
  <c r="AI435" i="14"/>
  <c r="AL308" i="14"/>
  <c r="AO308" i="14"/>
  <c r="AK308" i="14"/>
  <c r="AN308" i="14"/>
  <c r="AJ308" i="14"/>
  <c r="AM308" i="14"/>
  <c r="AK309" i="14"/>
  <c r="K347" i="14"/>
  <c r="H347" i="14"/>
  <c r="E385" i="14"/>
  <c r="D385" i="14"/>
  <c r="AI711" i="14"/>
  <c r="AO711" i="14"/>
  <c r="AB711" i="14"/>
  <c r="AF711" i="14" s="1"/>
  <c r="AV42" i="14" s="1"/>
  <c r="AN711" i="14"/>
  <c r="R20" i="10"/>
  <c r="W252" i="14"/>
  <c r="E444" i="14"/>
  <c r="D444" i="14"/>
  <c r="AI553" i="14"/>
  <c r="U555" i="14"/>
  <c r="K494" i="14"/>
  <c r="H494" i="14"/>
  <c r="AG492" i="14"/>
  <c r="E151" i="7"/>
  <c r="Z170" i="6"/>
  <c r="AC170" i="6"/>
  <c r="Y170" i="6"/>
  <c r="AB170" i="6"/>
  <c r="X170" i="6"/>
  <c r="Q84" i="5"/>
  <c r="Q148" i="5" s="1"/>
  <c r="AA170" i="6"/>
  <c r="V170" i="6"/>
  <c r="D49" i="11"/>
  <c r="G49" i="11" s="1"/>
  <c r="A346" i="14"/>
  <c r="B298" i="7"/>
  <c r="AL533" i="14"/>
  <c r="AO533" i="14"/>
  <c r="AK533" i="14"/>
  <c r="AN533" i="14"/>
  <c r="AJ533" i="14"/>
  <c r="AM533" i="14"/>
  <c r="AL418" i="14"/>
  <c r="AO418" i="14"/>
  <c r="AK418" i="14"/>
  <c r="AN418" i="14"/>
  <c r="AJ418" i="14"/>
  <c r="AM418" i="14"/>
  <c r="AC154" i="6"/>
  <c r="Y154" i="6"/>
  <c r="E119" i="7"/>
  <c r="Q72" i="5"/>
  <c r="V154" i="6"/>
  <c r="F119" i="7" s="1"/>
  <c r="AB154" i="6"/>
  <c r="AA154" i="6"/>
  <c r="Z154" i="6"/>
  <c r="X154" i="6"/>
  <c r="R478" i="14"/>
  <c r="AH478" i="14" s="1"/>
  <c r="AH476" i="14"/>
  <c r="AM300" i="14"/>
  <c r="AM302" i="14" s="1"/>
  <c r="AL300" i="14"/>
  <c r="AL302" i="14" s="1"/>
  <c r="AN300" i="14"/>
  <c r="AN302" i="14" s="1"/>
  <c r="AO300" i="14"/>
  <c r="AO302" i="14" s="1"/>
  <c r="AK300" i="14"/>
  <c r="AK302" i="14" s="1"/>
  <c r="AJ300" i="14"/>
  <c r="AJ302" i="14" s="1"/>
  <c r="AH761" i="14"/>
  <c r="AM763" i="14"/>
  <c r="AH763" i="14"/>
  <c r="R763" i="14"/>
  <c r="Y763" i="14" s="1"/>
  <c r="AL763" i="14"/>
  <c r="F373" i="7"/>
  <c r="AQ420" i="6"/>
  <c r="AM420" i="6"/>
  <c r="AI420" i="6"/>
  <c r="AP420" i="6"/>
  <c r="AL420" i="6"/>
  <c r="AH420" i="6"/>
  <c r="AR420" i="6"/>
  <c r="AN420" i="6"/>
  <c r="AJ420" i="6"/>
  <c r="AO420" i="6"/>
  <c r="AK420" i="6"/>
  <c r="R324" i="14"/>
  <c r="AH324" i="14" s="1"/>
  <c r="AH322" i="14"/>
  <c r="H36" i="13"/>
  <c r="AL499" i="14"/>
  <c r="AO499" i="14"/>
  <c r="AK499" i="14"/>
  <c r="AN499" i="14"/>
  <c r="AJ499" i="14"/>
  <c r="AM499" i="14"/>
  <c r="E40" i="17"/>
  <c r="I31" i="17"/>
  <c r="AN627" i="14"/>
  <c r="AO627" i="14"/>
  <c r="AI627" i="14"/>
  <c r="U627" i="14"/>
  <c r="AA627" i="14" s="1"/>
  <c r="AI625" i="14"/>
  <c r="AH97" i="14"/>
  <c r="AM99" i="14"/>
  <c r="AH99" i="14"/>
  <c r="R99" i="14"/>
  <c r="Y99" i="14" s="1"/>
  <c r="AL99" i="14"/>
  <c r="AN193" i="14"/>
  <c r="R32" i="10"/>
  <c r="H219" i="14"/>
  <c r="AK219" i="14"/>
  <c r="AG219" i="14"/>
  <c r="AJ219" i="14"/>
  <c r="AG217" i="14"/>
  <c r="K219" i="14"/>
  <c r="W219" i="14" s="1"/>
  <c r="F108" i="7"/>
  <c r="AO140" i="6"/>
  <c r="AK140" i="6"/>
  <c r="AR140" i="6"/>
  <c r="AN140" i="6"/>
  <c r="AJ140" i="6"/>
  <c r="AQ140" i="6"/>
  <c r="AM140" i="6"/>
  <c r="AI140" i="6"/>
  <c r="AP140" i="6"/>
  <c r="AL140" i="6"/>
  <c r="AH140" i="6"/>
  <c r="AD34" i="10"/>
  <c r="AI171" i="6"/>
  <c r="AN171" i="6"/>
  <c r="AO171" i="6"/>
  <c r="AM96" i="14"/>
  <c r="R96" i="14"/>
  <c r="Y96" i="14" s="1"/>
  <c r="AH92" i="14"/>
  <c r="AL96" i="14"/>
  <c r="AH96" i="14"/>
  <c r="AL475" i="7"/>
  <c r="AO456" i="14"/>
  <c r="AL456" i="14"/>
  <c r="AL513" i="14"/>
  <c r="AH744" i="14"/>
  <c r="AM744" i="14"/>
  <c r="AL744" i="14"/>
  <c r="AH742" i="14"/>
  <c r="R744" i="14"/>
  <c r="Y744" i="14" s="1"/>
  <c r="BM194" i="6"/>
  <c r="V193" i="6"/>
  <c r="E737" i="14"/>
  <c r="D737" i="14"/>
  <c r="F187" i="7"/>
  <c r="AO206" i="6"/>
  <c r="AK206" i="6"/>
  <c r="AR206" i="6"/>
  <c r="AN206" i="6"/>
  <c r="AJ206" i="6"/>
  <c r="AP206" i="6"/>
  <c r="AH206" i="6"/>
  <c r="AM206" i="6"/>
  <c r="AL206" i="6"/>
  <c r="AQ206" i="6"/>
  <c r="AI206" i="6"/>
  <c r="K397" i="14"/>
  <c r="H397" i="14"/>
  <c r="AG395" i="14"/>
  <c r="W482" i="14"/>
  <c r="AN587" i="14"/>
  <c r="AO587" i="14"/>
  <c r="AI587" i="14"/>
  <c r="AI585" i="14"/>
  <c r="U587" i="14"/>
  <c r="AA587" i="14" s="1"/>
  <c r="U635" i="14"/>
  <c r="AI633" i="14"/>
  <c r="AO402" i="14"/>
  <c r="AK402" i="14"/>
  <c r="AN402" i="14"/>
  <c r="AJ402" i="14"/>
  <c r="AM402" i="14"/>
  <c r="AL402" i="14"/>
  <c r="U264" i="14"/>
  <c r="AI262" i="14"/>
  <c r="AM80" i="14"/>
  <c r="AH80" i="14"/>
  <c r="R80" i="14"/>
  <c r="Y80" i="14" s="1"/>
  <c r="AL80" i="14"/>
  <c r="AH78" i="14"/>
  <c r="E271" i="14"/>
  <c r="D271" i="14"/>
  <c r="AR183" i="6"/>
  <c r="AI183" i="6"/>
  <c r="Y183" i="6"/>
  <c r="AQ183" i="6"/>
  <c r="AC183" i="6"/>
  <c r="V183" i="6"/>
  <c r="F164" i="7" s="1"/>
  <c r="E164" i="7"/>
  <c r="X183" i="6"/>
  <c r="AB183" i="6"/>
  <c r="AA183" i="6"/>
  <c r="Z183" i="6"/>
  <c r="Z150" i="6"/>
  <c r="AC150" i="6"/>
  <c r="Y150" i="6"/>
  <c r="Q69" i="5"/>
  <c r="AB150" i="6"/>
  <c r="X150" i="6"/>
  <c r="E116" i="7"/>
  <c r="AA150" i="6"/>
  <c r="V150" i="6"/>
  <c r="E281" i="7"/>
  <c r="AB306" i="6"/>
  <c r="X306" i="6"/>
  <c r="AA306" i="6"/>
  <c r="V306" i="6"/>
  <c r="AC306" i="6"/>
  <c r="Y306" i="6"/>
  <c r="Z306" i="6"/>
  <c r="Q185" i="5"/>
  <c r="G37" i="10"/>
  <c r="AC37" i="10" s="1"/>
  <c r="C469" i="7" s="1"/>
  <c r="A37" i="10"/>
  <c r="AM341" i="14"/>
  <c r="AM343" i="14" s="1"/>
  <c r="AL341" i="14"/>
  <c r="AL343" i="14" s="1"/>
  <c r="AJ341" i="14"/>
  <c r="AJ343" i="14" s="1"/>
  <c r="AO341" i="14"/>
  <c r="AO343" i="14" s="1"/>
  <c r="AN341" i="14"/>
  <c r="AN343" i="14" s="1"/>
  <c r="AK341" i="14"/>
  <c r="AK343" i="14" s="1"/>
  <c r="AJ587" i="14"/>
  <c r="AG585" i="14"/>
  <c r="AG587" i="14"/>
  <c r="K587" i="14"/>
  <c r="W587" i="14" s="1"/>
  <c r="AK587" i="14"/>
  <c r="H587" i="14"/>
  <c r="E191" i="7"/>
  <c r="AA210" i="6"/>
  <c r="V210" i="6"/>
  <c r="Z210" i="6"/>
  <c r="X210" i="6"/>
  <c r="AC210" i="6"/>
  <c r="AB210" i="6"/>
  <c r="Q124" i="5"/>
  <c r="Y210" i="6"/>
  <c r="N19" i="9"/>
  <c r="AO265" i="14"/>
  <c r="AO267" i="14" s="1"/>
  <c r="AK265" i="14"/>
  <c r="AK267" i="14" s="1"/>
  <c r="AN265" i="14"/>
  <c r="AN267" i="14" s="1"/>
  <c r="AJ265" i="14"/>
  <c r="AJ267" i="14" s="1"/>
  <c r="AM265" i="14"/>
  <c r="AM267" i="14" s="1"/>
  <c r="AL265" i="14"/>
  <c r="AL267" i="14" s="1"/>
  <c r="R587" i="14"/>
  <c r="Y587" i="14" s="1"/>
  <c r="AL587" i="14"/>
  <c r="AH585" i="14"/>
  <c r="AH587" i="14" s="1"/>
  <c r="AM587" i="14"/>
  <c r="R635" i="14"/>
  <c r="AH633" i="14"/>
  <c r="K475" i="14"/>
  <c r="H475" i="14"/>
  <c r="AG473" i="14"/>
  <c r="H25" i="11"/>
  <c r="AM486" i="7" s="1"/>
  <c r="AL486" i="7"/>
  <c r="J25" i="11"/>
  <c r="B188" i="8" s="1"/>
  <c r="E188" i="8" s="1"/>
  <c r="I25" i="11"/>
  <c r="B141" i="8" s="1"/>
  <c r="E141" i="8" s="1"/>
  <c r="AL492" i="7"/>
  <c r="AM762" i="14"/>
  <c r="AL762" i="14"/>
  <c r="AO762" i="14"/>
  <c r="AK762" i="14"/>
  <c r="AN762" i="14"/>
  <c r="AJ762" i="14"/>
  <c r="AN461" i="14"/>
  <c r="AJ461" i="14"/>
  <c r="AO461" i="14"/>
  <c r="AM461" i="14"/>
  <c r="AL461" i="14"/>
  <c r="AK461" i="14"/>
  <c r="U421" i="14"/>
  <c r="AI421" i="14" s="1"/>
  <c r="AI418" i="14"/>
  <c r="AH284" i="14"/>
  <c r="R286" i="14"/>
  <c r="AH286" i="14" s="1"/>
  <c r="R36" i="10"/>
  <c r="BD112" i="6"/>
  <c r="X112" i="6"/>
  <c r="AQ112" i="6"/>
  <c r="AN112" i="6"/>
  <c r="AK112" i="6"/>
  <c r="AO73" i="14"/>
  <c r="R264" i="14"/>
  <c r="AH262" i="14"/>
  <c r="AG80" i="14"/>
  <c r="K80" i="14"/>
  <c r="AK80" i="14"/>
  <c r="H80" i="14"/>
  <c r="AJ80" i="14"/>
  <c r="AG78" i="14"/>
  <c r="AM501" i="14"/>
  <c r="AH501" i="14"/>
  <c r="R501" i="14"/>
  <c r="Y501" i="14" s="1"/>
  <c r="AL501" i="14"/>
  <c r="AH499" i="14"/>
  <c r="W271" i="14"/>
  <c r="L329" i="14"/>
  <c r="BC24" i="14" s="1"/>
  <c r="W328" i="14"/>
  <c r="D321" i="14"/>
  <c r="E321" i="14"/>
  <c r="U615" i="14"/>
  <c r="AI613" i="14"/>
  <c r="AC33" i="10"/>
  <c r="C465" i="7" s="1"/>
  <c r="AO282" i="6"/>
  <c r="AK282" i="6"/>
  <c r="AR282" i="6"/>
  <c r="AN282" i="6"/>
  <c r="AJ282" i="6"/>
  <c r="AP282" i="6"/>
  <c r="AL282" i="6"/>
  <c r="AH282" i="6"/>
  <c r="F259" i="7"/>
  <c r="AI282" i="6"/>
  <c r="AQ282" i="6"/>
  <c r="AM282" i="6"/>
  <c r="AM288" i="6"/>
  <c r="AL288" i="6"/>
  <c r="AR288" i="6"/>
  <c r="AH347" i="14"/>
  <c r="AI208" i="14"/>
  <c r="U210" i="14"/>
  <c r="AI210" i="14" s="1"/>
  <c r="J31" i="15"/>
  <c r="T431" i="7" s="1"/>
  <c r="I31" i="15"/>
  <c r="S431" i="7" s="1"/>
  <c r="AK647" i="14"/>
  <c r="K647" i="14"/>
  <c r="W647" i="14" s="1"/>
  <c r="AG645" i="14"/>
  <c r="AG647" i="14" s="1"/>
  <c r="H647" i="14"/>
  <c r="AJ647" i="14"/>
  <c r="H245" i="14"/>
  <c r="AG243" i="14"/>
  <c r="K245" i="14"/>
  <c r="AL500" i="7"/>
  <c r="AN225" i="14"/>
  <c r="AN226" i="14" s="1"/>
  <c r="AN27" i="14" s="1"/>
  <c r="AJ225" i="14"/>
  <c r="AJ226" i="14" s="1"/>
  <c r="AJ27" i="14" s="1"/>
  <c r="AM225" i="14"/>
  <c r="AL225" i="14"/>
  <c r="AL226" i="14" s="1"/>
  <c r="AL27" i="14" s="1"/>
  <c r="AO225" i="14"/>
  <c r="AO226" i="14" s="1"/>
  <c r="AO27" i="14" s="1"/>
  <c r="AK225" i="14"/>
  <c r="AK226" i="14" s="1"/>
  <c r="AK27" i="14" s="1"/>
  <c r="F379" i="7"/>
  <c r="AQ426" i="6"/>
  <c r="AM426" i="6"/>
  <c r="AI426" i="6"/>
  <c r="AP426" i="6"/>
  <c r="AL426" i="6"/>
  <c r="AH426" i="6"/>
  <c r="AR426" i="6"/>
  <c r="AN426" i="6"/>
  <c r="AJ426" i="6"/>
  <c r="AK426" i="6"/>
  <c r="AO426" i="6"/>
  <c r="H417" i="14"/>
  <c r="AG415" i="14"/>
  <c r="K417" i="14"/>
  <c r="R191" i="14"/>
  <c r="AH191" i="14" s="1"/>
  <c r="AH189" i="14"/>
  <c r="AI341" i="14"/>
  <c r="U343" i="14"/>
  <c r="AI343" i="14" s="1"/>
  <c r="R267" i="14"/>
  <c r="AH267" i="14" s="1"/>
  <c r="AH265" i="14"/>
  <c r="H656" i="14"/>
  <c r="D656" i="14" s="1"/>
  <c r="K656" i="14"/>
  <c r="AG654" i="14"/>
  <c r="AN410" i="14"/>
  <c r="AI410" i="14"/>
  <c r="AI408" i="14"/>
  <c r="U410" i="14"/>
  <c r="AA410" i="14" s="1"/>
  <c r="AI411" i="14" s="1"/>
  <c r="AO410" i="14"/>
  <c r="K77" i="14"/>
  <c r="AG73" i="14"/>
  <c r="AG77" i="14"/>
  <c r="H77" i="14"/>
  <c r="E77" i="14" s="1"/>
  <c r="I24" i="11"/>
  <c r="B140" i="8" s="1"/>
  <c r="E140" i="8" s="1"/>
  <c r="H24" i="11"/>
  <c r="AM485" i="7" s="1"/>
  <c r="AL485" i="7"/>
  <c r="J24" i="11"/>
  <c r="B187" i="8" s="1"/>
  <c r="E187" i="8" s="1"/>
  <c r="AK283" i="14"/>
  <c r="F178" i="7"/>
  <c r="AP197" i="6"/>
  <c r="AL197" i="6"/>
  <c r="AH197" i="6"/>
  <c r="AO197" i="6"/>
  <c r="AK197" i="6"/>
  <c r="AN197" i="6"/>
  <c r="AM197" i="6"/>
  <c r="AR197" i="6"/>
  <c r="AJ197" i="6"/>
  <c r="AQ197" i="6"/>
  <c r="AI197" i="6"/>
  <c r="K513" i="14"/>
  <c r="H513" i="14"/>
  <c r="AG511" i="14"/>
  <c r="AL501" i="7"/>
  <c r="AH231" i="14"/>
  <c r="AM233" i="14"/>
  <c r="AH233" i="14"/>
  <c r="R233" i="14"/>
  <c r="Y233" i="14" s="1"/>
  <c r="AL233" i="14"/>
  <c r="AK408" i="14"/>
  <c r="AK410" i="14" s="1"/>
  <c r="F117" i="7"/>
  <c r="AO151" i="6"/>
  <c r="AK151" i="6"/>
  <c r="AR151" i="6"/>
  <c r="AN151" i="6"/>
  <c r="AJ151" i="6"/>
  <c r="AQ151" i="6"/>
  <c r="AM151" i="6"/>
  <c r="AI151" i="6"/>
  <c r="AP151" i="6"/>
  <c r="AL151" i="6"/>
  <c r="AH151" i="6"/>
  <c r="AJ173" i="6"/>
  <c r="AP173" i="6"/>
  <c r="AH173" i="6"/>
  <c r="AQ173" i="6"/>
  <c r="AL175" i="6"/>
  <c r="AM175" i="6"/>
  <c r="F194" i="7"/>
  <c r="AO216" i="6"/>
  <c r="AK216" i="6"/>
  <c r="AR216" i="6"/>
  <c r="AN216" i="6"/>
  <c r="AJ216" i="6"/>
  <c r="AL216" i="6"/>
  <c r="AQ216" i="6"/>
  <c r="AI216" i="6"/>
  <c r="AP216" i="6"/>
  <c r="AH216" i="6"/>
  <c r="AM216" i="6"/>
  <c r="AN208" i="14"/>
  <c r="AJ208" i="14"/>
  <c r="AM208" i="14"/>
  <c r="AL208" i="14"/>
  <c r="AO208" i="14"/>
  <c r="AK208" i="14"/>
  <c r="AM395" i="14"/>
  <c r="AM397" i="14" s="1"/>
  <c r="R60" i="14"/>
  <c r="Y60" i="14" s="1"/>
  <c r="W520" i="14"/>
  <c r="K229" i="14"/>
  <c r="AG229" i="14" s="1"/>
  <c r="H229" i="14"/>
  <c r="AG227" i="14"/>
  <c r="AB427" i="6"/>
  <c r="U575" i="14"/>
  <c r="AI573" i="14"/>
  <c r="AI376" i="14"/>
  <c r="U378" i="14"/>
  <c r="AO404" i="14"/>
  <c r="AK404" i="14"/>
  <c r="AN404" i="14"/>
  <c r="AJ404" i="14"/>
  <c r="AM404" i="14"/>
  <c r="AL404" i="14"/>
  <c r="R721" i="14"/>
  <c r="Y721" i="14" s="1"/>
  <c r="AI760" i="14"/>
  <c r="AN760" i="14"/>
  <c r="U760" i="14"/>
  <c r="AA760" i="14" s="1"/>
  <c r="AO760" i="14"/>
  <c r="AI756" i="14"/>
  <c r="U535" i="14"/>
  <c r="AI535" i="14" s="1"/>
  <c r="AI533" i="14"/>
  <c r="H454" i="14"/>
  <c r="U344" i="14"/>
  <c r="AA344" i="14" s="1"/>
  <c r="AI344" i="14"/>
  <c r="AI340" i="14"/>
  <c r="F220" i="7"/>
  <c r="AO249" i="6"/>
  <c r="AK249" i="6"/>
  <c r="AR249" i="6"/>
  <c r="AN249" i="6"/>
  <c r="AJ249" i="6"/>
  <c r="AP249" i="6"/>
  <c r="AL249" i="6"/>
  <c r="AH249" i="6"/>
  <c r="AI249" i="6"/>
  <c r="AQ249" i="6"/>
  <c r="AM249" i="6"/>
  <c r="AM286" i="6"/>
  <c r="AH286" i="6"/>
  <c r="AN286" i="6"/>
  <c r="K741" i="14"/>
  <c r="AK741" i="14"/>
  <c r="AJ741" i="14"/>
  <c r="H741" i="14"/>
  <c r="E741" i="14" s="1"/>
  <c r="AG737" i="14"/>
  <c r="AG741" i="14"/>
  <c r="H226" i="14"/>
  <c r="AG224" i="14"/>
  <c r="K226" i="14"/>
  <c r="X290" i="6"/>
  <c r="E756" i="14"/>
  <c r="D756" i="14"/>
  <c r="F161" i="7"/>
  <c r="AH180" i="6"/>
  <c r="AK180" i="6"/>
  <c r="AJ180" i="6"/>
  <c r="AI180" i="6"/>
  <c r="AR180" i="6"/>
  <c r="AP180" i="6"/>
  <c r="AM180" i="6"/>
  <c r="AL180" i="6"/>
  <c r="AQ180" i="6"/>
  <c r="AO180" i="6"/>
  <c r="AN180" i="6"/>
  <c r="AM534" i="14"/>
  <c r="AL534" i="14"/>
  <c r="AO534" i="14"/>
  <c r="AK534" i="14"/>
  <c r="AN534" i="14"/>
  <c r="AJ534" i="14"/>
  <c r="AO668" i="14"/>
  <c r="U668" i="14"/>
  <c r="AA668" i="14" s="1"/>
  <c r="AN668" i="14"/>
  <c r="AI666" i="14"/>
  <c r="AI668" i="14" s="1"/>
  <c r="AL340" i="14"/>
  <c r="AJ340" i="14"/>
  <c r="AO364" i="14"/>
  <c r="AK364" i="14"/>
  <c r="AN364" i="14"/>
  <c r="AJ364" i="14"/>
  <c r="AM364" i="14"/>
  <c r="AL364" i="14"/>
  <c r="AO449" i="14"/>
  <c r="U449" i="14"/>
  <c r="AA449" i="14" s="1"/>
  <c r="AN449" i="14"/>
  <c r="AI449" i="14"/>
  <c r="AI447" i="14"/>
  <c r="H466" i="14"/>
  <c r="H468" i="14" s="1"/>
  <c r="AL553" i="14"/>
  <c r="AL555" i="14" s="1"/>
  <c r="AH281" i="14"/>
  <c r="R283" i="14"/>
  <c r="AL227" i="14"/>
  <c r="AL229" i="14" s="1"/>
  <c r="AO227" i="14"/>
  <c r="AO229" i="14" s="1"/>
  <c r="AK227" i="14"/>
  <c r="AK229" i="14" s="1"/>
  <c r="AN227" i="14"/>
  <c r="AN229" i="14" s="1"/>
  <c r="AJ227" i="14"/>
  <c r="AJ229" i="14" s="1"/>
  <c r="AM227" i="14"/>
  <c r="AM229" i="14" s="1"/>
  <c r="F374" i="7"/>
  <c r="AQ421" i="6"/>
  <c r="AM421" i="6"/>
  <c r="AI421" i="6"/>
  <c r="AP421" i="6"/>
  <c r="AL421" i="6"/>
  <c r="AH421" i="6"/>
  <c r="AR421" i="6"/>
  <c r="AN421" i="6"/>
  <c r="AJ421" i="6"/>
  <c r="AO421" i="6"/>
  <c r="AK421" i="6"/>
  <c r="AN567" i="14"/>
  <c r="U567" i="14"/>
  <c r="AA567" i="14" s="1"/>
  <c r="AO567" i="14"/>
  <c r="AI565" i="14"/>
  <c r="AI567" i="14" s="1"/>
  <c r="AK466" i="14"/>
  <c r="AK468" i="14" s="1"/>
  <c r="R111" i="14"/>
  <c r="AH109" i="14"/>
  <c r="R130" i="14"/>
  <c r="AH128" i="14"/>
  <c r="AN150" i="14"/>
  <c r="AM150" i="14"/>
  <c r="R188" i="14"/>
  <c r="AH186" i="14"/>
  <c r="F186" i="7"/>
  <c r="AP205" i="6"/>
  <c r="AL205" i="6"/>
  <c r="AH205" i="6"/>
  <c r="AO205" i="6"/>
  <c r="AK205" i="6"/>
  <c r="AN205" i="6"/>
  <c r="AM205" i="6"/>
  <c r="AR205" i="6"/>
  <c r="AJ205" i="6"/>
  <c r="AQ205" i="6"/>
  <c r="AI205" i="6"/>
  <c r="AL303" i="14"/>
  <c r="AL305" i="14" s="1"/>
  <c r="AO303" i="14"/>
  <c r="AO305" i="14" s="1"/>
  <c r="AK303" i="14"/>
  <c r="AK305" i="14" s="1"/>
  <c r="AM303" i="14"/>
  <c r="AM305" i="14" s="1"/>
  <c r="AN303" i="14"/>
  <c r="AN305" i="14" s="1"/>
  <c r="AJ303" i="14"/>
  <c r="AJ305" i="14" s="1"/>
  <c r="AN96" i="14"/>
  <c r="U96" i="14"/>
  <c r="AA96" i="14" s="1"/>
  <c r="AI92" i="14"/>
  <c r="AI96" i="14"/>
  <c r="AO96" i="14"/>
  <c r="R169" i="14"/>
  <c r="AH167" i="14"/>
  <c r="AC234" i="6"/>
  <c r="AA234" i="6"/>
  <c r="X234" i="6"/>
  <c r="Y278" i="6"/>
  <c r="V278" i="6"/>
  <c r="AC34" i="10"/>
  <c r="C466" i="7" s="1"/>
  <c r="W214" i="14"/>
  <c r="H302" i="14"/>
  <c r="K302" i="14"/>
  <c r="AG300" i="14"/>
  <c r="AK347" i="14"/>
  <c r="AG425" i="14"/>
  <c r="K425" i="14"/>
  <c r="AG423" i="14"/>
  <c r="H425" i="14"/>
  <c r="AK425" i="14"/>
  <c r="AJ425" i="14"/>
  <c r="K305" i="14"/>
  <c r="AG305" i="14" s="1"/>
  <c r="H305" i="14"/>
  <c r="AG303" i="14"/>
  <c r="AH553" i="14"/>
  <c r="R555" i="14"/>
  <c r="AH340" i="14"/>
  <c r="AH344" i="14"/>
  <c r="AL344" i="14"/>
  <c r="R344" i="14"/>
  <c r="Y344" i="14" s="1"/>
  <c r="H532" i="14"/>
  <c r="AG530" i="14"/>
  <c r="K532" i="14"/>
  <c r="AH492" i="14"/>
  <c r="R494" i="14"/>
  <c r="R309" i="14"/>
  <c r="Y309" i="14" s="1"/>
  <c r="F362" i="7"/>
  <c r="V427" i="6"/>
  <c r="AH404" i="6"/>
  <c r="AN404" i="6"/>
  <c r="E115" i="7"/>
  <c r="AA149" i="6"/>
  <c r="V149" i="6"/>
  <c r="Z149" i="6"/>
  <c r="AC149" i="6"/>
  <c r="Y149" i="6"/>
  <c r="AB149" i="6"/>
  <c r="X149" i="6"/>
  <c r="Q68" i="5"/>
  <c r="F51" i="11"/>
  <c r="A212" i="14"/>
  <c r="B286" i="7"/>
  <c r="AK473" i="14"/>
  <c r="AK475" i="14" s="1"/>
  <c r="N29" i="9"/>
  <c r="N19" i="10"/>
  <c r="AD19" i="10" s="1"/>
  <c r="A19" i="10"/>
  <c r="K207" i="14"/>
  <c r="H207" i="14"/>
  <c r="AG205" i="14"/>
  <c r="F189" i="7"/>
  <c r="AO208" i="6"/>
  <c r="AK208" i="6"/>
  <c r="AM208" i="6"/>
  <c r="AH208" i="6"/>
  <c r="AR208" i="6"/>
  <c r="AI208" i="6"/>
  <c r="AP208" i="6"/>
  <c r="AN208" i="6"/>
  <c r="AQ208" i="6"/>
  <c r="AL208" i="6"/>
  <c r="AJ208" i="6"/>
  <c r="U478" i="14"/>
  <c r="AI478" i="14" s="1"/>
  <c r="AI476" i="14"/>
  <c r="H200" i="14"/>
  <c r="AK200" i="14"/>
  <c r="AJ200" i="14"/>
  <c r="AG198" i="14"/>
  <c r="AG200" i="14" s="1"/>
  <c r="K200" i="14"/>
  <c r="W200" i="14" s="1"/>
  <c r="AM57" i="14"/>
  <c r="R57" i="14"/>
  <c r="Y57" i="14" s="1"/>
  <c r="AH53" i="14"/>
  <c r="AL57" i="14"/>
  <c r="AH57" i="14"/>
  <c r="R23" i="10"/>
  <c r="R22" i="10"/>
  <c r="R24" i="10"/>
  <c r="U324" i="14"/>
  <c r="AI324" i="14" s="1"/>
  <c r="AI322" i="14"/>
  <c r="AL502" i="7"/>
  <c r="AL482" i="7"/>
  <c r="AI57" i="17"/>
  <c r="K19" i="17"/>
  <c r="E613" i="7" s="1"/>
  <c r="AI607" i="14"/>
  <c r="AN607" i="14"/>
  <c r="U607" i="14"/>
  <c r="AA607" i="14" s="1"/>
  <c r="AI605" i="14"/>
  <c r="AO607" i="14"/>
  <c r="AO77" i="14"/>
  <c r="U77" i="14"/>
  <c r="AA77" i="14" s="1"/>
  <c r="AI73" i="14"/>
  <c r="AI77" i="14"/>
  <c r="R25" i="10"/>
  <c r="K595" i="14"/>
  <c r="AG593" i="14"/>
  <c r="H595" i="14"/>
  <c r="D595" i="14" s="1"/>
  <c r="AK193" i="14"/>
  <c r="AL219" i="14"/>
  <c r="AH219" i="14"/>
  <c r="AH217" i="14"/>
  <c r="R219" i="14"/>
  <c r="Y219" i="14" s="1"/>
  <c r="AM219" i="14"/>
  <c r="AH171" i="6"/>
  <c r="AM171" i="6"/>
  <c r="AR171" i="6"/>
  <c r="AK130" i="14"/>
  <c r="AL129" i="14"/>
  <c r="AL130" i="14" s="1"/>
  <c r="AO129" i="14"/>
  <c r="AK129" i="14"/>
  <c r="AN129" i="14"/>
  <c r="AN130" i="14" s="1"/>
  <c r="AJ129" i="14"/>
  <c r="AJ130" i="14" s="1"/>
  <c r="AM129" i="14"/>
  <c r="X201" i="6"/>
  <c r="AM513" i="14"/>
  <c r="AN683" i="14"/>
  <c r="AI683" i="14"/>
  <c r="AI679" i="14"/>
  <c r="U683" i="14"/>
  <c r="AA683" i="14" s="1"/>
  <c r="AO683" i="14"/>
  <c r="AN415" i="14"/>
  <c r="AN417" i="14" s="1"/>
  <c r="BR194" i="6"/>
  <c r="AA193" i="6"/>
  <c r="BH202" i="6"/>
  <c r="AB201" i="6"/>
  <c r="AH357" i="14"/>
  <c r="R359" i="14"/>
  <c r="AH395" i="14"/>
  <c r="R397" i="14"/>
  <c r="AN442" i="14"/>
  <c r="AJ442" i="14"/>
  <c r="AO442" i="14"/>
  <c r="AM442" i="14"/>
  <c r="AL442" i="14"/>
  <c r="AK442" i="14"/>
  <c r="F192" i="7"/>
  <c r="AP211" i="6"/>
  <c r="AL211" i="6"/>
  <c r="AH211" i="6"/>
  <c r="AO211" i="6"/>
  <c r="AK211" i="6"/>
  <c r="AR211" i="6"/>
  <c r="AJ211" i="6"/>
  <c r="AQ211" i="6"/>
  <c r="AI211" i="6"/>
  <c r="AN211" i="6"/>
  <c r="AM211" i="6"/>
  <c r="AM423" i="14"/>
  <c r="AL423" i="14"/>
  <c r="AO423" i="14"/>
  <c r="AN423" i="14"/>
  <c r="K430" i="14"/>
  <c r="W430" i="14" s="1"/>
  <c r="AJ430" i="14"/>
  <c r="AG430" i="14"/>
  <c r="AG428" i="14"/>
  <c r="AK430" i="14"/>
  <c r="H430" i="14"/>
  <c r="AL269" i="14"/>
  <c r="AO269" i="14"/>
  <c r="AK269" i="14"/>
  <c r="AN269" i="14"/>
  <c r="AM269" i="14"/>
  <c r="AJ269" i="14"/>
  <c r="D53" i="14"/>
  <c r="E53" i="14"/>
  <c r="AM226" i="14"/>
  <c r="AM27" i="14" s="1"/>
  <c r="BH112" i="6"/>
  <c r="AB112" i="6"/>
  <c r="BE112" i="6"/>
  <c r="Y112" i="6"/>
  <c r="Y159" i="6" s="1"/>
  <c r="AL73" i="14"/>
  <c r="AL77" i="14" s="1"/>
  <c r="E11" i="21"/>
  <c r="J380" i="7"/>
  <c r="K615" i="14"/>
  <c r="AG613" i="14"/>
  <c r="H615" i="14"/>
  <c r="D615" i="14" s="1"/>
  <c r="AL477" i="7"/>
  <c r="AP288" i="6"/>
  <c r="AK288" i="6"/>
  <c r="E217" i="7"/>
  <c r="AB246" i="6"/>
  <c r="X246" i="6"/>
  <c r="AA246" i="6"/>
  <c r="V246" i="6"/>
  <c r="AC246" i="6"/>
  <c r="Y246" i="6"/>
  <c r="Z246" i="6"/>
  <c r="Q142" i="5"/>
  <c r="D47" i="11"/>
  <c r="G47" i="11" s="1"/>
  <c r="N28" i="9"/>
  <c r="O32" i="9" s="1"/>
  <c r="AO647" i="14"/>
  <c r="U647" i="14"/>
  <c r="AA647" i="14" s="1"/>
  <c r="AN647" i="14"/>
  <c r="AI645" i="14"/>
  <c r="AI647" i="14" s="1"/>
  <c r="AL473" i="7"/>
  <c r="R245" i="14"/>
  <c r="AH243" i="14"/>
  <c r="O30" i="12"/>
  <c r="P30" i="12" s="1"/>
  <c r="AO357" i="14"/>
  <c r="AO359" i="14" s="1"/>
  <c r="AK357" i="14"/>
  <c r="AK359" i="14" s="1"/>
  <c r="AN357" i="14"/>
  <c r="AN359" i="14" s="1"/>
  <c r="AJ357" i="14"/>
  <c r="AJ359" i="14" s="1"/>
  <c r="AL357" i="14"/>
  <c r="AL359" i="14" s="1"/>
  <c r="AM357" i="14"/>
  <c r="AM359" i="14" s="1"/>
  <c r="F298" i="7"/>
  <c r="AP329" i="6"/>
  <c r="AL329" i="6"/>
  <c r="AH329" i="6"/>
  <c r="AO329" i="6"/>
  <c r="AK329" i="6"/>
  <c r="AQ329" i="6"/>
  <c r="AM329" i="6"/>
  <c r="AI329" i="6"/>
  <c r="AR329" i="6"/>
  <c r="AN329" i="6"/>
  <c r="AJ329" i="6"/>
  <c r="N14" i="9"/>
  <c r="O20" i="9" s="1"/>
  <c r="H525" i="14"/>
  <c r="AK525" i="14"/>
  <c r="AJ525" i="14"/>
  <c r="AG523" i="14"/>
  <c r="AG525" i="14" s="1"/>
  <c r="K525" i="14"/>
  <c r="W525" i="14" s="1"/>
  <c r="AJ544" i="14"/>
  <c r="K544" i="14"/>
  <c r="W544" i="14" s="1"/>
  <c r="H544" i="14"/>
  <c r="AG542" i="14"/>
  <c r="AG544" i="14" s="1"/>
  <c r="AK544" i="14"/>
  <c r="AN154" i="14"/>
  <c r="AI154" i="14"/>
  <c r="U154" i="14"/>
  <c r="AA154" i="14" s="1"/>
  <c r="AI150" i="14"/>
  <c r="R417" i="14"/>
  <c r="AH415" i="14"/>
  <c r="U191" i="14"/>
  <c r="AI191" i="14" s="1"/>
  <c r="AI189" i="14"/>
  <c r="K343" i="14"/>
  <c r="AG343" i="14" s="1"/>
  <c r="AG341" i="14"/>
  <c r="H343" i="14"/>
  <c r="F375" i="7"/>
  <c r="AQ422" i="6"/>
  <c r="AM422" i="6"/>
  <c r="AI422" i="6"/>
  <c r="AP422" i="6"/>
  <c r="AL422" i="6"/>
  <c r="AH422" i="6"/>
  <c r="AR422" i="6"/>
  <c r="AN422" i="6"/>
  <c r="AJ422" i="6"/>
  <c r="AO422" i="6"/>
  <c r="AK422" i="6"/>
  <c r="U267" i="14"/>
  <c r="AI267" i="14" s="1"/>
  <c r="AI265" i="14"/>
  <c r="U656" i="14"/>
  <c r="AI654" i="14"/>
  <c r="H408" i="14"/>
  <c r="H410" i="14" s="1"/>
  <c r="AJ283" i="14"/>
  <c r="AO283" i="14"/>
  <c r="AH511" i="14"/>
  <c r="R513" i="14"/>
  <c r="AR175" i="6"/>
  <c r="AJ175" i="6"/>
  <c r="AQ175" i="6"/>
  <c r="K405" i="14"/>
  <c r="AG402" i="14"/>
  <c r="H405" i="14"/>
  <c r="AM419" i="14"/>
  <c r="AL419" i="14"/>
  <c r="AO419" i="14"/>
  <c r="AK419" i="14"/>
  <c r="AN419" i="14"/>
  <c r="AJ419" i="14"/>
  <c r="AH227" i="14"/>
  <c r="R229" i="14"/>
  <c r="AH229" i="14" s="1"/>
  <c r="AJ683" i="14"/>
  <c r="K683" i="14"/>
  <c r="H683" i="14"/>
  <c r="AG683" i="14"/>
  <c r="AK683" i="14"/>
  <c r="AG679" i="14"/>
  <c r="G51" i="11"/>
  <c r="AH540" i="14"/>
  <c r="Y540" i="14"/>
  <c r="C459" i="7"/>
  <c r="AL724" i="14"/>
  <c r="AO724" i="14"/>
  <c r="AK724" i="14"/>
  <c r="AN724" i="14"/>
  <c r="AJ724" i="14"/>
  <c r="AM724" i="14"/>
  <c r="AC427" i="6"/>
  <c r="H706" i="14"/>
  <c r="AZ36" i="14" s="1"/>
  <c r="W702" i="14"/>
  <c r="N706" i="14"/>
  <c r="BF36" i="14" s="1"/>
  <c r="AM702" i="14"/>
  <c r="R702" i="14"/>
  <c r="Y702" i="14" s="1"/>
  <c r="AH698" i="14"/>
  <c r="AH702" i="14"/>
  <c r="AL702" i="14"/>
  <c r="AL741" i="14"/>
  <c r="AH741" i="14"/>
  <c r="R741" i="14"/>
  <c r="Y741" i="14" s="1"/>
  <c r="AH737" i="14"/>
  <c r="AM741" i="14"/>
  <c r="AG454" i="14"/>
  <c r="K456" i="14"/>
  <c r="H456" i="14"/>
  <c r="AL286" i="6"/>
  <c r="AR286" i="6"/>
  <c r="K721" i="14"/>
  <c r="AK721" i="14"/>
  <c r="AG721" i="14"/>
  <c r="H721" i="14"/>
  <c r="E721" i="14" s="1"/>
  <c r="AJ721" i="14"/>
  <c r="AG717" i="14"/>
  <c r="AH224" i="14"/>
  <c r="R226" i="14"/>
  <c r="K760" i="14"/>
  <c r="AG756" i="14"/>
  <c r="AK760" i="14"/>
  <c r="AJ760" i="14"/>
  <c r="AG760" i="14"/>
  <c r="H760" i="14"/>
  <c r="E760" i="14" s="1"/>
  <c r="E245" i="7"/>
  <c r="AC267" i="6"/>
  <c r="Y267" i="6"/>
  <c r="Y380" i="6" s="1"/>
  <c r="Q154" i="5"/>
  <c r="AO267" i="6"/>
  <c r="AB267" i="6"/>
  <c r="AB380" i="6" s="1"/>
  <c r="Z267" i="6"/>
  <c r="Z380" i="6" s="1"/>
  <c r="V267" i="6"/>
  <c r="AM267" i="6" s="1"/>
  <c r="AA267" i="6"/>
  <c r="X267" i="6"/>
  <c r="E166" i="7"/>
  <c r="AB185" i="6"/>
  <c r="X185" i="6"/>
  <c r="AC185" i="6"/>
  <c r="V185" i="6"/>
  <c r="Q99" i="5"/>
  <c r="AA185" i="6"/>
  <c r="Z185" i="6"/>
  <c r="Y185" i="6"/>
  <c r="D17" i="11"/>
  <c r="G17" i="11" s="1"/>
  <c r="G22" i="11" s="1"/>
  <c r="AL284" i="14"/>
  <c r="AL286" i="14" s="1"/>
  <c r="AO284" i="14"/>
  <c r="AO286" i="14" s="1"/>
  <c r="AK284" i="14"/>
  <c r="AK286" i="14" s="1"/>
  <c r="AN284" i="14"/>
  <c r="AN286" i="14" s="1"/>
  <c r="AM284" i="14"/>
  <c r="AM286" i="14" s="1"/>
  <c r="AJ284" i="14"/>
  <c r="AJ286" i="14" s="1"/>
  <c r="AM340" i="14"/>
  <c r="AM344" i="14" s="1"/>
  <c r="AN340" i="14"/>
  <c r="AN344" i="14" s="1"/>
  <c r="R33" i="9"/>
  <c r="B60" i="8" s="1"/>
  <c r="E60" i="8" s="1"/>
  <c r="Q33" i="9"/>
  <c r="B37" i="8" s="1"/>
  <c r="E37" i="8" s="1"/>
  <c r="H447" i="14"/>
  <c r="H449" i="14" s="1"/>
  <c r="AM468" i="14"/>
  <c r="AL468" i="14"/>
  <c r="AH466" i="14"/>
  <c r="AH468" i="14" s="1"/>
  <c r="R468" i="14"/>
  <c r="Y468" i="14" s="1"/>
  <c r="U283" i="14"/>
  <c r="AI281" i="14"/>
  <c r="K114" i="14"/>
  <c r="AG114" i="14" s="1"/>
  <c r="H114" i="14"/>
  <c r="AG112" i="14"/>
  <c r="F378" i="7"/>
  <c r="AQ425" i="6"/>
  <c r="AM425" i="6"/>
  <c r="AI425" i="6"/>
  <c r="AP425" i="6"/>
  <c r="AL425" i="6"/>
  <c r="AH425" i="6"/>
  <c r="AR425" i="6"/>
  <c r="AN425" i="6"/>
  <c r="AJ425" i="6"/>
  <c r="AO425" i="6"/>
  <c r="AK425" i="6"/>
  <c r="AL513" i="7"/>
  <c r="J63" i="17"/>
  <c r="AG54" i="17"/>
  <c r="AJ54" i="17" s="1"/>
  <c r="F611" i="7" s="1"/>
  <c r="I63" i="17"/>
  <c r="U111" i="14"/>
  <c r="AI109" i="14"/>
  <c r="AI128" i="14"/>
  <c r="U130" i="14"/>
  <c r="AO150" i="14"/>
  <c r="AO154" i="14" s="1"/>
  <c r="U188" i="14"/>
  <c r="AI186" i="14"/>
  <c r="AG176" i="14"/>
  <c r="K176" i="14"/>
  <c r="AG174" i="14"/>
  <c r="AK176" i="14"/>
  <c r="H176" i="14"/>
  <c r="AJ176" i="14"/>
  <c r="H33" i="13"/>
  <c r="AK181" i="14"/>
  <c r="AG180" i="14"/>
  <c r="AG181" i="14" s="1"/>
  <c r="K181" i="14"/>
  <c r="AJ181" i="14"/>
  <c r="H181" i="14"/>
  <c r="U169" i="14"/>
  <c r="AI167" i="14"/>
  <c r="AB234" i="6"/>
  <c r="AC278" i="6"/>
  <c r="AA278" i="6"/>
  <c r="X278" i="6"/>
  <c r="L61" i="14"/>
  <c r="BC10" i="14" s="1"/>
  <c r="W60" i="14"/>
  <c r="W137" i="14"/>
  <c r="AH300" i="14"/>
  <c r="R302" i="14"/>
  <c r="K437" i="14"/>
  <c r="H437" i="14"/>
  <c r="AG435" i="14"/>
  <c r="E540" i="14"/>
  <c r="D540" i="14"/>
  <c r="W309" i="14"/>
  <c r="AG347" i="14"/>
  <c r="W385" i="14"/>
  <c r="AL425" i="14"/>
  <c r="AH425" i="14"/>
  <c r="AM425" i="14"/>
  <c r="R425" i="14"/>
  <c r="Y425" i="14" s="1"/>
  <c r="AH423" i="14"/>
  <c r="AL325" i="14"/>
  <c r="AH325" i="14"/>
  <c r="AH321" i="14"/>
  <c r="AM325" i="14"/>
  <c r="R325" i="14"/>
  <c r="Y325" i="14" s="1"/>
  <c r="W444" i="14"/>
  <c r="AI303" i="14"/>
  <c r="U305" i="14"/>
  <c r="AI305" i="14" s="1"/>
  <c r="AL499" i="7"/>
  <c r="G43" i="11"/>
  <c r="AH530" i="14"/>
  <c r="R532" i="14"/>
  <c r="AI492" i="14"/>
  <c r="U494" i="14"/>
  <c r="W366" i="14"/>
  <c r="F102" i="7"/>
  <c r="AR134" i="6"/>
  <c r="AN134" i="6"/>
  <c r="AJ134" i="6"/>
  <c r="AQ134" i="6"/>
  <c r="AM134" i="6"/>
  <c r="AI134" i="6"/>
  <c r="AP134" i="6"/>
  <c r="AL134" i="6"/>
  <c r="AH134" i="6"/>
  <c r="AO134" i="6"/>
  <c r="AK134" i="6"/>
  <c r="R207" i="14"/>
  <c r="AH205" i="14"/>
  <c r="AG58" i="17"/>
  <c r="AJ58" i="17" s="1"/>
  <c r="F614" i="7" s="1"/>
  <c r="J25" i="17"/>
  <c r="I25" i="17"/>
  <c r="AL200" i="14"/>
  <c r="AH198" i="14"/>
  <c r="AH200" i="14" s="1"/>
  <c r="R200" i="14"/>
  <c r="Y200" i="14" s="1"/>
  <c r="AM200" i="14"/>
  <c r="C457" i="7"/>
  <c r="F365" i="7"/>
  <c r="AQ407" i="6"/>
  <c r="AQ427" i="6" s="1"/>
  <c r="AM407" i="6"/>
  <c r="AM427" i="6" s="1"/>
  <c r="AI407" i="6"/>
  <c r="AI427" i="6" s="1"/>
  <c r="AP407" i="6"/>
  <c r="AL407" i="6"/>
  <c r="AL427" i="6" s="1"/>
  <c r="AH407" i="6"/>
  <c r="AR407" i="6"/>
  <c r="AR427" i="6" s="1"/>
  <c r="AN407" i="6"/>
  <c r="AJ407" i="6"/>
  <c r="AJ427" i="6" s="1"/>
  <c r="AO407" i="6"/>
  <c r="AO427" i="6" s="1"/>
  <c r="AK407" i="6"/>
  <c r="AO537" i="14"/>
  <c r="AO540" i="14" s="1"/>
  <c r="AK537" i="14"/>
  <c r="AK540" i="14" s="1"/>
  <c r="AN537" i="14"/>
  <c r="AN540" i="14" s="1"/>
  <c r="AJ537" i="14"/>
  <c r="AJ540" i="14" s="1"/>
  <c r="AM537" i="14"/>
  <c r="AM540" i="14" s="1"/>
  <c r="AL537" i="14"/>
  <c r="AL540" i="14" s="1"/>
  <c r="L19" i="17"/>
  <c r="D613" i="7"/>
  <c r="K607" i="14"/>
  <c r="W607" i="14" s="1"/>
  <c r="AG605" i="14"/>
  <c r="AG607" i="14" s="1"/>
  <c r="AK607" i="14"/>
  <c r="H607" i="14"/>
  <c r="AJ607" i="14"/>
  <c r="AJ627" i="14"/>
  <c r="AG625" i="14"/>
  <c r="AG627" i="14" s="1"/>
  <c r="AK627" i="14"/>
  <c r="H627" i="14"/>
  <c r="K627" i="14"/>
  <c r="W627" i="14" s="1"/>
  <c r="AD37" i="10"/>
  <c r="AH593" i="14"/>
  <c r="R595" i="14"/>
  <c r="AM193" i="14"/>
  <c r="AI217" i="14"/>
  <c r="AO219" i="14"/>
  <c r="U219" i="14"/>
  <c r="AA219" i="14" s="1"/>
  <c r="AN219" i="14"/>
  <c r="AI219" i="14"/>
  <c r="AL171" i="6"/>
  <c r="AQ171" i="6"/>
  <c r="AO50" i="5" a="1"/>
  <c r="G11" i="11"/>
  <c r="AM130" i="14"/>
  <c r="AO130" i="14"/>
  <c r="AM456" i="14"/>
  <c r="AK513" i="14"/>
  <c r="AJ513" i="14"/>
  <c r="AJ744" i="14"/>
  <c r="AG742" i="14"/>
  <c r="K744" i="14"/>
  <c r="W744" i="14" s="1"/>
  <c r="AG744" i="14"/>
  <c r="H744" i="14"/>
  <c r="AK744" i="14"/>
  <c r="AO209" i="14"/>
  <c r="AK209" i="14"/>
  <c r="AN209" i="14"/>
  <c r="AJ209" i="14"/>
  <c r="AM209" i="14"/>
  <c r="AL209" i="14"/>
  <c r="W290" i="14"/>
  <c r="BP194" i="6"/>
  <c r="Y193" i="6"/>
  <c r="BQ194" i="6"/>
  <c r="Z193" i="6"/>
  <c r="H359" i="14"/>
  <c r="AG357" i="14"/>
  <c r="K359" i="14"/>
  <c r="U397" i="14"/>
  <c r="AI395" i="14"/>
  <c r="E482" i="14"/>
  <c r="D482" i="14"/>
  <c r="AB159" i="6" l="1"/>
  <c r="AK77" i="14"/>
  <c r="AK14" i="14"/>
  <c r="O7" i="21" s="1"/>
  <c r="AJ14" i="14"/>
  <c r="L7" i="21" s="1"/>
  <c r="AJ77" i="14"/>
  <c r="AG19" i="14"/>
  <c r="J19" i="21" s="1"/>
  <c r="AL483" i="7"/>
  <c r="S20" i="11"/>
  <c r="O486" i="7" s="1"/>
  <c r="H18" i="11"/>
  <c r="AM479" i="7" s="1"/>
  <c r="J20" i="11"/>
  <c r="B183" i="8" s="1"/>
  <c r="E183" i="8" s="1"/>
  <c r="I20" i="11"/>
  <c r="B136" i="8" s="1"/>
  <c r="E136" i="8" s="1"/>
  <c r="I18" i="11"/>
  <c r="B134" i="8" s="1"/>
  <c r="E134" i="8" s="1"/>
  <c r="H20" i="11"/>
  <c r="AM481" i="7" s="1"/>
  <c r="J18" i="11"/>
  <c r="B181" i="8" s="1"/>
  <c r="E181" i="8" s="1"/>
  <c r="J19" i="11"/>
  <c r="B182" i="8" s="1"/>
  <c r="E182" i="8" s="1"/>
  <c r="H21" i="11"/>
  <c r="AM482" i="7" s="1"/>
  <c r="I19" i="11"/>
  <c r="B135" i="8" s="1"/>
  <c r="E135" i="8" s="1"/>
  <c r="J21" i="11"/>
  <c r="B184" i="8" s="1"/>
  <c r="E184" i="8" s="1"/>
  <c r="J16" i="11"/>
  <c r="B179" i="8" s="1"/>
  <c r="E179" i="8" s="1"/>
  <c r="I21" i="11"/>
  <c r="B137" i="8" s="1"/>
  <c r="E137" i="8" s="1"/>
  <c r="H19" i="11"/>
  <c r="AM480" i="7" s="1"/>
  <c r="H16" i="11"/>
  <c r="AM477" i="7" s="1"/>
  <c r="I16" i="11"/>
  <c r="B132" i="8" s="1"/>
  <c r="E132" i="8" s="1"/>
  <c r="AN77" i="14"/>
  <c r="AN14" i="14"/>
  <c r="L9" i="21" s="1"/>
  <c r="E469" i="7"/>
  <c r="D469" i="7"/>
  <c r="O39" i="9"/>
  <c r="P20" i="9" s="1"/>
  <c r="B19" i="21"/>
  <c r="G123" i="7"/>
  <c r="E455" i="7"/>
  <c r="C455" i="7"/>
  <c r="AM77" i="14"/>
  <c r="AM14" i="14"/>
  <c r="O8" i="21" s="1"/>
  <c r="AI401" i="14"/>
  <c r="AO401" i="14"/>
  <c r="U401" i="14"/>
  <c r="AA401" i="14" s="1"/>
  <c r="AN401" i="14"/>
  <c r="AI397" i="14"/>
  <c r="K363" i="14"/>
  <c r="AG359" i="14"/>
  <c r="AK363" i="14"/>
  <c r="AG363" i="14"/>
  <c r="H363" i="14"/>
  <c r="AJ363" i="14"/>
  <c r="E744" i="14"/>
  <c r="D744" i="14"/>
  <c r="E457" i="7"/>
  <c r="D457" i="7"/>
  <c r="AL504" i="7"/>
  <c r="S23" i="11"/>
  <c r="O489" i="7" s="1"/>
  <c r="AJ267" i="6"/>
  <c r="AL267" i="6"/>
  <c r="E359" i="14"/>
  <c r="D359" i="14"/>
  <c r="AL472" i="7"/>
  <c r="H38" i="11"/>
  <c r="AM499" i="7" s="1"/>
  <c r="Z334" i="14"/>
  <c r="AE334" i="14" s="1"/>
  <c r="AU24" i="14" s="1"/>
  <c r="AL329" i="14"/>
  <c r="AL334" i="14" s="1"/>
  <c r="Z329" i="14"/>
  <c r="AM329" i="14"/>
  <c r="AM334" i="14" s="1"/>
  <c r="AH329" i="14"/>
  <c r="AH334" i="14" s="1"/>
  <c r="AM306" i="14"/>
  <c r="R306" i="14"/>
  <c r="Y306" i="14" s="1"/>
  <c r="AH302" i="14"/>
  <c r="AL306" i="14"/>
  <c r="AH306" i="14"/>
  <c r="AI173" i="14"/>
  <c r="AO173" i="14"/>
  <c r="AN173" i="14"/>
  <c r="U173" i="14"/>
  <c r="AA173" i="14" s="1"/>
  <c r="AI169" i="14"/>
  <c r="W176" i="14"/>
  <c r="AN115" i="14"/>
  <c r="U115" i="14"/>
  <c r="AA115" i="14" s="1"/>
  <c r="AI115" i="14"/>
  <c r="AI111" i="14"/>
  <c r="AO115" i="14"/>
  <c r="AG15" i="14"/>
  <c r="AR185" i="6"/>
  <c r="AN185" i="6"/>
  <c r="AJ185" i="6"/>
  <c r="F166" i="7"/>
  <c r="AQ185" i="6"/>
  <c r="AL185" i="6"/>
  <c r="AP185" i="6"/>
  <c r="AK185" i="6"/>
  <c r="AO185" i="6"/>
  <c r="AI185" i="6"/>
  <c r="AM185" i="6"/>
  <c r="AH185" i="6"/>
  <c r="E15" i="21"/>
  <c r="J321" i="7"/>
  <c r="D35" i="3"/>
  <c r="AN267" i="6"/>
  <c r="AP267" i="6"/>
  <c r="W721" i="14"/>
  <c r="N726" i="14"/>
  <c r="BF37" i="14" s="1"/>
  <c r="H726" i="14"/>
  <c r="AZ37" i="14" s="1"/>
  <c r="AK460" i="14"/>
  <c r="AG460" i="14"/>
  <c r="H460" i="14"/>
  <c r="AG456" i="14"/>
  <c r="AJ460" i="14"/>
  <c r="K460" i="14"/>
  <c r="Z750" i="14"/>
  <c r="AE750" i="14" s="1"/>
  <c r="AU44" i="14" s="1"/>
  <c r="AL745" i="14"/>
  <c r="AL750" i="14" s="1"/>
  <c r="AH745" i="14"/>
  <c r="AH750" i="14" s="1"/>
  <c r="AM745" i="14"/>
  <c r="AM750" i="14" s="1"/>
  <c r="Z745" i="14"/>
  <c r="BE36" i="14"/>
  <c r="AJ596" i="7"/>
  <c r="AM517" i="14"/>
  <c r="R517" i="14"/>
  <c r="Y517" i="14" s="1"/>
  <c r="AH513" i="14"/>
  <c r="AL517" i="14"/>
  <c r="AH517" i="14"/>
  <c r="AL508" i="7"/>
  <c r="AL363" i="14"/>
  <c r="AH363" i="14"/>
  <c r="R363" i="14"/>
  <c r="Y363" i="14" s="1"/>
  <c r="AH359" i="14"/>
  <c r="AM363" i="14"/>
  <c r="AN692" i="14"/>
  <c r="AI692" i="14"/>
  <c r="AB692" i="14"/>
  <c r="AF692" i="14" s="1"/>
  <c r="AV41" i="14" s="1"/>
  <c r="AO692" i="14"/>
  <c r="S19" i="10"/>
  <c r="B69" i="8" s="1"/>
  <c r="E69" i="8" s="1"/>
  <c r="R19" i="10"/>
  <c r="Q27" i="10" s="1"/>
  <c r="B11" i="21"/>
  <c r="G380" i="7"/>
  <c r="AD427" i="6"/>
  <c r="I17" i="3"/>
  <c r="I16" i="3"/>
  <c r="I10" i="3"/>
  <c r="I19" i="3"/>
  <c r="I18" i="3"/>
  <c r="I15" i="3"/>
  <c r="Z353" i="14"/>
  <c r="AE353" i="14" s="1"/>
  <c r="AU25" i="14" s="1"/>
  <c r="AM348" i="14"/>
  <c r="AM353" i="14" s="1"/>
  <c r="AH348" i="14"/>
  <c r="AH353" i="14" s="1"/>
  <c r="Z348" i="14"/>
  <c r="AL348" i="14"/>
  <c r="AL353" i="14" s="1"/>
  <c r="D305" i="14"/>
  <c r="E305" i="14"/>
  <c r="E425" i="14"/>
  <c r="D425" i="14"/>
  <c r="AM115" i="14"/>
  <c r="R115" i="14"/>
  <c r="Y115" i="14" s="1"/>
  <c r="AL115" i="14"/>
  <c r="AH115" i="14"/>
  <c r="AH111" i="14"/>
  <c r="AN769" i="14"/>
  <c r="AI769" i="14"/>
  <c r="AO769" i="14"/>
  <c r="AB769" i="14"/>
  <c r="AF769" i="14" s="1"/>
  <c r="AV45" i="14" s="1"/>
  <c r="E229" i="14"/>
  <c r="D229" i="14"/>
  <c r="AL210" i="14"/>
  <c r="I40" i="11"/>
  <c r="B156" i="8" s="1"/>
  <c r="E156" i="8" s="1"/>
  <c r="AJ660" i="14"/>
  <c r="AK660" i="14"/>
  <c r="H660" i="14"/>
  <c r="AG656" i="14"/>
  <c r="AG660" i="14"/>
  <c r="K660" i="14"/>
  <c r="H422" i="14"/>
  <c r="K421" i="14"/>
  <c r="AG421" i="14" s="1"/>
  <c r="AG28" i="14" s="1"/>
  <c r="V6" i="13" s="1"/>
  <c r="AG417" i="14"/>
  <c r="AK422" i="14"/>
  <c r="K422" i="14"/>
  <c r="J39" i="11"/>
  <c r="B202" i="8" s="1"/>
  <c r="E202" i="8" s="1"/>
  <c r="AM268" i="14"/>
  <c r="R268" i="14"/>
  <c r="Y268" i="14" s="1"/>
  <c r="AL268" i="14"/>
  <c r="AH268" i="14"/>
  <c r="AH264" i="14"/>
  <c r="F116" i="7"/>
  <c r="AP150" i="6"/>
  <c r="AL150" i="6"/>
  <c r="AH150" i="6"/>
  <c r="AO150" i="6"/>
  <c r="AK150" i="6"/>
  <c r="AR150" i="6"/>
  <c r="AN150" i="6"/>
  <c r="AJ150" i="6"/>
  <c r="AQ150" i="6"/>
  <c r="AM150" i="6"/>
  <c r="AI150" i="6"/>
  <c r="AO183" i="6"/>
  <c r="AI268" i="14"/>
  <c r="AI264" i="14"/>
  <c r="U268" i="14"/>
  <c r="AA268" i="14" s="1"/>
  <c r="AO268" i="14"/>
  <c r="AN268" i="14"/>
  <c r="AN405" i="14"/>
  <c r="AN17" i="14" s="1"/>
  <c r="AI639" i="14"/>
  <c r="AI635" i="14"/>
  <c r="AO639" i="14"/>
  <c r="AN639" i="14"/>
  <c r="U639" i="14"/>
  <c r="AA639" i="14" s="1"/>
  <c r="AJ154" i="6"/>
  <c r="AH154" i="6"/>
  <c r="AJ421" i="14"/>
  <c r="AL421" i="14"/>
  <c r="AL15" i="14" s="1"/>
  <c r="L12" i="21" s="1"/>
  <c r="AK535" i="14"/>
  <c r="AN346" i="14"/>
  <c r="AJ346" i="14"/>
  <c r="AM346" i="14"/>
  <c r="AO346" i="14"/>
  <c r="AL346" i="14"/>
  <c r="AK346" i="14"/>
  <c r="AC259" i="6"/>
  <c r="E494" i="14"/>
  <c r="D494" i="14"/>
  <c r="E347" i="14"/>
  <c r="D347" i="14"/>
  <c r="U325" i="14"/>
  <c r="AA325" i="14" s="1"/>
  <c r="AN306" i="14"/>
  <c r="U306" i="14"/>
  <c r="AA306" i="14" s="1"/>
  <c r="AI306" i="14"/>
  <c r="AO306" i="14"/>
  <c r="AI302" i="14"/>
  <c r="AN19" i="14"/>
  <c r="L21" i="21" s="1"/>
  <c r="K192" i="14"/>
  <c r="AK192" i="14"/>
  <c r="AG192" i="14"/>
  <c r="H192" i="14"/>
  <c r="E192" i="14" s="1"/>
  <c r="AJ192" i="14"/>
  <c r="AG188" i="14"/>
  <c r="AJ134" i="14"/>
  <c r="K134" i="14"/>
  <c r="AG130" i="14"/>
  <c r="AK134" i="14"/>
  <c r="AG134" i="14"/>
  <c r="H134" i="14"/>
  <c r="E111" i="14"/>
  <c r="D111" i="14"/>
  <c r="AI28" i="14"/>
  <c r="X6" i="13" s="1"/>
  <c r="AI15" i="14"/>
  <c r="J13" i="21" s="1"/>
  <c r="K36" i="12"/>
  <c r="H36" i="12" s="1"/>
  <c r="L36" i="12"/>
  <c r="AM382" i="14"/>
  <c r="R382" i="14"/>
  <c r="Y382" i="14" s="1"/>
  <c r="AH378" i="14"/>
  <c r="AH382" i="14"/>
  <c r="AL382" i="14"/>
  <c r="E191" i="14"/>
  <c r="D191" i="14"/>
  <c r="AJ344" i="14"/>
  <c r="J42" i="11"/>
  <c r="B205" i="8" s="1"/>
  <c r="E205" i="8" s="1"/>
  <c r="F286" i="7"/>
  <c r="AQ311" i="6"/>
  <c r="AM311" i="6"/>
  <c r="AI311" i="6"/>
  <c r="AP311" i="6"/>
  <c r="AL311" i="6"/>
  <c r="AH311" i="6"/>
  <c r="AR311" i="6"/>
  <c r="AN311" i="6"/>
  <c r="AJ311" i="6"/>
  <c r="AO311" i="6"/>
  <c r="AK311" i="6"/>
  <c r="P21" i="12"/>
  <c r="AP427" i="6"/>
  <c r="AP428" i="6" s="1"/>
  <c r="AM19" i="14"/>
  <c r="O20" i="21" s="1"/>
  <c r="AM545" i="14"/>
  <c r="AH545" i="14"/>
  <c r="AL545" i="14"/>
  <c r="R34" i="10"/>
  <c r="O100" i="14"/>
  <c r="H100" i="14"/>
  <c r="AZ12" i="14" s="1"/>
  <c r="N100" i="14"/>
  <c r="BF12" i="14" s="1"/>
  <c r="M100" i="14"/>
  <c r="BI12" i="14" s="1"/>
  <c r="W96" i="14"/>
  <c r="AC159" i="6"/>
  <c r="AD159" i="6" s="1"/>
  <c r="P26" i="9"/>
  <c r="E421" i="14"/>
  <c r="L158" i="14"/>
  <c r="BC15" i="14" s="1"/>
  <c r="W157" i="14"/>
  <c r="S21" i="11"/>
  <c r="O487" i="7" s="1"/>
  <c r="AL488" i="7"/>
  <c r="AI58" i="17"/>
  <c r="K25" i="17"/>
  <c r="E614" i="7" s="1"/>
  <c r="AM211" i="14"/>
  <c r="R211" i="14"/>
  <c r="Y211" i="14" s="1"/>
  <c r="AH207" i="14"/>
  <c r="AL211" i="14"/>
  <c r="AH211" i="14"/>
  <c r="AH536" i="14"/>
  <c r="R536" i="14"/>
  <c r="Y536" i="14" s="1"/>
  <c r="AM536" i="14"/>
  <c r="AH532" i="14"/>
  <c r="BB10" i="14"/>
  <c r="AJ570" i="7"/>
  <c r="R81" i="3"/>
  <c r="G54" i="3"/>
  <c r="AB19" i="14"/>
  <c r="E176" i="14"/>
  <c r="D176" i="14"/>
  <c r="AN134" i="14"/>
  <c r="U134" i="14"/>
  <c r="AA134" i="14" s="1"/>
  <c r="AI130" i="14"/>
  <c r="AI134" i="14"/>
  <c r="AO134" i="14"/>
  <c r="AL14" i="14"/>
  <c r="L8" i="21" s="1"/>
  <c r="M8" i="21" s="1"/>
  <c r="N8" i="21" s="1"/>
  <c r="L63" i="17"/>
  <c r="D611" i="7"/>
  <c r="X380" i="6"/>
  <c r="G15" i="21"/>
  <c r="L321" i="7"/>
  <c r="F35" i="3"/>
  <c r="D15" i="21"/>
  <c r="I321" i="7"/>
  <c r="C35" i="3"/>
  <c r="AR267" i="6"/>
  <c r="AI267" i="6"/>
  <c r="AG706" i="14"/>
  <c r="AG711" i="14" s="1"/>
  <c r="AK706" i="14"/>
  <c r="AK711" i="14" s="1"/>
  <c r="AC702" i="14"/>
  <c r="AJ706" i="14"/>
  <c r="AJ711" i="14" s="1"/>
  <c r="X706" i="14"/>
  <c r="X711" i="14"/>
  <c r="AD711" i="14" s="1"/>
  <c r="AT42" i="14" s="1"/>
  <c r="AL512" i="7"/>
  <c r="E405" i="14"/>
  <c r="D405" i="14"/>
  <c r="D343" i="14"/>
  <c r="E343" i="14"/>
  <c r="AJ545" i="14"/>
  <c r="AG545" i="14"/>
  <c r="AK545" i="14"/>
  <c r="P32" i="9"/>
  <c r="F217" i="7"/>
  <c r="AR246" i="6"/>
  <c r="AN246" i="6"/>
  <c r="AJ246" i="6"/>
  <c r="AQ246" i="6"/>
  <c r="AM246" i="6"/>
  <c r="AI246" i="6"/>
  <c r="AO246" i="6"/>
  <c r="AK246" i="6"/>
  <c r="AP246" i="6"/>
  <c r="AL246" i="6"/>
  <c r="AH246" i="6"/>
  <c r="D19" i="21"/>
  <c r="I123" i="7"/>
  <c r="H599" i="14"/>
  <c r="AG599" i="14"/>
  <c r="AG595" i="14"/>
  <c r="AK599" i="14"/>
  <c r="K599" i="14"/>
  <c r="AJ599" i="14"/>
  <c r="J41" i="11"/>
  <c r="B204" i="8" s="1"/>
  <c r="E204" i="8" s="1"/>
  <c r="K536" i="14"/>
  <c r="AG532" i="14"/>
  <c r="AK536" i="14"/>
  <c r="AG536" i="14"/>
  <c r="H536" i="14"/>
  <c r="AL559" i="14"/>
  <c r="AH559" i="14"/>
  <c r="AH555" i="14"/>
  <c r="AM559" i="14"/>
  <c r="R559" i="14"/>
  <c r="Y559" i="14" s="1"/>
  <c r="AM173" i="14"/>
  <c r="R173" i="14"/>
  <c r="Y173" i="14" s="1"/>
  <c r="AH169" i="14"/>
  <c r="AL173" i="14"/>
  <c r="AH173" i="14"/>
  <c r="AO105" i="14"/>
  <c r="AB105" i="14"/>
  <c r="AF105" i="14" s="1"/>
  <c r="AV12" i="14" s="1"/>
  <c r="AN105" i="14"/>
  <c r="AI105" i="14"/>
  <c r="AJ230" i="14"/>
  <c r="AG226" i="14"/>
  <c r="K230" i="14"/>
  <c r="AK230" i="14"/>
  <c r="AG230" i="14"/>
  <c r="H230" i="14"/>
  <c r="AO353" i="14"/>
  <c r="AB353" i="14"/>
  <c r="AF353" i="14" s="1"/>
  <c r="AV25" i="14" s="1"/>
  <c r="AN353" i="14"/>
  <c r="AI353" i="14"/>
  <c r="AO579" i="14"/>
  <c r="U579" i="14"/>
  <c r="AA579" i="14" s="1"/>
  <c r="AN579" i="14"/>
  <c r="AI579" i="14"/>
  <c r="AI575" i="14"/>
  <c r="AM210" i="14"/>
  <c r="J40" i="11"/>
  <c r="B203" i="8" s="1"/>
  <c r="E203" i="8" s="1"/>
  <c r="E513" i="14"/>
  <c r="D513" i="14"/>
  <c r="N81" i="14"/>
  <c r="BF11" i="14" s="1"/>
  <c r="M81" i="14"/>
  <c r="BI11" i="14" s="1"/>
  <c r="W77" i="14"/>
  <c r="O81" i="14"/>
  <c r="H81" i="14"/>
  <c r="AZ11" i="14" s="1"/>
  <c r="K249" i="14"/>
  <c r="AG245" i="14"/>
  <c r="AK249" i="14"/>
  <c r="AG249" i="14"/>
  <c r="H249" i="14"/>
  <c r="AJ249" i="14"/>
  <c r="AO619" i="14"/>
  <c r="AN619" i="14"/>
  <c r="AI619" i="14"/>
  <c r="U619" i="14"/>
  <c r="AA619" i="14" s="1"/>
  <c r="AI615" i="14"/>
  <c r="BB24" i="14"/>
  <c r="AJ584" i="7"/>
  <c r="R90" i="3"/>
  <c r="G68" i="3"/>
  <c r="L81" i="14"/>
  <c r="BC11" i="14" s="1"/>
  <c r="W80" i="14"/>
  <c r="X159" i="6"/>
  <c r="AM639" i="14"/>
  <c r="AH635" i="14"/>
  <c r="AH639" i="14"/>
  <c r="AL639" i="14"/>
  <c r="R639" i="14"/>
  <c r="Y639" i="14" s="1"/>
  <c r="R37" i="10"/>
  <c r="AK183" i="6"/>
  <c r="AH183" i="6"/>
  <c r="AJ183" i="6"/>
  <c r="AL405" i="14"/>
  <c r="AL17" i="14" s="1"/>
  <c r="L16" i="21" s="1"/>
  <c r="AK405" i="14"/>
  <c r="AK17" i="14" s="1"/>
  <c r="E397" i="14"/>
  <c r="D397" i="14"/>
  <c r="F174" i="7"/>
  <c r="AJ193" i="6"/>
  <c r="AK193" i="6"/>
  <c r="AM193" i="6"/>
  <c r="AP193" i="6"/>
  <c r="AO193" i="6"/>
  <c r="AR193" i="6"/>
  <c r="AI193" i="6"/>
  <c r="AL193" i="6"/>
  <c r="AH193" i="6"/>
  <c r="AQ193" i="6"/>
  <c r="AN193" i="6"/>
  <c r="AI154" i="6"/>
  <c r="AN154" i="6"/>
  <c r="AL154" i="6"/>
  <c r="AN421" i="14"/>
  <c r="AN422" i="14" s="1"/>
  <c r="AM535" i="14"/>
  <c r="AO535" i="14"/>
  <c r="AO536" i="14" s="1"/>
  <c r="G53" i="11"/>
  <c r="H51" i="11" s="1"/>
  <c r="AM512" i="7" s="1"/>
  <c r="AL510" i="7"/>
  <c r="X259" i="6"/>
  <c r="Z259" i="6"/>
  <c r="K498" i="14"/>
  <c r="AG494" i="14"/>
  <c r="AK498" i="14"/>
  <c r="AG498" i="14"/>
  <c r="H498" i="14"/>
  <c r="E498" i="14" s="1"/>
  <c r="AJ498" i="14"/>
  <c r="W347" i="14"/>
  <c r="AN325" i="14"/>
  <c r="E169" i="14"/>
  <c r="D169" i="14"/>
  <c r="AO19" i="14"/>
  <c r="O21" i="21" s="1"/>
  <c r="AJ287" i="14"/>
  <c r="AG283" i="14"/>
  <c r="AK287" i="14"/>
  <c r="K287" i="14"/>
  <c r="AG287" i="14"/>
  <c r="H287" i="14"/>
  <c r="E287" i="14" s="1"/>
  <c r="Q36" i="12"/>
  <c r="B251" i="8" s="1"/>
  <c r="E251" i="8" s="1"/>
  <c r="L35" i="12"/>
  <c r="K35" i="12"/>
  <c r="H35" i="12" s="1"/>
  <c r="H37" i="12" s="1"/>
  <c r="E267" i="14"/>
  <c r="D267" i="14"/>
  <c r="AQ284" i="6"/>
  <c r="AM284" i="6"/>
  <c r="AI284" i="6"/>
  <c r="AP284" i="6"/>
  <c r="AL284" i="6"/>
  <c r="AH284" i="6"/>
  <c r="AR284" i="6"/>
  <c r="AN284" i="6"/>
  <c r="AJ284" i="6"/>
  <c r="F261" i="7"/>
  <c r="AO284" i="6"/>
  <c r="AK284" i="6"/>
  <c r="H344" i="14"/>
  <c r="W501" i="14"/>
  <c r="L502" i="14"/>
  <c r="BC33" i="14" s="1"/>
  <c r="H42" i="11"/>
  <c r="AM503" i="7" s="1"/>
  <c r="AM479" i="14"/>
  <c r="R479" i="14"/>
  <c r="Y479" i="14" s="1"/>
  <c r="AL479" i="14"/>
  <c r="AH479" i="14"/>
  <c r="AH475" i="14"/>
  <c r="AO494" i="14"/>
  <c r="AO14" i="14" s="1"/>
  <c r="O9" i="21" s="1"/>
  <c r="E763" i="14"/>
  <c r="D763" i="14"/>
  <c r="AL722" i="14"/>
  <c r="AO722" i="14"/>
  <c r="AK722" i="14"/>
  <c r="AN722" i="14"/>
  <c r="AJ722" i="14"/>
  <c r="AM722" i="14"/>
  <c r="F11" i="21"/>
  <c r="K380" i="7"/>
  <c r="AA429" i="6"/>
  <c r="D309" i="14"/>
  <c r="E309" i="14"/>
  <c r="AL19" i="14"/>
  <c r="L20" i="21" s="1"/>
  <c r="M20" i="21" s="1"/>
  <c r="N20" i="21" s="1"/>
  <c r="B89" i="8"/>
  <c r="E89" i="8" s="1"/>
  <c r="B104" i="8"/>
  <c r="E104" i="8" s="1"/>
  <c r="S38" i="10"/>
  <c r="B97" i="8" s="1"/>
  <c r="E97" i="8" s="1"/>
  <c r="D468" i="7"/>
  <c r="E468" i="7"/>
  <c r="AN230" i="14"/>
  <c r="U230" i="14"/>
  <c r="AA230" i="14" s="1"/>
  <c r="AI230" i="14"/>
  <c r="AI226" i="14"/>
  <c r="AO230" i="14"/>
  <c r="AL460" i="14"/>
  <c r="R460" i="14"/>
  <c r="Y460" i="14" s="1"/>
  <c r="AM460" i="14"/>
  <c r="AH460" i="14"/>
  <c r="AH456" i="14"/>
  <c r="Z769" i="14"/>
  <c r="AE769" i="14" s="1"/>
  <c r="AU45" i="14" s="1"/>
  <c r="AL764" i="14"/>
  <c r="AL769" i="14" s="1"/>
  <c r="Z764" i="14"/>
  <c r="AH764" i="14"/>
  <c r="AH769" i="14" s="1"/>
  <c r="AM764" i="14"/>
  <c r="AM769" i="14" s="1"/>
  <c r="D378" i="14"/>
  <c r="E378" i="14"/>
  <c r="H579" i="14"/>
  <c r="AK579" i="14"/>
  <c r="AG579" i="14"/>
  <c r="AG575" i="14"/>
  <c r="AJ579" i="14"/>
  <c r="K579" i="14"/>
  <c r="L196" i="14"/>
  <c r="BC17" i="14" s="1"/>
  <c r="W195" i="14"/>
  <c r="Y405" i="14"/>
  <c r="AH405" i="14"/>
  <c r="AH17" i="14" s="1"/>
  <c r="J16" i="21" s="1"/>
  <c r="AI517" i="14"/>
  <c r="AO517" i="14"/>
  <c r="U517" i="14"/>
  <c r="AA517" i="14" s="1"/>
  <c r="AN517" i="14"/>
  <c r="AI513" i="14"/>
  <c r="AL619" i="14"/>
  <c r="AH619" i="14"/>
  <c r="AH615" i="14"/>
  <c r="R619" i="14"/>
  <c r="Y619" i="14" s="1"/>
  <c r="AM619" i="14"/>
  <c r="E57" i="14"/>
  <c r="N61" i="14"/>
  <c r="BF10" i="14" s="1"/>
  <c r="M61" i="14"/>
  <c r="BI10" i="14" s="1"/>
  <c r="O61" i="14"/>
  <c r="H61" i="14"/>
  <c r="W57" i="14"/>
  <c r="K639" i="14"/>
  <c r="AJ639" i="14"/>
  <c r="AG635" i="14"/>
  <c r="AG639" i="14"/>
  <c r="H639" i="14"/>
  <c r="AK639" i="14"/>
  <c r="P38" i="12"/>
  <c r="I23" i="11"/>
  <c r="B139" i="8" s="1"/>
  <c r="E139" i="8" s="1"/>
  <c r="B62" i="8"/>
  <c r="E62" i="8" s="1"/>
  <c r="B8" i="8"/>
  <c r="E8" i="8" s="1"/>
  <c r="L25" i="17"/>
  <c r="D614" i="7"/>
  <c r="I38" i="11"/>
  <c r="B154" i="8" s="1"/>
  <c r="E154" i="8" s="1"/>
  <c r="E437" i="14"/>
  <c r="D437" i="14"/>
  <c r="AJ19" i="14"/>
  <c r="L19" i="21" s="1"/>
  <c r="M19" i="21" s="1"/>
  <c r="N19" i="21" s="1"/>
  <c r="AK19" i="14"/>
  <c r="O19" i="21" s="1"/>
  <c r="AN287" i="14"/>
  <c r="U287" i="14"/>
  <c r="AA287" i="14" s="1"/>
  <c r="AI287" i="14"/>
  <c r="AI283" i="14"/>
  <c r="AO287" i="14"/>
  <c r="AA380" i="6"/>
  <c r="AB382" i="6" s="1"/>
  <c r="AK267" i="6"/>
  <c r="AC380" i="6"/>
  <c r="AH267" i="6"/>
  <c r="H764" i="14"/>
  <c r="AZ39" i="14" s="1"/>
  <c r="N764" i="14"/>
  <c r="BF39" i="14" s="1"/>
  <c r="W760" i="14"/>
  <c r="AL706" i="14"/>
  <c r="AL711" i="14" s="1"/>
  <c r="Z706" i="14"/>
  <c r="AM706" i="14"/>
  <c r="AM711" i="14" s="1"/>
  <c r="AH706" i="14"/>
  <c r="AH711" i="14" s="1"/>
  <c r="Z711" i="14"/>
  <c r="AE711" i="14" s="1"/>
  <c r="AU42" i="14" s="1"/>
  <c r="E459" i="7"/>
  <c r="D459" i="7"/>
  <c r="H687" i="14"/>
  <c r="W683" i="14"/>
  <c r="AN660" i="14"/>
  <c r="AO660" i="14"/>
  <c r="AI660" i="14"/>
  <c r="U660" i="14"/>
  <c r="AA660" i="14" s="1"/>
  <c r="AI656" i="14"/>
  <c r="AO163" i="14"/>
  <c r="AB163" i="14"/>
  <c r="AF163" i="14" s="1"/>
  <c r="AV15" i="14" s="1"/>
  <c r="AN163" i="14"/>
  <c r="AI163" i="14"/>
  <c r="AI86" i="14"/>
  <c r="AO86" i="14"/>
  <c r="AB86" i="14"/>
  <c r="AF86" i="14" s="1"/>
  <c r="AV11" i="14" s="1"/>
  <c r="AN86" i="14"/>
  <c r="H41" i="11"/>
  <c r="AM502" i="7" s="1"/>
  <c r="D207" i="14"/>
  <c r="E207" i="14"/>
  <c r="AN427" i="6"/>
  <c r="W425" i="14"/>
  <c r="L426" i="14"/>
  <c r="BC29" i="14" s="1"/>
  <c r="AJ306" i="14"/>
  <c r="AG302" i="14"/>
  <c r="AK306" i="14"/>
  <c r="AG306" i="14"/>
  <c r="H306" i="14"/>
  <c r="K306" i="14"/>
  <c r="E466" i="7"/>
  <c r="D466" i="7"/>
  <c r="AM192" i="14"/>
  <c r="R192" i="14"/>
  <c r="Y192" i="14" s="1"/>
  <c r="AL192" i="14"/>
  <c r="AH192" i="14"/>
  <c r="AH188" i="14"/>
  <c r="AM134" i="14"/>
  <c r="R134" i="14"/>
  <c r="Y134" i="14" s="1"/>
  <c r="AH130" i="14"/>
  <c r="AL134" i="14"/>
  <c r="AH134" i="14"/>
  <c r="AM287" i="14"/>
  <c r="R287" i="14"/>
  <c r="Y287" i="14" s="1"/>
  <c r="AL287" i="14"/>
  <c r="AH287" i="14"/>
  <c r="AH283" i="14"/>
  <c r="AN382" i="14"/>
  <c r="U382" i="14"/>
  <c r="AA382" i="14" s="1"/>
  <c r="AI378" i="14"/>
  <c r="AI382" i="14"/>
  <c r="AO382" i="14"/>
  <c r="G11" i="21"/>
  <c r="L380" i="7"/>
  <c r="AB429" i="6"/>
  <c r="AK210" i="14"/>
  <c r="AK28" i="14" s="1"/>
  <c r="AJ210" i="14"/>
  <c r="AJ28" i="14" s="1"/>
  <c r="K517" i="14"/>
  <c r="AG513" i="14"/>
  <c r="AK517" i="14"/>
  <c r="AG517" i="14"/>
  <c r="H517" i="14"/>
  <c r="E517" i="14" s="1"/>
  <c r="AJ517" i="14"/>
  <c r="E417" i="14"/>
  <c r="D417" i="14"/>
  <c r="H39" i="11"/>
  <c r="AM500" i="7" s="1"/>
  <c r="E475" i="14"/>
  <c r="D475" i="14"/>
  <c r="F191" i="7"/>
  <c r="AQ210" i="6"/>
  <c r="AM210" i="6"/>
  <c r="AI210" i="6"/>
  <c r="AP210" i="6"/>
  <c r="AL210" i="6"/>
  <c r="AH210" i="6"/>
  <c r="AR210" i="6"/>
  <c r="AJ210" i="6"/>
  <c r="AO210" i="6"/>
  <c r="AN210" i="6"/>
  <c r="AK210" i="6"/>
  <c r="AP183" i="6"/>
  <c r="AL183" i="6"/>
  <c r="AM183" i="6"/>
  <c r="AN183" i="6"/>
  <c r="AM405" i="14"/>
  <c r="AM17" i="14" s="1"/>
  <c r="O16" i="21" s="1"/>
  <c r="AO405" i="14"/>
  <c r="AO17" i="14" s="1"/>
  <c r="K401" i="14"/>
  <c r="L406" i="14" s="1"/>
  <c r="BC28" i="14" s="1"/>
  <c r="AG397" i="14"/>
  <c r="AK401" i="14"/>
  <c r="AG401" i="14"/>
  <c r="H401" i="14"/>
  <c r="AJ401" i="14"/>
  <c r="AM154" i="6"/>
  <c r="AR154" i="6"/>
  <c r="AK154" i="6"/>
  <c r="AP154" i="6"/>
  <c r="AK421" i="14"/>
  <c r="AK15" i="14" s="1"/>
  <c r="AJ535" i="14"/>
  <c r="AJ536" i="14" s="1"/>
  <c r="AL535" i="14"/>
  <c r="AL536" i="14" s="1"/>
  <c r="F151" i="7"/>
  <c r="AP170" i="6"/>
  <c r="AL170" i="6"/>
  <c r="AH170" i="6"/>
  <c r="AO170" i="6"/>
  <c r="AO259" i="6" s="1"/>
  <c r="AK170" i="6"/>
  <c r="AR170" i="6"/>
  <c r="AN170" i="6"/>
  <c r="AJ170" i="6"/>
  <c r="AQ170" i="6"/>
  <c r="AM170" i="6"/>
  <c r="AI170" i="6"/>
  <c r="V259" i="6"/>
  <c r="AB259" i="6"/>
  <c r="AN559" i="14"/>
  <c r="AI559" i="14"/>
  <c r="U559" i="14"/>
  <c r="AA559" i="14" s="1"/>
  <c r="AI555" i="14"/>
  <c r="AO559" i="14"/>
  <c r="AO441" i="14"/>
  <c r="AN441" i="14"/>
  <c r="AI441" i="14"/>
  <c r="AI437" i="14"/>
  <c r="U441" i="14"/>
  <c r="AA441" i="14" s="1"/>
  <c r="AO325" i="14"/>
  <c r="F207" i="7"/>
  <c r="AH234" i="6"/>
  <c r="AK234" i="6"/>
  <c r="AM234" i="6"/>
  <c r="AR234" i="6"/>
  <c r="AI234" i="6"/>
  <c r="AP234" i="6"/>
  <c r="AJ234" i="6"/>
  <c r="AL234" i="6"/>
  <c r="AO234" i="6"/>
  <c r="AQ234" i="6"/>
  <c r="AN234" i="6"/>
  <c r="K173" i="14"/>
  <c r="AG169" i="14"/>
  <c r="AK173" i="14"/>
  <c r="AG173" i="14"/>
  <c r="H173" i="14"/>
  <c r="E173" i="14" s="1"/>
  <c r="AJ173" i="14"/>
  <c r="F103" i="7"/>
  <c r="AQ135" i="6"/>
  <c r="AQ159" i="6" s="1"/>
  <c r="AM135" i="6"/>
  <c r="AM159" i="6" s="1"/>
  <c r="AI135" i="6"/>
  <c r="AI159" i="6" s="1"/>
  <c r="AP135" i="6"/>
  <c r="AP159" i="6" s="1"/>
  <c r="AL135" i="6"/>
  <c r="AL159" i="6" s="1"/>
  <c r="AH135" i="6"/>
  <c r="AH159" i="6" s="1"/>
  <c r="AO135" i="6"/>
  <c r="AO159" i="6" s="1"/>
  <c r="AK135" i="6"/>
  <c r="AR135" i="6"/>
  <c r="AR159" i="6" s="1"/>
  <c r="AN135" i="6"/>
  <c r="AJ135" i="6"/>
  <c r="AJ159" i="6" s="1"/>
  <c r="AJ115" i="14"/>
  <c r="AG111" i="14"/>
  <c r="AG14" i="14" s="1"/>
  <c r="J7" i="21" s="1"/>
  <c r="K115" i="14"/>
  <c r="AK115" i="14"/>
  <c r="AG115" i="14"/>
  <c r="H115" i="14"/>
  <c r="E115" i="14" s="1"/>
  <c r="R36" i="12"/>
  <c r="B273" i="8" s="1"/>
  <c r="E273" i="8" s="1"/>
  <c r="AL579" i="14"/>
  <c r="AH579" i="14"/>
  <c r="AH575" i="14"/>
  <c r="R579" i="14"/>
  <c r="Y579" i="14" s="1"/>
  <c r="AM579" i="14"/>
  <c r="AL28" i="14"/>
  <c r="AG344" i="14"/>
  <c r="E264" i="14"/>
  <c r="D264" i="14"/>
  <c r="E286" i="14"/>
  <c r="D286" i="14"/>
  <c r="N329" i="14"/>
  <c r="BF24" i="14" s="1"/>
  <c r="M329" i="14"/>
  <c r="BI24" i="14" s="1"/>
  <c r="W325" i="14"/>
  <c r="O329" i="14"/>
  <c r="H329" i="14"/>
  <c r="AZ24" i="14" s="1"/>
  <c r="AO363" i="14"/>
  <c r="U363" i="14"/>
  <c r="AA363" i="14" s="1"/>
  <c r="AI363" i="14"/>
  <c r="AI359" i="14"/>
  <c r="AN363" i="14"/>
  <c r="AN599" i="14"/>
  <c r="AI599" i="14"/>
  <c r="U599" i="14"/>
  <c r="AA599" i="14" s="1"/>
  <c r="AI595" i="14"/>
  <c r="AO599" i="14"/>
  <c r="E324" i="14"/>
  <c r="D324" i="14"/>
  <c r="E467" i="7"/>
  <c r="D467" i="7"/>
  <c r="Q237" i="5"/>
  <c r="Q236" i="5" s="1"/>
  <c r="U536" i="14"/>
  <c r="AA536" i="14" s="1"/>
  <c r="AI532" i="14"/>
  <c r="AI536" i="14"/>
  <c r="H559" i="14"/>
  <c r="AG559" i="14"/>
  <c r="AG555" i="14"/>
  <c r="AK559" i="14"/>
  <c r="K559" i="14"/>
  <c r="AJ559" i="14"/>
  <c r="AL441" i="14"/>
  <c r="R441" i="14"/>
  <c r="Y441" i="14" s="1"/>
  <c r="AM441" i="14"/>
  <c r="AH441" i="14"/>
  <c r="AH437" i="14"/>
  <c r="AH19" i="14"/>
  <c r="J20" i="21" s="1"/>
  <c r="AH28" i="14"/>
  <c r="W6" i="13" s="1"/>
  <c r="AH15" i="14"/>
  <c r="J12" i="21" s="1"/>
  <c r="AJ382" i="14"/>
  <c r="K382" i="14"/>
  <c r="AG382" i="14"/>
  <c r="H382" i="14"/>
  <c r="E382" i="14" s="1"/>
  <c r="AG378" i="14"/>
  <c r="AK382" i="14"/>
  <c r="E458" i="7"/>
  <c r="D458" i="7"/>
  <c r="E195" i="14"/>
  <c r="D195" i="14"/>
  <c r="AL470" i="7"/>
  <c r="G15" i="11"/>
  <c r="I11" i="11" s="1"/>
  <c r="R660" i="14"/>
  <c r="Y660" i="14" s="1"/>
  <c r="AH656" i="14"/>
  <c r="AM660" i="14"/>
  <c r="AH660" i="14"/>
  <c r="AL660" i="14"/>
  <c r="AI422" i="14"/>
  <c r="U422" i="14"/>
  <c r="AA422" i="14" s="1"/>
  <c r="AI417" i="14"/>
  <c r="AL490" i="7"/>
  <c r="Z159" i="6"/>
  <c r="AI479" i="14"/>
  <c r="AI475" i="14"/>
  <c r="AO479" i="14"/>
  <c r="AN479" i="14"/>
  <c r="U479" i="14"/>
  <c r="AA479" i="14" s="1"/>
  <c r="E157" i="14"/>
  <c r="D157" i="14"/>
  <c r="R33" i="10"/>
  <c r="Q38" i="10" s="1"/>
  <c r="P17" i="12"/>
  <c r="G48" i="11"/>
  <c r="I47" i="11" s="1"/>
  <c r="B163" i="8" s="1"/>
  <c r="E163" i="8" s="1"/>
  <c r="BC59" i="5"/>
  <c r="AY59" i="5"/>
  <c r="AU59" i="5"/>
  <c r="AQ59" i="5"/>
  <c r="BE58" i="5"/>
  <c r="BA58" i="5"/>
  <c r="AW58" i="5"/>
  <c r="AS58" i="5"/>
  <c r="AO58" i="5"/>
  <c r="BC57" i="5"/>
  <c r="AY57" i="5"/>
  <c r="AU57" i="5"/>
  <c r="AQ57" i="5"/>
  <c r="BE56" i="5"/>
  <c r="BA56" i="5"/>
  <c r="AW56" i="5"/>
  <c r="AS56" i="5"/>
  <c r="AO56" i="5"/>
  <c r="BC55" i="5"/>
  <c r="AY55" i="5"/>
  <c r="AU55" i="5"/>
  <c r="AQ55" i="5"/>
  <c r="BE54" i="5"/>
  <c r="BA54" i="5"/>
  <c r="AW54" i="5"/>
  <c r="AS54" i="5"/>
  <c r="AO54" i="5"/>
  <c r="BC53" i="5"/>
  <c r="AY53" i="5"/>
  <c r="AU53" i="5"/>
  <c r="AQ53" i="5"/>
  <c r="BE52" i="5"/>
  <c r="BA52" i="5"/>
  <c r="AW52" i="5"/>
  <c r="AS52" i="5"/>
  <c r="AO52" i="5"/>
  <c r="BC51" i="5"/>
  <c r="AY51" i="5"/>
  <c r="AU51" i="5"/>
  <c r="AQ51" i="5"/>
  <c r="BE50" i="5"/>
  <c r="BA50" i="5"/>
  <c r="AW50" i="5"/>
  <c r="AS50" i="5"/>
  <c r="BB59" i="5"/>
  <c r="AT59" i="5"/>
  <c r="BD58" i="5"/>
  <c r="AV58" i="5"/>
  <c r="AX57" i="5"/>
  <c r="AP57" i="5"/>
  <c r="AZ56" i="5"/>
  <c r="BF55" i="5"/>
  <c r="AX55" i="5"/>
  <c r="BD54" i="5"/>
  <c r="AV54" i="5"/>
  <c r="AX53" i="5"/>
  <c r="BD52" i="5"/>
  <c r="AV52" i="5"/>
  <c r="BB51" i="5"/>
  <c r="AP51" i="5"/>
  <c r="AR50" i="5"/>
  <c r="BE59" i="5"/>
  <c r="BA59" i="5"/>
  <c r="AW59" i="5"/>
  <c r="AS59" i="5"/>
  <c r="AO59" i="5"/>
  <c r="BC58" i="5"/>
  <c r="AY58" i="5"/>
  <c r="AU58" i="5"/>
  <c r="AQ58" i="5"/>
  <c r="BE57" i="5"/>
  <c r="BA57" i="5"/>
  <c r="AW57" i="5"/>
  <c r="AS57" i="5"/>
  <c r="AO57" i="5"/>
  <c r="BC56" i="5"/>
  <c r="AY56" i="5"/>
  <c r="AU56" i="5"/>
  <c r="AQ56" i="5"/>
  <c r="BE55" i="5"/>
  <c r="BA55" i="5"/>
  <c r="AW55" i="5"/>
  <c r="AS55" i="5"/>
  <c r="AO55" i="5"/>
  <c r="BC54" i="5"/>
  <c r="AY54" i="5"/>
  <c r="AU54" i="5"/>
  <c r="AQ54" i="5"/>
  <c r="BE53" i="5"/>
  <c r="BA53" i="5"/>
  <c r="AW53" i="5"/>
  <c r="AS53" i="5"/>
  <c r="AO53" i="5"/>
  <c r="BC52" i="5"/>
  <c r="AY52" i="5"/>
  <c r="AU52" i="5"/>
  <c r="AQ52" i="5"/>
  <c r="BE51" i="5"/>
  <c r="BA51" i="5"/>
  <c r="AW51" i="5"/>
  <c r="AS51" i="5"/>
  <c r="AO51" i="5"/>
  <c r="BC50" i="5"/>
  <c r="AY50" i="5"/>
  <c r="AU50" i="5"/>
  <c r="AQ50" i="5"/>
  <c r="BF57" i="5"/>
  <c r="AV56" i="5"/>
  <c r="AP55" i="5"/>
  <c r="BF53" i="5"/>
  <c r="AP53" i="5"/>
  <c r="AR52" i="5"/>
  <c r="AT51" i="5"/>
  <c r="AZ50" i="5"/>
  <c r="BD59" i="5"/>
  <c r="AZ59" i="5"/>
  <c r="AV59" i="5"/>
  <c r="AR59" i="5"/>
  <c r="BF58" i="5"/>
  <c r="BB58" i="5"/>
  <c r="AX58" i="5"/>
  <c r="AT58" i="5"/>
  <c r="AP58" i="5"/>
  <c r="BD57" i="5"/>
  <c r="AZ57" i="5"/>
  <c r="AV57" i="5"/>
  <c r="AR57" i="5"/>
  <c r="BF56" i="5"/>
  <c r="BB56" i="5"/>
  <c r="AX56" i="5"/>
  <c r="AT56" i="5"/>
  <c r="AP56" i="5"/>
  <c r="BD55" i="5"/>
  <c r="AZ55" i="5"/>
  <c r="AV55" i="5"/>
  <c r="AR55" i="5"/>
  <c r="BF54" i="5"/>
  <c r="BB54" i="5"/>
  <c r="AX54" i="5"/>
  <c r="AT54" i="5"/>
  <c r="AP54" i="5"/>
  <c r="BD53" i="5"/>
  <c r="AZ53" i="5"/>
  <c r="AV53" i="5"/>
  <c r="AR53" i="5"/>
  <c r="BF52" i="5"/>
  <c r="BB52" i="5"/>
  <c r="AX52" i="5"/>
  <c r="AT52" i="5"/>
  <c r="AP52" i="5"/>
  <c r="BD51" i="5"/>
  <c r="AZ51" i="5"/>
  <c r="AV51" i="5"/>
  <c r="AR51" i="5"/>
  <c r="BF50" i="5"/>
  <c r="BB50" i="5"/>
  <c r="AX50" i="5"/>
  <c r="AT50" i="5"/>
  <c r="AP50" i="5"/>
  <c r="BF59" i="5"/>
  <c r="AX59" i="5"/>
  <c r="AP59" i="5"/>
  <c r="AZ58" i="5"/>
  <c r="AR58" i="5"/>
  <c r="BB57" i="5"/>
  <c r="AT57" i="5"/>
  <c r="BD56" i="5"/>
  <c r="AR56" i="5"/>
  <c r="BB55" i="5"/>
  <c r="AT55" i="5"/>
  <c r="AZ54" i="5"/>
  <c r="AR54" i="5"/>
  <c r="BB53" i="5"/>
  <c r="AT53" i="5"/>
  <c r="AZ52" i="5"/>
  <c r="BF51" i="5"/>
  <c r="AX51" i="5"/>
  <c r="BD50" i="5"/>
  <c r="AV50" i="5"/>
  <c r="AO50" i="5"/>
  <c r="AL599" i="14"/>
  <c r="AH599" i="14"/>
  <c r="AH595" i="14"/>
  <c r="AM599" i="14"/>
  <c r="R599" i="14"/>
  <c r="Y599" i="14" s="1"/>
  <c r="AI498" i="14"/>
  <c r="AO498" i="14"/>
  <c r="U498" i="14"/>
  <c r="AA498" i="14" s="1"/>
  <c r="AN498" i="14"/>
  <c r="AI494" i="14"/>
  <c r="J38" i="11"/>
  <c r="B201" i="8" s="1"/>
  <c r="E201" i="8" s="1"/>
  <c r="AK441" i="14"/>
  <c r="AG441" i="14"/>
  <c r="H441" i="14"/>
  <c r="AG437" i="14"/>
  <c r="AJ441" i="14"/>
  <c r="K441" i="14"/>
  <c r="W181" i="14"/>
  <c r="AE19" i="14"/>
  <c r="AI192" i="14"/>
  <c r="AI188" i="14"/>
  <c r="AO192" i="14"/>
  <c r="AN192" i="14"/>
  <c r="U192" i="14"/>
  <c r="AA192" i="14" s="1"/>
  <c r="AI54" i="17"/>
  <c r="K63" i="17"/>
  <c r="E611" i="7" s="1"/>
  <c r="E114" i="14"/>
  <c r="D114" i="14"/>
  <c r="AB15" i="14"/>
  <c r="H17" i="11"/>
  <c r="AM478" i="7" s="1"/>
  <c r="J17" i="11"/>
  <c r="B180" i="8" s="1"/>
  <c r="E180" i="8" s="1"/>
  <c r="AL478" i="7"/>
  <c r="I17" i="11"/>
  <c r="B133" i="8" s="1"/>
  <c r="E133" i="8" s="1"/>
  <c r="V380" i="6"/>
  <c r="F245" i="7"/>
  <c r="AQ267" i="6"/>
  <c r="AM230" i="14"/>
  <c r="R230" i="14"/>
  <c r="Y230" i="14" s="1"/>
  <c r="AL230" i="14"/>
  <c r="AH230" i="14"/>
  <c r="AH226" i="14"/>
  <c r="E456" i="14"/>
  <c r="D456" i="14"/>
  <c r="H11" i="21"/>
  <c r="M380" i="7"/>
  <c r="J10" i="3"/>
  <c r="AG405" i="14"/>
  <c r="AG17" i="14" s="1"/>
  <c r="W405" i="14"/>
  <c r="R422" i="14"/>
  <c r="Y422" i="14" s="1"/>
  <c r="AH422" i="14"/>
  <c r="AL422" i="14"/>
  <c r="AH417" i="14"/>
  <c r="R30" i="12"/>
  <c r="B268" i="8" s="1"/>
  <c r="E268" i="8" s="1"/>
  <c r="R29" i="12"/>
  <c r="B271" i="8" s="1"/>
  <c r="E271" i="8" s="1"/>
  <c r="R28" i="12"/>
  <c r="B270" i="8" s="1"/>
  <c r="E270" i="8" s="1"/>
  <c r="R27" i="12"/>
  <c r="B269" i="8" s="1"/>
  <c r="E269" i="8" s="1"/>
  <c r="Q30" i="12"/>
  <c r="B227" i="8"/>
  <c r="E227" i="8" s="1"/>
  <c r="Q28" i="12"/>
  <c r="Q29" i="12"/>
  <c r="Q27" i="12"/>
  <c r="AL249" i="14"/>
  <c r="AH249" i="14"/>
  <c r="AM249" i="14"/>
  <c r="R249" i="14"/>
  <c r="Y249" i="14" s="1"/>
  <c r="AH245" i="14"/>
  <c r="H619" i="14"/>
  <c r="AK619" i="14"/>
  <c r="K619" i="14"/>
  <c r="AJ619" i="14"/>
  <c r="AG619" i="14"/>
  <c r="AG615" i="14"/>
  <c r="G19" i="21"/>
  <c r="L123" i="7"/>
  <c r="AB14" i="14"/>
  <c r="AM401" i="14"/>
  <c r="R401" i="14"/>
  <c r="Y401" i="14" s="1"/>
  <c r="AH397" i="14"/>
  <c r="AL401" i="14"/>
  <c r="AH401" i="14"/>
  <c r="I41" i="11"/>
  <c r="B157" i="8" s="1"/>
  <c r="E157" i="8" s="1"/>
  <c r="AL61" i="14"/>
  <c r="Z61" i="14"/>
  <c r="Z66" i="14"/>
  <c r="AE66" i="14" s="1"/>
  <c r="AU10" i="14" s="1"/>
  <c r="AM61" i="14"/>
  <c r="AH61" i="14"/>
  <c r="AJ211" i="14"/>
  <c r="K211" i="14"/>
  <c r="AG207" i="14"/>
  <c r="AK211" i="14"/>
  <c r="AG211" i="14"/>
  <c r="H211" i="14"/>
  <c r="AM212" i="14"/>
  <c r="AL212" i="14"/>
  <c r="AO212" i="14"/>
  <c r="AK212" i="14"/>
  <c r="AN212" i="14"/>
  <c r="AJ212" i="14"/>
  <c r="F115" i="7"/>
  <c r="AQ149" i="6"/>
  <c r="AM149" i="6"/>
  <c r="AI149" i="6"/>
  <c r="AP149" i="6"/>
  <c r="AL149" i="6"/>
  <c r="AH149" i="6"/>
  <c r="AO149" i="6"/>
  <c r="AK149" i="6"/>
  <c r="AK159" i="6" s="1"/>
  <c r="AR149" i="6"/>
  <c r="AN149" i="6"/>
  <c r="AJ149" i="6"/>
  <c r="AH427" i="6"/>
  <c r="AH428" i="6" s="1"/>
  <c r="AM498" i="14"/>
  <c r="R498" i="14"/>
  <c r="Y498" i="14" s="1"/>
  <c r="AH494" i="14"/>
  <c r="AL498" i="14"/>
  <c r="AH498" i="14"/>
  <c r="E532" i="14"/>
  <c r="D532" i="14"/>
  <c r="E302" i="14"/>
  <c r="D302" i="14"/>
  <c r="F255" i="7"/>
  <c r="AI278" i="6"/>
  <c r="AR278" i="6"/>
  <c r="AP278" i="6"/>
  <c r="AJ278" i="6"/>
  <c r="AN278" i="6"/>
  <c r="AL278" i="6"/>
  <c r="AO278" i="6"/>
  <c r="AO380" i="6" s="1"/>
  <c r="AQ278" i="6"/>
  <c r="AH278" i="6"/>
  <c r="AK278" i="6"/>
  <c r="AM278" i="6"/>
  <c r="AM380" i="6" s="1"/>
  <c r="E226" i="14"/>
  <c r="D226" i="14"/>
  <c r="H745" i="14"/>
  <c r="AZ38" i="14" s="1"/>
  <c r="N745" i="14"/>
  <c r="BF38" i="14" s="1"/>
  <c r="W741" i="14"/>
  <c r="Z731" i="14"/>
  <c r="AE731" i="14" s="1"/>
  <c r="AU43" i="14" s="1"/>
  <c r="Z726" i="14"/>
  <c r="AM726" i="14"/>
  <c r="AM731" i="14" s="1"/>
  <c r="AH726" i="14"/>
  <c r="AH731" i="14" s="1"/>
  <c r="AL726" i="14"/>
  <c r="AL731" i="14" s="1"/>
  <c r="AO210" i="14"/>
  <c r="AO28" i="14" s="1"/>
  <c r="AN210" i="14"/>
  <c r="H40" i="11"/>
  <c r="AM501" i="7" s="1"/>
  <c r="I39" i="11"/>
  <c r="B155" i="8" s="1"/>
  <c r="E155" i="8" s="1"/>
  <c r="E245" i="14"/>
  <c r="D245" i="14"/>
  <c r="E465" i="7"/>
  <c r="D465" i="7"/>
  <c r="D80" i="14"/>
  <c r="E80" i="14"/>
  <c r="K479" i="14"/>
  <c r="AK479" i="14"/>
  <c r="AK16" i="14" s="1"/>
  <c r="AG479" i="14"/>
  <c r="H479" i="14"/>
  <c r="E479" i="14" s="1"/>
  <c r="AG475" i="14"/>
  <c r="AJ479" i="14"/>
  <c r="F281" i="7"/>
  <c r="AR306" i="6"/>
  <c r="AN306" i="6"/>
  <c r="AJ306" i="6"/>
  <c r="AQ306" i="6"/>
  <c r="AM306" i="6"/>
  <c r="AI306" i="6"/>
  <c r="AO306" i="6"/>
  <c r="AK306" i="6"/>
  <c r="AL306" i="6"/>
  <c r="AH306" i="6"/>
  <c r="AP306" i="6"/>
  <c r="AJ405" i="14"/>
  <c r="AJ17" i="14" s="1"/>
  <c r="Z105" i="14"/>
  <c r="AE105" i="14" s="1"/>
  <c r="AU12" i="14" s="1"/>
  <c r="AM100" i="14"/>
  <c r="AM105" i="14" s="1"/>
  <c r="AH100" i="14"/>
  <c r="AH105" i="14" s="1"/>
  <c r="AL100" i="14"/>
  <c r="AL105" i="14" s="1"/>
  <c r="Z100" i="14"/>
  <c r="I40" i="17"/>
  <c r="AG56" i="17"/>
  <c r="AJ56" i="17" s="1"/>
  <c r="F612" i="7" s="1"/>
  <c r="J40" i="17"/>
  <c r="AQ154" i="6"/>
  <c r="AO154" i="6"/>
  <c r="AM421" i="14"/>
  <c r="AM28" i="14" s="1"/>
  <c r="AO421" i="14"/>
  <c r="AO422" i="14" s="1"/>
  <c r="AN535" i="14"/>
  <c r="AN536" i="14" s="1"/>
  <c r="AA259" i="6"/>
  <c r="Y259" i="6"/>
  <c r="AI325" i="14"/>
  <c r="AI19" i="14"/>
  <c r="J21" i="21" s="1"/>
  <c r="E188" i="14"/>
  <c r="D188" i="14"/>
  <c r="D130" i="14"/>
  <c r="E130" i="14"/>
  <c r="AO460" i="14"/>
  <c r="AN460" i="14"/>
  <c r="AI460" i="14"/>
  <c r="AI456" i="14"/>
  <c r="U460" i="14"/>
  <c r="AA460" i="14" s="1"/>
  <c r="L234" i="14"/>
  <c r="BC19" i="14" s="1"/>
  <c r="W233" i="14"/>
  <c r="E233" i="14"/>
  <c r="D233" i="14"/>
  <c r="AN28" i="14"/>
  <c r="K344" i="14"/>
  <c r="AK344" i="14"/>
  <c r="E501" i="14"/>
  <c r="D501" i="14"/>
  <c r="K268" i="14"/>
  <c r="AK268" i="14"/>
  <c r="AJ268" i="14"/>
  <c r="AG268" i="14"/>
  <c r="H268" i="14"/>
  <c r="E268" i="14" s="1"/>
  <c r="AG264" i="14"/>
  <c r="AA159" i="6"/>
  <c r="I42" i="11"/>
  <c r="B158" i="8" s="1"/>
  <c r="E158" i="8" s="1"/>
  <c r="E325" i="14"/>
  <c r="F182" i="7"/>
  <c r="AK201" i="6"/>
  <c r="AP201" i="6"/>
  <c r="AH201" i="6"/>
  <c r="AJ201" i="6"/>
  <c r="AM201" i="6"/>
  <c r="AI201" i="6"/>
  <c r="AR201" i="6"/>
  <c r="AO201" i="6"/>
  <c r="AL201" i="6"/>
  <c r="AN201" i="6"/>
  <c r="AQ201" i="6"/>
  <c r="L100" i="14"/>
  <c r="BC12" i="14" s="1"/>
  <c r="W99" i="14"/>
  <c r="E99" i="14"/>
  <c r="D99" i="14"/>
  <c r="R154" i="14"/>
  <c r="Y154" i="14" s="1"/>
  <c r="AM154" i="14"/>
  <c r="AH150" i="14"/>
  <c r="AL154" i="14"/>
  <c r="AH154" i="14"/>
  <c r="E478" i="14"/>
  <c r="D478" i="14"/>
  <c r="AN211" i="14"/>
  <c r="U211" i="14"/>
  <c r="AA211" i="14" s="1"/>
  <c r="AI207" i="14"/>
  <c r="AI211" i="14"/>
  <c r="G39" i="13"/>
  <c r="H17" i="13"/>
  <c r="Z692" i="14"/>
  <c r="AE692" i="14" s="1"/>
  <c r="AU41" i="14" s="1"/>
  <c r="AM687" i="14"/>
  <c r="AM692" i="14" s="1"/>
  <c r="AH687" i="14"/>
  <c r="AH692" i="14" s="1"/>
  <c r="AL687" i="14"/>
  <c r="AL692" i="14" s="1"/>
  <c r="Z687" i="14"/>
  <c r="D60" i="14"/>
  <c r="E60" i="14"/>
  <c r="AB17" i="14"/>
  <c r="AI66" i="14"/>
  <c r="AO66" i="14"/>
  <c r="AB66" i="14"/>
  <c r="AF66" i="14" s="1"/>
  <c r="AV10" i="14" s="1"/>
  <c r="AN66" i="14"/>
  <c r="R35" i="10"/>
  <c r="AL497" i="7"/>
  <c r="E535" i="14"/>
  <c r="D535" i="14"/>
  <c r="D54" i="11"/>
  <c r="E462" i="7"/>
  <c r="D462" i="7"/>
  <c r="AO249" i="14"/>
  <c r="AN249" i="14"/>
  <c r="U249" i="14"/>
  <c r="AA249" i="14" s="1"/>
  <c r="AI245" i="14"/>
  <c r="AI249" i="14"/>
  <c r="F104" i="7"/>
  <c r="AP136" i="6"/>
  <c r="AL136" i="6"/>
  <c r="AH136" i="6"/>
  <c r="AO136" i="6"/>
  <c r="AK136" i="6"/>
  <c r="AR136" i="6"/>
  <c r="AN136" i="6"/>
  <c r="AN159" i="6" s="1"/>
  <c r="AJ136" i="6"/>
  <c r="AQ136" i="6"/>
  <c r="AM136" i="6"/>
  <c r="AI136" i="6"/>
  <c r="E210" i="14"/>
  <c r="D210" i="14"/>
  <c r="AL81" i="14"/>
  <c r="AL86" i="14" s="1"/>
  <c r="Z81" i="14"/>
  <c r="Z86" i="14"/>
  <c r="AE86" i="14" s="1"/>
  <c r="AU11" i="14" s="1"/>
  <c r="AM81" i="14"/>
  <c r="AM86" i="14" s="1"/>
  <c r="AH81" i="14"/>
  <c r="AH86" i="14" s="1"/>
  <c r="O158" i="14"/>
  <c r="H158" i="14"/>
  <c r="AZ15" i="14" s="1"/>
  <c r="N158" i="14"/>
  <c r="BF15" i="14" s="1"/>
  <c r="W154" i="14"/>
  <c r="M158" i="14"/>
  <c r="BI15" i="14" s="1"/>
  <c r="J23" i="11"/>
  <c r="B186" i="8" s="1"/>
  <c r="E186" i="8" s="1"/>
  <c r="P40" i="9"/>
  <c r="B14" i="8" s="1"/>
  <c r="E14" i="8" s="1"/>
  <c r="G28" i="11"/>
  <c r="AH16" i="14" l="1"/>
  <c r="H49" i="11"/>
  <c r="AM510" i="7" s="1"/>
  <c r="M21" i="21"/>
  <c r="N21" i="21" s="1"/>
  <c r="AI16" i="14"/>
  <c r="M7" i="21"/>
  <c r="N7" i="21" s="1"/>
  <c r="AH380" i="6"/>
  <c r="E422" i="14"/>
  <c r="M16" i="21"/>
  <c r="N16" i="21" s="1"/>
  <c r="T32" i="10"/>
  <c r="T36" i="10"/>
  <c r="S32" i="10"/>
  <c r="B91" i="8" s="1"/>
  <c r="E91" i="8" s="1"/>
  <c r="S36" i="10"/>
  <c r="B95" i="8" s="1"/>
  <c r="E95" i="8" s="1"/>
  <c r="U32" i="10"/>
  <c r="U36" i="10"/>
  <c r="T37" i="10"/>
  <c r="BB28" i="14"/>
  <c r="AJ588" i="7"/>
  <c r="G72" i="3"/>
  <c r="R91" i="3"/>
  <c r="AI160" i="6"/>
  <c r="B10" i="8"/>
  <c r="E10" i="8" s="1"/>
  <c r="R20" i="9"/>
  <c r="B41" i="8" s="1"/>
  <c r="E41" i="8" s="1"/>
  <c r="Q20" i="9"/>
  <c r="B18" i="8" s="1"/>
  <c r="E18" i="8" s="1"/>
  <c r="Q18" i="9"/>
  <c r="B24" i="8" s="1"/>
  <c r="E24" i="8" s="1"/>
  <c r="R18" i="9"/>
  <c r="B47" i="8" s="1"/>
  <c r="E47" i="8" s="1"/>
  <c r="Q17" i="9"/>
  <c r="B23" i="8" s="1"/>
  <c r="E23" i="8" s="1"/>
  <c r="Q15" i="9"/>
  <c r="B21" i="8" s="1"/>
  <c r="E21" i="8" s="1"/>
  <c r="R13" i="9"/>
  <c r="B42" i="8" s="1"/>
  <c r="E42" i="8" s="1"/>
  <c r="Q16" i="9"/>
  <c r="B22" i="8" s="1"/>
  <c r="E22" i="8" s="1"/>
  <c r="R17" i="9"/>
  <c r="B46" i="8" s="1"/>
  <c r="E46" i="8" s="1"/>
  <c r="R15" i="9"/>
  <c r="B44" i="8" s="1"/>
  <c r="E44" i="8" s="1"/>
  <c r="R16" i="9"/>
  <c r="B45" i="8" s="1"/>
  <c r="E45" i="8" s="1"/>
  <c r="Q13" i="9"/>
  <c r="B19" i="8" s="1"/>
  <c r="E19" i="8" s="1"/>
  <c r="R19" i="9"/>
  <c r="B48" i="8" s="1"/>
  <c r="E48" i="8" s="1"/>
  <c r="Q14" i="9"/>
  <c r="B20" i="8" s="1"/>
  <c r="E20" i="8" s="1"/>
  <c r="Q19" i="9"/>
  <c r="B25" i="8" s="1"/>
  <c r="E25" i="8" s="1"/>
  <c r="R14" i="9"/>
  <c r="B43" i="8" s="1"/>
  <c r="E43" i="8" s="1"/>
  <c r="AJ160" i="6"/>
  <c r="AM457" i="6"/>
  <c r="AO457" i="6"/>
  <c r="AH160" i="6"/>
  <c r="AM160" i="6"/>
  <c r="O11" i="21"/>
  <c r="AL40" i="14"/>
  <c r="H545" i="7" s="1"/>
  <c r="AP160" i="6"/>
  <c r="T35" i="10"/>
  <c r="AO432" i="6"/>
  <c r="AO160" i="6"/>
  <c r="AN160" i="6"/>
  <c r="AK160" i="6"/>
  <c r="J15" i="21"/>
  <c r="AG34" i="14"/>
  <c r="C560" i="7"/>
  <c r="AR160" i="6"/>
  <c r="AL160" i="6"/>
  <c r="AQ160" i="6"/>
  <c r="O15" i="21"/>
  <c r="AL34" i="14"/>
  <c r="H560" i="7"/>
  <c r="T34" i="10"/>
  <c r="AL16" i="14"/>
  <c r="AN16" i="14"/>
  <c r="BB19" i="14"/>
  <c r="E63" i="3" s="1"/>
  <c r="AJ579" i="7"/>
  <c r="G63" i="3"/>
  <c r="AI220" i="14"/>
  <c r="AO220" i="14"/>
  <c r="AB220" i="14"/>
  <c r="AF220" i="14" s="1"/>
  <c r="AV18" i="14" s="1"/>
  <c r="AN220" i="14"/>
  <c r="M272" i="14"/>
  <c r="BI21" i="14" s="1"/>
  <c r="H272" i="14"/>
  <c r="AZ21" i="14" s="1"/>
  <c r="W268" i="14"/>
  <c r="O272" i="14"/>
  <c r="N272" i="14"/>
  <c r="BF21" i="14" s="1"/>
  <c r="L272" i="14"/>
  <c r="BC21" i="14" s="1"/>
  <c r="W344" i="14"/>
  <c r="O348" i="14"/>
  <c r="H348" i="14"/>
  <c r="AZ25" i="14" s="1"/>
  <c r="M348" i="14"/>
  <c r="BI25" i="14" s="1"/>
  <c r="N348" i="14"/>
  <c r="BF25" i="14" s="1"/>
  <c r="AL489" i="7"/>
  <c r="G37" i="11"/>
  <c r="J28" i="11" s="1"/>
  <c r="B191" i="8" s="1"/>
  <c r="E191" i="8" s="1"/>
  <c r="BH15" i="14"/>
  <c r="S59" i="3"/>
  <c r="U35" i="10"/>
  <c r="AO211" i="14"/>
  <c r="AO16" i="14" s="1"/>
  <c r="AN15" i="14"/>
  <c r="L13" i="21" s="1"/>
  <c r="L40" i="17"/>
  <c r="D612" i="7"/>
  <c r="L15" i="21"/>
  <c r="M15" i="21" s="1"/>
  <c r="N15" i="21" s="1"/>
  <c r="AI34" i="14"/>
  <c r="AJ34" i="14" s="1"/>
  <c r="E560" i="7"/>
  <c r="BE38" i="14"/>
  <c r="AJ598" i="7"/>
  <c r="E211" i="14"/>
  <c r="O215" i="14"/>
  <c r="H215" i="14"/>
  <c r="AZ18" i="14" s="1"/>
  <c r="N215" i="14"/>
  <c r="BF18" i="14" s="1"/>
  <c r="M215" i="14"/>
  <c r="BI18" i="14" s="1"/>
  <c r="W211" i="14"/>
  <c r="L215" i="14"/>
  <c r="BC18" i="14" s="1"/>
  <c r="AM422" i="14"/>
  <c r="AM16" i="14" s="1"/>
  <c r="Z239" i="14"/>
  <c r="AE239" i="14" s="1"/>
  <c r="AU19" i="14" s="1"/>
  <c r="AM234" i="14"/>
  <c r="AM239" i="14" s="1"/>
  <c r="AH234" i="14"/>
  <c r="AH239" i="14" s="1"/>
  <c r="AL234" i="14"/>
  <c r="AL239" i="14" s="1"/>
  <c r="Z234" i="14"/>
  <c r="B15" i="21"/>
  <c r="G321" i="7"/>
  <c r="AD380" i="6"/>
  <c r="E34" i="3"/>
  <c r="AI27" i="14"/>
  <c r="X7" i="13" s="1"/>
  <c r="O445" i="14"/>
  <c r="H445" i="14"/>
  <c r="AZ30" i="14" s="1"/>
  <c r="W441" i="14"/>
  <c r="N445" i="14"/>
  <c r="BF30" i="14" s="1"/>
  <c r="M445" i="14"/>
  <c r="BI30" i="14" s="1"/>
  <c r="L445" i="14"/>
  <c r="BC30" i="14" s="1"/>
  <c r="Z608" i="14"/>
  <c r="AE608" i="14" s="1"/>
  <c r="AU38" i="14" s="1"/>
  <c r="Z603" i="14"/>
  <c r="AH603" i="14"/>
  <c r="AH608" i="14" s="1"/>
  <c r="AM603" i="14"/>
  <c r="AM608" i="14" s="1"/>
  <c r="AL603" i="14"/>
  <c r="AL608" i="14" s="1"/>
  <c r="U33" i="10"/>
  <c r="E19" i="21"/>
  <c r="J123" i="7"/>
  <c r="G54" i="11"/>
  <c r="M386" i="14"/>
  <c r="BI27" i="14" s="1"/>
  <c r="O386" i="14"/>
  <c r="H386" i="14"/>
  <c r="AZ27" i="14" s="1"/>
  <c r="N386" i="14"/>
  <c r="BF27" i="14" s="1"/>
  <c r="W382" i="14"/>
  <c r="L386" i="14"/>
  <c r="BC27" i="14" s="1"/>
  <c r="AI545" i="14"/>
  <c r="AO545" i="14"/>
  <c r="AN545" i="14"/>
  <c r="AB545" i="14"/>
  <c r="AF545" i="14" s="1"/>
  <c r="AV35" i="14" s="1"/>
  <c r="AI372" i="14"/>
  <c r="AB372" i="14"/>
  <c r="AF372" i="14" s="1"/>
  <c r="AV26" i="14" s="1"/>
  <c r="AO372" i="14"/>
  <c r="AN372" i="14"/>
  <c r="AG329" i="14"/>
  <c r="AG334" i="14" s="1"/>
  <c r="AK329" i="14"/>
  <c r="AK334" i="14" s="1"/>
  <c r="AJ329" i="14"/>
  <c r="AJ334" i="14" s="1"/>
  <c r="X329" i="14"/>
  <c r="X334" i="14" s="1"/>
  <c r="AD334" i="14" s="1"/>
  <c r="AT24" i="14" s="1"/>
  <c r="AC325" i="14"/>
  <c r="Z588" i="14"/>
  <c r="AE588" i="14" s="1"/>
  <c r="AU37" i="14" s="1"/>
  <c r="Z583" i="14"/>
  <c r="AM583" i="14"/>
  <c r="AM588" i="14" s="1"/>
  <c r="AH583" i="14"/>
  <c r="AH588" i="14" s="1"/>
  <c r="AL583" i="14"/>
  <c r="AL588" i="14" s="1"/>
  <c r="O119" i="14"/>
  <c r="H119" i="14"/>
  <c r="AZ13" i="14" s="1"/>
  <c r="N119" i="14"/>
  <c r="BF13" i="14" s="1"/>
  <c r="M119" i="14"/>
  <c r="BI13" i="14" s="1"/>
  <c r="W115" i="14"/>
  <c r="L119" i="14"/>
  <c r="BC13" i="14" s="1"/>
  <c r="M177" i="14"/>
  <c r="BI16" i="14" s="1"/>
  <c r="O177" i="14"/>
  <c r="H177" i="14"/>
  <c r="AZ16" i="14" s="1"/>
  <c r="W173" i="14"/>
  <c r="N177" i="14"/>
  <c r="BF16" i="14" s="1"/>
  <c r="G7" i="21"/>
  <c r="L228" i="7"/>
  <c r="F10" i="3"/>
  <c r="AQ259" i="6"/>
  <c r="AK259" i="6"/>
  <c r="AK432" i="6" s="1"/>
  <c r="AP259" i="6"/>
  <c r="O521" i="14"/>
  <c r="H521" i="14"/>
  <c r="AZ34" i="14" s="1"/>
  <c r="N521" i="14"/>
  <c r="BF34" i="14" s="1"/>
  <c r="W517" i="14"/>
  <c r="M521" i="14"/>
  <c r="BI34" i="14" s="1"/>
  <c r="L521" i="14"/>
  <c r="BC34" i="14" s="1"/>
  <c r="AM196" i="14"/>
  <c r="AM201" i="14" s="1"/>
  <c r="AH196" i="14"/>
  <c r="AH201" i="14" s="1"/>
  <c r="AL196" i="14"/>
  <c r="AL201" i="14" s="1"/>
  <c r="Z201" i="14"/>
  <c r="AE201" i="14" s="1"/>
  <c r="AU17" i="14" s="1"/>
  <c r="Z196" i="14"/>
  <c r="AC195" i="14" s="1"/>
  <c r="N310" i="14"/>
  <c r="BF23" i="14" s="1"/>
  <c r="M310" i="14"/>
  <c r="BI23" i="14" s="1"/>
  <c r="O310" i="14"/>
  <c r="H310" i="14"/>
  <c r="AZ23" i="14" s="1"/>
  <c r="W306" i="14"/>
  <c r="L310" i="14"/>
  <c r="BC23" i="14" s="1"/>
  <c r="AN428" i="6"/>
  <c r="F15" i="21"/>
  <c r="K321" i="7"/>
  <c r="AA382" i="6"/>
  <c r="E35" i="3"/>
  <c r="AI296" i="14"/>
  <c r="AO296" i="14"/>
  <c r="AN296" i="14"/>
  <c r="AB296" i="14"/>
  <c r="AF296" i="14" s="1"/>
  <c r="AV22" i="14" s="1"/>
  <c r="AZ10" i="14"/>
  <c r="AB16" i="14"/>
  <c r="W579" i="14"/>
  <c r="H583" i="14"/>
  <c r="Z469" i="14"/>
  <c r="AE469" i="14" s="1"/>
  <c r="AU31" i="14" s="1"/>
  <c r="Z464" i="14"/>
  <c r="AM464" i="14"/>
  <c r="AM469" i="14" s="1"/>
  <c r="AH464" i="14"/>
  <c r="AH469" i="14" s="1"/>
  <c r="AL464" i="14"/>
  <c r="AL469" i="14" s="1"/>
  <c r="AO15" i="14"/>
  <c r="O13" i="21" s="1"/>
  <c r="J49" i="11"/>
  <c r="B212" i="8" s="1"/>
  <c r="E212" i="8" s="1"/>
  <c r="U37" i="10"/>
  <c r="C19" i="21"/>
  <c r="H123" i="7"/>
  <c r="AO628" i="14"/>
  <c r="AB628" i="14"/>
  <c r="AF628" i="14" s="1"/>
  <c r="AV39" i="14" s="1"/>
  <c r="AN628" i="14"/>
  <c r="AI628" i="14"/>
  <c r="AG81" i="14"/>
  <c r="AG86" i="14" s="1"/>
  <c r="AK81" i="14"/>
  <c r="AK86" i="14" s="1"/>
  <c r="AJ81" i="14"/>
  <c r="AJ86" i="14" s="1"/>
  <c r="X81" i="14"/>
  <c r="X86" i="14" s="1"/>
  <c r="AD86" i="14" s="1"/>
  <c r="AT11" i="14" s="1"/>
  <c r="AC77" i="14"/>
  <c r="E230" i="14"/>
  <c r="B12" i="8"/>
  <c r="E12" i="8" s="1"/>
  <c r="R32" i="9"/>
  <c r="B55" i="8" s="1"/>
  <c r="E55" i="8" s="1"/>
  <c r="Q32" i="9"/>
  <c r="B32" i="8" s="1"/>
  <c r="E32" i="8" s="1"/>
  <c r="Q30" i="9"/>
  <c r="B35" i="8" s="1"/>
  <c r="E35" i="8" s="1"/>
  <c r="Q29" i="9"/>
  <c r="B34" i="8" s="1"/>
  <c r="E34" i="8" s="1"/>
  <c r="R28" i="9"/>
  <c r="B56" i="8" s="1"/>
  <c r="E56" i="8" s="1"/>
  <c r="Q28" i="9"/>
  <c r="B33" i="8" s="1"/>
  <c r="E33" i="8" s="1"/>
  <c r="R31" i="9"/>
  <c r="B59" i="8" s="1"/>
  <c r="E59" i="8" s="1"/>
  <c r="Q31" i="9"/>
  <c r="B36" i="8" s="1"/>
  <c r="E36" i="8" s="1"/>
  <c r="R30" i="9"/>
  <c r="B58" i="8" s="1"/>
  <c r="E58" i="8" s="1"/>
  <c r="R29" i="9"/>
  <c r="B57" i="8" s="1"/>
  <c r="E57" i="8" s="1"/>
  <c r="J51" i="11"/>
  <c r="B214" i="8" s="1"/>
  <c r="E214" i="8" s="1"/>
  <c r="AR380" i="6"/>
  <c r="C15" i="21"/>
  <c r="H321" i="7"/>
  <c r="D560" i="7"/>
  <c r="B35" i="3"/>
  <c r="AM215" i="14"/>
  <c r="AM220" i="14" s="1"/>
  <c r="AH215" i="14"/>
  <c r="AH220" i="14" s="1"/>
  <c r="AL215" i="14"/>
  <c r="AL220" i="14" s="1"/>
  <c r="Z220" i="14"/>
  <c r="AE220" i="14" s="1"/>
  <c r="AU18" i="14" s="1"/>
  <c r="Z215" i="14"/>
  <c r="R26" i="9"/>
  <c r="B49" i="8" s="1"/>
  <c r="E49" i="8" s="1"/>
  <c r="Q26" i="9"/>
  <c r="B26" i="8" s="1"/>
  <c r="E26" i="8" s="1"/>
  <c r="B11" i="8"/>
  <c r="E11" i="8" s="1"/>
  <c r="R24" i="9"/>
  <c r="B53" i="8" s="1"/>
  <c r="E53" i="8" s="1"/>
  <c r="Q24" i="9"/>
  <c r="B30" i="8" s="1"/>
  <c r="E30" i="8" s="1"/>
  <c r="R21" i="9"/>
  <c r="B50" i="8" s="1"/>
  <c r="E50" i="8" s="1"/>
  <c r="R23" i="9"/>
  <c r="B52" i="8" s="1"/>
  <c r="E52" i="8" s="1"/>
  <c r="R22" i="9"/>
  <c r="B51" i="8" s="1"/>
  <c r="E51" i="8" s="1"/>
  <c r="R25" i="9"/>
  <c r="B54" i="8" s="1"/>
  <c r="E54" i="8" s="1"/>
  <c r="Q21" i="9"/>
  <c r="B27" i="8" s="1"/>
  <c r="E27" i="8" s="1"/>
  <c r="Q23" i="9"/>
  <c r="B29" i="8" s="1"/>
  <c r="E29" i="8" s="1"/>
  <c r="Q22" i="9"/>
  <c r="B28" i="8" s="1"/>
  <c r="E28" i="8" s="1"/>
  <c r="Q25" i="9"/>
  <c r="B31" i="8" s="1"/>
  <c r="E31" i="8" s="1"/>
  <c r="BE12" i="14"/>
  <c r="M56" i="3"/>
  <c r="U34" i="10"/>
  <c r="O196" i="14"/>
  <c r="H196" i="14"/>
  <c r="AZ17" i="14" s="1"/>
  <c r="N196" i="14"/>
  <c r="BF17" i="14" s="1"/>
  <c r="W192" i="14"/>
  <c r="M196" i="14"/>
  <c r="BI17" i="14" s="1"/>
  <c r="AN334" i="14"/>
  <c r="AO334" i="14"/>
  <c r="AI334" i="14"/>
  <c r="AB334" i="14"/>
  <c r="AF334" i="14" s="1"/>
  <c r="AV24" i="14" s="1"/>
  <c r="M426" i="14"/>
  <c r="BI29" i="14" s="1"/>
  <c r="H426" i="14"/>
  <c r="AZ29" i="14" s="1"/>
  <c r="O426" i="14"/>
  <c r="W422" i="14"/>
  <c r="N426" i="14"/>
  <c r="BF29" i="14" s="1"/>
  <c r="Z124" i="14"/>
  <c r="AE124" i="14" s="1"/>
  <c r="AU13" i="14" s="1"/>
  <c r="AM119" i="14"/>
  <c r="AM124" i="14" s="1"/>
  <c r="AH119" i="14"/>
  <c r="AH124" i="14" s="1"/>
  <c r="AL119" i="14"/>
  <c r="AL124" i="14" s="1"/>
  <c r="Z119" i="14"/>
  <c r="S23" i="10"/>
  <c r="B73" i="8" s="1"/>
  <c r="E73" i="8" s="1"/>
  <c r="S24" i="10"/>
  <c r="B74" i="8" s="1"/>
  <c r="E74" i="8" s="1"/>
  <c r="S25" i="10"/>
  <c r="B75" i="8" s="1"/>
  <c r="E75" i="8" s="1"/>
  <c r="AM521" i="14"/>
  <c r="AM526" i="14" s="1"/>
  <c r="AH521" i="14"/>
  <c r="AH526" i="14" s="1"/>
  <c r="AL521" i="14"/>
  <c r="AL526" i="14" s="1"/>
  <c r="Z526" i="14"/>
  <c r="AE526" i="14" s="1"/>
  <c r="AU34" i="14" s="1"/>
  <c r="Z521" i="14"/>
  <c r="E460" i="14"/>
  <c r="BE37" i="14"/>
  <c r="AJ597" i="7"/>
  <c r="AO124" i="14"/>
  <c r="AB124" i="14"/>
  <c r="AF124" i="14" s="1"/>
  <c r="AV13" i="14" s="1"/>
  <c r="AN124" i="14"/>
  <c r="AN20" i="14" s="1"/>
  <c r="F428" i="7" s="1"/>
  <c r="AA428" i="7" s="1"/>
  <c r="AB428" i="7" s="1"/>
  <c r="AI124" i="14"/>
  <c r="AL310" i="14"/>
  <c r="AL315" i="14" s="1"/>
  <c r="Z310" i="14"/>
  <c r="Z315" i="14"/>
  <c r="AE315" i="14" s="1"/>
  <c r="AU23" i="14" s="1"/>
  <c r="AM310" i="14"/>
  <c r="AM315" i="14" s="1"/>
  <c r="AH310" i="14"/>
  <c r="AH315" i="14" s="1"/>
  <c r="AP502" i="7"/>
  <c r="AP500" i="7"/>
  <c r="D503" i="7" s="1"/>
  <c r="AP501" i="7"/>
  <c r="D504" i="7" s="1"/>
  <c r="AP503" i="7"/>
  <c r="E363" i="14"/>
  <c r="N367" i="14"/>
  <c r="BF26" i="14" s="1"/>
  <c r="M367" i="14"/>
  <c r="BI26" i="14" s="1"/>
  <c r="W363" i="14"/>
  <c r="H367" i="14"/>
  <c r="AZ26" i="14" s="1"/>
  <c r="O367" i="14"/>
  <c r="L367" i="14"/>
  <c r="BC26" i="14" s="1"/>
  <c r="AL428" i="6"/>
  <c r="AR428" i="6"/>
  <c r="AP479" i="7"/>
  <c r="D492" i="7" s="1"/>
  <c r="AP482" i="7"/>
  <c r="AP478" i="7"/>
  <c r="D491" i="7" s="1"/>
  <c r="AP481" i="7"/>
  <c r="AP480" i="7"/>
  <c r="AJ158" i="14"/>
  <c r="AJ163" i="14" s="1"/>
  <c r="X158" i="14"/>
  <c r="AG158" i="14"/>
  <c r="AG163" i="14" s="1"/>
  <c r="AK158" i="14"/>
  <c r="AK163" i="14" s="1"/>
  <c r="X163" i="14"/>
  <c r="AD163" i="14" s="1"/>
  <c r="AT15" i="14" s="1"/>
  <c r="D7" i="21"/>
  <c r="I228" i="7"/>
  <c r="C10" i="3"/>
  <c r="AI201" i="14"/>
  <c r="AO201" i="14"/>
  <c r="AB201" i="14"/>
  <c r="AF201" i="14" s="1"/>
  <c r="AV17" i="14" s="1"/>
  <c r="AN201" i="14"/>
  <c r="AN431" i="14"/>
  <c r="AO431" i="14"/>
  <c r="AI431" i="14"/>
  <c r="AB431" i="14"/>
  <c r="AF431" i="14" s="1"/>
  <c r="AV29" i="14" s="1"/>
  <c r="AL664" i="14"/>
  <c r="AL669" i="14" s="1"/>
  <c r="Z669" i="14"/>
  <c r="AE669" i="14" s="1"/>
  <c r="AU40" i="14" s="1"/>
  <c r="AH664" i="14"/>
  <c r="AH669" i="14" s="1"/>
  <c r="AM664" i="14"/>
  <c r="AM669" i="14" s="1"/>
  <c r="Z664" i="14"/>
  <c r="AO568" i="14"/>
  <c r="AB568" i="14"/>
  <c r="AF568" i="14" s="1"/>
  <c r="AV36" i="14" s="1"/>
  <c r="AN568" i="14"/>
  <c r="AI568" i="14"/>
  <c r="AJ259" i="6"/>
  <c r="AH27" i="14"/>
  <c r="W7" i="13" s="1"/>
  <c r="E306" i="14"/>
  <c r="AO669" i="14"/>
  <c r="AN669" i="14"/>
  <c r="AB669" i="14"/>
  <c r="AF669" i="14" s="1"/>
  <c r="AV40" i="14" s="1"/>
  <c r="AI669" i="14"/>
  <c r="AG687" i="14"/>
  <c r="AG692" i="14" s="1"/>
  <c r="AK687" i="14"/>
  <c r="AK692" i="14" s="1"/>
  <c r="AJ687" i="14"/>
  <c r="AJ692" i="14" s="1"/>
  <c r="X687" i="14"/>
  <c r="X692" i="14" s="1"/>
  <c r="AD692" i="14" s="1"/>
  <c r="AT41" i="14" s="1"/>
  <c r="AI526" i="14"/>
  <c r="AO526" i="14"/>
  <c r="AB526" i="14"/>
  <c r="AF526" i="14" s="1"/>
  <c r="AV34" i="14" s="1"/>
  <c r="AN526" i="14"/>
  <c r="BB33" i="14"/>
  <c r="AJ593" i="7"/>
  <c r="G77" i="3"/>
  <c r="R95" i="3"/>
  <c r="O502" i="14"/>
  <c r="H502" i="14"/>
  <c r="AZ33" i="14" s="1"/>
  <c r="N502" i="14"/>
  <c r="BF33" i="14" s="1"/>
  <c r="M502" i="14"/>
  <c r="BI33" i="14" s="1"/>
  <c r="W498" i="14"/>
  <c r="AL584" i="7"/>
  <c r="AK584" i="7"/>
  <c r="AN584" i="7"/>
  <c r="AM584" i="7"/>
  <c r="E249" i="14"/>
  <c r="O253" i="14"/>
  <c r="H253" i="14"/>
  <c r="AZ20" i="14" s="1"/>
  <c r="W249" i="14"/>
  <c r="N253" i="14"/>
  <c r="BF20" i="14" s="1"/>
  <c r="M253" i="14"/>
  <c r="BI20" i="14" s="1"/>
  <c r="L253" i="14"/>
  <c r="BC20" i="14" s="1"/>
  <c r="BH11" i="14"/>
  <c r="S55" i="3"/>
  <c r="H19" i="21"/>
  <c r="M123" i="7"/>
  <c r="R21" i="12"/>
  <c r="B259" i="8" s="1"/>
  <c r="E259" i="8" s="1"/>
  <c r="Q21" i="12"/>
  <c r="B237" i="8" s="1"/>
  <c r="E237" i="8" s="1"/>
  <c r="B225" i="8"/>
  <c r="E225" i="8" s="1"/>
  <c r="R18" i="12"/>
  <c r="B260" i="8" s="1"/>
  <c r="E260" i="8" s="1"/>
  <c r="Q18" i="12"/>
  <c r="B238" i="8" s="1"/>
  <c r="E238" i="8" s="1"/>
  <c r="R19" i="12"/>
  <c r="B261" i="8" s="1"/>
  <c r="E261" i="8" s="1"/>
  <c r="R20" i="12"/>
  <c r="B262" i="8" s="1"/>
  <c r="E262" i="8" s="1"/>
  <c r="Q19" i="12"/>
  <c r="B239" i="8" s="1"/>
  <c r="E239" i="8" s="1"/>
  <c r="Q20" i="12"/>
  <c r="B240" i="8" s="1"/>
  <c r="E240" i="8" s="1"/>
  <c r="E134" i="14"/>
  <c r="N138" i="14"/>
  <c r="BF14" i="14" s="1"/>
  <c r="M138" i="14"/>
  <c r="BI14" i="14" s="1"/>
  <c r="H138" i="14"/>
  <c r="AZ14" i="14" s="1"/>
  <c r="O138" i="14"/>
  <c r="W134" i="14"/>
  <c r="L138" i="14"/>
  <c r="BC14" i="14" s="1"/>
  <c r="H7" i="21"/>
  <c r="M228" i="7"/>
  <c r="G10" i="3"/>
  <c r="AO648" i="14"/>
  <c r="AN648" i="14"/>
  <c r="AI648" i="14"/>
  <c r="AB648" i="14"/>
  <c r="AF648" i="14" s="1"/>
  <c r="AO277" i="14"/>
  <c r="AB277" i="14"/>
  <c r="AF277" i="14" s="1"/>
  <c r="AV21" i="14" s="1"/>
  <c r="AI277" i="14"/>
  <c r="AN277" i="14"/>
  <c r="Z272" i="14"/>
  <c r="Z277" i="14"/>
  <c r="AE277" i="14" s="1"/>
  <c r="AU21" i="14" s="1"/>
  <c r="AH272" i="14"/>
  <c r="AH277" i="14" s="1"/>
  <c r="AM272" i="14"/>
  <c r="AM277" i="14" s="1"/>
  <c r="AL272" i="14"/>
  <c r="AL277" i="14" s="1"/>
  <c r="M464" i="14"/>
  <c r="BI31" i="14" s="1"/>
  <c r="W460" i="14"/>
  <c r="O464" i="14"/>
  <c r="H464" i="14"/>
  <c r="AZ31" i="14" s="1"/>
  <c r="N464" i="14"/>
  <c r="BF31" i="14" s="1"/>
  <c r="L464" i="14"/>
  <c r="BC31" i="14" s="1"/>
  <c r="AK726" i="14"/>
  <c r="AK731" i="14" s="1"/>
  <c r="AJ726" i="14"/>
  <c r="AJ731" i="14" s="1"/>
  <c r="X726" i="14"/>
  <c r="AC721" i="14"/>
  <c r="AG726" i="14"/>
  <c r="AG731" i="14" s="1"/>
  <c r="X731" i="14"/>
  <c r="AD731" i="14" s="1"/>
  <c r="AT43" i="14" s="1"/>
  <c r="AN182" i="14"/>
  <c r="AI182" i="14"/>
  <c r="AO182" i="14"/>
  <c r="AB182" i="14"/>
  <c r="AF182" i="14" s="1"/>
  <c r="AV16" i="14" s="1"/>
  <c r="H11" i="11"/>
  <c r="AM472" i="7" s="1"/>
  <c r="AJ428" i="6"/>
  <c r="AO428" i="6"/>
  <c r="M9" i="21"/>
  <c r="N9" i="21" s="1"/>
  <c r="AI428" i="6"/>
  <c r="F19" i="21"/>
  <c r="K123" i="7"/>
  <c r="AN507" i="14"/>
  <c r="AI507" i="14"/>
  <c r="AB507" i="14"/>
  <c r="AF507" i="14" s="1"/>
  <c r="AV33" i="14" s="1"/>
  <c r="AO507" i="14"/>
  <c r="I48" i="11"/>
  <c r="B159" i="8" s="1"/>
  <c r="E159" i="8" s="1"/>
  <c r="H48" i="11"/>
  <c r="B118" i="8" s="1"/>
  <c r="E118" i="8" s="1"/>
  <c r="S24" i="11"/>
  <c r="O490" i="7" s="1"/>
  <c r="J48" i="11"/>
  <c r="B206" i="8" s="1"/>
  <c r="E206" i="8" s="1"/>
  <c r="AL509" i="7"/>
  <c r="I44" i="11"/>
  <c r="B160" i="8" s="1"/>
  <c r="E160" i="8" s="1"/>
  <c r="J46" i="11"/>
  <c r="B209" i="8" s="1"/>
  <c r="E209" i="8" s="1"/>
  <c r="J44" i="11"/>
  <c r="B207" i="8" s="1"/>
  <c r="E207" i="8" s="1"/>
  <c r="H44" i="11"/>
  <c r="AM505" i="7" s="1"/>
  <c r="I46" i="11"/>
  <c r="B162" i="8" s="1"/>
  <c r="E162" i="8" s="1"/>
  <c r="H46" i="11"/>
  <c r="AM507" i="7" s="1"/>
  <c r="H45" i="11"/>
  <c r="AM506" i="7" s="1"/>
  <c r="J45" i="11"/>
  <c r="B208" i="8" s="1"/>
  <c r="E208" i="8" s="1"/>
  <c r="I45" i="11"/>
  <c r="B161" i="8" s="1"/>
  <c r="E161" i="8" s="1"/>
  <c r="H563" i="14"/>
  <c r="W559" i="14"/>
  <c r="BH24" i="14"/>
  <c r="S68" i="3"/>
  <c r="B7" i="21"/>
  <c r="G228" i="7"/>
  <c r="AD259" i="6"/>
  <c r="E9" i="3"/>
  <c r="AO451" i="6"/>
  <c r="AO391" i="14"/>
  <c r="AB391" i="14"/>
  <c r="AF391" i="14" s="1"/>
  <c r="AV27" i="14" s="1"/>
  <c r="AN391" i="14"/>
  <c r="AI391" i="14"/>
  <c r="AH457" i="6"/>
  <c r="AO239" i="14"/>
  <c r="AB239" i="14"/>
  <c r="AF239" i="14" s="1"/>
  <c r="AV19" i="14" s="1"/>
  <c r="AN239" i="14"/>
  <c r="AI239" i="14"/>
  <c r="S11" i="12"/>
  <c r="C524" i="7"/>
  <c r="H38" i="12"/>
  <c r="C525" i="7" s="1"/>
  <c r="T11" i="12"/>
  <c r="Z182" i="14"/>
  <c r="AE182" i="14" s="1"/>
  <c r="AU16" i="14" s="1"/>
  <c r="Z177" i="14"/>
  <c r="AM177" i="14"/>
  <c r="AM182" i="14" s="1"/>
  <c r="AH177" i="14"/>
  <c r="AH182" i="14" s="1"/>
  <c r="AL177" i="14"/>
  <c r="AL182" i="14" s="1"/>
  <c r="E536" i="14"/>
  <c r="O541" i="14"/>
  <c r="H541" i="14"/>
  <c r="AZ35" i="14" s="1"/>
  <c r="W536" i="14"/>
  <c r="N541" i="14"/>
  <c r="BF35" i="14" s="1"/>
  <c r="BE35" i="14" s="1"/>
  <c r="M541" i="14"/>
  <c r="BI35" i="14" s="1"/>
  <c r="BH35" i="14" s="1"/>
  <c r="L541" i="14"/>
  <c r="BC35" i="14" s="1"/>
  <c r="W599" i="14"/>
  <c r="H603" i="14"/>
  <c r="BB15" i="14"/>
  <c r="AJ575" i="7"/>
  <c r="R86" i="3"/>
  <c r="G59" i="3"/>
  <c r="BE15" i="14"/>
  <c r="M59" i="3"/>
  <c r="AN258" i="14"/>
  <c r="AI258" i="14"/>
  <c r="AO258" i="14"/>
  <c r="AB258" i="14"/>
  <c r="AF258" i="14" s="1"/>
  <c r="AV20" i="14" s="1"/>
  <c r="S35" i="10"/>
  <c r="B94" i="8" s="1"/>
  <c r="E94" i="8" s="1"/>
  <c r="H40" i="13"/>
  <c r="BB12" i="14"/>
  <c r="AJ572" i="7"/>
  <c r="R83" i="3"/>
  <c r="G56" i="3"/>
  <c r="AN469" i="14"/>
  <c r="AI469" i="14"/>
  <c r="AB469" i="14"/>
  <c r="AF469" i="14" s="1"/>
  <c r="AV31" i="14" s="1"/>
  <c r="AO469" i="14"/>
  <c r="F7" i="21"/>
  <c r="K228" i="7"/>
  <c r="E10" i="3"/>
  <c r="F11" i="3" s="1"/>
  <c r="AI56" i="17"/>
  <c r="E612" i="7" s="1"/>
  <c r="K40" i="17"/>
  <c r="O483" i="14"/>
  <c r="H483" i="14"/>
  <c r="AZ32" i="14" s="1"/>
  <c r="N483" i="14"/>
  <c r="BF32" i="14" s="1"/>
  <c r="M483" i="14"/>
  <c r="BI32" i="14" s="1"/>
  <c r="W479" i="14"/>
  <c r="L483" i="14"/>
  <c r="BC32" i="14" s="1"/>
  <c r="AH66" i="14"/>
  <c r="AL66" i="14"/>
  <c r="AQ380" i="6"/>
  <c r="R17" i="12"/>
  <c r="B254" i="8" s="1"/>
  <c r="E254" i="8" s="1"/>
  <c r="Q17" i="12"/>
  <c r="B232" i="8" s="1"/>
  <c r="E232" i="8" s="1"/>
  <c r="B224" i="8"/>
  <c r="E224" i="8" s="1"/>
  <c r="Q13" i="12"/>
  <c r="B233" i="8" s="1"/>
  <c r="E233" i="8" s="1"/>
  <c r="R16" i="12"/>
  <c r="B258" i="8" s="1"/>
  <c r="E258" i="8" s="1"/>
  <c r="R14" i="12"/>
  <c r="B256" i="8" s="1"/>
  <c r="E256" i="8" s="1"/>
  <c r="Q14" i="12"/>
  <c r="B234" i="8" s="1"/>
  <c r="E234" i="8" s="1"/>
  <c r="R13" i="12"/>
  <c r="B255" i="8" s="1"/>
  <c r="E255" i="8" s="1"/>
  <c r="Q16" i="12"/>
  <c r="B236" i="8" s="1"/>
  <c r="E236" i="8" s="1"/>
  <c r="Q15" i="12"/>
  <c r="B235" i="8" s="1"/>
  <c r="E235" i="8" s="1"/>
  <c r="R15" i="12"/>
  <c r="B257" i="8" s="1"/>
  <c r="E257" i="8" s="1"/>
  <c r="S33" i="10"/>
  <c r="B92" i="8" s="1"/>
  <c r="E92" i="8" s="1"/>
  <c r="J9" i="11"/>
  <c r="B172" i="8" s="1"/>
  <c r="E172" i="8" s="1"/>
  <c r="H9" i="11"/>
  <c r="AM470" i="7" s="1"/>
  <c r="AI14" i="14"/>
  <c r="J9" i="21" s="1"/>
  <c r="AM445" i="14"/>
  <c r="AM450" i="14" s="1"/>
  <c r="AH445" i="14"/>
  <c r="AH450" i="14" s="1"/>
  <c r="AL445" i="14"/>
  <c r="AL450" i="14" s="1"/>
  <c r="Z445" i="14"/>
  <c r="Z450" i="14"/>
  <c r="AE450" i="14" s="1"/>
  <c r="AU30" i="14" s="1"/>
  <c r="AN608" i="14"/>
  <c r="AO608" i="14"/>
  <c r="AI608" i="14"/>
  <c r="AB608" i="14"/>
  <c r="AF608" i="14" s="1"/>
  <c r="AV38" i="14" s="1"/>
  <c r="BE24" i="14"/>
  <c r="M68" i="3"/>
  <c r="AJ15" i="14"/>
  <c r="AO450" i="14"/>
  <c r="AN450" i="14"/>
  <c r="AI450" i="14"/>
  <c r="AB450" i="14"/>
  <c r="AF450" i="14" s="1"/>
  <c r="AV30" i="14" s="1"/>
  <c r="AI259" i="6"/>
  <c r="AN259" i="6"/>
  <c r="AH259" i="6"/>
  <c r="AH432" i="6" s="1"/>
  <c r="AL291" i="14"/>
  <c r="AL296" i="14" s="1"/>
  <c r="Z291" i="14"/>
  <c r="AH291" i="14"/>
  <c r="AH296" i="14" s="1"/>
  <c r="AM291" i="14"/>
  <c r="AM296" i="14" s="1"/>
  <c r="Z296" i="14"/>
  <c r="AE296" i="14" s="1"/>
  <c r="AU22" i="14" s="1"/>
  <c r="BB29" i="14"/>
  <c r="AJ589" i="7"/>
  <c r="G73" i="3"/>
  <c r="R92" i="3"/>
  <c r="AG764" i="14"/>
  <c r="AG769" i="14" s="1"/>
  <c r="AK764" i="14"/>
  <c r="AK769" i="14" s="1"/>
  <c r="AJ764" i="14"/>
  <c r="AJ769" i="14" s="1"/>
  <c r="X764" i="14"/>
  <c r="AC760" i="14"/>
  <c r="X769" i="14"/>
  <c r="AD769" i="14" s="1"/>
  <c r="AT45" i="14" s="1"/>
  <c r="H15" i="21"/>
  <c r="M321" i="7"/>
  <c r="G35" i="3"/>
  <c r="W639" i="14"/>
  <c r="H643" i="14"/>
  <c r="BH10" i="14"/>
  <c r="S54" i="3"/>
  <c r="Z488" i="14"/>
  <c r="AE488" i="14" s="1"/>
  <c r="AU32" i="14" s="1"/>
  <c r="AM483" i="14"/>
  <c r="AM488" i="14" s="1"/>
  <c r="AH483" i="14"/>
  <c r="AH488" i="14" s="1"/>
  <c r="AL483" i="14"/>
  <c r="AL488" i="14" s="1"/>
  <c r="Z483" i="14"/>
  <c r="AM15" i="14"/>
  <c r="O12" i="21" s="1"/>
  <c r="M12" i="21" s="1"/>
  <c r="N12" i="21" s="1"/>
  <c r="N291" i="14"/>
  <c r="BF22" i="14" s="1"/>
  <c r="M291" i="14"/>
  <c r="BI22" i="14" s="1"/>
  <c r="H291" i="14"/>
  <c r="AZ22" i="14" s="1"/>
  <c r="W287" i="14"/>
  <c r="O291" i="14"/>
  <c r="L291" i="14"/>
  <c r="BC22" i="14" s="1"/>
  <c r="E7" i="21"/>
  <c r="J228" i="7"/>
  <c r="D10" i="3"/>
  <c r="E11" i="3" s="1"/>
  <c r="I49" i="11"/>
  <c r="B165" i="8" s="1"/>
  <c r="E165" i="8" s="1"/>
  <c r="S37" i="10"/>
  <c r="B96" i="8" s="1"/>
  <c r="E96" i="8" s="1"/>
  <c r="BB11" i="14"/>
  <c r="AJ571" i="7"/>
  <c r="R82" i="3"/>
  <c r="G55" i="3"/>
  <c r="E68" i="3"/>
  <c r="V90" i="3"/>
  <c r="BE11" i="14"/>
  <c r="M55" i="3"/>
  <c r="AO588" i="14"/>
  <c r="AB588" i="14"/>
  <c r="AF588" i="14" s="1"/>
  <c r="AV37" i="14" s="1"/>
  <c r="AN588" i="14"/>
  <c r="AI588" i="14"/>
  <c r="AL570" i="7"/>
  <c r="AK570" i="7"/>
  <c r="AN570" i="7"/>
  <c r="AM570" i="7"/>
  <c r="AM541" i="14"/>
  <c r="AH541" i="14"/>
  <c r="Z545" i="14"/>
  <c r="AE545" i="14" s="1"/>
  <c r="AU35" i="14" s="1"/>
  <c r="AL541" i="14"/>
  <c r="Z541" i="14"/>
  <c r="AJ100" i="14"/>
  <c r="AJ105" i="14" s="1"/>
  <c r="X100" i="14"/>
  <c r="AC96" i="14"/>
  <c r="AG100" i="14"/>
  <c r="AG105" i="14" s="1"/>
  <c r="AK100" i="14"/>
  <c r="AK105" i="14" s="1"/>
  <c r="X105" i="14"/>
  <c r="AD105" i="14" s="1"/>
  <c r="AT12" i="14" s="1"/>
  <c r="S34" i="10"/>
  <c r="B93" i="8" s="1"/>
  <c r="E93" i="8" s="1"/>
  <c r="Z386" i="14"/>
  <c r="Z391" i="14"/>
  <c r="AE391" i="14" s="1"/>
  <c r="AU27" i="14" s="1"/>
  <c r="AM386" i="14"/>
  <c r="AM391" i="14" s="1"/>
  <c r="AH386" i="14"/>
  <c r="AH391" i="14" s="1"/>
  <c r="AL386" i="14"/>
  <c r="AL391" i="14" s="1"/>
  <c r="AI315" i="14"/>
  <c r="AO315" i="14"/>
  <c r="AB315" i="14"/>
  <c r="AF315" i="14" s="1"/>
  <c r="AV23" i="14" s="1"/>
  <c r="AN315" i="14"/>
  <c r="AG422" i="14"/>
  <c r="AG16" i="14" s="1"/>
  <c r="AJ422" i="14"/>
  <c r="AJ16" i="14" s="1"/>
  <c r="AL367" i="14"/>
  <c r="AL372" i="14" s="1"/>
  <c r="Z367" i="14"/>
  <c r="AH367" i="14"/>
  <c r="AH372" i="14" s="1"/>
  <c r="Z372" i="14"/>
  <c r="AE372" i="14" s="1"/>
  <c r="AU26" i="14" s="1"/>
  <c r="AM367" i="14"/>
  <c r="AM372" i="14" s="1"/>
  <c r="J47" i="11"/>
  <c r="B210" i="8" s="1"/>
  <c r="E210" i="8" s="1"/>
  <c r="AK596" i="7"/>
  <c r="AN596" i="7"/>
  <c r="AM596" i="7"/>
  <c r="AL596" i="7"/>
  <c r="AP380" i="6"/>
  <c r="AL380" i="6"/>
  <c r="S22" i="10"/>
  <c r="B72" i="8" s="1"/>
  <c r="E72" i="8" s="1"/>
  <c r="AO20" i="14"/>
  <c r="I428" i="7" s="1"/>
  <c r="Z163" i="14"/>
  <c r="AE163" i="14" s="1"/>
  <c r="AU15" i="14" s="1"/>
  <c r="AM158" i="14"/>
  <c r="AM163" i="14" s="1"/>
  <c r="AH158" i="14"/>
  <c r="AH163" i="14" s="1"/>
  <c r="AL158" i="14"/>
  <c r="AL163" i="14" s="1"/>
  <c r="Z158" i="14"/>
  <c r="AG745" i="14"/>
  <c r="AG750" i="14" s="1"/>
  <c r="AJ745" i="14"/>
  <c r="AJ750" i="14" s="1"/>
  <c r="AC741" i="14"/>
  <c r="AK745" i="14"/>
  <c r="AK750" i="14" s="1"/>
  <c r="X745" i="14"/>
  <c r="X750" i="14"/>
  <c r="AD750" i="14" s="1"/>
  <c r="AT44" i="14" s="1"/>
  <c r="Z507" i="14"/>
  <c r="AE507" i="14" s="1"/>
  <c r="AU33" i="14" s="1"/>
  <c r="AM502" i="14"/>
  <c r="AM507" i="14" s="1"/>
  <c r="AH502" i="14"/>
  <c r="AH507" i="14" s="1"/>
  <c r="AL502" i="14"/>
  <c r="AL507" i="14" s="1"/>
  <c r="Z502" i="14"/>
  <c r="AM66" i="14"/>
  <c r="AL406" i="14"/>
  <c r="AL411" i="14" s="1"/>
  <c r="Z411" i="14"/>
  <c r="AE411" i="14" s="1"/>
  <c r="AU28" i="14" s="1"/>
  <c r="Z406" i="14"/>
  <c r="AM406" i="14"/>
  <c r="AM411" i="14" s="1"/>
  <c r="AH406" i="14"/>
  <c r="AH411" i="14" s="1"/>
  <c r="W619" i="14"/>
  <c r="H623" i="14"/>
  <c r="Z258" i="14"/>
  <c r="AE258" i="14" s="1"/>
  <c r="AU20" i="14" s="1"/>
  <c r="AM253" i="14"/>
  <c r="AM258" i="14" s="1"/>
  <c r="AH253" i="14"/>
  <c r="AH258" i="14" s="1"/>
  <c r="AL253" i="14"/>
  <c r="AL258" i="14" s="1"/>
  <c r="Z253" i="14"/>
  <c r="Z431" i="14"/>
  <c r="AE431" i="14" s="1"/>
  <c r="AU29" i="14" s="1"/>
  <c r="Z426" i="14"/>
  <c r="AL426" i="14"/>
  <c r="AL431" i="14" s="1"/>
  <c r="AH426" i="14"/>
  <c r="AH431" i="14" s="1"/>
  <c r="AM426" i="14"/>
  <c r="AM431" i="14" s="1"/>
  <c r="E441" i="14"/>
  <c r="T33" i="10"/>
  <c r="AN488" i="14"/>
  <c r="AI488" i="14"/>
  <c r="AB488" i="14"/>
  <c r="AF488" i="14" s="1"/>
  <c r="AV32" i="14" s="1"/>
  <c r="AO488" i="14"/>
  <c r="I15" i="11"/>
  <c r="B124" i="8" s="1"/>
  <c r="E124" i="8" s="1"/>
  <c r="AL476" i="7"/>
  <c r="H15" i="11"/>
  <c r="B113" i="8" s="1"/>
  <c r="E113" i="8" s="1"/>
  <c r="S19" i="11"/>
  <c r="O485" i="7" s="1"/>
  <c r="J15" i="11"/>
  <c r="B171" i="8" s="1"/>
  <c r="E171" i="8" s="1"/>
  <c r="J13" i="11"/>
  <c r="B176" i="8" s="1"/>
  <c r="E176" i="8" s="1"/>
  <c r="I13" i="11"/>
  <c r="B129" i="8" s="1"/>
  <c r="E129" i="8" s="1"/>
  <c r="H13" i="11"/>
  <c r="AM474" i="7" s="1"/>
  <c r="J12" i="11"/>
  <c r="B175" i="8" s="1"/>
  <c r="E175" i="8" s="1"/>
  <c r="I10" i="11"/>
  <c r="B127" i="8" s="1"/>
  <c r="E127" i="8" s="1"/>
  <c r="I14" i="11"/>
  <c r="B130" i="8" s="1"/>
  <c r="E130" i="8" s="1"/>
  <c r="H10" i="11"/>
  <c r="AM471" i="7" s="1"/>
  <c r="H14" i="11"/>
  <c r="AM475" i="7" s="1"/>
  <c r="I12" i="11"/>
  <c r="B128" i="8" s="1"/>
  <c r="E128" i="8" s="1"/>
  <c r="J10" i="11"/>
  <c r="B173" i="8" s="1"/>
  <c r="E173" i="8" s="1"/>
  <c r="J14" i="11"/>
  <c r="B177" i="8" s="1"/>
  <c r="E177" i="8" s="1"/>
  <c r="H12" i="11"/>
  <c r="AM473" i="7" s="1"/>
  <c r="I9" i="11"/>
  <c r="B125" i="8" s="1"/>
  <c r="E125" i="8" s="1"/>
  <c r="AM259" i="6"/>
  <c r="AR259" i="6"/>
  <c r="AL259" i="6"/>
  <c r="AL432" i="6" s="1"/>
  <c r="E401" i="14"/>
  <c r="N406" i="14"/>
  <c r="BF28" i="14" s="1"/>
  <c r="M406" i="14"/>
  <c r="BI28" i="14" s="1"/>
  <c r="W401" i="14"/>
  <c r="H406" i="14"/>
  <c r="AZ28" i="14" s="1"/>
  <c r="O406" i="14"/>
  <c r="AL138" i="14"/>
  <c r="AL143" i="14" s="1"/>
  <c r="Z143" i="14"/>
  <c r="AE143" i="14" s="1"/>
  <c r="AU14" i="14" s="1"/>
  <c r="AH138" i="14"/>
  <c r="AH143" i="14" s="1"/>
  <c r="AM138" i="14"/>
  <c r="AM143" i="14" s="1"/>
  <c r="Z138" i="14"/>
  <c r="AH14" i="14"/>
  <c r="J8" i="21" s="1"/>
  <c r="BE39" i="14"/>
  <c r="AJ599" i="7"/>
  <c r="AK380" i="6"/>
  <c r="AG61" i="14"/>
  <c r="AC57" i="14"/>
  <c r="AK61" i="14"/>
  <c r="AJ61" i="14"/>
  <c r="X61" i="14"/>
  <c r="X66" i="14"/>
  <c r="AD66" i="14" s="1"/>
  <c r="AT10" i="14" s="1"/>
  <c r="BE10" i="14"/>
  <c r="M54" i="3"/>
  <c r="Z623" i="14"/>
  <c r="AM623" i="14"/>
  <c r="AM628" i="14" s="1"/>
  <c r="AL623" i="14"/>
  <c r="AL628" i="14" s="1"/>
  <c r="Z628" i="14"/>
  <c r="AE628" i="14" s="1"/>
  <c r="AU39" i="14" s="1"/>
  <c r="AH623" i="14"/>
  <c r="AH628" i="14" s="1"/>
  <c r="BB17" i="14"/>
  <c r="AJ577" i="7"/>
  <c r="G61" i="3"/>
  <c r="R88" i="3"/>
  <c r="E344" i="14"/>
  <c r="L348" i="14"/>
  <c r="BC25" i="14" s="1"/>
  <c r="C7" i="21"/>
  <c r="H228" i="7"/>
  <c r="B10" i="3"/>
  <c r="H53" i="11"/>
  <c r="B119" i="8" s="1"/>
  <c r="E119" i="8" s="1"/>
  <c r="S25" i="11"/>
  <c r="O491" i="7" s="1"/>
  <c r="J53" i="11"/>
  <c r="B211" i="8" s="1"/>
  <c r="E211" i="8" s="1"/>
  <c r="AL514" i="7"/>
  <c r="I53" i="11"/>
  <c r="B164" i="8" s="1"/>
  <c r="E164" i="8" s="1"/>
  <c r="I50" i="11"/>
  <c r="B166" i="8" s="1"/>
  <c r="E166" i="8" s="1"/>
  <c r="H50" i="11"/>
  <c r="AM511" i="7" s="1"/>
  <c r="I52" i="11"/>
  <c r="B168" i="8" s="1"/>
  <c r="E168" i="8" s="1"/>
  <c r="J50" i="11"/>
  <c r="B213" i="8" s="1"/>
  <c r="E213" i="8" s="1"/>
  <c r="H52" i="11"/>
  <c r="AM513" i="7" s="1"/>
  <c r="J52" i="11"/>
  <c r="B215" i="8" s="1"/>
  <c r="E215" i="8" s="1"/>
  <c r="AL643" i="14"/>
  <c r="AL648" i="14" s="1"/>
  <c r="Z648" i="14"/>
  <c r="AE648" i="14" s="1"/>
  <c r="AH643" i="14"/>
  <c r="AH648" i="14" s="1"/>
  <c r="AM643" i="14"/>
  <c r="AM648" i="14" s="1"/>
  <c r="Z643" i="14"/>
  <c r="O234" i="14"/>
  <c r="H234" i="14"/>
  <c r="AZ19" i="14" s="1"/>
  <c r="N234" i="14"/>
  <c r="BF19" i="14" s="1"/>
  <c r="M234" i="14"/>
  <c r="BI19" i="14" s="1"/>
  <c r="W230" i="14"/>
  <c r="AM563" i="14"/>
  <c r="AM568" i="14" s="1"/>
  <c r="AH563" i="14"/>
  <c r="AH568" i="14" s="1"/>
  <c r="Z568" i="14"/>
  <c r="AE568" i="14" s="1"/>
  <c r="AU36" i="14" s="1"/>
  <c r="AL563" i="14"/>
  <c r="AL568" i="14" s="1"/>
  <c r="Z563" i="14"/>
  <c r="I51" i="11"/>
  <c r="B167" i="8" s="1"/>
  <c r="E167" i="8" s="1"/>
  <c r="AI380" i="6"/>
  <c r="AI143" i="14"/>
  <c r="AI20" i="14" s="1"/>
  <c r="D428" i="7" s="1"/>
  <c r="AO143" i="14"/>
  <c r="AN143" i="14"/>
  <c r="AB143" i="14"/>
  <c r="AF143" i="14" s="1"/>
  <c r="AV14" i="14" s="1"/>
  <c r="V81" i="3"/>
  <c r="E54" i="3"/>
  <c r="AP487" i="7"/>
  <c r="AP486" i="7"/>
  <c r="D496" i="7" s="1"/>
  <c r="BH12" i="14"/>
  <c r="S56" i="3"/>
  <c r="AG27" i="14"/>
  <c r="V7" i="13" s="1"/>
  <c r="H664" i="14"/>
  <c r="N664" i="14"/>
  <c r="L664" i="14"/>
  <c r="W660" i="14"/>
  <c r="O664" i="14"/>
  <c r="H47" i="11"/>
  <c r="AM508" i="7" s="1"/>
  <c r="AN380" i="6"/>
  <c r="J11" i="21"/>
  <c r="L177" i="14"/>
  <c r="BC16" i="14" s="1"/>
  <c r="J11" i="11"/>
  <c r="B174" i="8" s="1"/>
  <c r="E174" i="8" s="1"/>
  <c r="AJ380" i="6"/>
  <c r="AO411" i="14"/>
  <c r="AB411" i="14"/>
  <c r="AF411" i="14" s="1"/>
  <c r="AV28" i="14" s="1"/>
  <c r="AN411" i="14"/>
  <c r="AQ428" i="6"/>
  <c r="AM428" i="6"/>
  <c r="S26" i="10"/>
  <c r="B76" i="8" s="1"/>
  <c r="E76" i="8" s="1"/>
  <c r="S20" i="10"/>
  <c r="B70" i="8" s="1"/>
  <c r="E70" i="8" s="1"/>
  <c r="AK428" i="6"/>
  <c r="AM381" i="6" l="1"/>
  <c r="G428" i="7"/>
  <c r="AC428" i="7"/>
  <c r="H428" i="7" s="1"/>
  <c r="AJ234" i="14"/>
  <c r="AJ239" i="14" s="1"/>
  <c r="X234" i="14"/>
  <c r="AC230" i="14"/>
  <c r="AG234" i="14"/>
  <c r="AG239" i="14" s="1"/>
  <c r="AK234" i="14"/>
  <c r="AK239" i="14" s="1"/>
  <c r="X239" i="14"/>
  <c r="AD239" i="14" s="1"/>
  <c r="AT19" i="14" s="1"/>
  <c r="AK623" i="14"/>
  <c r="AK628" i="14" s="1"/>
  <c r="AG623" i="14"/>
  <c r="AG628" i="14" s="1"/>
  <c r="X623" i="14"/>
  <c r="X628" i="14" s="1"/>
  <c r="AD628" i="14" s="1"/>
  <c r="AT39" i="14" s="1"/>
  <c r="AJ623" i="14"/>
  <c r="AJ628" i="14" s="1"/>
  <c r="C545" i="7"/>
  <c r="AI457" i="6"/>
  <c r="AI381" i="6"/>
  <c r="BH19" i="14"/>
  <c r="S63" i="3"/>
  <c r="AP512" i="7"/>
  <c r="D512" i="7" s="1"/>
  <c r="AP513" i="7"/>
  <c r="D513" i="7" s="1"/>
  <c r="E61" i="3"/>
  <c r="V88" i="3"/>
  <c r="AP475" i="7"/>
  <c r="AP472" i="7"/>
  <c r="D488" i="7" s="1"/>
  <c r="AP474" i="7"/>
  <c r="AP471" i="7"/>
  <c r="D487" i="7" s="1"/>
  <c r="AP470" i="7"/>
  <c r="D486" i="7" s="1"/>
  <c r="AP473" i="7"/>
  <c r="AG643" i="14"/>
  <c r="AG648" i="14" s="1"/>
  <c r="AK643" i="14"/>
  <c r="AK648" i="14" s="1"/>
  <c r="X643" i="14"/>
  <c r="AJ643" i="14"/>
  <c r="AJ648" i="14" s="1"/>
  <c r="X648" i="14"/>
  <c r="AD648" i="14" s="1"/>
  <c r="AM589" i="7"/>
  <c r="AL589" i="7"/>
  <c r="AK589" i="7"/>
  <c r="AN589" i="7"/>
  <c r="AN260" i="6"/>
  <c r="AN451" i="6"/>
  <c r="AH20" i="14"/>
  <c r="D427" i="7" s="1"/>
  <c r="BH32" i="14"/>
  <c r="S76" i="3"/>
  <c r="V83" i="3"/>
  <c r="E56" i="3"/>
  <c r="AK603" i="14"/>
  <c r="AK608" i="14" s="1"/>
  <c r="AJ603" i="14"/>
  <c r="AJ608" i="14" s="1"/>
  <c r="AG603" i="14"/>
  <c r="AG608" i="14" s="1"/>
  <c r="X603" i="14"/>
  <c r="X608" i="14"/>
  <c r="AD608" i="14" s="1"/>
  <c r="AT38" i="14" s="1"/>
  <c r="AJ541" i="14"/>
  <c r="X541" i="14"/>
  <c r="AG541" i="14"/>
  <c r="AC536" i="14"/>
  <c r="AK541" i="14"/>
  <c r="X545" i="14"/>
  <c r="AD545" i="14" s="1"/>
  <c r="AT35" i="14" s="1"/>
  <c r="B275" i="8"/>
  <c r="E275" i="8" s="1"/>
  <c r="B230" i="8"/>
  <c r="E230" i="8" s="1"/>
  <c r="B222" i="8"/>
  <c r="E222" i="8" s="1"/>
  <c r="P26" i="12"/>
  <c r="P34" i="12"/>
  <c r="BB31" i="14"/>
  <c r="AJ591" i="7"/>
  <c r="R93" i="3"/>
  <c r="G75" i="3"/>
  <c r="AK464" i="14"/>
  <c r="AK469" i="14" s="1"/>
  <c r="AC460" i="14"/>
  <c r="AJ464" i="14"/>
  <c r="AJ469" i="14" s="1"/>
  <c r="AG464" i="14"/>
  <c r="AG469" i="14" s="1"/>
  <c r="X464" i="14"/>
  <c r="X469" i="14" s="1"/>
  <c r="AD469" i="14" s="1"/>
  <c r="AT31" i="14" s="1"/>
  <c r="BE20" i="14"/>
  <c r="M64" i="3"/>
  <c r="AM593" i="7"/>
  <c r="AL593" i="7"/>
  <c r="AK593" i="7"/>
  <c r="AN593" i="7"/>
  <c r="AJ196" i="14"/>
  <c r="AJ201" i="14" s="1"/>
  <c r="X196" i="14"/>
  <c r="AG196" i="14"/>
  <c r="AG201" i="14" s="1"/>
  <c r="AK196" i="14"/>
  <c r="AK201" i="14" s="1"/>
  <c r="AC192" i="14"/>
  <c r="X201" i="14"/>
  <c r="AD201" i="14" s="1"/>
  <c r="AT17" i="14" s="1"/>
  <c r="AK583" i="14"/>
  <c r="AK588" i="14" s="1"/>
  <c r="AJ583" i="14"/>
  <c r="AJ588" i="14" s="1"/>
  <c r="X583" i="14"/>
  <c r="X588" i="14" s="1"/>
  <c r="AD588" i="14" s="1"/>
  <c r="AT37" i="14" s="1"/>
  <c r="AG583" i="14"/>
  <c r="AG588" i="14" s="1"/>
  <c r="BB34" i="14"/>
  <c r="E78" i="3" s="1"/>
  <c r="AJ594" i="7"/>
  <c r="G78" i="3"/>
  <c r="AQ451" i="6"/>
  <c r="AQ260" i="6"/>
  <c r="BE16" i="14"/>
  <c r="M60" i="3"/>
  <c r="BH16" i="14"/>
  <c r="S60" i="3"/>
  <c r="BE13" i="14"/>
  <c r="M57" i="3"/>
  <c r="BE27" i="14"/>
  <c r="M71" i="3"/>
  <c r="I22" i="11"/>
  <c r="B131" i="8" s="1"/>
  <c r="E131" i="8" s="1"/>
  <c r="H43" i="11"/>
  <c r="B117" i="8" s="1"/>
  <c r="E117" i="8" s="1"/>
  <c r="J43" i="11"/>
  <c r="B200" i="8" s="1"/>
  <c r="E200" i="8" s="1"/>
  <c r="J27" i="11"/>
  <c r="B185" i="8" s="1"/>
  <c r="E185" i="8" s="1"/>
  <c r="J22" i="11"/>
  <c r="B178" i="8" s="1"/>
  <c r="E178" i="8" s="1"/>
  <c r="H22" i="11"/>
  <c r="B114" i="8" s="1"/>
  <c r="E114" i="8" s="1"/>
  <c r="I43" i="11"/>
  <c r="B153" i="8" s="1"/>
  <c r="E153" i="8" s="1"/>
  <c r="I27" i="11"/>
  <c r="B138" i="8" s="1"/>
  <c r="E138" i="8" s="1"/>
  <c r="H27" i="11"/>
  <c r="B115" i="8" s="1"/>
  <c r="E115" i="8" s="1"/>
  <c r="AC441" i="14"/>
  <c r="AK445" i="14"/>
  <c r="AK450" i="14" s="1"/>
  <c r="X445" i="14"/>
  <c r="X450" i="14" s="1"/>
  <c r="AD450" i="14" s="1"/>
  <c r="AT30" i="14" s="1"/>
  <c r="AJ445" i="14"/>
  <c r="AJ450" i="14" s="1"/>
  <c r="AG445" i="14"/>
  <c r="AG450" i="14" s="1"/>
  <c r="F34" i="3"/>
  <c r="BH18" i="14"/>
  <c r="S62" i="3"/>
  <c r="AK34" i="14"/>
  <c r="G560" i="7" s="1"/>
  <c r="F560" i="7"/>
  <c r="M13" i="21"/>
  <c r="N13" i="21" s="1"/>
  <c r="I28" i="11"/>
  <c r="B144" i="8" s="1"/>
  <c r="E144" i="8" s="1"/>
  <c r="BE21" i="14"/>
  <c r="M65" i="3"/>
  <c r="BH21" i="14"/>
  <c r="S65" i="3"/>
  <c r="AJ381" i="6"/>
  <c r="AJ457" i="6"/>
  <c r="AG664" i="14"/>
  <c r="AG669" i="14" s="1"/>
  <c r="AK664" i="14"/>
  <c r="AK669" i="14" s="1"/>
  <c r="X664" i="14"/>
  <c r="X669" i="14" s="1"/>
  <c r="AD669" i="14" s="1"/>
  <c r="AT40" i="14" s="1"/>
  <c r="AJ664" i="14"/>
  <c r="AJ669" i="14" s="1"/>
  <c r="BE19" i="14"/>
  <c r="M63" i="3"/>
  <c r="AG66" i="14"/>
  <c r="AG406" i="14"/>
  <c r="AG411" i="14" s="1"/>
  <c r="AK406" i="14"/>
  <c r="AK411" i="14" s="1"/>
  <c r="AJ406" i="14"/>
  <c r="AJ411" i="14" s="1"/>
  <c r="X406" i="14"/>
  <c r="AC401" i="14"/>
  <c r="X411" i="14"/>
  <c r="AD411" i="14" s="1"/>
  <c r="AT28" i="14" s="1"/>
  <c r="AL451" i="6"/>
  <c r="AL260" i="6"/>
  <c r="AM20" i="14"/>
  <c r="I427" i="7" s="1"/>
  <c r="AL381" i="6"/>
  <c r="AL457" i="6"/>
  <c r="BB22" i="14"/>
  <c r="E66" i="3" s="1"/>
  <c r="AJ582" i="7"/>
  <c r="G66" i="3"/>
  <c r="BH22" i="14"/>
  <c r="S66" i="3"/>
  <c r="E73" i="3"/>
  <c r="V92" i="3"/>
  <c r="AI451" i="6"/>
  <c r="AI452" i="6" s="1"/>
  <c r="AI260" i="6"/>
  <c r="AQ457" i="6"/>
  <c r="AQ381" i="6"/>
  <c r="AH18" i="14"/>
  <c r="BE32" i="14"/>
  <c r="M76" i="3"/>
  <c r="AN575" i="7"/>
  <c r="AM575" i="7"/>
  <c r="AL575" i="7"/>
  <c r="AK575" i="7"/>
  <c r="BB35" i="14"/>
  <c r="AJ595" i="7"/>
  <c r="AH381" i="6"/>
  <c r="BE31" i="14"/>
  <c r="M75" i="3"/>
  <c r="BH31" i="14"/>
  <c r="S75" i="3"/>
  <c r="AJ253" i="14"/>
  <c r="AJ258" i="14" s="1"/>
  <c r="X253" i="14"/>
  <c r="AG253" i="14"/>
  <c r="AG258" i="14" s="1"/>
  <c r="AC249" i="14"/>
  <c r="AK253" i="14"/>
  <c r="AK258" i="14" s="1"/>
  <c r="X258" i="14"/>
  <c r="AD258" i="14" s="1"/>
  <c r="AT20" i="14" s="1"/>
  <c r="AG502" i="14"/>
  <c r="AG507" i="14" s="1"/>
  <c r="AK502" i="14"/>
  <c r="AK507" i="14" s="1"/>
  <c r="AC498" i="14"/>
  <c r="AJ502" i="14"/>
  <c r="AJ507" i="14" s="1"/>
  <c r="X502" i="14"/>
  <c r="X507" i="14" s="1"/>
  <c r="AD507" i="14" s="1"/>
  <c r="AT33" i="14" s="1"/>
  <c r="V95" i="3"/>
  <c r="E77" i="3"/>
  <c r="AJ451" i="6"/>
  <c r="AJ260" i="6"/>
  <c r="AG367" i="14"/>
  <c r="AG372" i="14" s="1"/>
  <c r="AK367" i="14"/>
  <c r="AK372" i="14" s="1"/>
  <c r="X367" i="14"/>
  <c r="X372" i="14" s="1"/>
  <c r="AD372" i="14" s="1"/>
  <c r="AT26" i="14" s="1"/>
  <c r="AC363" i="14"/>
  <c r="AJ367" i="14"/>
  <c r="AJ372" i="14" s="1"/>
  <c r="BE17" i="14"/>
  <c r="M61" i="3"/>
  <c r="AR381" i="6"/>
  <c r="AR457" i="6"/>
  <c r="BB23" i="14"/>
  <c r="E67" i="3" s="1"/>
  <c r="AJ583" i="7"/>
  <c r="G67" i="3"/>
  <c r="BH23" i="14"/>
  <c r="S67" i="3"/>
  <c r="BH34" i="14"/>
  <c r="S78" i="3"/>
  <c r="G11" i="3"/>
  <c r="AK177" i="14"/>
  <c r="AK182" i="14" s="1"/>
  <c r="AJ177" i="14"/>
  <c r="AJ182" i="14" s="1"/>
  <c r="X177" i="14"/>
  <c r="X182" i="14" s="1"/>
  <c r="AD182" i="14" s="1"/>
  <c r="AT16" i="14" s="1"/>
  <c r="AG177" i="14"/>
  <c r="AG182" i="14" s="1"/>
  <c r="AC173" i="14"/>
  <c r="BB13" i="14"/>
  <c r="AJ573" i="7"/>
  <c r="G57" i="3"/>
  <c r="R84" i="3"/>
  <c r="BB30" i="14"/>
  <c r="E74" i="3" s="1"/>
  <c r="AJ590" i="7"/>
  <c r="G74" i="3"/>
  <c r="BE18" i="14"/>
  <c r="M62" i="3"/>
  <c r="AL603" i="7"/>
  <c r="AK603" i="7"/>
  <c r="AN603" i="7"/>
  <c r="AM603" i="7"/>
  <c r="H28" i="11"/>
  <c r="AM489" i="7" s="1"/>
  <c r="BB25" i="14"/>
  <c r="E69" i="3" s="1"/>
  <c r="AJ585" i="7"/>
  <c r="G69" i="3"/>
  <c r="AN577" i="7"/>
  <c r="AM577" i="7"/>
  <c r="AL577" i="7"/>
  <c r="AK577" i="7"/>
  <c r="AL604" i="7"/>
  <c r="AK604" i="7"/>
  <c r="AN604" i="7"/>
  <c r="AM604" i="7"/>
  <c r="BE28" i="14"/>
  <c r="M72" i="3"/>
  <c r="AN457" i="6"/>
  <c r="AN381" i="6"/>
  <c r="AJ66" i="14"/>
  <c r="AK457" i="6"/>
  <c r="AK381" i="6"/>
  <c r="BH28" i="14"/>
  <c r="S72" i="3"/>
  <c r="AR451" i="6"/>
  <c r="AR260" i="6"/>
  <c r="AM18" i="14"/>
  <c r="AP457" i="6"/>
  <c r="AP381" i="6"/>
  <c r="AN571" i="7"/>
  <c r="AM571" i="7"/>
  <c r="AL571" i="7"/>
  <c r="AK571" i="7"/>
  <c r="BE22" i="14"/>
  <c r="M66" i="3"/>
  <c r="L11" i="21"/>
  <c r="M11" i="21" s="1"/>
  <c r="N11" i="21" s="1"/>
  <c r="AI40" i="14"/>
  <c r="AL20" i="14"/>
  <c r="F427" i="7" s="1"/>
  <c r="AA427" i="7" s="1"/>
  <c r="AB427" i="7" s="1"/>
  <c r="BB32" i="14"/>
  <c r="AJ592" i="7"/>
  <c r="R94" i="3"/>
  <c r="G76" i="3"/>
  <c r="J17" i="13"/>
  <c r="B293" i="8" s="1"/>
  <c r="E293" i="8" s="1"/>
  <c r="J16" i="13"/>
  <c r="K15" i="13"/>
  <c r="K17" i="13"/>
  <c r="B319" i="8" s="1"/>
  <c r="E319" i="8" s="1"/>
  <c r="K16" i="13"/>
  <c r="J15" i="13"/>
  <c r="B282" i="8"/>
  <c r="E282" i="8" s="1"/>
  <c r="E59" i="3"/>
  <c r="V86" i="3"/>
  <c r="AP508" i="7"/>
  <c r="AP506" i="7"/>
  <c r="D507" i="7" s="1"/>
  <c r="AP507" i="7"/>
  <c r="D508" i="7" s="1"/>
  <c r="AP505" i="7"/>
  <c r="D506" i="7" s="1"/>
  <c r="BB14" i="14"/>
  <c r="AJ574" i="7"/>
  <c r="G58" i="3"/>
  <c r="R85" i="3"/>
  <c r="BH14" i="14"/>
  <c r="S58" i="3"/>
  <c r="BB20" i="14"/>
  <c r="AJ580" i="7"/>
  <c r="R89" i="3"/>
  <c r="G64" i="3"/>
  <c r="BH33" i="14"/>
  <c r="S77" i="3"/>
  <c r="BB26" i="14"/>
  <c r="E70" i="3" s="1"/>
  <c r="AJ586" i="7"/>
  <c r="G70" i="3"/>
  <c r="BH26" i="14"/>
  <c r="S70" i="3"/>
  <c r="AL602" i="7"/>
  <c r="AK602" i="7"/>
  <c r="AN602" i="7"/>
  <c r="AM602" i="7"/>
  <c r="BE29" i="14"/>
  <c r="M73" i="3"/>
  <c r="BH29" i="14"/>
  <c r="S73" i="3"/>
  <c r="AB18" i="14"/>
  <c r="AG310" i="14"/>
  <c r="AG315" i="14" s="1"/>
  <c r="AC306" i="14"/>
  <c r="AK310" i="14"/>
  <c r="AK315" i="14" s="1"/>
  <c r="AJ310" i="14"/>
  <c r="AJ315" i="14" s="1"/>
  <c r="X310" i="14"/>
  <c r="X315" i="14" s="1"/>
  <c r="AD315" i="14" s="1"/>
  <c r="AT23" i="14" s="1"/>
  <c r="BE23" i="14"/>
  <c r="M67" i="3"/>
  <c r="AJ521" i="14"/>
  <c r="AJ526" i="14" s="1"/>
  <c r="X521" i="14"/>
  <c r="AG521" i="14"/>
  <c r="AG526" i="14" s="1"/>
  <c r="AK521" i="14"/>
  <c r="AK526" i="14" s="1"/>
  <c r="AC517" i="14"/>
  <c r="X526" i="14"/>
  <c r="AD526" i="14" s="1"/>
  <c r="AT34" i="14" s="1"/>
  <c r="AP260" i="6"/>
  <c r="AP451" i="6"/>
  <c r="AJ119" i="14"/>
  <c r="AJ124" i="14" s="1"/>
  <c r="X119" i="14"/>
  <c r="AC115" i="14"/>
  <c r="AG119" i="14"/>
  <c r="AG124" i="14" s="1"/>
  <c r="AK119" i="14"/>
  <c r="AK124" i="14" s="1"/>
  <c r="X124" i="14"/>
  <c r="AD124" i="14" s="1"/>
  <c r="AT13" i="14" s="1"/>
  <c r="BB27" i="14"/>
  <c r="E71" i="3" s="1"/>
  <c r="AJ587" i="7"/>
  <c r="G71" i="3"/>
  <c r="BH30" i="14"/>
  <c r="S74" i="3"/>
  <c r="BB18" i="14"/>
  <c r="E62" i="3" s="1"/>
  <c r="AJ578" i="7"/>
  <c r="G62" i="3"/>
  <c r="I37" i="11"/>
  <c r="B143" i="8" s="1"/>
  <c r="E143" i="8" s="1"/>
  <c r="H37" i="11"/>
  <c r="B116" i="8" s="1"/>
  <c r="E116" i="8" s="1"/>
  <c r="AL498" i="7"/>
  <c r="S22" i="11"/>
  <c r="O488" i="7" s="1"/>
  <c r="J37" i="11"/>
  <c r="B190" i="8" s="1"/>
  <c r="E190" i="8" s="1"/>
  <c r="J34" i="11"/>
  <c r="B197" i="8" s="1"/>
  <c r="E197" i="8" s="1"/>
  <c r="I30" i="11"/>
  <c r="B146" i="8" s="1"/>
  <c r="E146" i="8" s="1"/>
  <c r="I33" i="11"/>
  <c r="B149" i="8" s="1"/>
  <c r="E149" i="8" s="1"/>
  <c r="J31" i="11"/>
  <c r="B194" i="8" s="1"/>
  <c r="E194" i="8" s="1"/>
  <c r="I35" i="11"/>
  <c r="B151" i="8" s="1"/>
  <c r="E151" i="8" s="1"/>
  <c r="I34" i="11"/>
  <c r="B150" i="8" s="1"/>
  <c r="E150" i="8" s="1"/>
  <c r="H30" i="11"/>
  <c r="AM491" i="7" s="1"/>
  <c r="H33" i="11"/>
  <c r="AM494" i="7" s="1"/>
  <c r="J32" i="11"/>
  <c r="B195" i="8" s="1"/>
  <c r="E195" i="8" s="1"/>
  <c r="I31" i="11"/>
  <c r="B147" i="8" s="1"/>
  <c r="E147" i="8" s="1"/>
  <c r="H35" i="11"/>
  <c r="AM496" i="7" s="1"/>
  <c r="H34" i="11"/>
  <c r="AM495" i="7" s="1"/>
  <c r="J30" i="11"/>
  <c r="B193" i="8" s="1"/>
  <c r="E193" i="8" s="1"/>
  <c r="J33" i="11"/>
  <c r="B196" i="8" s="1"/>
  <c r="E196" i="8" s="1"/>
  <c r="I32" i="11"/>
  <c r="B148" i="8" s="1"/>
  <c r="E148" i="8" s="1"/>
  <c r="J35" i="11"/>
  <c r="B198" i="8" s="1"/>
  <c r="E198" i="8" s="1"/>
  <c r="H32" i="11"/>
  <c r="AM493" i="7" s="1"/>
  <c r="H31" i="11"/>
  <c r="AM492" i="7" s="1"/>
  <c r="J36" i="11"/>
  <c r="B199" i="8" s="1"/>
  <c r="E199" i="8" s="1"/>
  <c r="I29" i="11"/>
  <c r="B145" i="8" s="1"/>
  <c r="E145" i="8" s="1"/>
  <c r="I36" i="11"/>
  <c r="B152" i="8" s="1"/>
  <c r="E152" i="8" s="1"/>
  <c r="H36" i="11"/>
  <c r="AM497" i="7" s="1"/>
  <c r="H29" i="11"/>
  <c r="AM490" i="7" s="1"/>
  <c r="J29" i="11"/>
  <c r="B192" i="8" s="1"/>
  <c r="E192" i="8" s="1"/>
  <c r="BE25" i="14"/>
  <c r="M69" i="3"/>
  <c r="AJ348" i="14"/>
  <c r="AJ353" i="14" s="1"/>
  <c r="X348" i="14"/>
  <c r="AC344" i="14"/>
  <c r="AK348" i="14"/>
  <c r="AK353" i="14" s="1"/>
  <c r="AG348" i="14"/>
  <c r="AG353" i="14" s="1"/>
  <c r="X353" i="14"/>
  <c r="AD353" i="14" s="1"/>
  <c r="AT25" i="14" s="1"/>
  <c r="AK272" i="14"/>
  <c r="AK277" i="14" s="1"/>
  <c r="AJ272" i="14"/>
  <c r="AJ277" i="14" s="1"/>
  <c r="X272" i="14"/>
  <c r="AG272" i="14"/>
  <c r="AG277" i="14" s="1"/>
  <c r="AC268" i="14"/>
  <c r="X277" i="14"/>
  <c r="AD277" i="14" s="1"/>
  <c r="AT21" i="14" s="1"/>
  <c r="AQ432" i="6"/>
  <c r="AR432" i="6"/>
  <c r="AN432" i="6"/>
  <c r="AO381" i="6"/>
  <c r="AL588" i="7"/>
  <c r="AK588" i="7"/>
  <c r="AN588" i="7"/>
  <c r="AM588" i="7"/>
  <c r="BB16" i="14"/>
  <c r="AJ576" i="7"/>
  <c r="R87" i="3"/>
  <c r="G60" i="3"/>
  <c r="AK66" i="14"/>
  <c r="AM451" i="6"/>
  <c r="AM260" i="6"/>
  <c r="E55" i="3"/>
  <c r="V82" i="3"/>
  <c r="AG291" i="14"/>
  <c r="AG296" i="14" s="1"/>
  <c r="AC287" i="14"/>
  <c r="AK291" i="14"/>
  <c r="AK296" i="14" s="1"/>
  <c r="X291" i="14"/>
  <c r="AJ291" i="14"/>
  <c r="AJ296" i="14" s="1"/>
  <c r="X296" i="14"/>
  <c r="AD296" i="14" s="1"/>
  <c r="AT22" i="14" s="1"/>
  <c r="AH260" i="6"/>
  <c r="AH451" i="6"/>
  <c r="AL18" i="14"/>
  <c r="AG483" i="14"/>
  <c r="AG488" i="14" s="1"/>
  <c r="AK483" i="14"/>
  <c r="AK488" i="14" s="1"/>
  <c r="AJ483" i="14"/>
  <c r="AJ488" i="14" s="1"/>
  <c r="AC479" i="14"/>
  <c r="X483" i="14"/>
  <c r="X488" i="14" s="1"/>
  <c r="AD488" i="14" s="1"/>
  <c r="AT32" i="14" s="1"/>
  <c r="AL572" i="7"/>
  <c r="AK572" i="7"/>
  <c r="AN572" i="7"/>
  <c r="AM572" i="7"/>
  <c r="AO260" i="6"/>
  <c r="AG563" i="14"/>
  <c r="AG568" i="14" s="1"/>
  <c r="AK563" i="14"/>
  <c r="AK568" i="14" s="1"/>
  <c r="AJ563" i="14"/>
  <c r="AJ568" i="14" s="1"/>
  <c r="X563" i="14"/>
  <c r="X568" i="14"/>
  <c r="AD568" i="14" s="1"/>
  <c r="AT36" i="14" s="1"/>
  <c r="AG138" i="14"/>
  <c r="AG143" i="14" s="1"/>
  <c r="AC134" i="14"/>
  <c r="AK138" i="14"/>
  <c r="AK143" i="14" s="1"/>
  <c r="X138" i="14"/>
  <c r="X143" i="14" s="1"/>
  <c r="AD143" i="14" s="1"/>
  <c r="AT14" i="14" s="1"/>
  <c r="AJ138" i="14"/>
  <c r="AJ143" i="14" s="1"/>
  <c r="BE14" i="14"/>
  <c r="M58" i="3"/>
  <c r="BH20" i="14"/>
  <c r="S64" i="3"/>
  <c r="BE33" i="14"/>
  <c r="M77" i="3"/>
  <c r="D11" i="3"/>
  <c r="BE26" i="14"/>
  <c r="M70" i="3"/>
  <c r="AK426" i="14"/>
  <c r="AK431" i="14" s="1"/>
  <c r="X426" i="14"/>
  <c r="X431" i="14" s="1"/>
  <c r="AD431" i="14" s="1"/>
  <c r="AT29" i="14" s="1"/>
  <c r="AJ426" i="14"/>
  <c r="AJ431" i="14" s="1"/>
  <c r="AC422" i="14"/>
  <c r="AG426" i="14"/>
  <c r="AG431" i="14" s="1"/>
  <c r="BH17" i="14"/>
  <c r="S61" i="3"/>
  <c r="AY41" i="14"/>
  <c r="AJ601" i="7" s="1"/>
  <c r="BE34" i="14"/>
  <c r="M78" i="3"/>
  <c r="AK451" i="6"/>
  <c r="AK260" i="6"/>
  <c r="BH13" i="14"/>
  <c r="S57" i="3"/>
  <c r="AK386" i="14"/>
  <c r="AK391" i="14" s="1"/>
  <c r="AJ386" i="14"/>
  <c r="AJ391" i="14" s="1"/>
  <c r="X386" i="14"/>
  <c r="X391" i="14" s="1"/>
  <c r="AD391" i="14" s="1"/>
  <c r="AT27" i="14" s="1"/>
  <c r="AC382" i="14"/>
  <c r="AG386" i="14"/>
  <c r="AG391" i="14" s="1"/>
  <c r="BH27" i="14"/>
  <c r="S71" i="3"/>
  <c r="BE30" i="14"/>
  <c r="M74" i="3"/>
  <c r="AJ215" i="14"/>
  <c r="AJ220" i="14" s="1"/>
  <c r="X215" i="14"/>
  <c r="AC211" i="14"/>
  <c r="AG215" i="14"/>
  <c r="AG220" i="14" s="1"/>
  <c r="AK215" i="14"/>
  <c r="AK220" i="14" s="1"/>
  <c r="X220" i="14"/>
  <c r="AD220" i="14" s="1"/>
  <c r="AT18" i="14" s="1"/>
  <c r="BH25" i="14"/>
  <c r="S69" i="3"/>
  <c r="BB21" i="14"/>
  <c r="E65" i="3" s="1"/>
  <c r="AJ581" i="7"/>
  <c r="G65" i="3"/>
  <c r="AN579" i="7"/>
  <c r="AM579" i="7"/>
  <c r="AL579" i="7"/>
  <c r="AK579" i="7"/>
  <c r="AP432" i="6"/>
  <c r="AM432" i="6"/>
  <c r="AM433" i="6" s="1"/>
  <c r="V9" i="3" s="1"/>
  <c r="AO458" i="6"/>
  <c r="V42" i="3" s="1"/>
  <c r="AJ432" i="6"/>
  <c r="AI432" i="6"/>
  <c r="AI433" i="6" s="1"/>
  <c r="V91" i="3"/>
  <c r="E72" i="3"/>
  <c r="AL458" i="6" l="1"/>
  <c r="V39" i="3" s="1"/>
  <c r="AM452" i="6"/>
  <c r="AJ458" i="6"/>
  <c r="AM458" i="6"/>
  <c r="V40" i="3" s="1"/>
  <c r="K25" i="13"/>
  <c r="K24" i="13"/>
  <c r="K23" i="13"/>
  <c r="J22" i="13"/>
  <c r="J25" i="13"/>
  <c r="J24" i="13"/>
  <c r="J23" i="13"/>
  <c r="K22" i="13"/>
  <c r="B285" i="8"/>
  <c r="E285" i="8" s="1"/>
  <c r="B12" i="18"/>
  <c r="D669" i="7" s="1"/>
  <c r="W21" i="3"/>
  <c r="AN433" i="6"/>
  <c r="V10" i="3" s="1"/>
  <c r="AN581" i="7"/>
  <c r="AM581" i="7"/>
  <c r="AL581" i="7"/>
  <c r="AK581" i="7"/>
  <c r="AK18" i="14"/>
  <c r="V87" i="3"/>
  <c r="E60" i="3"/>
  <c r="AQ433" i="6"/>
  <c r="V13" i="3" s="1"/>
  <c r="AL580" i="7"/>
  <c r="AK580" i="7"/>
  <c r="AN580" i="7"/>
  <c r="AM580" i="7"/>
  <c r="AH458" i="6"/>
  <c r="B294" i="8"/>
  <c r="E294" i="8" s="1"/>
  <c r="B320" i="8"/>
  <c r="E320" i="8" s="1"/>
  <c r="B295" i="8"/>
  <c r="E295" i="8" s="1"/>
  <c r="B321" i="8"/>
  <c r="E321" i="8" s="1"/>
  <c r="AK592" i="7"/>
  <c r="AN592" i="7"/>
  <c r="AM592" i="7"/>
  <c r="AL592" i="7"/>
  <c r="AP458" i="6"/>
  <c r="V43" i="3" s="1"/>
  <c r="AJ20" i="14"/>
  <c r="F429" i="7" s="1"/>
  <c r="AA429" i="7" s="1"/>
  <c r="AJ452" i="6"/>
  <c r="AM595" i="7"/>
  <c r="AL595" i="7"/>
  <c r="AK595" i="7"/>
  <c r="AN595" i="7"/>
  <c r="K38" i="13"/>
  <c r="K37" i="13"/>
  <c r="J38" i="13"/>
  <c r="J37" i="13"/>
  <c r="B288" i="8"/>
  <c r="E288" i="8" s="1"/>
  <c r="AQ458" i="6"/>
  <c r="V44" i="3" s="1"/>
  <c r="AL582" i="7"/>
  <c r="AK582" i="7"/>
  <c r="AN582" i="7"/>
  <c r="AM582" i="7"/>
  <c r="AO433" i="6"/>
  <c r="V11" i="3" s="1"/>
  <c r="AQ452" i="6"/>
  <c r="R34" i="12"/>
  <c r="Q34" i="12"/>
  <c r="B228" i="8"/>
  <c r="E228" i="8" s="1"/>
  <c r="R32" i="12"/>
  <c r="Q32" i="12"/>
  <c r="B248" i="8" s="1"/>
  <c r="E248" i="8" s="1"/>
  <c r="R31" i="12"/>
  <c r="R33" i="12"/>
  <c r="Q31" i="12"/>
  <c r="B247" i="8" s="1"/>
  <c r="E247" i="8" s="1"/>
  <c r="Q33" i="12"/>
  <c r="B249" i="8" s="1"/>
  <c r="E249" i="8" s="1"/>
  <c r="E76" i="3"/>
  <c r="V94" i="3"/>
  <c r="AJ18" i="14"/>
  <c r="AR458" i="6"/>
  <c r="V45" i="3" s="1"/>
  <c r="AG20" i="14"/>
  <c r="D429" i="7" s="1"/>
  <c r="AM591" i="7"/>
  <c r="AL591" i="7"/>
  <c r="AK591" i="7"/>
  <c r="AN591" i="7"/>
  <c r="R26" i="12"/>
  <c r="B263" i="8" s="1"/>
  <c r="E263" i="8" s="1"/>
  <c r="R25" i="12"/>
  <c r="B267" i="8" s="1"/>
  <c r="E267" i="8" s="1"/>
  <c r="R24" i="12"/>
  <c r="B266" i="8" s="1"/>
  <c r="E266" i="8" s="1"/>
  <c r="R23" i="12"/>
  <c r="B265" i="8" s="1"/>
  <c r="E265" i="8" s="1"/>
  <c r="R22" i="12"/>
  <c r="B264" i="8" s="1"/>
  <c r="E264" i="8" s="1"/>
  <c r="Q26" i="12"/>
  <c r="B241" i="8" s="1"/>
  <c r="E241" i="8" s="1"/>
  <c r="B226" i="8"/>
  <c r="E226" i="8" s="1"/>
  <c r="Q22" i="12"/>
  <c r="B242" i="8" s="1"/>
  <c r="E242" i="8" s="1"/>
  <c r="Q23" i="12"/>
  <c r="B243" i="8" s="1"/>
  <c r="E243" i="8" s="1"/>
  <c r="Q25" i="12"/>
  <c r="B245" i="8" s="1"/>
  <c r="E245" i="8" s="1"/>
  <c r="Q24" i="12"/>
  <c r="B244" i="8" s="1"/>
  <c r="E244" i="8" s="1"/>
  <c r="AN452" i="6"/>
  <c r="AI458" i="6"/>
  <c r="AK433" i="6"/>
  <c r="V7" i="3" s="1"/>
  <c r="V89" i="3"/>
  <c r="E64" i="3"/>
  <c r="AL574" i="7"/>
  <c r="AK574" i="7"/>
  <c r="AN574" i="7"/>
  <c r="AM574" i="7"/>
  <c r="G427" i="7"/>
  <c r="AC427" i="7"/>
  <c r="H427" i="7" s="1"/>
  <c r="K26" i="13"/>
  <c r="K33" i="13"/>
  <c r="K32" i="13"/>
  <c r="K31" i="13"/>
  <c r="K30" i="13"/>
  <c r="K29" i="13"/>
  <c r="K28" i="13"/>
  <c r="K27" i="13"/>
  <c r="J26" i="13"/>
  <c r="J33" i="13"/>
  <c r="J32" i="13"/>
  <c r="J31" i="13"/>
  <c r="J30" i="13"/>
  <c r="J29" i="13"/>
  <c r="J28" i="13"/>
  <c r="J27" i="13"/>
  <c r="B286" i="8"/>
  <c r="E286" i="8" s="1"/>
  <c r="J21" i="13"/>
  <c r="J20" i="13"/>
  <c r="K21" i="13"/>
  <c r="K20" i="13"/>
  <c r="B284" i="8"/>
  <c r="E284" i="8" s="1"/>
  <c r="AL452" i="6"/>
  <c r="AG18" i="14"/>
  <c r="C13" i="18"/>
  <c r="D677" i="7" s="1"/>
  <c r="X26" i="3"/>
  <c r="AK594" i="7"/>
  <c r="AN594" i="7"/>
  <c r="AM594" i="7"/>
  <c r="AL594" i="7"/>
  <c r="V93" i="3"/>
  <c r="E75" i="3"/>
  <c r="B280" i="8"/>
  <c r="E280" i="8" s="1"/>
  <c r="AH433" i="6"/>
  <c r="AP496" i="7"/>
  <c r="AP494" i="7"/>
  <c r="AP492" i="7"/>
  <c r="AP495" i="7"/>
  <c r="AP491" i="7"/>
  <c r="D500" i="7" s="1"/>
  <c r="AP493" i="7"/>
  <c r="AP490" i="7"/>
  <c r="D499" i="7" s="1"/>
  <c r="AP489" i="7"/>
  <c r="D498" i="7" s="1"/>
  <c r="AP497" i="7"/>
  <c r="AL578" i="7"/>
  <c r="AK578" i="7"/>
  <c r="AN578" i="7"/>
  <c r="AM578" i="7"/>
  <c r="AP433" i="6"/>
  <c r="V12" i="3" s="1"/>
  <c r="AN587" i="7"/>
  <c r="AM587" i="7"/>
  <c r="AL587" i="7"/>
  <c r="AK587" i="7"/>
  <c r="AP452" i="6"/>
  <c r="AL586" i="7"/>
  <c r="AK586" i="7"/>
  <c r="AN586" i="7"/>
  <c r="AM586" i="7"/>
  <c r="AK590" i="7"/>
  <c r="AN590" i="7"/>
  <c r="AM590" i="7"/>
  <c r="AL590" i="7"/>
  <c r="AN573" i="7"/>
  <c r="AM573" i="7"/>
  <c r="AL573" i="7"/>
  <c r="AK573" i="7"/>
  <c r="AJ433" i="6"/>
  <c r="AK452" i="6"/>
  <c r="AH452" i="6"/>
  <c r="AK20" i="14"/>
  <c r="I429" i="7" s="1"/>
  <c r="AL576" i="7"/>
  <c r="AK576" i="7"/>
  <c r="AN576" i="7"/>
  <c r="AM576" i="7"/>
  <c r="AR433" i="6"/>
  <c r="V14" i="3" s="1"/>
  <c r="V85" i="3"/>
  <c r="E58" i="3"/>
  <c r="AJ40" i="14"/>
  <c r="E545" i="7"/>
  <c r="AR452" i="6"/>
  <c r="AK458" i="6"/>
  <c r="V38" i="3" s="1"/>
  <c r="AN458" i="6"/>
  <c r="V41" i="3" s="1"/>
  <c r="AN585" i="7"/>
  <c r="AM585" i="7"/>
  <c r="AL585" i="7"/>
  <c r="AK585" i="7"/>
  <c r="E57" i="3"/>
  <c r="V84" i="3"/>
  <c r="AN583" i="7"/>
  <c r="AM583" i="7"/>
  <c r="AL583" i="7"/>
  <c r="AK583" i="7"/>
  <c r="K36" i="13"/>
  <c r="K35" i="13"/>
  <c r="K34" i="13"/>
  <c r="J36" i="13"/>
  <c r="J35" i="13"/>
  <c r="J34" i="13"/>
  <c r="B287" i="8"/>
  <c r="E287" i="8" s="1"/>
  <c r="AO452" i="6"/>
  <c r="AL433" i="6"/>
  <c r="V8" i="3" s="1"/>
  <c r="J19" i="13" l="1"/>
  <c r="J18" i="13"/>
  <c r="K19" i="13"/>
  <c r="K18" i="13"/>
  <c r="B283" i="8"/>
  <c r="E283" i="8" s="1"/>
  <c r="B310" i="8"/>
  <c r="E310" i="8" s="1"/>
  <c r="B336" i="8"/>
  <c r="E336" i="8" s="1"/>
  <c r="B316" i="8"/>
  <c r="E316" i="8" s="1"/>
  <c r="B342" i="8"/>
  <c r="E342" i="8" s="1"/>
  <c r="B301" i="8"/>
  <c r="E301" i="8" s="1"/>
  <c r="B327" i="8"/>
  <c r="E327" i="8" s="1"/>
  <c r="B306" i="8"/>
  <c r="E306" i="8" s="1"/>
  <c r="B332" i="8"/>
  <c r="E332" i="8" s="1"/>
  <c r="B13" i="18"/>
  <c r="D670" i="7" s="1"/>
  <c r="X21" i="3"/>
  <c r="B11" i="18"/>
  <c r="D668" i="7" s="1"/>
  <c r="V21" i="3"/>
  <c r="B299" i="8"/>
  <c r="E299" i="8" s="1"/>
  <c r="B325" i="8"/>
  <c r="E325" i="8" s="1"/>
  <c r="B307" i="8"/>
  <c r="E307" i="8" s="1"/>
  <c r="B333" i="8"/>
  <c r="E333" i="8" s="1"/>
  <c r="B311" i="8"/>
  <c r="E311" i="8" s="1"/>
  <c r="B337" i="8"/>
  <c r="E337" i="8" s="1"/>
  <c r="C12" i="18"/>
  <c r="D676" i="7" s="1"/>
  <c r="W26" i="3"/>
  <c r="B315" i="8"/>
  <c r="E315" i="8" s="1"/>
  <c r="B341" i="8"/>
  <c r="E341" i="8" s="1"/>
  <c r="AB429" i="7"/>
  <c r="B302" i="8"/>
  <c r="E302" i="8" s="1"/>
  <c r="B328" i="8"/>
  <c r="E328" i="8" s="1"/>
  <c r="B314" i="8"/>
  <c r="E314" i="8" s="1"/>
  <c r="B340" i="8"/>
  <c r="E340" i="8" s="1"/>
  <c r="B312" i="8"/>
  <c r="E312" i="8" s="1"/>
  <c r="B338" i="8"/>
  <c r="E338" i="8" s="1"/>
  <c r="B313" i="8"/>
  <c r="E313" i="8" s="1"/>
  <c r="B339" i="8"/>
  <c r="E339" i="8" s="1"/>
  <c r="AK40" i="14"/>
  <c r="F545" i="7"/>
  <c r="B298" i="8"/>
  <c r="E298" i="8" s="1"/>
  <c r="B324" i="8"/>
  <c r="E324" i="8" s="1"/>
  <c r="B308" i="8"/>
  <c r="E308" i="8" s="1"/>
  <c r="B334" i="8"/>
  <c r="E334" i="8" s="1"/>
  <c r="B304" i="8"/>
  <c r="E304" i="8" s="1"/>
  <c r="B330" i="8"/>
  <c r="E330" i="8" s="1"/>
  <c r="B303" i="8"/>
  <c r="E303" i="8" s="1"/>
  <c r="B329" i="8"/>
  <c r="E329" i="8" s="1"/>
  <c r="B229" i="8"/>
  <c r="E229" i="8" s="1"/>
  <c r="B289" i="8"/>
  <c r="E289" i="8" s="1"/>
  <c r="B309" i="8"/>
  <c r="E309" i="8" s="1"/>
  <c r="B335" i="8"/>
  <c r="E335" i="8" s="1"/>
  <c r="B305" i="8"/>
  <c r="E305" i="8" s="1"/>
  <c r="B331" i="8"/>
  <c r="E331" i="8" s="1"/>
  <c r="C11" i="18"/>
  <c r="D675" i="7" s="1"/>
  <c r="V26" i="3"/>
  <c r="B300" i="8"/>
  <c r="E300" i="8" s="1"/>
  <c r="B326" i="8"/>
  <c r="E326" i="8" s="1"/>
  <c r="G429" i="7" l="1"/>
  <c r="AC429" i="7"/>
  <c r="H429" i="7" s="1"/>
  <c r="B297" i="8"/>
  <c r="E297" i="8" s="1"/>
  <c r="B323" i="8"/>
  <c r="E323" i="8" s="1"/>
  <c r="G545" i="7"/>
  <c r="B296" i="8"/>
  <c r="E296" i="8" s="1"/>
  <c r="B322" i="8"/>
  <c r="E322" i="8" s="1"/>
</calcChain>
</file>

<file path=xl/sharedStrings.xml><?xml version="1.0" encoding="utf-8"?>
<sst xmlns="http://schemas.openxmlformats.org/spreadsheetml/2006/main" count="7796" uniqueCount="2514">
  <si>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</si>
  <si>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</si>
  <si>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</si>
  <si>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</si>
  <si>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</si>
  <si>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</si>
  <si>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</si>
  <si>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</si>
  <si>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</si>
  <si>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</si>
  <si>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</si>
  <si>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</si>
  <si>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</si>
  <si>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</si>
  <si>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</si>
  <si>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</si>
  <si>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</si>
  <si>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</si>
  <si>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</si>
  <si>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</si>
  <si>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</si>
  <si>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</si>
  <si>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</si>
  <si>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</si>
  <si>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</si>
  <si>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</si>
  <si>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</si>
  <si>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</si>
  <si>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</si>
  <si>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</si>
  <si>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</si>
  <si>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</si>
  <si>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</si>
  <si>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</si>
  <si>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</si>
  <si>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</si>
  <si>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</si>
  <si>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</si>
  <si>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</si>
  <si>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</si>
  <si>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</si>
  <si>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</si>
  <si>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</si>
  <si>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</si>
  <si>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</si>
  <si>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</si>
  <si>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</si>
  <si>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</si>
  <si>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</si>
  <si>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</si>
  <si>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</si>
  <si>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</si>
  <si>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</si>
  <si>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</si>
  <si>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</si>
  <si>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</si>
  <si>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</si>
  <si>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</si>
  <si>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</si>
  <si>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</si>
  <si>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</si>
  <si>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</si>
  <si>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</si>
  <si>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</si>
  <si>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</si>
  <si>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</si>
  <si>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</si>
  <si>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</si>
  <si>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</si>
  <si>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</si>
  <si>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</si>
  <si>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</si>
  <si>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</si>
  <si>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</si>
  <si>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</si>
  <si>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</si>
  <si>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</si>
  <si>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</si>
  <si>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</si>
  <si>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</si>
  <si>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</si>
  <si>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</si>
  <si>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</si>
  <si>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</si>
  <si>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</si>
  <si>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</si>
  <si>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</si>
  <si>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</si>
  <si>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</si>
  <si>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</si>
  <si>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</si>
  <si>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</si>
  <si>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</si>
  <si>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</si>
  <si>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</si>
  <si>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</si>
  <si>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</si>
  <si>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</si>
  <si>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</si>
  <si>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</si>
  <si>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</si>
  <si>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</si>
  <si>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</si>
  <si>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</si>
  <si>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</si>
  <si>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</si>
  <si>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</si>
  <si>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</si>
  <si>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</si>
  <si>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</si>
  <si>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</si>
  <si>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</si>
  <si>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</si>
  <si>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</si>
  <si>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</si>
  <si>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</si>
  <si>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</si>
  <si>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</si>
  <si>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</si>
  <si>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</si>
  <si>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</si>
  <si>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</si>
  <si>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</si>
  <si>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</si>
  <si>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</si>
  <si>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</si>
  <si>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</si>
  <si>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</si>
  <si>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</si>
  <si>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</si>
  <si>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</si>
  <si>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</si>
  <si>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</si>
  <si>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</si>
  <si>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</si>
  <si>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</si>
  <si>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</si>
  <si>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</si>
  <si>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</si>
  <si>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</si>
  <si>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</si>
  <si>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</si>
  <si>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</si>
  <si>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</si>
  <si>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</si>
  <si>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</si>
  <si>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</si>
  <si>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</si>
  <si>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</si>
  <si>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</si>
  <si>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</si>
  <si>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</si>
  <si>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</si>
  <si>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</si>
  <si>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</si>
  <si>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</si>
  <si>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</si>
  <si>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</si>
  <si>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</si>
  <si>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</si>
  <si>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</si>
  <si>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</si>
  <si>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</si>
  <si>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</si>
  <si>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</si>
  <si>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</si>
  <si>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</si>
  <si>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</si>
  <si>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</si>
  <si>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</si>
  <si>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</si>
  <si>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</si>
  <si>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</si>
  <si>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</si>
  <si>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</si>
  <si>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</si>
  <si>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</si>
  <si>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</si>
  <si>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</si>
  <si>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</si>
  <si>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</si>
  <si>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</si>
  <si>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</si>
  <si>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</si>
  <si>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</si>
  <si>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</si>
  <si>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</si>
  <si>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</si>
  <si>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</si>
  <si>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</si>
  <si>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</si>
  <si>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</si>
  <si>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</si>
  <si>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</si>
  <si>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</si>
  <si>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</si>
  <si>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</si>
  <si>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</si>
  <si>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</si>
  <si>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</si>
  <si>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</si>
  <si>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</si>
  <si>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</si>
  <si>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</si>
  <si>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</si>
  <si>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</si>
  <si>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</si>
  <si>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</si>
  <si>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</si>
  <si>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</si>
  <si>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</si>
  <si>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</si>
  <si>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</si>
  <si>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</si>
  <si>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</si>
  <si>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</si>
  <si>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</si>
  <si>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</si>
  <si>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</si>
  <si>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</si>
  <si>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</si>
  <si>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</si>
  <si>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</si>
  <si>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</si>
  <si>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</si>
  <si>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</si>
  <si>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</si>
  <si>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</si>
  <si>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</si>
  <si>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</si>
  <si>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</si>
  <si>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</si>
  <si>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</si>
  <si>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</si>
  <si>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</si>
  <si>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</si>
  <si>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</si>
  <si>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</si>
  <si>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</si>
  <si>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</si>
  <si>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</si>
  <si>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</si>
  <si>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</si>
  <si>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</si>
  <si>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</si>
  <si>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</si>
  <si>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</si>
  <si>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</si>
  <si>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</si>
  <si>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</si>
  <si>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</si>
  <si>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</si>
  <si>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</si>
  <si>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</si>
  <si>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</si>
  <si>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</si>
  <si>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</si>
  <si>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</si>
  <si>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</si>
  <si>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</si>
  <si>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</si>
  <si>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</si>
  <si>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</si>
  <si>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</si>
  <si>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</si>
  <si>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</si>
  <si>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</si>
  <si>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</si>
  <si>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</si>
  <si>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</si>
  <si>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</si>
  <si>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</si>
  <si>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</si>
  <si>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</si>
  <si>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</si>
  <si>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</si>
  <si>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</si>
  <si>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</si>
  <si>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</si>
  <si>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</si>
  <si>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</si>
  <si>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</si>
  <si>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</si>
  <si>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</si>
  <si>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</si>
  <si>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</si>
  <si>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</si>
  <si>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</si>
  <si>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</si>
  <si>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</si>
  <si>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</si>
  <si>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</si>
  <si>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</si>
  <si>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</si>
  <si>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</si>
  <si>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</si>
  <si>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</si>
  <si>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</si>
  <si>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</si>
  <si>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</si>
  <si>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</si>
  <si>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</si>
  <si>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</si>
  <si>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</si>
  <si>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</si>
  <si>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</si>
  <si>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</si>
  <si>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</si>
  <si>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</si>
  <si>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</si>
  <si>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</si>
  <si>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</si>
  <si>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</si>
  <si>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</si>
  <si>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</si>
  <si>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</si>
  <si>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</si>
  <si>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</si>
  <si>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</si>
  <si>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</si>
  <si>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</si>
  <si>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</si>
  <si>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</si>
  <si>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</si>
  <si>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</si>
  <si>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</si>
  <si>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</si>
  <si>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</si>
  <si>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</si>
  <si>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</si>
  <si>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</si>
  <si>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</si>
  <si>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</si>
  <si>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</si>
  <si>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</si>
  <si>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</si>
  <si>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</si>
  <si>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</si>
  <si>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</si>
  <si>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</si>
  <si>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</si>
  <si>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</si>
  <si>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</si>
  <si>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</si>
  <si>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</si>
  <si>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</si>
  <si>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</si>
  <si>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</si>
  <si>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</si>
  <si>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</si>
  <si>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</si>
  <si>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</si>
  <si>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</si>
  <si>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</si>
  <si>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</si>
  <si>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</si>
  <si>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</si>
  <si>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</si>
  <si>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</si>
  <si>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</si>
  <si>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</si>
  <si>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</si>
  <si>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</si>
  <si>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</si>
  <si>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</si>
  <si>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</si>
  <si>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</si>
  <si>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</si>
  <si>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</si>
  <si>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</si>
  <si>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</si>
  <si>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</si>
  <si>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</si>
  <si>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</si>
  <si>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</si>
  <si>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</si>
  <si>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</si>
  <si>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</si>
  <si>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</si>
  <si>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</si>
  <si>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</si>
  <si>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</si>
  <si>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</si>
  <si>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</si>
  <si>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</si>
  <si>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</si>
  <si>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</si>
  <si>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</si>
  <si>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</si>
  <si>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</si>
  <si>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</si>
  <si>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</si>
  <si>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</si>
  <si>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</si>
  <si>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</si>
  <si>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</si>
  <si>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</si>
  <si>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</si>
  <si>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</si>
  <si>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</si>
  <si>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</si>
  <si>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</si>
  <si>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</si>
  <si>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</si>
  <si>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</si>
  <si>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</si>
  <si>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</si>
  <si>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</si>
  <si>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</si>
  <si>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</si>
  <si>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</si>
  <si>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</si>
  <si>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</si>
  <si>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</si>
  <si>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</si>
  <si>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</si>
  <si>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</si>
  <si>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</si>
  <si>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</si>
  <si>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</si>
  <si>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</si>
  <si>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</si>
  <si>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</si>
  <si>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</si>
  <si>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</si>
  <si>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</si>
  <si>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</si>
  <si>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</si>
  <si>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</si>
  <si>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</si>
  <si>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</si>
  <si>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</si>
  <si>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</si>
  <si>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</si>
  <si>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</si>
  <si>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</si>
  <si>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</si>
  <si>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</si>
  <si>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</si>
  <si>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</si>
  <si>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</si>
  <si>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</si>
  <si>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</si>
  <si>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</si>
  <si>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</si>
  <si>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</si>
  <si>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</si>
  <si>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</si>
  <si>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</si>
  <si>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</si>
  <si>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</si>
  <si>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</si>
  <si>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</si>
  <si>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</si>
  <si>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</si>
  <si>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</si>
  <si>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</si>
  <si>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</si>
  <si>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</si>
  <si>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</si>
  <si>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</si>
  <si>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</si>
  <si>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</si>
  <si>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</si>
  <si>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</si>
  <si>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</si>
  <si>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</si>
  <si>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</si>
  <si>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</si>
  <si>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</si>
  <si>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</si>
  <si>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</si>
  <si>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</si>
  <si>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</si>
  <si>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</si>
  <si>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</si>
  <si>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</si>
  <si>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</si>
  <si>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</si>
  <si>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</si>
  <si>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</si>
  <si>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</si>
  <si>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</si>
  <si>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</si>
  <si>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</si>
  <si>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</si>
  <si>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</si>
  <si>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</si>
  <si>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</si>
  <si>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</si>
  <si>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</si>
  <si>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</si>
  <si>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</si>
  <si>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</si>
  <si>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</si>
  <si>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</si>
  <si>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</si>
  <si>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</si>
  <si>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</si>
  <si>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</si>
  <si>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</si>
  <si>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</si>
  <si>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</si>
  <si>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</si>
  <si>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</si>
  <si>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</si>
  <si>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</si>
  <si>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</si>
  <si>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</si>
  <si>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</si>
  <si>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</si>
  <si>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</si>
  <si>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</si>
  <si>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</si>
  <si>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</si>
  <si>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</si>
  <si>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</si>
  <si>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</si>
  <si>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</si>
  <si>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</si>
  <si>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</si>
  <si>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</si>
  <si>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</si>
  <si>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</si>
  <si>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</si>
  <si>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</si>
  <si>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</si>
  <si>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</si>
  <si>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</si>
  <si>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</si>
  <si>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</si>
  <si>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</si>
  <si>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</si>
  <si>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</si>
  <si>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</si>
  <si>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</si>
  <si>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</si>
  <si>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</si>
  <si>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</si>
  <si>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</si>
  <si>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</si>
  <si>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</si>
  <si>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</si>
  <si>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</si>
  <si>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</si>
  <si>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</si>
  <si>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</si>
  <si>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</si>
  <si>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</si>
  <si>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</si>
  <si>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</si>
  <si>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</si>
  <si>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</si>
  <si>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</si>
  <si>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</si>
  <si>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</si>
  <si>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</si>
  <si>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</si>
  <si>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</si>
  <si>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</si>
  <si>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</si>
  <si>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</si>
  <si>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</si>
  <si>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</si>
  <si>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</si>
  <si>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</si>
  <si>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</si>
  <si>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</si>
  <si>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</si>
  <si>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</si>
  <si>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</si>
  <si>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</si>
  <si>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</si>
  <si>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</si>
  <si>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</si>
  <si>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</si>
  <si>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</si>
  <si>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</si>
  <si>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</si>
  <si>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</si>
  <si>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</si>
  <si>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</si>
  <si>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</si>
  <si>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</si>
  <si>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</si>
  <si>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</si>
  <si>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</si>
  <si>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</si>
  <si>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</si>
  <si>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</si>
  <si>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</si>
  <si>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</si>
  <si>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</si>
  <si>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</si>
  <si>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</si>
  <si>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</si>
  <si>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</si>
  <si>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</si>
  <si>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</si>
  <si>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</si>
  <si>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</si>
  <si>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</si>
  <si>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</si>
  <si>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</si>
  <si>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</si>
  <si>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</si>
  <si>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</si>
  <si>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</si>
  <si>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</si>
  <si>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</si>
  <si>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</si>
  <si>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</si>
  <si>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</si>
  <si>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</si>
  <si>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</si>
  <si>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</si>
  <si>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</si>
  <si>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</si>
  <si>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</si>
  <si>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</si>
  <si>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</si>
  <si>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</si>
  <si>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</si>
  <si>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</si>
  <si>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</si>
  <si>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</si>
  <si>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</si>
  <si>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</si>
  <si>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</si>
  <si>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</si>
  <si>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</si>
  <si>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</si>
  <si>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</si>
  <si>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</si>
  <si>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</si>
  <si>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</si>
  <si>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</si>
  <si>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</si>
  <si>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</si>
  <si>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</si>
  <si>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</si>
  <si>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</si>
  <si>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</si>
  <si>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</si>
  <si>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</si>
  <si>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</si>
  <si>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</si>
  <si>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</si>
  <si>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</si>
  <si>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</si>
  <si>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</si>
  <si>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</si>
  <si>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</si>
  <si>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</si>
  <si>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</si>
  <si>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</si>
  <si>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</si>
  <si>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</si>
  <si>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</si>
  <si>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</si>
  <si>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</si>
  <si>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</si>
  <si>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</si>
  <si>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</si>
  <si>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</si>
  <si>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</si>
  <si>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</si>
  <si>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</si>
  <si>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</si>
  <si>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</si>
  <si>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</si>
  <si>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</si>
  <si>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</si>
  <si>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</si>
  <si>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</si>
  <si>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</si>
  <si>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</si>
  <si>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</si>
  <si>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</si>
  <si>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</si>
  <si>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</si>
  <si>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</si>
  <si>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</si>
  <si>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</si>
  <si>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</si>
  <si>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</si>
  <si>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</si>
  <si>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</si>
  <si>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</si>
  <si>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</si>
  <si>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</si>
  <si>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</si>
  <si>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</si>
  <si>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</si>
  <si>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</si>
  <si>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</si>
  <si>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</si>
  <si>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</si>
  <si>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</si>
  <si>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</si>
  <si>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</si>
  <si>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</si>
  <si>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</si>
  <si>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</si>
  <si>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</si>
  <si>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</si>
  <si>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</si>
  <si>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</si>
  <si>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</si>
  <si>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</si>
  <si>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</si>
  <si>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</si>
  <si>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</si>
  <si>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</si>
  <si>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</si>
  <si>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</si>
  <si>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</si>
  <si>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</si>
  <si>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</si>
  <si>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</si>
  <si>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</si>
  <si>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</si>
  <si>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</si>
  <si>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</si>
  <si>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</si>
  <si>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</si>
  <si>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</si>
  <si>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</si>
  <si>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</si>
  <si>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</si>
  <si>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</si>
  <si>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</si>
  <si>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</si>
  <si>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</si>
  <si>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</si>
  <si>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</si>
  <si>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</si>
  <si>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</si>
  <si>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</si>
  <si>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</si>
  <si>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</si>
  <si>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</si>
  <si>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</si>
  <si>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</si>
  <si>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</si>
  <si>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</si>
  <si>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</si>
  <si>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</si>
  <si>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</si>
  <si>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</si>
  <si>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</si>
  <si>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</si>
  <si>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</si>
  <si>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</si>
  <si>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</si>
  <si>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</si>
  <si>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</si>
  <si>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</si>
  <si>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</si>
  <si>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</si>
  <si>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</si>
  <si>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</si>
  <si>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</si>
  <si>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</si>
  <si>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</si>
  <si>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</si>
  <si>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</si>
  <si>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</si>
  <si>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</si>
  <si>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</si>
  <si>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</si>
  <si>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</si>
  <si>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</si>
  <si>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</si>
  <si>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</si>
  <si>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</si>
  <si>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</si>
  <si>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</si>
  <si>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</si>
  <si>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</si>
  <si>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</si>
  <si>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</si>
  <si>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</si>
  <si>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</si>
  <si>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</si>
  <si>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</si>
  <si>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</si>
  <si>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</si>
  <si>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</si>
  <si>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</si>
  <si>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</si>
  <si>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</si>
  <si>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</si>
  <si>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</si>
  <si>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</si>
  <si>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</si>
  <si>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</si>
  <si>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</si>
  <si>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</si>
  <si>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</si>
  <si>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</si>
  <si>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</si>
  <si>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</si>
  <si>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</si>
  <si>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</si>
  <si>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</si>
  <si>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</si>
  <si>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</si>
  <si>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</si>
  <si>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</si>
  <si>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</si>
  <si>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</si>
  <si>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</si>
  <si>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</si>
  <si>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</si>
  <si>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</si>
  <si>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</si>
  <si>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</si>
  <si>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</si>
  <si>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</si>
  <si>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</si>
  <si>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</si>
  <si>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</si>
  <si>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</si>
  <si>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</si>
  <si>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</si>
  <si>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</si>
  <si>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</si>
  <si>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</si>
  <si>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</si>
  <si>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</si>
  <si>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</si>
  <si>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</si>
  <si>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</si>
  <si>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</si>
  <si>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</si>
  <si>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</si>
  <si>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</si>
  <si>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</si>
  <si>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</si>
  <si>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</si>
  <si>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</si>
  <si>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</si>
  <si>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</si>
  <si>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</si>
  <si>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</si>
  <si>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</si>
  <si>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</si>
  <si>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</si>
  <si>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</si>
  <si>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</si>
  <si>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</si>
  <si>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</si>
  <si>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</si>
  <si>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</si>
  <si>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</si>
  <si>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</si>
  <si>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</si>
  <si>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</si>
  <si>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</si>
  <si>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</si>
  <si>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</si>
  <si>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</si>
  <si>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</si>
  <si>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</si>
  <si>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</si>
  <si>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</si>
  <si>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</si>
  <si>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</si>
  <si>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</si>
  <si>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</si>
  <si>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</si>
  <si>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</si>
  <si>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</si>
  <si>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</si>
  <si>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</si>
  <si>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</si>
  <si>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</si>
  <si>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</si>
  <si>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</si>
  <si>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</si>
  <si>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</si>
  <si>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</si>
  <si>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</si>
  <si>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</si>
  <si>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</si>
  <si>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</si>
  <si>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</si>
  <si>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</si>
  <si>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</si>
  <si>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</si>
  <si>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</si>
  <si>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</si>
  <si>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</si>
  <si>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</si>
  <si>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</si>
  <si>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</si>
  <si>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</si>
  <si>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</si>
  <si>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</si>
  <si>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</si>
  <si>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</si>
  <si>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</si>
  <si>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</si>
  <si>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</si>
  <si>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</si>
  <si>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</si>
  <si>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</si>
  <si>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</si>
  <si>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</si>
  <si>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</si>
  <si>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</si>
  <si>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</si>
  <si>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</si>
  <si>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</si>
  <si>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</si>
  <si>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</si>
  <si>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</si>
  <si>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</si>
  <si>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</si>
  <si>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</si>
  <si>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</si>
  <si>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</si>
  <si>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</si>
  <si>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</si>
  <si>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</si>
  <si>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</si>
  <si>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</si>
  <si>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</si>
  <si>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</si>
  <si>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</si>
  <si>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</si>
  <si>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</si>
  <si>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</si>
  <si>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</si>
  <si>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</si>
  <si>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</si>
  <si>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</si>
  <si>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</si>
  <si>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</si>
  <si>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</si>
  <si>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</si>
  <si>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</si>
  <si>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</si>
  <si>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</si>
  <si>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</si>
  <si>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</si>
  <si>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</si>
  <si>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</si>
  <si>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</si>
  <si>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</si>
  <si>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</si>
  <si>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</si>
  <si>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</si>
  <si>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</si>
  <si>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</si>
  <si>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</si>
  <si>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</si>
  <si>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</si>
  <si>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</si>
  <si>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</si>
  <si>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</si>
  <si>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</si>
  <si>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</si>
  <si>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</si>
  <si>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</si>
  <si>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</si>
  <si>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</si>
  <si>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</si>
  <si>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</si>
  <si>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</si>
  <si>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</si>
  <si>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</si>
  <si>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</si>
  <si>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</si>
  <si>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</si>
  <si>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</si>
  <si>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</si>
  <si>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</si>
  <si>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</si>
  <si>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</si>
  <si>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</si>
  <si>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</si>
  <si>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</si>
  <si>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</si>
  <si>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</si>
  <si>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</si>
  <si>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</si>
  <si>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</si>
  <si>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</si>
  <si>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</si>
  <si>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</si>
  <si>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</si>
  <si>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</si>
  <si>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</si>
  <si>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</si>
  <si>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</si>
  <si>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</si>
  <si>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</si>
  <si>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</si>
  <si>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</si>
  <si>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</si>
  <si>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</si>
  <si>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</si>
  <si>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</si>
  <si>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</si>
  <si>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</si>
  <si>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</si>
  <si>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</si>
  <si>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</si>
  <si>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</si>
  <si>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</si>
  <si>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</si>
  <si>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</si>
  <si>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</si>
  <si>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</si>
  <si>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</si>
  <si>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</si>
  <si>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</si>
  <si>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</si>
  <si>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</si>
  <si>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</si>
  <si>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</si>
  <si>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</si>
  <si>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</si>
  <si>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</si>
  <si>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</si>
  <si>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</si>
  <si>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</si>
  <si>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</si>
  <si>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</si>
  <si>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</si>
  <si>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</si>
  <si>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</si>
  <si>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</si>
  <si>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</si>
  <si>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</si>
  <si>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</si>
  <si>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</si>
  <si>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</si>
  <si>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</si>
  <si>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</si>
  <si>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</si>
  <si>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</si>
  <si>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</si>
  <si>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</si>
  <si>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</si>
  <si>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</si>
  <si>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</si>
  <si>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</si>
  <si>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</si>
  <si>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</si>
  <si>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</si>
  <si>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</si>
  <si>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</si>
  <si>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</si>
  <si>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</si>
  <si>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</si>
  <si>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</si>
  <si>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</si>
  <si>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</si>
  <si>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</si>
  <si>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</si>
  <si>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</si>
  <si>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</si>
  <si>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</si>
  <si>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</si>
  <si>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</si>
  <si>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</si>
  <si>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</si>
  <si>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</si>
  <si>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</si>
  <si>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</si>
  <si>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</si>
  <si>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</si>
  <si>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</si>
  <si>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</si>
  <si>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</si>
  <si>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</si>
  <si>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</si>
  <si>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</si>
  <si>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</si>
  <si>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</si>
  <si>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</si>
  <si>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</si>
  <si>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</si>
  <si>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</si>
  <si>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</si>
  <si>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</si>
  <si>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</si>
  <si>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</si>
  <si>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</si>
  <si>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</si>
  <si>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</si>
  <si>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</si>
  <si>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</si>
  <si>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</si>
  <si>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</si>
  <si>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</si>
  <si>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</si>
  <si>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</si>
  <si>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</si>
  <si>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</si>
  <si>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</si>
  <si>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</si>
  <si>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</si>
  <si>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</si>
  <si>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</si>
  <si>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</si>
  <si>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</si>
  <si>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</si>
  <si>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</si>
  <si>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</si>
  <si>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</si>
  <si>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</si>
  <si>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</si>
  <si>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</si>
  <si>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</si>
  <si>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</si>
  <si>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</si>
  <si>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</si>
  <si>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</si>
  <si>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</si>
  <si>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</si>
  <si>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</si>
  <si>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</si>
  <si>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</si>
  <si>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</si>
  <si>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</si>
  <si>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</si>
  <si>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</si>
  <si>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</si>
  <si>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</si>
  <si>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</si>
  <si>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</si>
  <si>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</si>
  <si>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</si>
  <si>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</si>
  <si>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</si>
  <si>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</si>
  <si>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</si>
  <si>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</si>
  <si>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</si>
  <si>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</si>
  <si>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</si>
  <si>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</si>
  <si>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</si>
  <si>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</si>
  <si>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</si>
  <si>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</si>
  <si>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</si>
  <si>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</si>
  <si>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</si>
  <si>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</si>
  <si>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</si>
  <si>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</si>
  <si>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</si>
  <si>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</si>
  <si>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</si>
  <si>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</si>
  <si>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</si>
  <si>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</si>
  <si>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</si>
  <si>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</si>
  <si>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</si>
  <si>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</si>
  <si>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</si>
  <si>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</si>
  <si>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</si>
  <si>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</si>
  <si>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</si>
  <si>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</si>
  <si>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</si>
  <si>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</si>
  <si>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</si>
  <si>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</si>
  <si>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</si>
  <si>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</si>
  <si>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</si>
  <si>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</si>
  <si>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</si>
  <si>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</si>
  <si>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</si>
  <si>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</si>
  <si>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</si>
  <si>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</si>
  <si>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</si>
  <si>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</si>
  <si>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</si>
  <si>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</si>
  <si>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</si>
  <si>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</si>
  <si>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</si>
  <si>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</si>
  <si>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</si>
  <si>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</si>
  <si>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</si>
  <si>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</si>
  <si>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</si>
  <si>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</si>
  <si>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</si>
  <si>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</si>
  <si>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</si>
  <si>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</si>
  <si>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</si>
  <si>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</si>
  <si>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</si>
  <si>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</si>
  <si>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</si>
  <si>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</si>
  <si>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</si>
  <si>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</si>
  <si>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</si>
  <si>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</si>
  <si>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</si>
  <si>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</si>
  <si>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</si>
  <si>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</si>
  <si>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</si>
  <si>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</si>
  <si>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</si>
  <si>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</si>
  <si>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</si>
  <si>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</si>
  <si>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</si>
  <si>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</si>
  <si>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</si>
  <si>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</si>
  <si>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</si>
  <si>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</si>
  <si>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</si>
  <si>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</si>
  <si>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</si>
  <si>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</si>
  <si>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</si>
  <si>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</si>
  <si>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</si>
  <si>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</si>
  <si>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</si>
  <si>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</si>
  <si>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</si>
  <si>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</si>
  <si>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</si>
  <si>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</si>
  <si>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</si>
  <si>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</si>
  <si>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</si>
  <si>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</si>
  <si>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</si>
  <si>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</si>
  <si>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</si>
  <si>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</si>
  <si>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</si>
  <si>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</si>
  <si>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</si>
  <si>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</si>
  <si>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</si>
  <si>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</si>
  <si>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</si>
  <si>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</si>
  <si>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</si>
  <si>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</si>
  <si>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</si>
  <si>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</si>
  <si>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</si>
  <si>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</si>
  <si>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</si>
  <si>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</si>
  <si>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</si>
  <si>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</si>
  <si>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</si>
  <si>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</si>
  <si>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</si>
  <si>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</si>
  <si>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</si>
  <si>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</si>
  <si>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</si>
  <si>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</si>
  <si>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</si>
  <si>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</si>
  <si>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</si>
  <si>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</si>
  <si>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</si>
  <si>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</si>
  <si>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</si>
  <si>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</si>
  <si>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</si>
  <si>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</si>
  <si>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</si>
  <si>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</si>
  <si>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</si>
  <si>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</si>
  <si>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</si>
  <si>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</si>
  <si>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</si>
  <si>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</si>
  <si>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</si>
  <si>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</si>
  <si>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</si>
  <si>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</si>
  <si>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</si>
  <si>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</si>
  <si>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</si>
  <si>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</si>
  <si>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</si>
  <si>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</si>
  <si>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</si>
  <si>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</si>
  <si>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</si>
  <si>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</si>
  <si>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</si>
  <si>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</si>
  <si>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</si>
  <si>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</si>
  <si>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</si>
  <si>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</si>
  <si>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</si>
  <si>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</si>
  <si>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</si>
  <si>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</si>
  <si>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</si>
  <si>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</si>
  <si>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</si>
  <si>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</si>
  <si>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</si>
  <si>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</si>
  <si>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</si>
  <si>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</si>
  <si>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</si>
  <si>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</si>
  <si>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</si>
  <si>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</si>
  <si>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</si>
  <si>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</si>
  <si>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</si>
  <si>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</si>
  <si>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</si>
  <si>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</si>
  <si>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</si>
  <si>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</si>
  <si>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</si>
  <si>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</si>
  <si>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</si>
  <si>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</si>
  <si>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</si>
  <si>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</si>
  <si>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</si>
  <si>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</si>
  <si>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</si>
  <si>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</si>
  <si>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</si>
  <si>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</si>
  <si>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</si>
  <si>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</si>
  <si>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</si>
  <si>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</si>
  <si>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</si>
  <si>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</si>
  <si>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</si>
  <si>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</si>
  <si>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</si>
  <si>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</si>
  <si>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</si>
  <si>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</si>
  <si>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</si>
  <si>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</si>
  <si>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</si>
  <si>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</si>
  <si>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</si>
  <si>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</si>
  <si>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</si>
  <si>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</si>
  <si>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</si>
  <si>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</si>
  <si>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</si>
  <si>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</si>
  <si>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</si>
  <si>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</si>
  <si>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</si>
  <si>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</si>
  <si>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</si>
  <si>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</si>
  <si>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</si>
  <si>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</si>
  <si>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</si>
  <si>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</si>
  <si>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</si>
  <si>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</si>
  <si>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</si>
  <si>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</si>
  <si>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</si>
  <si>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</si>
  <si>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</si>
  <si>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</si>
  <si>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</si>
  <si>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</si>
  <si>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</si>
  <si>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</si>
  <si>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</si>
  <si>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</si>
  <si>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</si>
  <si>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</si>
  <si>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</si>
  <si>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</si>
  <si>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</si>
  <si>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</si>
  <si>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</si>
  <si>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</si>
  <si>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</si>
  <si>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</si>
  <si>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</si>
  <si>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</si>
  <si>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</si>
  <si>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</si>
  <si>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</si>
  <si>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</si>
  <si>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</si>
  <si>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</si>
  <si>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</si>
  <si>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</si>
  <si>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</si>
  <si>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</si>
  <si>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</si>
  <si>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</si>
  <si>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</si>
  <si>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</si>
  <si>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</si>
  <si>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</si>
  <si>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</si>
  <si>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</si>
  <si>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</si>
  <si>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</si>
  <si>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</si>
  <si>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</si>
  <si>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</si>
  <si>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</si>
  <si>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</si>
  <si>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</si>
  <si>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</si>
  <si>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</si>
  <si>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</si>
  <si>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</si>
  <si>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</si>
  <si>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</si>
  <si>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</si>
  <si>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</si>
  <si>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</si>
  <si>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</si>
  <si>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</si>
  <si>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</si>
  <si>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</si>
  <si>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</si>
  <si>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</si>
  <si>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</si>
  <si>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</si>
  <si>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</si>
  <si>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</si>
  <si>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</si>
  <si>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</si>
  <si>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</si>
  <si>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</si>
  <si>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</si>
  <si>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</si>
  <si>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</si>
  <si>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</si>
  <si>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</si>
  <si>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</si>
  <si>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</si>
  <si>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</si>
  <si>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</si>
  <si>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</si>
  <si>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</si>
  <si>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</si>
  <si>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</si>
  <si>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</si>
  <si>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</si>
  <si>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</si>
  <si>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t>
  </si>
  <si>
    <t>1 à 3</t>
  </si>
  <si>
    <t>1 ou 2</t>
  </si>
  <si>
    <t>2</t>
  </si>
  <si>
    <t>1 à 4</t>
  </si>
  <si>
    <t>chiffre (âge)</t>
  </si>
  <si>
    <t>10</t>
  </si>
  <si>
    <t>0,1,2,4,7,10</t>
  </si>
  <si>
    <t>4</t>
  </si>
  <si>
    <t>0 ou 1</t>
  </si>
  <si>
    <t>7</t>
  </si>
  <si>
    <t>0 à 5</t>
  </si>
  <si>
    <t>Ne fait pas parti des calculs de l'indice AP</t>
  </si>
  <si>
    <t>6</t>
  </si>
  <si>
    <t>5</t>
  </si>
  <si>
    <t>0</t>
  </si>
  <si>
    <t>8</t>
  </si>
  <si>
    <t>3</t>
  </si>
  <si>
    <t>9</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</si>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</sst>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_ ;_ * \(#,##0.00\)_ ;_ * &quot;-&quot;??_)_ ;_ @_ "/>
    <numFmt numFmtId="165" formatCode="0.0"/>
    <numFmt numFmtId="166" formatCode="_(* #,##0_);_(* \(#,##0\);_(* &quot;-&quot;??_);_(@_)"/>
    <numFmt numFmtId="167" formatCode="_(* #,##0.0_);_(* \(#,##0.0\);_(* &quot;-&quot;??_);_(@_)"/>
    <numFmt numFmtId="168" formatCode="0.0%"/>
  </numFmts>
  <fonts count="157">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164"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5"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6" fontId="0" fillId="0" borderId="4" xfId="1" applyNumberFormat="1" applyFont="1" applyBorder="1" applyAlignment="1" applyProtection="1">
      <alignment horizontal="center" vertical="center"/>
      <protection locked="0"/>
    </xf>
    <xf numFmtId="166"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6" fontId="0" fillId="0" borderId="0" xfId="1" applyNumberFormat="1" applyFont="1" applyAlignment="1" applyProtection="1">
      <alignment horizontal="center" vertical="center"/>
      <protection locked="0"/>
    </xf>
    <xf numFmtId="166"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6" fontId="21" fillId="0" borderId="0" xfId="1" applyNumberFormat="1" applyFont="1" applyAlignment="1">
      <alignment horizontal="center" vertical="center"/>
    </xf>
    <xf numFmtId="166" fontId="21" fillId="0" borderId="0" xfId="1" applyNumberFormat="1" applyFont="1" applyAlignment="1">
      <alignment horizontal="center"/>
    </xf>
    <xf numFmtId="166"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7" fontId="21" fillId="0" borderId="0" xfId="1" applyNumberFormat="1" applyFont="1" applyAlignment="1">
      <alignment horizontal="center"/>
    </xf>
    <xf numFmtId="167" fontId="21" fillId="0" borderId="0" xfId="1" applyNumberFormat="1" applyFont="1" applyAlignment="1">
      <alignment horizontal="center" vertical="center"/>
    </xf>
    <xf numFmtId="167"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8"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6"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6"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6"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6" fontId="0" fillId="0" borderId="0" xfId="1" applyNumberFormat="1" applyFont="1"/>
    <xf numFmtId="166"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14" borderId="0" xfId="0" applyFont="1" applyFill="1" applyAlignment="1">
      <alignment horizontal="center" vertical="center" wrapText="1"/>
    </xf>
    <xf numFmtId="0" fontId="0" fillId="0" borderId="0" xfId="0"/>
    <xf numFmtId="0" fontId="0" fillId="0" borderId="0" xfId="0" applyAlignment="1">
      <alignment horizontal="center"/>
    </xf>
    <xf numFmtId="0" fontId="8" fillId="0" borderId="0" xfId="0" applyFont="1" applyAlignment="1">
      <alignment horizontal="left" wrapText="1"/>
    </xf>
    <xf numFmtId="0" fontId="4" fillId="31" borderId="0" xfId="0" applyFont="1" applyFill="1" applyAlignment="1">
      <alignment horizontal="center" vertical="center" wrapText="1"/>
    </xf>
    <xf numFmtId="0" fontId="4" fillId="33" borderId="0" xfId="0" applyFont="1" applyFill="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0" fillId="0" borderId="0" xfId="0" applyAlignment="1">
      <alignment vertical="center"/>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0" fillId="0" borderId="10" xfId="0" applyBorder="1"/>
    <xf numFmtId="0" fontId="14" fillId="18" borderId="7" xfId="0" applyFont="1" applyFill="1" applyBorder="1" applyAlignment="1">
      <alignment horizontal="center"/>
    </xf>
    <xf numFmtId="0" fontId="0" fillId="0" borderId="0" xfId="0" applyAlignment="1">
      <alignment horizontal="left" vertic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16" borderId="11" xfId="0" applyFill="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7" fillId="0" borderId="0" xfId="0" applyFont="1" applyAlignment="1">
      <alignment horizontal="center"/>
    </xf>
    <xf numFmtId="0" fontId="10" fillId="0" borderId="0" xfId="0" applyFont="1" applyAlignment="1">
      <alignment horizontal="center" wrapText="1"/>
    </xf>
    <xf numFmtId="0" fontId="3" fillId="0" borderId="0" xfId="0" applyFont="1" applyAlignment="1">
      <alignment horizontal="center" wrapText="1"/>
    </xf>
    <xf numFmtId="0" fontId="0" fillId="18" borderId="0" xfId="0" applyFill="1" applyAlignment="1">
      <alignment horizontal="left" vertical="center" wrapText="1"/>
    </xf>
    <xf numFmtId="0" fontId="13" fillId="0" borderId="0" xfId="0" applyFont="1" applyAlignment="1">
      <alignment horizontal="left" wrapText="1"/>
    </xf>
    <xf numFmtId="0" fontId="149" fillId="0" borderId="0" xfId="0" applyFont="1" applyAlignment="1">
      <alignment horizontal="center" vertical="center" wrapText="1"/>
    </xf>
    <xf numFmtId="0" fontId="0" fillId="71" borderId="11" xfId="0" applyFill="1" applyBorder="1" applyAlignment="1">
      <alignment horizontal="left" vertical="center" wrapText="1"/>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16" fillId="74"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81" fillId="2" borderId="6" xfId="0" applyFont="1" applyFill="1" applyBorder="1" applyAlignment="1">
      <alignment horizontal="center"/>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0" fillId="0" borderId="2" xfId="0" applyBorder="1" applyAlignment="1">
      <alignment horizontal="center" vertical="center" wrapText="1"/>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86" fillId="69" borderId="36" xfId="0" applyFont="1" applyFill="1" applyBorder="1" applyAlignment="1">
      <alignment horizontal="center" vertical="center" wrapText="1"/>
    </xf>
    <xf numFmtId="0" fontId="7" fillId="55" borderId="0" xfId="0" applyFont="1" applyFill="1" applyAlignment="1">
      <alignment horizontal="center"/>
    </xf>
    <xf numFmtId="0" fontId="109" fillId="60" borderId="85" xfId="0" applyFont="1" applyFill="1" applyBorder="1" applyAlignment="1">
      <alignment horizontal="center" vertical="center" wrapText="1"/>
    </xf>
    <xf numFmtId="0" fontId="0" fillId="0" borderId="56" xfId="0" applyBorder="1"/>
    <xf numFmtId="0" fontId="86" fillId="69" borderId="56" xfId="0" applyFont="1" applyFill="1" applyBorder="1" applyAlignment="1">
      <alignment horizontal="center" vertical="center"/>
    </xf>
    <xf numFmtId="0" fontId="17" fillId="16" borderId="54" xfId="0" applyFont="1" applyFill="1" applyBorder="1" applyAlignment="1">
      <alignment horizontal="center" vertical="center" wrapText="1"/>
    </xf>
    <xf numFmtId="0" fontId="110" fillId="69" borderId="85" xfId="0" applyFont="1" applyFill="1" applyBorder="1" applyAlignment="1">
      <alignment horizontal="center" vertical="center" wrapText="1"/>
    </xf>
    <xf numFmtId="0" fontId="0" fillId="16" borderId="84" xfId="0" applyFill="1" applyBorder="1" applyAlignment="1">
      <alignment horizontal="lef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17" fillId="16" borderId="0" xfId="0" applyFont="1" applyFill="1" applyAlignment="1">
      <alignment horizontal="center" vertical="center" wrapText="1"/>
    </xf>
    <xf numFmtId="0" fontId="0" fillId="16" borderId="84" xfId="0" applyFill="1" applyBorder="1" applyAlignment="1">
      <alignment horizontal="left" vertical="top"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2" fillId="27" borderId="9" xfId="0" applyFont="1" applyFill="1" applyBorder="1" applyAlignment="1">
      <alignment horizontal="center" wrapText="1"/>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0" fontId="0" fillId="14" borderId="0" xfId="0" applyFill="1" applyAlignment="1">
      <alignment horizontal="center" vertical="center" textRotation="45"/>
    </xf>
    <xf numFmtId="166"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6"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4891-5541-90A6-EFDC27397A59}"/>
              </c:ext>
            </c:extLst>
          </c:dPt>
          <c:dPt>
            <c:idx val="1"/>
            <c:bubble3D val="0"/>
            <c:spPr>
              <a:solidFill>
                <a:schemeClr val="accent2"/>
              </a:solidFill>
              <a:ln>
                <a:noFill/>
                <a:prstDash val="solid"/>
              </a:ln>
            </c:spPr>
            <c:extLst>
              <c:ext xmlns:c16="http://schemas.microsoft.com/office/drawing/2014/chart" uri="{C3380CC4-5D6E-409C-BE32-E72D297353CC}">
                <c16:uniqueId val="{00000003-4891-5541-90A6-EFDC27397A59}"/>
              </c:ext>
            </c:extLst>
          </c:dPt>
          <c:dPt>
            <c:idx val="2"/>
            <c:bubble3D val="0"/>
            <c:spPr>
              <a:solidFill>
                <a:schemeClr val="accent3"/>
              </a:solidFill>
              <a:ln>
                <a:noFill/>
                <a:prstDash val="solid"/>
              </a:ln>
            </c:spPr>
            <c:extLst>
              <c:ext xmlns:c16="http://schemas.microsoft.com/office/drawing/2014/chart" uri="{C3380CC4-5D6E-409C-BE32-E72D297353CC}">
                <c16:uniqueId val="{00000005-4891-5541-90A6-EFDC27397A59}"/>
              </c:ext>
            </c:extLst>
          </c:dPt>
          <c:dPt>
            <c:idx val="3"/>
            <c:bubble3D val="0"/>
            <c:spPr>
              <a:solidFill>
                <a:schemeClr val="accent4"/>
              </a:solidFill>
              <a:ln>
                <a:noFill/>
                <a:prstDash val="solid"/>
              </a:ln>
            </c:spPr>
            <c:extLst>
              <c:ext xmlns:c16="http://schemas.microsoft.com/office/drawing/2014/chart" uri="{C3380CC4-5D6E-409C-BE32-E72D297353CC}">
                <c16:uniqueId val="{00000007-4891-5541-90A6-EFDC27397A59}"/>
              </c:ext>
            </c:extLst>
          </c:dPt>
          <c:dPt>
            <c:idx val="4"/>
            <c:bubble3D val="0"/>
            <c:spPr>
              <a:solidFill>
                <a:schemeClr val="accent5"/>
              </a:solidFill>
              <a:ln>
                <a:noFill/>
                <a:prstDash val="solid"/>
              </a:ln>
            </c:spPr>
            <c:extLst>
              <c:ext xmlns:c16="http://schemas.microsoft.com/office/drawing/2014/chart" uri="{C3380CC4-5D6E-409C-BE32-E72D297353CC}">
                <c16:uniqueId val="{00000009-4891-5541-90A6-EFDC27397A59}"/>
              </c:ext>
            </c:extLst>
          </c:dPt>
          <c:dPt>
            <c:idx val="5"/>
            <c:bubble3D val="0"/>
            <c:spPr>
              <a:solidFill>
                <a:schemeClr val="accent6"/>
              </a:solidFill>
              <a:ln>
                <a:noFill/>
                <a:prstDash val="solid"/>
              </a:ln>
            </c:spPr>
            <c:extLst>
              <c:ext xmlns:c16="http://schemas.microsoft.com/office/drawing/2014/chart" uri="{C3380CC4-5D6E-409C-BE32-E72D297353CC}">
                <c16:uniqueId val="{0000000B-4891-5541-90A6-EFDC27397A59}"/>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4891-5541-90A6-EFDC27397A59}"/>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4891-5541-90A6-EFDC27397A59}"/>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891-5541-90A6-EFDC27397A59}"/>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891-5541-90A6-EFDC27397A59}"/>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891-5541-90A6-EFDC27397A59}"/>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4891-5541-90A6-EFDC27397A59}"/>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4891-5541-90A6-EFDC27397A59}"/>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4891-5541-90A6-EFDC27397A59}"/>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4891-5541-90A6-EFDC27397A59}"/>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5.4644808743169399E-3</c:v>
                </c:pt>
                <c:pt idx="1">
                  <c:v>4.3715846994535519E-2</c:v>
                </c:pt>
                <c:pt idx="2">
                  <c:v>0.1448087431693989</c:v>
                </c:pt>
                <c:pt idx="3">
                  <c:v>0.1448087431693989</c:v>
                </c:pt>
                <c:pt idx="4">
                  <c:v>0.28688524590163933</c:v>
                </c:pt>
                <c:pt idx="5">
                  <c:v>0.18032786885245902</c:v>
                </c:pt>
                <c:pt idx="6">
                  <c:v>7.9234972677595633E-2</c:v>
                </c:pt>
                <c:pt idx="7">
                  <c:v>0.11475409836065574</c:v>
                </c:pt>
              </c:numCache>
            </c:numRef>
          </c:val>
          <c:extLst>
            <c:ext xmlns:c16="http://schemas.microsoft.com/office/drawing/2014/chart" uri="{C3380CC4-5D6E-409C-BE32-E72D297353CC}">
              <c16:uniqueId val="{00000010-4891-5541-90A6-EFDC27397A59}"/>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A16-984A-AD96-16138A552593}"/>
              </c:ext>
            </c:extLst>
          </c:dPt>
          <c:dPt>
            <c:idx val="1"/>
            <c:bubble3D val="0"/>
            <c:spPr>
              <a:solidFill>
                <a:schemeClr val="accent2"/>
              </a:solidFill>
              <a:ln>
                <a:noFill/>
                <a:prstDash val="solid"/>
              </a:ln>
            </c:spPr>
            <c:extLst>
              <c:ext xmlns:c16="http://schemas.microsoft.com/office/drawing/2014/chart" uri="{C3380CC4-5D6E-409C-BE32-E72D297353CC}">
                <c16:uniqueId val="{00000003-0A16-984A-AD96-16138A552593}"/>
              </c:ext>
            </c:extLst>
          </c:dPt>
          <c:dPt>
            <c:idx val="2"/>
            <c:bubble3D val="0"/>
            <c:spPr>
              <a:solidFill>
                <a:schemeClr val="accent3"/>
              </a:solidFill>
              <a:ln>
                <a:noFill/>
                <a:prstDash val="solid"/>
              </a:ln>
            </c:spPr>
            <c:extLst>
              <c:ext xmlns:c16="http://schemas.microsoft.com/office/drawing/2014/chart" uri="{C3380CC4-5D6E-409C-BE32-E72D297353CC}">
                <c16:uniqueId val="{00000005-0A16-984A-AD96-16138A552593}"/>
              </c:ext>
            </c:extLst>
          </c:dPt>
          <c:dPt>
            <c:idx val="3"/>
            <c:bubble3D val="0"/>
            <c:spPr>
              <a:solidFill>
                <a:schemeClr val="accent4"/>
              </a:solidFill>
              <a:ln>
                <a:noFill/>
                <a:prstDash val="solid"/>
              </a:ln>
            </c:spPr>
            <c:extLst>
              <c:ext xmlns:c16="http://schemas.microsoft.com/office/drawing/2014/chart" uri="{C3380CC4-5D6E-409C-BE32-E72D297353CC}">
                <c16:uniqueId val="{00000007-0A16-984A-AD96-16138A552593}"/>
              </c:ext>
            </c:extLst>
          </c:dPt>
          <c:dPt>
            <c:idx val="4"/>
            <c:bubble3D val="0"/>
            <c:spPr>
              <a:solidFill>
                <a:schemeClr val="accent5"/>
              </a:solidFill>
              <a:ln>
                <a:noFill/>
                <a:prstDash val="solid"/>
              </a:ln>
            </c:spPr>
            <c:extLst>
              <c:ext xmlns:c16="http://schemas.microsoft.com/office/drawing/2014/chart" uri="{C3380CC4-5D6E-409C-BE32-E72D297353CC}">
                <c16:uniqueId val="{00000009-0A16-984A-AD96-16138A552593}"/>
              </c:ext>
            </c:extLst>
          </c:dPt>
          <c:dPt>
            <c:idx val="5"/>
            <c:bubble3D val="0"/>
            <c:spPr>
              <a:solidFill>
                <a:schemeClr val="accent6"/>
              </a:solidFill>
              <a:ln>
                <a:noFill/>
                <a:prstDash val="solid"/>
              </a:ln>
            </c:spPr>
            <c:extLst>
              <c:ext xmlns:c16="http://schemas.microsoft.com/office/drawing/2014/chart" uri="{C3380CC4-5D6E-409C-BE32-E72D297353CC}">
                <c16:uniqueId val="{0000000B-0A16-984A-AD96-16138A552593}"/>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A16-984A-AD96-16138A552593}"/>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A16-984A-AD96-16138A552593}"/>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A16-984A-AD96-16138A552593}"/>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A16-984A-AD96-16138A552593}"/>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A16-984A-AD96-16138A552593}"/>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A16-984A-AD96-16138A552593}"/>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A16-984A-AD96-16138A552593}"/>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A16-984A-AD96-16138A552593}"/>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A16-984A-AD96-16138A552593}"/>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6.6945606694560664E-2</c:v>
                </c:pt>
                <c:pt idx="1">
                  <c:v>5.0209205020920501E-2</c:v>
                </c:pt>
                <c:pt idx="2">
                  <c:v>0.100418410041841</c:v>
                </c:pt>
                <c:pt idx="3">
                  <c:v>9.2050209205020925E-2</c:v>
                </c:pt>
                <c:pt idx="4">
                  <c:v>0.11715481171548117</c:v>
                </c:pt>
                <c:pt idx="5">
                  <c:v>0.14225941422594143</c:v>
                </c:pt>
                <c:pt idx="6">
                  <c:v>6.6945606694560664E-2</c:v>
                </c:pt>
                <c:pt idx="7">
                  <c:v>0.36401673640167365</c:v>
                </c:pt>
              </c:numCache>
            </c:numRef>
          </c:val>
          <c:extLst>
            <c:ext xmlns:c16="http://schemas.microsoft.com/office/drawing/2014/chart" uri="{C3380CC4-5D6E-409C-BE32-E72D297353CC}">
              <c16:uniqueId val="{00000010-0A16-984A-AD96-16138A552593}"/>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6F12-BB49-A229-6F8CF5B6D7AF}"/>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F18A-A940-AC30-FF0077D814AF}"/>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1308100</xdr:colOff>
      <xdr:row>38</xdr:row>
      <xdr:rowOff>63500</xdr:rowOff>
    </xdr:from>
    <xdr:to>
      <xdr:col>15</xdr:col>
      <xdr:colOff>1485900</xdr:colOff>
      <xdr:row>39</xdr:row>
      <xdr:rowOff>0</xdr:rowOff>
    </xdr:to>
    <xdr:sp macro="" textlink="">
      <xdr:nvSpPr>
        <xdr:cNvPr id="2" name="Flèche vers le bas 1">
          <a:extLst>
            <a:ext uri="{FF2B5EF4-FFF2-40B4-BE49-F238E27FC236}">
              <a16:creationId xmlns:a16="http://schemas.microsoft.com/office/drawing/2014/main" id="{3E9F9626-0F80-E74D-B9B0-8F9EBA6CBAA0}"/>
            </a:ext>
          </a:extLst>
        </xdr:cNvPr>
        <xdr:cNvSpPr/>
      </xdr:nvSpPr>
      <xdr:spPr>
        <a:xfrm>
          <a:off x="34594800" y="27495500"/>
          <a:ext cx="177800" cy="203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14</xdr:col>
      <xdr:colOff>1308100</xdr:colOff>
      <xdr:row>38</xdr:row>
      <xdr:rowOff>63500</xdr:rowOff>
    </xdr:from>
    <xdr:to>
      <xdr:col>14</xdr:col>
      <xdr:colOff>1485900</xdr:colOff>
      <xdr:row>39</xdr:row>
      <xdr:rowOff>0</xdr:rowOff>
    </xdr:to>
    <xdr:sp macro="" textlink="">
      <xdr:nvSpPr>
        <xdr:cNvPr id="3" name="Flèche vers le bas 2">
          <a:extLst>
            <a:ext uri="{FF2B5EF4-FFF2-40B4-BE49-F238E27FC236}">
              <a16:creationId xmlns:a16="http://schemas.microsoft.com/office/drawing/2014/main" id="{DCEB3D3B-7B7B-4D4B-8992-F7897FE6DFAA}"/>
            </a:ext>
          </a:extLst>
        </xdr:cNvPr>
        <xdr:cNvSpPr/>
      </xdr:nvSpPr>
      <xdr:spPr>
        <a:xfrm>
          <a:off x="31191200" y="27495500"/>
          <a:ext cx="177800" cy="203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twoCellAnchor>
    <xdr:from>
      <xdr:col>13</xdr:col>
      <xdr:colOff>1308100</xdr:colOff>
      <xdr:row>38</xdr:row>
      <xdr:rowOff>63500</xdr:rowOff>
    </xdr:from>
    <xdr:to>
      <xdr:col>13</xdr:col>
      <xdr:colOff>1485900</xdr:colOff>
      <xdr:row>39</xdr:row>
      <xdr:rowOff>0</xdr:rowOff>
    </xdr:to>
    <xdr:sp macro="" textlink="">
      <xdr:nvSpPr>
        <xdr:cNvPr id="4" name="Flèche vers le bas 3">
          <a:extLst>
            <a:ext uri="{FF2B5EF4-FFF2-40B4-BE49-F238E27FC236}">
              <a16:creationId xmlns:a16="http://schemas.microsoft.com/office/drawing/2014/main" id="{8D10130F-2144-994C-ABF0-C8DE896B3790}"/>
            </a:ext>
          </a:extLst>
        </xdr:cNvPr>
        <xdr:cNvSpPr/>
      </xdr:nvSpPr>
      <xdr:spPr>
        <a:xfrm>
          <a:off x="27800300" y="27495500"/>
          <a:ext cx="177800" cy="203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defaultColWidth="10.6640625" defaultRowHeight="15.5"/>
  <cols>
    <col min="1" max="1" width="5.1640625" customWidth="1"/>
    <col min="2" max="2" width="60.1640625" customWidth="1"/>
    <col min="3" max="3" width="2.5" customWidth="1"/>
    <col min="10" max="10" width="12.6640625" customWidth="1"/>
  </cols>
  <sheetData>
    <row r="7" spans="1:10">
      <c r="D7" s="5" t="s">
        <v>0</v>
      </c>
      <c r="E7" s="5"/>
      <c r="F7" s="5"/>
      <c r="G7" s="5" t="s">
        <v>1</v>
      </c>
      <c r="J7" s="1" t="s">
        <v>2</v>
      </c>
    </row>
    <row r="8" spans="1:10">
      <c r="A8" t="s">
        <v>3</v>
      </c>
      <c r="B8" s="1805" t="s">
        <v>4</v>
      </c>
      <c r="D8" s="88"/>
      <c r="E8" s="88"/>
      <c r="F8" s="88"/>
      <c r="G8" s="88"/>
      <c r="J8" s="88"/>
    </row>
    <row r="9" spans="1:10">
      <c r="B9" t="s">
        <v>5</v>
      </c>
      <c r="D9" s="5" t="str">
        <f>IF(AND('Contexte | CSS'!$H$37&gt;='Contexte | CSS'!$AK11,'Contexte | CSS'!$H$37&lt;='Contexte | CSS'!$AL11),"Y"," ")</f>
        <v>Y</v>
      </c>
      <c r="E9" s="5" t="str">
        <f>IF(AND('Contexte | CSS'!$H$37&gt;='Contexte | CSS'!$AK12,'Contexte | CSS'!$H$37&lt;='Contexte | CSS'!$AL12),"Y"," ")</f>
        <v xml:space="preserve"> </v>
      </c>
      <c r="F9" s="5" t="str">
        <f>IF(AND('Contexte | CSS'!$H$37&gt;='Contexte | CSS'!$AK13,'Contexte | CSS'!$H$37&lt;='Contexte | CSS'!$AL13),"Y"," ")</f>
        <v xml:space="preserve"> </v>
      </c>
      <c r="G9" s="5" t="str">
        <f>IF(AND('Contexte | CSS'!$H$37&gt;='Contexte | CSS'!$AK14,'Contexte | CSS'!$H$37&lt;='Contexte | CSS'!$AL14),"Y"," ")</f>
        <v xml:space="preserve"> </v>
      </c>
      <c r="J9" s="55"/>
    </row>
    <row r="10" spans="1:10">
      <c r="B10" t="s">
        <v>6</v>
      </c>
      <c r="D10" s="5"/>
      <c r="E10" s="5"/>
      <c r="F10" s="5"/>
      <c r="G10" s="5"/>
    </row>
    <row r="11" spans="1:10">
      <c r="B11" t="s">
        <v>7</v>
      </c>
      <c r="D11" s="5"/>
      <c r="E11" s="5"/>
      <c r="F11" s="5"/>
      <c r="G11" s="5"/>
    </row>
    <row r="12" spans="1:10">
      <c r="B12" t="s">
        <v>8</v>
      </c>
      <c r="D12" s="5"/>
      <c r="E12" s="5"/>
      <c r="F12" s="5"/>
      <c r="G12" s="5"/>
    </row>
    <row r="13" spans="1:10">
      <c r="D13" s="5"/>
      <c r="E13" s="5"/>
      <c r="F13" s="5"/>
      <c r="G13" s="5"/>
    </row>
    <row r="14" spans="1:10">
      <c r="A14" t="s">
        <v>9</v>
      </c>
      <c r="B14" s="1804" t="s">
        <v>10</v>
      </c>
      <c r="D14" s="5"/>
      <c r="E14" s="5"/>
      <c r="F14" s="5"/>
      <c r="G14" s="5"/>
    </row>
    <row r="15" spans="1:10">
      <c r="B15" s="88" t="s">
        <v>11</v>
      </c>
      <c r="D15" s="88"/>
      <c r="E15" s="88"/>
      <c r="F15" s="88"/>
      <c r="G15" s="88"/>
      <c r="J15" s="88"/>
    </row>
    <row r="16" spans="1:10">
      <c r="B16" s="12" t="s">
        <v>12</v>
      </c>
      <c r="C16" s="12"/>
      <c r="D16" s="12"/>
      <c r="E16" s="12"/>
      <c r="F16" s="12"/>
      <c r="G16" s="12"/>
      <c r="J16" s="88"/>
    </row>
    <row r="17" spans="1:10">
      <c r="B17" s="12" t="s">
        <v>13</v>
      </c>
      <c r="C17" s="12"/>
      <c r="D17" s="12"/>
      <c r="E17" s="12"/>
      <c r="F17" s="12"/>
      <c r="G17" s="12"/>
      <c r="J17" s="88"/>
    </row>
    <row r="19" spans="1:10">
      <c r="A19" t="s">
        <v>14</v>
      </c>
      <c r="B19" s="1806" t="s">
        <v>15</v>
      </c>
      <c r="C19" s="1807"/>
      <c r="D19" s="1807"/>
      <c r="E19" s="1807"/>
      <c r="F19" s="1807"/>
      <c r="G19" s="1807"/>
    </row>
    <row r="21" spans="1:10">
      <c r="A21" t="s">
        <v>16</v>
      </c>
      <c r="B21" s="1806" t="s">
        <v>17</v>
      </c>
      <c r="C21" s="1807"/>
      <c r="D21" s="1807"/>
      <c r="E21" s="1807"/>
      <c r="F21" s="1807"/>
      <c r="G21" s="1807"/>
    </row>
    <row r="22" spans="1:10">
      <c r="B22" t="s">
        <v>18</v>
      </c>
    </row>
    <row r="23" spans="1:10">
      <c r="B23" t="s">
        <v>19</v>
      </c>
    </row>
    <row r="24" spans="1:10">
      <c r="B24" t="s">
        <v>20</v>
      </c>
    </row>
    <row r="28" spans="1:10">
      <c r="B28" s="1804" t="s">
        <v>21</v>
      </c>
    </row>
    <row r="29" spans="1:10">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3" customHeight="1">
      <c r="B1" s="2095" t="s">
        <v>23</v>
      </c>
      <c r="C1" s="2093"/>
      <c r="D1" s="2093"/>
      <c r="M1" s="2093" t="s">
        <v>24</v>
      </c>
    </row>
    <row r="3" spans="1:13">
      <c r="B3" t="s">
        <v>25</v>
      </c>
    </row>
    <row r="4" spans="1:13">
      <c r="A4" t="s">
        <v>26</v>
      </c>
      <c r="B4" s="3" t="s">
        <v>27</v>
      </c>
      <c r="C4" s="3"/>
      <c r="D4" s="3" t="s">
        <v>28</v>
      </c>
      <c r="H4" s="3"/>
    </row>
    <row r="5" spans="1:13">
      <c r="A5" t="s">
        <v>29</v>
      </c>
      <c r="B5" s="2096" t="s">
        <v>30</v>
      </c>
      <c r="C5" s="2096"/>
    </row>
    <row r="6" spans="1:13">
      <c r="A6" t="s">
        <v>31</v>
      </c>
      <c r="B6" s="2096" t="s">
        <v>32</v>
      </c>
      <c r="C6" s="2096"/>
    </row>
    <row r="7" spans="1:13">
      <c r="A7" t="s">
        <v>33</v>
      </c>
      <c r="B7" s="2096" t="s">
        <v>34</v>
      </c>
      <c r="C7" s="2096"/>
    </row>
    <row r="8" spans="1:13">
      <c r="A8" t="s">
        <v>35</v>
      </c>
      <c r="B8" s="2096" t="s">
        <v>36</v>
      </c>
      <c r="C8" s="2096"/>
      <c r="D8" t="s">
        <v>37</v>
      </c>
    </row>
    <row r="9" spans="1:13">
      <c r="A9" t="s">
        <v>38</v>
      </c>
      <c r="B9" s="2096" t="s">
        <v>39</v>
      </c>
      <c r="C9" s="2096"/>
      <c r="D9" s="2096"/>
    </row>
    <row r="10" spans="1:13">
      <c r="A10" t="s">
        <v>40</v>
      </c>
      <c r="B10" s="2096" t="s">
        <v>41</v>
      </c>
      <c r="C10" s="2096"/>
      <c r="D10" s="2096"/>
    </row>
    <row r="11" spans="1:13">
      <c r="A11" t="s">
        <v>42</v>
      </c>
      <c r="B11" s="2096" t="s">
        <v>43</v>
      </c>
      <c r="C11" s="2096"/>
      <c r="D11" s="2096"/>
    </row>
    <row r="12" spans="1:13">
      <c r="A12" t="s">
        <v>44</v>
      </c>
      <c r="B12" s="2096" t="s">
        <v>45</v>
      </c>
      <c r="C12" s="2096"/>
      <c r="D12" s="2096" t="s">
        <v>46</v>
      </c>
    </row>
    <row r="13" spans="1:13">
      <c r="B13" s="2096"/>
      <c r="C13" s="2096"/>
      <c r="D13" s="2096"/>
    </row>
    <row r="14" spans="1:13">
      <c r="B14" s="2096" t="s">
        <v>47</v>
      </c>
    </row>
    <row r="17" spans="1:11">
      <c r="A17" s="1588"/>
      <c r="D17" s="1588" t="s">
        <v>48</v>
      </c>
    </row>
    <row r="18" spans="1:11">
      <c r="B18" s="1588" t="s">
        <v>49</v>
      </c>
      <c r="C18" s="1588" t="s">
        <v>50</v>
      </c>
      <c r="D18" s="1588"/>
    </row>
    <row r="19" spans="1:11" ht="75" customHeight="1">
      <c r="C19" s="2096"/>
      <c r="D19" s="2100" t="s">
        <v>51</v>
      </c>
      <c r="E19" s="2101" t="s">
        <v>52</v>
      </c>
      <c r="F19" s="2101" t="s">
        <v>53</v>
      </c>
      <c r="G19" s="2101" t="s">
        <v>54</v>
      </c>
      <c r="H19" s="2101" t="s">
        <v>55</v>
      </c>
      <c r="I19" s="2101" t="s">
        <v>56</v>
      </c>
      <c r="J19" s="2101" t="s">
        <v>57</v>
      </c>
      <c r="K19" s="2101" t="s">
        <v>58</v>
      </c>
    </row>
    <row r="20" spans="1:11">
      <c r="B20" s="1807" t="s">
        <v>59</v>
      </c>
      <c r="C20" s="2110"/>
      <c r="D20" s="2111"/>
      <c r="E20" s="2111"/>
      <c r="F20" s="2111"/>
      <c r="G20" s="2111"/>
      <c r="H20" s="2111"/>
      <c r="I20" s="2111"/>
      <c r="J20" s="2111"/>
      <c r="K20" s="2111" t="s">
        <v>60</v>
      </c>
    </row>
    <row r="21" spans="1:11">
      <c r="C21" s="2096" t="s">
        <v>61</v>
      </c>
      <c r="D21" s="1452"/>
      <c r="E21" s="1452"/>
      <c r="F21" s="1452"/>
      <c r="G21" s="1452" t="s">
        <v>60</v>
      </c>
      <c r="H21" s="1452"/>
      <c r="I21" s="1452"/>
      <c r="J21" s="1452"/>
      <c r="K21" s="1452"/>
    </row>
    <row r="22" spans="1:11">
      <c r="C22" s="2096" t="s">
        <v>62</v>
      </c>
      <c r="D22" s="2102"/>
      <c r="E22" s="1452"/>
      <c r="F22" s="1452"/>
      <c r="G22" s="1452" t="s">
        <v>60</v>
      </c>
      <c r="H22" s="1452"/>
      <c r="I22" s="1452"/>
      <c r="J22" s="1452"/>
      <c r="K22" s="1452"/>
    </row>
    <row r="23" spans="1:11">
      <c r="C23" s="2096" t="s">
        <v>63</v>
      </c>
      <c r="D23" s="2102"/>
      <c r="E23" s="1452"/>
      <c r="F23" s="1452"/>
      <c r="G23" s="1452" t="s">
        <v>60</v>
      </c>
      <c r="H23" s="1452"/>
      <c r="I23" s="1452"/>
      <c r="J23" s="1452"/>
      <c r="K23" s="1452"/>
    </row>
    <row r="24" spans="1:11">
      <c r="C24" s="2096" t="s">
        <v>64</v>
      </c>
      <c r="D24" s="2102"/>
      <c r="E24" s="1452"/>
      <c r="F24" s="1452"/>
      <c r="G24" s="1452" t="s">
        <v>60</v>
      </c>
      <c r="H24" s="1452"/>
      <c r="I24" s="1452"/>
      <c r="J24" s="1452"/>
      <c r="K24" s="1452"/>
    </row>
    <row r="25" spans="1:11">
      <c r="B25" s="1807" t="s">
        <v>65</v>
      </c>
      <c r="C25" s="1807"/>
      <c r="D25" s="2112"/>
      <c r="E25" s="2111"/>
      <c r="F25" s="2111"/>
      <c r="G25" s="2111"/>
      <c r="H25" s="2111"/>
      <c r="I25" s="2111"/>
      <c r="J25" s="2111"/>
      <c r="K25" s="2111" t="s">
        <v>60</v>
      </c>
    </row>
    <row r="26" spans="1:11">
      <c r="C26" t="s">
        <v>66</v>
      </c>
      <c r="D26" s="2102"/>
      <c r="E26" s="1452" t="s">
        <v>60</v>
      </c>
      <c r="F26" s="1452" t="s">
        <v>60</v>
      </c>
      <c r="G26" s="1452" t="s">
        <v>60</v>
      </c>
      <c r="H26" s="1452"/>
      <c r="I26" s="1452"/>
      <c r="J26" s="1452"/>
      <c r="K26" s="1452"/>
    </row>
    <row r="27" spans="1:11">
      <c r="C27" t="s">
        <v>67</v>
      </c>
      <c r="D27" s="2102"/>
      <c r="E27" s="1452" t="s">
        <v>60</v>
      </c>
      <c r="F27" s="1452"/>
      <c r="G27" s="1452" t="s">
        <v>60</v>
      </c>
      <c r="H27" s="1452"/>
      <c r="I27" s="1452"/>
      <c r="J27" s="1452"/>
      <c r="K27" s="1452"/>
    </row>
    <row r="28" spans="1:11">
      <c r="C28" t="s">
        <v>68</v>
      </c>
      <c r="D28" s="2102"/>
      <c r="E28" s="1452" t="s">
        <v>60</v>
      </c>
      <c r="F28" s="1452"/>
      <c r="G28" s="1452" t="s">
        <v>60</v>
      </c>
      <c r="H28" s="1452"/>
      <c r="I28" s="1452"/>
      <c r="J28" s="1452"/>
      <c r="K28" s="1452"/>
    </row>
    <row r="29" spans="1:11">
      <c r="B29" s="1807" t="s">
        <v>69</v>
      </c>
      <c r="C29" s="1807"/>
      <c r="D29" s="2112"/>
      <c r="E29" s="2111"/>
      <c r="F29" s="2111"/>
      <c r="G29" s="2111"/>
      <c r="H29" s="2111"/>
      <c r="I29" s="2111"/>
      <c r="J29" s="2111"/>
      <c r="K29" s="2111" t="s">
        <v>60</v>
      </c>
    </row>
    <row r="30" spans="1:11">
      <c r="C30" t="s">
        <v>70</v>
      </c>
      <c r="D30" s="1452" t="s">
        <v>60</v>
      </c>
      <c r="E30" s="1452"/>
      <c r="F30" s="1452"/>
      <c r="G30" s="1452"/>
      <c r="H30" s="1452"/>
      <c r="I30" s="1452"/>
      <c r="J30" s="1452"/>
      <c r="K30" s="1452"/>
    </row>
    <row r="31" spans="1:11">
      <c r="C31" t="s">
        <v>71</v>
      </c>
      <c r="D31" s="1452" t="s">
        <v>60</v>
      </c>
      <c r="E31" s="1452"/>
      <c r="F31" s="1452"/>
      <c r="G31" s="1452"/>
      <c r="H31" s="1452"/>
      <c r="I31" s="1452"/>
      <c r="J31" s="1452"/>
      <c r="K31" s="1452"/>
    </row>
    <row r="32" spans="1:11">
      <c r="B32" s="2096"/>
      <c r="C32" s="2096" t="s">
        <v>72</v>
      </c>
      <c r="D32" s="1452" t="s">
        <v>60</v>
      </c>
      <c r="E32" s="1452"/>
      <c r="F32" s="1452"/>
      <c r="G32" s="1452"/>
      <c r="H32" s="1452"/>
      <c r="I32" s="1452"/>
      <c r="J32" s="1452"/>
      <c r="K32" s="1452"/>
    </row>
    <row r="33" spans="2:11">
      <c r="B33" s="2110" t="s">
        <v>73</v>
      </c>
      <c r="C33" s="2110"/>
      <c r="D33" s="2112"/>
      <c r="E33" s="2111"/>
      <c r="F33" s="2111"/>
      <c r="G33" s="2111"/>
      <c r="H33" s="2111"/>
      <c r="I33" s="2111"/>
      <c r="J33" s="2111"/>
      <c r="K33" s="2111" t="s">
        <v>60</v>
      </c>
    </row>
    <row r="34" spans="2:11">
      <c r="C34" s="2096" t="s">
        <v>74</v>
      </c>
      <c r="D34" s="1452"/>
      <c r="E34" s="1452"/>
      <c r="F34" s="1452"/>
      <c r="G34" s="1452"/>
      <c r="H34" s="1452"/>
      <c r="I34" s="1452"/>
      <c r="J34" s="1452" t="s">
        <v>60</v>
      </c>
      <c r="K34" s="1452"/>
    </row>
    <row r="35" spans="2:11">
      <c r="C35" s="2096" t="s">
        <v>75</v>
      </c>
      <c r="D35" s="1452"/>
      <c r="E35" s="1452"/>
      <c r="F35" s="1452"/>
      <c r="G35" s="1452"/>
      <c r="H35" s="1452"/>
      <c r="I35" s="1452"/>
      <c r="J35" s="1452" t="s">
        <v>60</v>
      </c>
      <c r="K35" s="1452"/>
    </row>
    <row r="36" spans="2:11">
      <c r="C36" s="2096" t="s">
        <v>76</v>
      </c>
      <c r="D36" s="1452" t="s">
        <v>60</v>
      </c>
      <c r="E36" s="1452"/>
      <c r="F36" s="1452"/>
      <c r="G36" s="1452"/>
      <c r="H36" s="1452"/>
      <c r="I36" s="1452"/>
      <c r="J36" s="1452"/>
      <c r="K36" s="1452"/>
    </row>
    <row r="37" spans="2:11">
      <c r="C37" s="2096" t="s">
        <v>77</v>
      </c>
      <c r="D37" s="1452"/>
      <c r="E37" s="1452"/>
      <c r="F37" s="1452" t="s">
        <v>60</v>
      </c>
      <c r="G37" s="1452"/>
      <c r="H37" s="1452"/>
      <c r="I37" s="1452"/>
      <c r="J37" s="1452"/>
      <c r="K37" s="1452"/>
    </row>
    <row r="38" spans="2:11">
      <c r="C38" s="2096" t="s">
        <v>78</v>
      </c>
      <c r="D38" s="1452"/>
      <c r="E38" s="1452"/>
      <c r="F38" s="1452"/>
      <c r="G38" s="1452"/>
      <c r="H38" s="1452"/>
      <c r="I38" s="1452"/>
      <c r="J38" s="1452" t="s">
        <v>60</v>
      </c>
      <c r="K38" s="1452"/>
    </row>
    <row r="39" spans="2:11">
      <c r="B39" s="1807" t="s">
        <v>79</v>
      </c>
      <c r="C39" s="1807"/>
      <c r="D39" s="2111"/>
      <c r="E39" s="2111"/>
      <c r="F39" s="2111"/>
      <c r="G39" s="2111"/>
      <c r="H39" s="2111"/>
      <c r="I39" s="2111"/>
      <c r="J39" s="2111"/>
      <c r="K39" s="2111"/>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c r="A1" s="429" t="s">
        <v>80</v>
      </c>
      <c r="B1" s="429"/>
      <c r="C1" s="429"/>
      <c r="D1" s="429"/>
    </row>
    <row r="2" spans="1:32" ht="29" customHeight="1">
      <c r="A2" s="429"/>
      <c r="B2" s="429"/>
      <c r="C2" s="429"/>
      <c r="D2" s="429"/>
    </row>
    <row r="3" spans="1:32" ht="29" customHeight="1">
      <c r="A3" s="748" t="s">
        <v>81</v>
      </c>
      <c r="B3" s="429"/>
      <c r="C3" s="429"/>
      <c r="D3" s="429"/>
      <c r="O3" s="759" t="s">
        <v>82</v>
      </c>
      <c r="AA3" s="2469" t="s">
        <v>83</v>
      </c>
      <c r="AB3" s="2468"/>
      <c r="AC3" s="2468"/>
      <c r="AD3" s="2468"/>
      <c r="AE3" s="2468"/>
      <c r="AF3" s="2468"/>
    </row>
    <row r="4" spans="1:32" ht="14" customHeight="1">
      <c r="A4" s="429"/>
      <c r="B4" s="429"/>
      <c r="C4" s="429"/>
      <c r="D4" s="429"/>
    </row>
    <row r="5" spans="1:32" ht="21" customHeight="1">
      <c r="A5" s="34" t="s">
        <v>84</v>
      </c>
      <c r="B5" s="34"/>
      <c r="C5" s="34"/>
      <c r="D5" s="34"/>
      <c r="O5" s="34" t="s">
        <v>85</v>
      </c>
      <c r="U5" s="3" t="s">
        <v>86</v>
      </c>
      <c r="Z5" s="407" t="s">
        <v>87</v>
      </c>
      <c r="AA5" t="s">
        <v>88</v>
      </c>
      <c r="AC5" t="s">
        <v>89</v>
      </c>
      <c r="AE5" t="s">
        <v>90</v>
      </c>
    </row>
    <row r="6" spans="1:32">
      <c r="A6" t="s">
        <v>91</v>
      </c>
      <c r="Z6" s="427" t="s">
        <v>92</v>
      </c>
    </row>
    <row r="7" spans="1:32" ht="18" customHeight="1">
      <c r="G7" s="93"/>
      <c r="H7" s="93"/>
      <c r="I7" s="93"/>
      <c r="J7" s="407"/>
      <c r="U7" s="427" t="s">
        <v>92</v>
      </c>
      <c r="V7" s="1257">
        <f>Test_Bible!AK433</f>
        <v>5.4644808743169399E-3</v>
      </c>
    </row>
    <row r="8" spans="1:32" ht="30" customHeight="1">
      <c r="E8" s="746" t="s">
        <v>93</v>
      </c>
      <c r="F8" s="745"/>
      <c r="G8" s="57"/>
      <c r="H8" s="57"/>
      <c r="I8" s="2470" t="s">
        <v>94</v>
      </c>
      <c r="J8" s="2468"/>
      <c r="K8" s="57"/>
      <c r="L8" s="747"/>
      <c r="M8" s="407"/>
      <c r="N8" s="80"/>
      <c r="U8" s="427" t="s">
        <v>95</v>
      </c>
      <c r="V8" s="1257">
        <f>Test_Bible!AL433</f>
        <v>4.3715846994535519E-2</v>
      </c>
    </row>
    <row r="9" spans="1:32">
      <c r="A9" t="s">
        <v>96</v>
      </c>
      <c r="E9" s="90">
        <f>Test_Bible!V259</f>
        <v>223</v>
      </c>
      <c r="F9" s="469"/>
      <c r="G9" s="1314" t="s">
        <v>97</v>
      </c>
      <c r="J9" s="1314" t="s">
        <v>97</v>
      </c>
      <c r="U9" s="427" t="s">
        <v>98</v>
      </c>
      <c r="V9" s="1257">
        <f>Test_Bible!AM433</f>
        <v>0.1448087431693989</v>
      </c>
    </row>
    <row r="10" spans="1:32">
      <c r="A10" s="458" t="s">
        <v>99</v>
      </c>
      <c r="B10" s="55">
        <f>Test_Bible!X259</f>
        <v>0</v>
      </c>
      <c r="C10" s="55">
        <f>Test_Bible!Y259</f>
        <v>76</v>
      </c>
      <c r="D10" s="55">
        <f>Test_Bible!Z259</f>
        <v>152</v>
      </c>
      <c r="E10" s="55">
        <f>Test_Bible!AA259</f>
        <v>304</v>
      </c>
      <c r="F10" s="55">
        <f>Test_Bible!AB259</f>
        <v>532</v>
      </c>
      <c r="G10" s="1315">
        <f>Test_Bible!AC259</f>
        <v>760</v>
      </c>
      <c r="I10" s="90">
        <f>Test_Bible!V427</f>
        <v>110</v>
      </c>
      <c r="J10" s="1315">
        <f>Test_Bible!AC427</f>
        <v>280</v>
      </c>
      <c r="U10" s="415" t="s">
        <v>100</v>
      </c>
      <c r="V10" s="1257">
        <f>Test_Bible!AN433</f>
        <v>0.1448087431693989</v>
      </c>
    </row>
    <row r="11" spans="1:32">
      <c r="A11" s="458"/>
      <c r="B11" s="55"/>
      <c r="C11" s="1316"/>
      <c r="D11" s="1316">
        <f>C10+(D10-C10)/2</f>
        <v>114</v>
      </c>
      <c r="E11" s="1316">
        <f>D10+(E10-D10)/2</f>
        <v>228</v>
      </c>
      <c r="F11" s="1316">
        <f>E10+(F10-E10)/2</f>
        <v>418</v>
      </c>
      <c r="G11" s="1316">
        <f>F10+(G10-F10)/2</f>
        <v>646</v>
      </c>
      <c r="I11" s="90"/>
      <c r="J11" s="1315"/>
      <c r="U11" s="415" t="s">
        <v>101</v>
      </c>
      <c r="V11" s="1257">
        <f>Test_Bible!AO433</f>
        <v>0.28688524590163933</v>
      </c>
    </row>
    <row r="12" spans="1:32">
      <c r="A12" s="458"/>
      <c r="B12" s="55"/>
      <c r="C12" s="58"/>
      <c r="D12" s="1317" t="s">
        <v>102</v>
      </c>
      <c r="E12" s="1317" t="s">
        <v>103</v>
      </c>
      <c r="F12" s="1317" t="s">
        <v>104</v>
      </c>
      <c r="G12" s="1317" t="s">
        <v>105</v>
      </c>
      <c r="I12" s="90"/>
      <c r="U12" s="415" t="s">
        <v>106</v>
      </c>
      <c r="V12" s="1257">
        <f>Test_Bible!AP433</f>
        <v>0.18032786885245902</v>
      </c>
    </row>
    <row r="13" spans="1:32">
      <c r="U13" s="415" t="s">
        <v>107</v>
      </c>
      <c r="V13" s="1257">
        <f>Test_Bible!AQ433</f>
        <v>7.9234972677595633E-2</v>
      </c>
    </row>
    <row r="14" spans="1:32" ht="27" customHeight="1">
      <c r="L14" s="964"/>
      <c r="U14" s="415" t="s">
        <v>108</v>
      </c>
      <c r="V14" s="1257">
        <f>Test_Bible!AR433</f>
        <v>0.11475409836065574</v>
      </c>
      <c r="Z14" s="427" t="s">
        <v>95</v>
      </c>
    </row>
    <row r="15" spans="1:32" ht="27" customHeight="1">
      <c r="I15" s="465" t="str">
        <f>IF(AND(Test_Bible!$V$427&lt;=Test_Bible!$AC$427,Test_Bible!$V$427&gt;Test_Bible!$AB$427),Test_Bible!AC428,"")</f>
        <v/>
      </c>
      <c r="L15" s="13"/>
      <c r="Z15" s="427" t="s">
        <v>98</v>
      </c>
    </row>
    <row r="16" spans="1:32" ht="27" customHeight="1">
      <c r="I16" s="455" t="str">
        <f>IF(AND(Test_Bible!$V$427&lt;=Test_Bible!$AB$427,Test_Bible!$V$427&gt;Test_Bible!$AA$427),Test_Bible!AB428,"")</f>
        <v/>
      </c>
      <c r="L16" s="13"/>
      <c r="Z16" s="415" t="s">
        <v>100</v>
      </c>
    </row>
    <row r="17" spans="1:41" ht="27" customHeight="1">
      <c r="I17" s="92" t="str">
        <f>IF(AND(Test_Bible!$V$427&lt;=Test_Bible!$AA$427,Test_Bible!$V$427&gt;Test_Bible!$Z$427),Test_Bible!AA428,"")</f>
        <v>modéré</v>
      </c>
      <c r="L17" s="13"/>
      <c r="Z17" s="415" t="s">
        <v>101</v>
      </c>
    </row>
    <row r="18" spans="1:41" ht="27" customHeight="1">
      <c r="I18" s="456" t="str">
        <f>IF(AND(Test_Bible!$V$427&lt;=Test_Bible!$Z$427,Test_Bible!$V$427&gt;Test_Bible!$Y$427),Test_Bible!Z428,"")</f>
        <v/>
      </c>
      <c r="L18" s="13"/>
      <c r="Z18" s="415" t="s">
        <v>106</v>
      </c>
    </row>
    <row r="19" spans="1:41" ht="27" customHeight="1">
      <c r="I19" s="457" t="str">
        <f>IF(AND(Test_Bible!$V$427&lt;=Test_Bible!$Y$427,Test_Bible!$V$427&lt;&gt;0),Test_Bible!Y428,"")</f>
        <v/>
      </c>
      <c r="L19" s="13"/>
      <c r="V19" s="93"/>
      <c r="W19" s="93" t="s">
        <v>109</v>
      </c>
      <c r="X19" s="406"/>
      <c r="Z19" s="415" t="s">
        <v>107</v>
      </c>
    </row>
    <row r="20" spans="1:41" ht="27" customHeight="1">
      <c r="I20" s="83"/>
      <c r="L20" s="13"/>
      <c r="V20" s="403" t="s">
        <v>14</v>
      </c>
      <c r="W20" s="404" t="s">
        <v>110</v>
      </c>
      <c r="X20" s="405" t="s">
        <v>111</v>
      </c>
      <c r="Z20" s="415" t="s">
        <v>108</v>
      </c>
      <c r="AM20" s="1684"/>
      <c r="AN20" s="1684"/>
      <c r="AO20" s="1684"/>
    </row>
    <row r="21" spans="1:41">
      <c r="U21" t="s">
        <v>112</v>
      </c>
      <c r="V21" s="66">
        <f>Test_Bible!AH433</f>
        <v>0.56629834254143652</v>
      </c>
      <c r="W21" s="66">
        <f>Test_Bible!AI433</f>
        <v>0.21961325966850828</v>
      </c>
      <c r="X21" s="66">
        <f>Test_Bible!AJ433</f>
        <v>0.21408839779005526</v>
      </c>
      <c r="AM21" s="141"/>
      <c r="AN21" s="141"/>
      <c r="AO21" s="141"/>
    </row>
    <row r="22" spans="1:41">
      <c r="AM22" s="141"/>
      <c r="AN22" s="141"/>
      <c r="AO22" s="141"/>
    </row>
    <row r="23" spans="1:41" ht="24" customHeight="1">
      <c r="A23" s="1312" t="s">
        <v>113</v>
      </c>
      <c r="B23" s="45"/>
      <c r="C23" s="45"/>
      <c r="D23" s="36" t="e">
        <f>'Indice D''exclusion'!#REF!</f>
        <v>#REF!</v>
      </c>
    </row>
    <row r="24" spans="1:41" ht="19" customHeight="1">
      <c r="U24" s="407"/>
      <c r="V24" s="93"/>
      <c r="W24" s="93" t="s">
        <v>114</v>
      </c>
      <c r="X24" s="406"/>
    </row>
    <row r="25" spans="1:41" ht="24" customHeight="1">
      <c r="A25" s="1312" t="s">
        <v>115</v>
      </c>
      <c r="B25" s="1312"/>
      <c r="C25" s="1312"/>
      <c r="D25" s="36" t="e">
        <f>#REF!</f>
        <v>#REF!</v>
      </c>
      <c r="V25" s="403" t="s">
        <v>14</v>
      </c>
      <c r="W25" s="404" t="s">
        <v>110</v>
      </c>
      <c r="X25" s="405" t="s">
        <v>111</v>
      </c>
    </row>
    <row r="26" spans="1:41">
      <c r="U26" t="s">
        <v>116</v>
      </c>
      <c r="V26" s="408">
        <f>Test_Bible!AH458</f>
        <v>0.4</v>
      </c>
      <c r="W26" s="408">
        <f>Test_Bible!AI458</f>
        <v>0.36346153846153845</v>
      </c>
      <c r="X26" s="408">
        <f>Test_Bible!AJ458</f>
        <v>0.23653846153846153</v>
      </c>
    </row>
    <row r="28" spans="1:41">
      <c r="U28" t="s">
        <v>117</v>
      </c>
    </row>
    <row r="29" spans="1:41">
      <c r="U29" t="s">
        <v>118</v>
      </c>
    </row>
    <row r="30" spans="1:41">
      <c r="U30" t="s">
        <v>119</v>
      </c>
    </row>
    <row r="31" spans="1:41" ht="21" customHeight="1">
      <c r="A31" s="34" t="s">
        <v>120</v>
      </c>
      <c r="B31" s="34"/>
      <c r="C31" s="34"/>
      <c r="D31" s="34"/>
      <c r="O31" s="34" t="s">
        <v>121</v>
      </c>
    </row>
    <row r="32" spans="1:41" ht="24" customHeight="1">
      <c r="A32" s="36"/>
      <c r="B32" s="36"/>
      <c r="C32" s="36"/>
      <c r="D32" s="36"/>
    </row>
    <row r="33" spans="1:22" ht="24" customHeight="1">
      <c r="A33" s="36"/>
      <c r="B33" s="36"/>
      <c r="C33" s="36"/>
      <c r="D33" s="36"/>
      <c r="E33" s="93" t="s">
        <v>93</v>
      </c>
      <c r="F33" s="93"/>
      <c r="G33" s="93"/>
      <c r="H33" s="93"/>
      <c r="I33" s="93"/>
    </row>
    <row r="34" spans="1:22">
      <c r="A34" t="s">
        <v>96</v>
      </c>
      <c r="E34" s="90">
        <f>Test_Bible!V380</f>
        <v>268</v>
      </c>
      <c r="F34" s="469">
        <f>E34/(G35)</f>
        <v>0.44666666666666666</v>
      </c>
    </row>
    <row r="35" spans="1:22">
      <c r="A35" s="458" t="s">
        <v>99</v>
      </c>
      <c r="B35" s="55">
        <f>Test_Bible!X380</f>
        <v>0</v>
      </c>
      <c r="C35" s="55">
        <f>Test_Bible!Y380</f>
        <v>60</v>
      </c>
      <c r="D35" s="55">
        <f>Test_Bible!Z380</f>
        <v>120</v>
      </c>
      <c r="E35" s="55">
        <f>Test_Bible!AA380</f>
        <v>240</v>
      </c>
      <c r="F35" s="55">
        <f>Test_Bible!AB380</f>
        <v>420</v>
      </c>
      <c r="G35" s="55">
        <f>Test_Bible!AC380</f>
        <v>600</v>
      </c>
    </row>
    <row r="36" spans="1:22" ht="19" customHeight="1">
      <c r="U36" s="428" t="s">
        <v>122</v>
      </c>
    </row>
    <row r="38" spans="1:22">
      <c r="U38" s="427" t="s">
        <v>92</v>
      </c>
      <c r="V38" s="1257">
        <f>Test_Bible!AK458</f>
        <v>6.6945606694560664E-2</v>
      </c>
    </row>
    <row r="39" spans="1:22">
      <c r="U39" s="427" t="s">
        <v>95</v>
      </c>
      <c r="V39" s="1257">
        <f>Test_Bible!AL458</f>
        <v>5.0209205020920501E-2</v>
      </c>
    </row>
    <row r="40" spans="1:22">
      <c r="U40" s="427" t="s">
        <v>98</v>
      </c>
      <c r="V40" s="1257">
        <f>Test_Bible!AM458</f>
        <v>0.100418410041841</v>
      </c>
    </row>
    <row r="41" spans="1:22">
      <c r="U41" s="415" t="s">
        <v>100</v>
      </c>
      <c r="V41" s="1257">
        <f>Test_Bible!AN458</f>
        <v>9.2050209205020925E-2</v>
      </c>
    </row>
    <row r="42" spans="1:22">
      <c r="U42" s="415" t="s">
        <v>101</v>
      </c>
      <c r="V42" s="1257">
        <f>Test_Bible!AO458</f>
        <v>0.11715481171548117</v>
      </c>
    </row>
    <row r="43" spans="1:22">
      <c r="U43" s="415" t="s">
        <v>106</v>
      </c>
      <c r="V43" s="1257">
        <f>Test_Bible!AP458</f>
        <v>0.14225941422594143</v>
      </c>
    </row>
    <row r="44" spans="1:22">
      <c r="U44" s="415" t="s">
        <v>107</v>
      </c>
      <c r="V44" s="1257">
        <f>Test_Bible!AQ458</f>
        <v>6.6945606694560664E-2</v>
      </c>
    </row>
    <row r="45" spans="1:22">
      <c r="U45" s="415" t="s">
        <v>108</v>
      </c>
      <c r="V45" s="1257">
        <f>Test_Bible!AR458</f>
        <v>0.36401673640167365</v>
      </c>
    </row>
    <row r="50" spans="1:24" ht="29" customHeight="1">
      <c r="A50" s="429"/>
      <c r="B50" s="429"/>
      <c r="C50" s="429"/>
      <c r="D50" s="429"/>
    </row>
    <row r="51" spans="1:24" ht="29" customHeight="1">
      <c r="A51" s="748"/>
      <c r="B51" s="429"/>
      <c r="C51" s="429"/>
      <c r="D51" s="429"/>
    </row>
    <row r="52" spans="1:24" ht="40" customHeight="1">
      <c r="A52" s="760" t="s">
        <v>123</v>
      </c>
      <c r="B52" s="429"/>
      <c r="C52" s="429"/>
      <c r="D52" s="429"/>
    </row>
    <row r="53" spans="1:24" ht="19" customHeight="1">
      <c r="A53" t="s">
        <v>124</v>
      </c>
      <c r="E53" s="730" t="s">
        <v>125</v>
      </c>
      <c r="G53" s="2467" t="s">
        <v>126</v>
      </c>
      <c r="H53" s="2468"/>
      <c r="I53" s="2468"/>
      <c r="J53" s="2468"/>
      <c r="K53" s="2468"/>
      <c r="M53" s="2471" t="s">
        <v>127</v>
      </c>
      <c r="N53" s="2468"/>
      <c r="O53" s="2468"/>
      <c r="P53" s="2468"/>
      <c r="Q53" s="2468"/>
      <c r="S53" s="2472" t="s">
        <v>128</v>
      </c>
      <c r="T53" s="2468"/>
      <c r="U53" s="2468"/>
      <c r="V53" s="246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64" t="str">
        <f>'Modèle Calcul A-R + Sommaire'!BF10</f>
        <v/>
      </c>
      <c r="N54" s="2465"/>
      <c r="O54" s="2465"/>
      <c r="P54" s="2465"/>
      <c r="Q54" s="2465"/>
      <c r="R54" s="1433" t="str">
        <f>'Modèle Calcul A-R + Sommaire'!BG10</f>
        <v>🟢</v>
      </c>
      <c r="S54" s="2464" t="str">
        <f>'Modèle Calcul A-R + Sommaire'!BI10</f>
        <v/>
      </c>
      <c r="T54" s="2465"/>
      <c r="U54" s="2465"/>
      <c r="V54" s="2465"/>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1" t="str">
        <f>'Modèle Calcul A-R + Sommaire'!BF11</f>
        <v/>
      </c>
      <c r="N55" s="2462"/>
      <c r="O55" s="2462"/>
      <c r="P55" s="2462"/>
      <c r="Q55" s="2462"/>
      <c r="R55" s="1440" t="str">
        <f>'Modèle Calcul A-R + Sommaire'!BG11</f>
        <v>🟢</v>
      </c>
      <c r="S55" s="2461" t="str">
        <f>'Modèle Calcul A-R + Sommaire'!BI11</f>
        <v/>
      </c>
      <c r="T55" s="2462"/>
      <c r="U55" s="2462"/>
      <c r="V55" s="2462"/>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1" t="str">
        <f>'Modèle Calcul A-R + Sommaire'!BF12</f>
        <v/>
      </c>
      <c r="N56" s="2462"/>
      <c r="O56" s="2462"/>
      <c r="P56" s="2462"/>
      <c r="Q56" s="2462"/>
      <c r="R56" s="1440" t="str">
        <f>'Modèle Calcul A-R + Sommaire'!BG12</f>
        <v>🟢</v>
      </c>
      <c r="S56" s="2461" t="str">
        <f>'Modèle Calcul A-R + Sommaire'!BI12</f>
        <v/>
      </c>
      <c r="T56" s="2462"/>
      <c r="U56" s="2462"/>
      <c r="V56" s="2462"/>
      <c r="W56" s="751"/>
      <c r="X56" s="751"/>
    </row>
    <row r="57" spans="1:24" ht="29"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1" t="str">
        <f>'Modèle Calcul A-R + Sommaire'!BF13</f>
        <v/>
      </c>
      <c r="N57" s="2462"/>
      <c r="O57" s="2462"/>
      <c r="P57" s="2462"/>
      <c r="Q57" s="2462"/>
      <c r="R57" s="1440" t="str">
        <f>'Modèle Calcul A-R + Sommaire'!BG13</f>
        <v>🟢</v>
      </c>
      <c r="S57" s="2461" t="str">
        <f>'Modèle Calcul A-R + Sommaire'!BI13</f>
        <v/>
      </c>
      <c r="T57" s="2462"/>
      <c r="U57" s="2462"/>
      <c r="V57" s="2462"/>
      <c r="W57" s="751"/>
      <c r="X57" s="751"/>
    </row>
    <row r="58" spans="1:24" ht="29"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61" t="str">
        <f>'Modèle Calcul A-R + Sommaire'!BF14</f>
        <v/>
      </c>
      <c r="N58" s="2462"/>
      <c r="O58" s="2462"/>
      <c r="P58" s="2462"/>
      <c r="Q58" s="2462"/>
      <c r="R58" s="1440" t="str">
        <f>'Modèle Calcul A-R + Sommaire'!BG14</f>
        <v>🟢</v>
      </c>
      <c r="S58" s="2461" t="str">
        <f>'Modèle Calcul A-R + Sommaire'!BI14</f>
        <v/>
      </c>
      <c r="T58" s="2462"/>
      <c r="U58" s="2462"/>
      <c r="V58" s="2462"/>
      <c r="W58" s="751"/>
      <c r="X58" s="751"/>
    </row>
    <row r="59" spans="1:24" ht="29" customHeight="1">
      <c r="A59" s="1437" t="str">
        <f>'Modèle Calcul A-R + Sommaire'!AY15</f>
        <v>Culpabilise l'enfant de son amour envers vous</v>
      </c>
      <c r="B59" s="1438"/>
      <c r="C59" s="1438"/>
      <c r="D59" s="1438"/>
      <c r="E59" s="1439" t="str">
        <f>'Modèle Calcul A-R + Sommaire'!BB15</f>
        <v/>
      </c>
      <c r="F59" s="1440" t="str">
        <f>'Modèle Calcul A-R + Sommaire'!BA15</f>
        <v>🟥</v>
      </c>
      <c r="G59" s="2461" t="str">
        <f>'Modèle Calcul A-R + Sommaire'!BC15</f>
        <v/>
      </c>
      <c r="H59" s="2462"/>
      <c r="I59" s="2462"/>
      <c r="J59" s="2462"/>
      <c r="K59" s="2462"/>
      <c r="L59" s="1443" t="str">
        <f>'Modèle Calcul A-R + Sommaire'!BD15</f>
        <v>🔸</v>
      </c>
      <c r="M59" s="2461" t="str">
        <f>'Modèle Calcul A-R + Sommaire'!BF15</f>
        <v/>
      </c>
      <c r="N59" s="2462"/>
      <c r="O59" s="2462"/>
      <c r="P59" s="2462"/>
      <c r="Q59" s="2462"/>
      <c r="R59" s="1440" t="str">
        <f>'Modèle Calcul A-R + Sommaire'!BG15</f>
        <v>🟢</v>
      </c>
      <c r="S59" s="2461" t="str">
        <f>'Modèle Calcul A-R + Sommaire'!BI15</f>
        <v/>
      </c>
      <c r="T59" s="2462"/>
      <c r="U59" s="2462"/>
      <c r="V59" s="2462"/>
      <c r="W59" s="751"/>
      <c r="X59" s="751"/>
    </row>
    <row r="60" spans="1:24" ht="29"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1" t="str">
        <f>'Modèle Calcul A-R + Sommaire'!BF16</f>
        <v/>
      </c>
      <c r="N60" s="2462"/>
      <c r="O60" s="2462"/>
      <c r="P60" s="2462"/>
      <c r="Q60" s="2462"/>
      <c r="R60" s="1440" t="str">
        <f>'Modèle Calcul A-R + Sommaire'!BG16</f>
        <v>🟢</v>
      </c>
      <c r="S60" s="2461" t="str">
        <f>'Modèle Calcul A-R + Sommaire'!BI16</f>
        <v/>
      </c>
      <c r="T60" s="2462"/>
      <c r="U60" s="2462"/>
      <c r="V60" s="2462"/>
      <c r="W60" s="751"/>
      <c r="X60" s="751"/>
    </row>
    <row r="61" spans="1:24" ht="29"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61" t="str">
        <f>'Modèle Calcul A-R + Sommaire'!BF17</f>
        <v/>
      </c>
      <c r="N61" s="2462"/>
      <c r="O61" s="2462"/>
      <c r="P61" s="2462"/>
      <c r="Q61" s="2462"/>
      <c r="R61" s="1440" t="str">
        <f>'Modèle Calcul A-R + Sommaire'!BG17</f>
        <v>🟢</v>
      </c>
      <c r="S61" s="2461" t="str">
        <f>'Modèle Calcul A-R + Sommaire'!BI17</f>
        <v/>
      </c>
      <c r="T61" s="2462"/>
      <c r="U61" s="2462"/>
      <c r="V61" s="2462"/>
      <c r="W61" s="751"/>
      <c r="X61" s="751"/>
    </row>
    <row r="62" spans="1:24" ht="29"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1" t="str">
        <f>'Modèle Calcul A-R + Sommaire'!BF18</f>
        <v/>
      </c>
      <c r="N62" s="2462"/>
      <c r="O62" s="2462"/>
      <c r="P62" s="2462"/>
      <c r="Q62" s="2462"/>
      <c r="R62" s="1440" t="str">
        <f>'Modèle Calcul A-R + Sommaire'!BG18</f>
        <v>🟢</v>
      </c>
      <c r="S62" s="2461" t="str">
        <f>'Modèle Calcul A-R + Sommaire'!BI18</f>
        <v/>
      </c>
      <c r="T62" s="2462"/>
      <c r="U62" s="2462"/>
      <c r="V62" s="2462"/>
      <c r="W62" s="751"/>
      <c r="X62" s="751"/>
    </row>
    <row r="63" spans="1:24" ht="29"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1" t="str">
        <f>'Modèle Calcul A-R + Sommaire'!BF19</f>
        <v/>
      </c>
      <c r="N63" s="2462"/>
      <c r="O63" s="2462"/>
      <c r="P63" s="2462"/>
      <c r="Q63" s="2462"/>
      <c r="R63" s="1440" t="str">
        <f>'Modèle Calcul A-R + Sommaire'!BG19</f>
        <v>🟢</v>
      </c>
      <c r="S63" s="2461" t="str">
        <f>'Modèle Calcul A-R + Sommaire'!BI19</f>
        <v/>
      </c>
      <c r="T63" s="2462"/>
      <c r="U63" s="2462"/>
      <c r="V63" s="2462"/>
      <c r="W63" s="751"/>
      <c r="X63" s="751"/>
    </row>
    <row r="64" spans="1:24" ht="29"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1" t="str">
        <f>'Modèle Calcul A-R + Sommaire'!BF20</f>
        <v/>
      </c>
      <c r="N64" s="2462"/>
      <c r="O64" s="2462"/>
      <c r="P64" s="2462"/>
      <c r="Q64" s="2462"/>
      <c r="R64" s="1440" t="str">
        <f>'Modèle Calcul A-R + Sommaire'!BG20</f>
        <v>🟢</v>
      </c>
      <c r="S64" s="2461" t="str">
        <f>'Modèle Calcul A-R + Sommaire'!BI20</f>
        <v/>
      </c>
      <c r="T64" s="2462"/>
      <c r="U64" s="2462"/>
      <c r="V64" s="2462"/>
      <c r="W64" s="751"/>
      <c r="X64" s="751"/>
    </row>
    <row r="65" spans="1:24" ht="29"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1" t="str">
        <f>'Modèle Calcul A-R + Sommaire'!BF21</f>
        <v/>
      </c>
      <c r="N65" s="2462"/>
      <c r="O65" s="2462"/>
      <c r="P65" s="2462"/>
      <c r="Q65" s="2462"/>
      <c r="R65" s="1440" t="str">
        <f>'Modèle Calcul A-R + Sommaire'!BG21</f>
        <v>🟢</v>
      </c>
      <c r="S65" s="2461" t="str">
        <f>'Modèle Calcul A-R + Sommaire'!BI21</f>
        <v/>
      </c>
      <c r="T65" s="2462"/>
      <c r="U65" s="2462"/>
      <c r="V65" s="2462"/>
      <c r="W65" s="751"/>
      <c r="X65" s="751"/>
    </row>
    <row r="66" spans="1:24" ht="29"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1" t="str">
        <f>'Modèle Calcul A-R + Sommaire'!BF22</f>
        <v/>
      </c>
      <c r="N66" s="2462"/>
      <c r="O66" s="2462"/>
      <c r="P66" s="2462"/>
      <c r="Q66" s="2462"/>
      <c r="R66" s="1440" t="str">
        <f>'Modèle Calcul A-R + Sommaire'!BG22</f>
        <v>🟢</v>
      </c>
      <c r="S66" s="2461" t="str">
        <f>'Modèle Calcul A-R + Sommaire'!BI22</f>
        <v/>
      </c>
      <c r="T66" s="2462"/>
      <c r="U66" s="2462"/>
      <c r="V66" s="2462"/>
      <c r="W66" s="751"/>
      <c r="X66" s="751"/>
    </row>
    <row r="67" spans="1:24" ht="29"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61" t="str">
        <f>'Modèle Calcul A-R + Sommaire'!BF23</f>
        <v/>
      </c>
      <c r="N67" s="2462"/>
      <c r="O67" s="2462"/>
      <c r="P67" s="2462"/>
      <c r="Q67" s="2462"/>
      <c r="R67" s="1440" t="str">
        <f>'Modèle Calcul A-R + Sommaire'!BG23</f>
        <v>🟢</v>
      </c>
      <c r="S67" s="2461" t="str">
        <f>'Modèle Calcul A-R + Sommaire'!BI23</f>
        <v/>
      </c>
      <c r="T67" s="2462"/>
      <c r="U67" s="2462"/>
      <c r="V67" s="2462"/>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1" t="str">
        <f>'Modèle Calcul A-R + Sommaire'!BF24</f>
        <v/>
      </c>
      <c r="N68" s="2462"/>
      <c r="O68" s="2462"/>
      <c r="P68" s="2462"/>
      <c r="Q68" s="2462"/>
      <c r="R68" s="1440" t="str">
        <f>'Modèle Calcul A-R + Sommaire'!BG24</f>
        <v>🟢</v>
      </c>
      <c r="S68" s="2461" t="str">
        <f>'Modèle Calcul A-R + Sommaire'!BI24</f>
        <v/>
      </c>
      <c r="T68" s="2462"/>
      <c r="U68" s="2462"/>
      <c r="V68" s="2462"/>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1" t="str">
        <f>'Modèle Calcul A-R + Sommaire'!BF25</f>
        <v/>
      </c>
      <c r="N69" s="2462"/>
      <c r="O69" s="2462"/>
      <c r="P69" s="2462"/>
      <c r="Q69" s="2462"/>
      <c r="R69" s="1440" t="str">
        <f>'Modèle Calcul A-R + Sommaire'!BG25</f>
        <v>🟢</v>
      </c>
      <c r="S69" s="2461" t="str">
        <f>'Modèle Calcul A-R + Sommaire'!BI25</f>
        <v/>
      </c>
      <c r="T69" s="2462"/>
      <c r="U69" s="2462"/>
      <c r="V69" s="2462"/>
      <c r="W69" s="751"/>
      <c r="X69" s="751"/>
    </row>
    <row r="70" spans="1:24" ht="29"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3" t="str">
        <f>'Modèle Calcul A-R + Sommaire'!BF26</f>
        <v/>
      </c>
      <c r="N70" s="2462"/>
      <c r="O70" s="2462"/>
      <c r="P70" s="2462"/>
      <c r="Q70" s="2462"/>
      <c r="R70" s="755" t="str">
        <f>'Modèle Calcul A-R + Sommaire'!BG26</f>
        <v>🟢</v>
      </c>
      <c r="S70" s="2463" t="str">
        <f>'Modèle Calcul A-R + Sommaire'!BI26</f>
        <v/>
      </c>
      <c r="T70" s="2462"/>
      <c r="U70" s="2462"/>
      <c r="V70" s="2462"/>
      <c r="W70" s="751"/>
      <c r="X70" s="751"/>
    </row>
    <row r="71" spans="1:24" ht="29"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3" t="str">
        <f>'Modèle Calcul A-R + Sommaire'!BF27</f>
        <v/>
      </c>
      <c r="N71" s="2462"/>
      <c r="O71" s="2462"/>
      <c r="P71" s="2462"/>
      <c r="Q71" s="2462"/>
      <c r="R71" s="755" t="str">
        <f>'Modèle Calcul A-R + Sommaire'!BG27</f>
        <v>🟢</v>
      </c>
      <c r="S71" s="2463" t="str">
        <f>'Modèle Calcul A-R + Sommaire'!BI27</f>
        <v/>
      </c>
      <c r="T71" s="2462"/>
      <c r="U71" s="2462"/>
      <c r="V71" s="2462"/>
      <c r="W71" s="751"/>
      <c r="X71" s="751"/>
    </row>
    <row r="72" spans="1:24" ht="29"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63" t="str">
        <f>'Modèle Calcul A-R + Sommaire'!BF28</f>
        <v/>
      </c>
      <c r="N72" s="2462"/>
      <c r="O72" s="2462"/>
      <c r="P72" s="2462"/>
      <c r="Q72" s="2462"/>
      <c r="R72" s="755" t="str">
        <f>'Modèle Calcul A-R + Sommaire'!BG28</f>
        <v>🟢</v>
      </c>
      <c r="S72" s="2463" t="str">
        <f>'Modèle Calcul A-R + Sommaire'!BI28</f>
        <v/>
      </c>
      <c r="T72" s="2462"/>
      <c r="U72" s="2462"/>
      <c r="V72" s="2462"/>
      <c r="W72" s="751"/>
      <c r="X72" s="751"/>
    </row>
    <row r="73" spans="1:24" ht="29" customHeight="1">
      <c r="A73" s="752" t="str">
        <f>'Modèle Calcul A-R + Sommaire'!AY29</f>
        <v>L'enfant est messager de la logistique</v>
      </c>
      <c r="B73" s="753"/>
      <c r="C73" s="753"/>
      <c r="D73" s="753"/>
      <c r="E73" s="754" t="str">
        <f>'Modèle Calcul A-R + Sommaire'!BB29</f>
        <v/>
      </c>
      <c r="F73" s="755" t="str">
        <f>'Modèle Calcul A-R + Sommaire'!BA29</f>
        <v>🟥</v>
      </c>
      <c r="G73" s="2463" t="str">
        <f>'Modèle Calcul A-R + Sommaire'!BC29</f>
        <v/>
      </c>
      <c r="H73" s="2462"/>
      <c r="I73" s="2462"/>
      <c r="J73" s="2462"/>
      <c r="K73" s="2462"/>
      <c r="L73" s="758" t="str">
        <f>'Modèle Calcul A-R + Sommaire'!BD29</f>
        <v>🔸</v>
      </c>
      <c r="M73" s="2466" t="str">
        <f>'Modèle Calcul A-R + Sommaire'!BF29</f>
        <v/>
      </c>
      <c r="N73" s="2462"/>
      <c r="O73" s="2462"/>
      <c r="P73" s="2462"/>
      <c r="Q73" s="2462"/>
      <c r="R73" s="755" t="str">
        <f>'Modèle Calcul A-R + Sommaire'!BG29</f>
        <v>🟢</v>
      </c>
      <c r="S73" s="2463" t="str">
        <f>'Modèle Calcul A-R + Sommaire'!BI29</f>
        <v/>
      </c>
      <c r="T73" s="2462"/>
      <c r="U73" s="2462"/>
      <c r="V73" s="2462"/>
      <c r="W73" s="751"/>
      <c r="X73" s="751"/>
    </row>
    <row r="74" spans="1:24" ht="29"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3" t="str">
        <f>'Modèle Calcul A-R + Sommaire'!BF30</f>
        <v/>
      </c>
      <c r="N74" s="2462"/>
      <c r="O74" s="2462"/>
      <c r="P74" s="2462"/>
      <c r="Q74" s="2462"/>
      <c r="R74" s="755" t="str">
        <f>'Modèle Calcul A-R + Sommaire'!BG30</f>
        <v>🟢</v>
      </c>
      <c r="S74" s="2463" t="str">
        <f>'Modèle Calcul A-R + Sommaire'!BI30</f>
        <v/>
      </c>
      <c r="T74" s="2462"/>
      <c r="U74" s="2462"/>
      <c r="V74" s="2462"/>
      <c r="W74" s="751"/>
      <c r="X74" s="751"/>
    </row>
    <row r="75" spans="1:24" ht="29"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6" t="str">
        <f>'Modèle Calcul A-R + Sommaire'!BF31</f>
        <v/>
      </c>
      <c r="N75" s="2462"/>
      <c r="O75" s="2462"/>
      <c r="P75" s="2462"/>
      <c r="Q75" s="2462"/>
      <c r="R75" s="755" t="str">
        <f>'Modèle Calcul A-R + Sommaire'!BG31</f>
        <v>🟢</v>
      </c>
      <c r="S75" s="2463" t="str">
        <f>'Modèle Calcul A-R + Sommaire'!BI31</f>
        <v/>
      </c>
      <c r="T75" s="2462"/>
      <c r="U75" s="2462"/>
      <c r="V75" s="2462"/>
      <c r="W75" s="751"/>
      <c r="X75" s="751"/>
    </row>
    <row r="76" spans="1:24" ht="29"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3" t="str">
        <f>'Modèle Calcul A-R + Sommaire'!BF32</f>
        <v/>
      </c>
      <c r="N76" s="2462"/>
      <c r="O76" s="2462"/>
      <c r="P76" s="2462"/>
      <c r="Q76" s="2462"/>
      <c r="R76" s="755" t="str">
        <f>'Modèle Calcul A-R + Sommaire'!BG32</f>
        <v>🟢</v>
      </c>
      <c r="S76" s="2463" t="str">
        <f>'Modèle Calcul A-R + Sommaire'!BI32</f>
        <v/>
      </c>
      <c r="T76" s="2462"/>
      <c r="U76" s="2462"/>
      <c r="V76" s="2462"/>
      <c r="W76" s="751"/>
      <c r="X76" s="751"/>
    </row>
    <row r="77" spans="1:24" ht="29"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3" t="str">
        <f>'Modèle Calcul A-R + Sommaire'!BF33</f>
        <v/>
      </c>
      <c r="N77" s="2462"/>
      <c r="O77" s="2462"/>
      <c r="P77" s="2462"/>
      <c r="Q77" s="2462"/>
      <c r="R77" s="755" t="str">
        <f>'Modèle Calcul A-R + Sommaire'!BG33</f>
        <v>🟢</v>
      </c>
      <c r="S77" s="2463" t="str">
        <f>'Modèle Calcul A-R + Sommaire'!BI33</f>
        <v/>
      </c>
      <c r="T77" s="2462"/>
      <c r="U77" s="2462"/>
      <c r="V77" s="2462"/>
      <c r="W77" s="751"/>
      <c r="X77" s="751"/>
    </row>
    <row r="78" spans="1:24" ht="29"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63" t="str">
        <f>'Modèle Calcul A-R + Sommaire'!BF34</f>
        <v/>
      </c>
      <c r="N78" s="2462"/>
      <c r="O78" s="2462"/>
      <c r="P78" s="2462"/>
      <c r="Q78" s="2462"/>
      <c r="R78" s="755" t="str">
        <f>'Modèle Calcul A-R + Sommaire'!BG34</f>
        <v>🟢</v>
      </c>
      <c r="S78" s="2463" t="str">
        <f>'Modèle Calcul A-R + Sommaire'!BI34</f>
        <v/>
      </c>
      <c r="T78" s="2462"/>
      <c r="U78" s="2462"/>
      <c r="V78" s="2462"/>
      <c r="W78" s="751"/>
      <c r="X78" s="751"/>
    </row>
    <row r="79" spans="1:24" ht="29"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c r="A80" s="429"/>
      <c r="B80" s="429"/>
      <c r="C80" s="429"/>
      <c r="D80" s="429"/>
      <c r="R80" s="428" t="s">
        <v>129</v>
      </c>
    </row>
    <row r="81" spans="1:22" ht="29" customHeight="1">
      <c r="A81" s="429"/>
      <c r="B81" s="429"/>
      <c r="C81" s="429"/>
      <c r="D81" s="429"/>
      <c r="R81" t="str">
        <f>'Modèle Calcul A-R + Sommaire'!BC10</f>
        <v/>
      </c>
      <c r="V81" s="55" t="str">
        <f>'Modèle Calcul A-R + Sommaire'!BB10</f>
        <v/>
      </c>
    </row>
    <row r="82" spans="1:22" ht="29" customHeight="1">
      <c r="A82" s="429"/>
      <c r="B82" s="429"/>
      <c r="C82" s="429"/>
      <c r="D82" s="429"/>
      <c r="R82" s="1258" t="str">
        <f>'Modèle Calcul A-R + Sommaire'!BC11</f>
        <v/>
      </c>
      <c r="V82" s="55" t="str">
        <f>'Modèle Calcul A-R + Sommaire'!BB11</f>
        <v/>
      </c>
    </row>
    <row r="83" spans="1:22" ht="29" customHeight="1">
      <c r="A83" s="429"/>
      <c r="B83" s="429"/>
      <c r="C83" s="429"/>
      <c r="D83" s="429"/>
      <c r="R83" s="1258" t="str">
        <f>'Modèle Calcul A-R + Sommaire'!BC12</f>
        <v/>
      </c>
      <c r="V83" s="55" t="str">
        <f>'Modèle Calcul A-R + Sommaire'!BB12</f>
        <v/>
      </c>
    </row>
    <row r="84" spans="1:22" ht="29" customHeight="1">
      <c r="A84" s="429"/>
      <c r="B84" s="429"/>
      <c r="C84" s="429"/>
      <c r="D84" s="429"/>
      <c r="R84" s="1258" t="str">
        <f>'Modèle Calcul A-R + Sommaire'!BC13</f>
        <v/>
      </c>
      <c r="V84" s="55" t="str">
        <f>'Modèle Calcul A-R + Sommaire'!BB13</f>
        <v/>
      </c>
    </row>
    <row r="85" spans="1:22" ht="29" customHeight="1">
      <c r="A85" s="429"/>
      <c r="B85" s="429"/>
      <c r="C85" s="429"/>
      <c r="D85" s="429"/>
      <c r="R85" s="1258" t="str">
        <f>'Modèle Calcul A-R + Sommaire'!BC14</f>
        <v/>
      </c>
      <c r="V85" s="55" t="str">
        <f>'Modèle Calcul A-R + Sommaire'!BB14</f>
        <v/>
      </c>
    </row>
    <row r="86" spans="1:22" ht="29" customHeight="1">
      <c r="A86" s="429"/>
      <c r="B86" s="429"/>
      <c r="C86" s="429"/>
      <c r="D86" s="429"/>
      <c r="R86" s="1258" t="str">
        <f>'Modèle Calcul A-R + Sommaire'!BC15</f>
        <v/>
      </c>
      <c r="V86" s="55" t="str">
        <f>'Modèle Calcul A-R + Sommaire'!BB15</f>
        <v/>
      </c>
    </row>
    <row r="87" spans="1:22" ht="29" customHeight="1">
      <c r="A87" s="429"/>
      <c r="B87" s="429"/>
      <c r="C87" s="429"/>
      <c r="D87" s="429"/>
      <c r="R87" s="1258" t="str">
        <f>'Modèle Calcul A-R + Sommaire'!BC16</f>
        <v/>
      </c>
      <c r="V87" s="55" t="str">
        <f>'Modèle Calcul A-R + Sommaire'!BB16</f>
        <v/>
      </c>
    </row>
    <row r="88" spans="1:22" ht="29" customHeight="1">
      <c r="A88" s="429"/>
      <c r="B88" s="429"/>
      <c r="C88" s="429"/>
      <c r="D88" s="429"/>
      <c r="R88" s="1258" t="str">
        <f>'Modèle Calcul A-R + Sommaire'!BC17</f>
        <v/>
      </c>
      <c r="V88" s="55" t="str">
        <f>'Modèle Calcul A-R + Sommaire'!BB17</f>
        <v/>
      </c>
    </row>
    <row r="89" spans="1:22" ht="29" customHeight="1">
      <c r="A89" s="429"/>
      <c r="B89" s="429"/>
      <c r="C89" s="429"/>
      <c r="D89" s="429"/>
      <c r="R89" s="1258" t="str">
        <f>'Modèle Calcul A-R + Sommaire'!BC20</f>
        <v/>
      </c>
      <c r="V89" s="55" t="str">
        <f>'Modèle Calcul A-R + Sommaire'!BB20</f>
        <v/>
      </c>
    </row>
    <row r="90" spans="1:22" ht="29" customHeight="1">
      <c r="A90" s="429"/>
      <c r="B90" s="429"/>
      <c r="C90" s="429"/>
      <c r="D90" s="429"/>
      <c r="R90" s="1258" t="str">
        <f>'Modèle Calcul A-R + Sommaire'!BC24</f>
        <v/>
      </c>
      <c r="V90" s="55" t="str">
        <f>'Modèle Calcul A-R + Sommaire'!BB24</f>
        <v/>
      </c>
    </row>
    <row r="91" spans="1:22" ht="29" customHeight="1">
      <c r="A91" s="429"/>
      <c r="B91" s="429"/>
      <c r="C91" s="429"/>
      <c r="D91" s="429"/>
      <c r="R91" s="1258" t="str">
        <f>'Modèle Calcul A-R + Sommaire'!BC28</f>
        <v/>
      </c>
      <c r="V91" s="55" t="str">
        <f>'Modèle Calcul A-R + Sommaire'!BB28</f>
        <v/>
      </c>
    </row>
    <row r="92" spans="1:22" ht="29" customHeight="1">
      <c r="A92" s="429"/>
      <c r="B92" s="429"/>
      <c r="C92" s="429"/>
      <c r="D92" s="429"/>
      <c r="R92" s="1258" t="str">
        <f>'Modèle Calcul A-R + Sommaire'!BC29</f>
        <v/>
      </c>
      <c r="V92" s="55" t="str">
        <f>'Modèle Calcul A-R + Sommaire'!BB29</f>
        <v/>
      </c>
    </row>
    <row r="93" spans="1:22" ht="29" customHeight="1">
      <c r="A93" s="429"/>
      <c r="B93" s="429"/>
      <c r="C93" s="429"/>
      <c r="D93" s="429"/>
      <c r="R93" s="1258" t="str">
        <f>'Modèle Calcul A-R + Sommaire'!BC31</f>
        <v/>
      </c>
      <c r="V93" s="55" t="str">
        <f>'Modèle Calcul A-R + Sommaire'!BB31</f>
        <v/>
      </c>
    </row>
    <row r="94" spans="1:22" ht="29" customHeight="1">
      <c r="A94" s="429"/>
      <c r="B94" s="429"/>
      <c r="C94" s="429"/>
      <c r="D94" s="429"/>
      <c r="R94" s="1258" t="str">
        <f>'Modèle Calcul A-R + Sommaire'!BC32</f>
        <v/>
      </c>
      <c r="V94" s="55" t="str">
        <f>'Modèle Calcul A-R + Sommaire'!BB32</f>
        <v/>
      </c>
    </row>
    <row r="95" spans="1:22" ht="29" customHeight="1">
      <c r="A95" s="429"/>
      <c r="B95" s="429"/>
      <c r="C95" s="429"/>
      <c r="D95" s="429"/>
      <c r="R95" s="1258" t="str">
        <f>'Modèle Calcul A-R + Sommaire'!BC33</f>
        <v/>
      </c>
      <c r="U95" t="s">
        <v>130</v>
      </c>
      <c r="V95" s="55" t="str">
        <f>'Modèle Calcul A-R + Sommaire'!BB33</f>
        <v/>
      </c>
    </row>
    <row r="96" spans="1:22" ht="29" customHeight="1">
      <c r="A96" s="429"/>
      <c r="B96" s="429"/>
      <c r="C96" s="429"/>
      <c r="D96" s="429"/>
    </row>
    <row r="97" spans="1:20" ht="29" customHeight="1">
      <c r="A97" s="429"/>
      <c r="B97" s="429"/>
      <c r="C97" s="429"/>
      <c r="D97" s="429"/>
    </row>
    <row r="98" spans="1:20" ht="29" customHeight="1">
      <c r="A98" s="429"/>
      <c r="B98" s="429"/>
      <c r="C98" s="429"/>
      <c r="D98" s="429"/>
    </row>
    <row r="99" spans="1:20" ht="30" customHeight="1">
      <c r="A99" s="429"/>
      <c r="B99" s="429"/>
      <c r="C99" s="429"/>
      <c r="D99" s="429"/>
    </row>
    <row r="100" spans="1:20" ht="29" customHeight="1">
      <c r="A100" s="34" t="s">
        <v>131</v>
      </c>
      <c r="B100" s="429"/>
      <c r="C100" s="429"/>
      <c r="D100" s="429"/>
    </row>
    <row r="101" spans="1:20" ht="29" customHeight="1">
      <c r="A101" s="429"/>
      <c r="B101" s="429"/>
      <c r="C101" s="429"/>
      <c r="D101" s="429"/>
    </row>
    <row r="102" spans="1:20" ht="44" customHeight="1">
      <c r="A102" s="429"/>
      <c r="B102" s="429"/>
      <c r="C102" s="429"/>
      <c r="D102" s="429"/>
      <c r="Q102" s="761" t="s">
        <v>132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9" customHeight="1">
      <c r="A118" s="429"/>
      <c r="B118" s="429"/>
      <c r="C118" s="429"/>
      <c r="D118" s="429"/>
    </row>
    <row r="119" spans="1:20" ht="29" customHeight="1">
      <c r="A119" s="429"/>
      <c r="C119" s="429"/>
      <c r="D119" s="429"/>
    </row>
    <row r="120" spans="1:20" ht="29"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 ref="M53:Q53"/>
    <mergeCell ref="S53:V53"/>
    <mergeCell ref="M78:Q78"/>
    <mergeCell ref="S75:V75"/>
    <mergeCell ref="M60:Q60"/>
    <mergeCell ref="S60:V60"/>
    <mergeCell ref="M69:Q69"/>
    <mergeCell ref="S72:V72"/>
    <mergeCell ref="S77:V77"/>
    <mergeCell ref="M77:Q77"/>
    <mergeCell ref="S66:V66"/>
    <mergeCell ref="M62:Q62"/>
    <mergeCell ref="M76:Q76"/>
    <mergeCell ref="S69:V69"/>
    <mergeCell ref="S78:V78"/>
    <mergeCell ref="M63:Q63"/>
    <mergeCell ref="S76:V76"/>
    <mergeCell ref="S74:V74"/>
    <mergeCell ref="S54:V54"/>
    <mergeCell ref="S63:V63"/>
    <mergeCell ref="M73:Q73"/>
    <mergeCell ref="M70:Q70"/>
    <mergeCell ref="M64:Q64"/>
    <mergeCell ref="S56:V56"/>
    <mergeCell ref="M54:Q54"/>
    <mergeCell ref="S59:V59"/>
    <mergeCell ref="M57:Q57"/>
    <mergeCell ref="S57:V57"/>
    <mergeCell ref="M66:Q66"/>
    <mergeCell ref="S55:V55"/>
    <mergeCell ref="M61:Q61"/>
    <mergeCell ref="M71:Q71"/>
    <mergeCell ref="M55:Q55"/>
    <mergeCell ref="M67:Q67"/>
    <mergeCell ref="M56:Q56"/>
    <mergeCell ref="M58:Q58"/>
    <mergeCell ref="M72:Q72"/>
    <mergeCell ref="G59:K59"/>
    <mergeCell ref="S65:V65"/>
    <mergeCell ref="M68:Q68"/>
    <mergeCell ref="M59:Q59"/>
    <mergeCell ref="S64:V64"/>
    <mergeCell ref="S68:V68"/>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defaultColWidth="10.6640625" defaultRowHeight="15.5"/>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c r="B1" s="1802"/>
    </row>
    <row r="2" spans="1:23">
      <c r="D2" s="1254"/>
      <c r="E2" s="1254"/>
      <c r="F2" s="1811"/>
      <c r="G2" s="1800"/>
      <c r="H2" s="1808"/>
      <c r="I2" s="1819"/>
    </row>
    <row r="3" spans="1:23">
      <c r="C3" s="1813" t="s">
        <v>133</v>
      </c>
      <c r="D3" s="1254"/>
      <c r="E3" s="1254"/>
      <c r="F3" s="1811"/>
      <c r="G3" s="1800"/>
      <c r="H3" s="1808"/>
      <c r="I3" s="1819"/>
    </row>
    <row r="5" spans="1:23">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c r="D6" s="587" t="s">
        <v>135</v>
      </c>
      <c r="R6" t="s">
        <v>136</v>
      </c>
    </row>
    <row r="7" spans="1:23" ht="34" customHeight="1">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c r="B8" s="1803"/>
      <c r="C8" s="1587"/>
      <c r="D8" s="90"/>
      <c r="E8" s="1587"/>
      <c r="F8" s="1587"/>
      <c r="G8" s="1587"/>
      <c r="H8" s="1587"/>
      <c r="I8" s="1587"/>
      <c r="J8" s="90"/>
      <c r="K8" s="55"/>
      <c r="L8" s="55"/>
      <c r="M8" s="1587"/>
      <c r="N8" s="1852"/>
      <c r="O8" s="1853"/>
      <c r="R8" t="s">
        <v>155</v>
      </c>
    </row>
    <row r="9" spans="1:23" s="7" customFormat="1" ht="17" customHeight="1">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c r="A27" s="25"/>
      <c r="B27" s="25"/>
      <c r="C27" s="6"/>
      <c r="D27" s="6"/>
      <c r="E27" s="6"/>
      <c r="F27" s="6"/>
      <c r="G27" s="6"/>
      <c r="H27" s="6"/>
      <c r="I27" s="6"/>
      <c r="J27" s="6"/>
      <c r="K27" s="521"/>
      <c r="L27" s="521"/>
      <c r="M27" s="67"/>
      <c r="N27" s="586"/>
      <c r="O27" s="1830"/>
      <c r="W27" s="25"/>
    </row>
    <row r="28" spans="1:23" s="7" customFormat="1">
      <c r="A28" s="25"/>
      <c r="B28" s="25"/>
      <c r="C28" s="6"/>
      <c r="D28" s="6"/>
      <c r="E28" s="6"/>
      <c r="F28" s="6"/>
      <c r="G28" s="6"/>
      <c r="H28" s="6"/>
      <c r="I28" s="6"/>
      <c r="J28" s="6"/>
      <c r="K28" s="521"/>
      <c r="L28" s="521"/>
      <c r="M28" s="67"/>
      <c r="N28" s="586"/>
      <c r="O28" s="1830"/>
      <c r="W28" s="25"/>
    </row>
    <row r="29" spans="1:23" s="7" customFormat="1">
      <c r="A29" s="25"/>
      <c r="B29" s="25"/>
      <c r="C29" s="6"/>
      <c r="D29" s="6"/>
      <c r="E29" s="6"/>
      <c r="F29" s="6"/>
      <c r="G29" s="6"/>
      <c r="H29" s="6"/>
      <c r="I29" s="6"/>
      <c r="J29" s="6"/>
      <c r="K29" s="521"/>
      <c r="L29" s="521"/>
      <c r="M29" s="67"/>
      <c r="N29" s="586"/>
      <c r="O29" s="1830"/>
      <c r="W29" s="25"/>
    </row>
    <row r="30" spans="1:23" s="7" customFormat="1">
      <c r="A30" s="25"/>
      <c r="B30" s="25"/>
      <c r="C30" s="6"/>
      <c r="D30" s="6"/>
      <c r="E30" s="6"/>
      <c r="F30" s="6"/>
      <c r="G30" s="6"/>
      <c r="H30" s="6"/>
      <c r="I30" s="6"/>
      <c r="J30" s="6"/>
      <c r="K30" s="521"/>
      <c r="L30" s="521"/>
      <c r="M30" s="67"/>
      <c r="N30" s="586"/>
      <c r="O30" s="1830">
        <f t="shared" ref="O30:O40" si="2">C30+D30+E30+F30+G30+H30+I30+J30+K30+L30</f>
        <v>0</v>
      </c>
      <c r="W30" s="25"/>
    </row>
    <row r="31" spans="1:23" s="7" customFormat="1">
      <c r="A31" s="25"/>
      <c r="B31" s="25"/>
      <c r="C31" s="6"/>
      <c r="D31" s="6"/>
      <c r="E31" s="6"/>
      <c r="F31" s="6"/>
      <c r="G31" s="6"/>
      <c r="H31" s="6"/>
      <c r="I31" s="6"/>
      <c r="J31" s="6"/>
      <c r="K31" s="521"/>
      <c r="L31" s="521"/>
      <c r="M31" s="67"/>
      <c r="N31" s="586"/>
      <c r="O31" s="1830">
        <f t="shared" si="2"/>
        <v>0</v>
      </c>
      <c r="W31" s="25"/>
    </row>
    <row r="32" spans="1:23" s="7" customFormat="1" ht="17" customHeight="1">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c r="A41" s="25"/>
      <c r="B41" s="25"/>
      <c r="C41" s="6"/>
      <c r="D41" s="6"/>
      <c r="E41" s="6"/>
      <c r="F41" s="6"/>
      <c r="G41" s="6"/>
      <c r="H41" s="6"/>
      <c r="I41" s="6"/>
      <c r="J41" s="6"/>
      <c r="K41" s="521"/>
      <c r="L41" s="521"/>
      <c r="M41" s="67"/>
      <c r="N41" s="586"/>
      <c r="O41" s="1830"/>
      <c r="W41" s="25"/>
    </row>
    <row r="42" spans="1:23" s="7" customFormat="1">
      <c r="A42" s="25"/>
      <c r="B42" s="25"/>
      <c r="C42" s="6"/>
      <c r="D42" s="6"/>
      <c r="E42" s="6"/>
      <c r="F42" s="6"/>
      <c r="G42" s="6"/>
      <c r="H42" s="6"/>
      <c r="I42" s="6"/>
      <c r="J42" s="6"/>
      <c r="K42" s="521"/>
      <c r="L42" s="521"/>
      <c r="M42" s="67"/>
      <c r="N42" s="586"/>
      <c r="O42" s="1830"/>
      <c r="W42" s="25"/>
    </row>
    <row r="43" spans="1:23" s="7" customFormat="1">
      <c r="A43" s="25"/>
      <c r="B43" s="25"/>
      <c r="C43" s="6"/>
      <c r="D43" s="6"/>
      <c r="E43" s="6"/>
      <c r="F43" s="6"/>
      <c r="G43" s="6"/>
      <c r="H43" s="6"/>
      <c r="I43" s="6"/>
      <c r="J43" s="6"/>
      <c r="K43" s="521"/>
      <c r="L43" s="521"/>
      <c r="M43" s="67"/>
      <c r="N43" s="586"/>
      <c r="O43" s="1830"/>
      <c r="W43" s="25"/>
    </row>
    <row r="44" spans="1:23" s="7" customFormat="1" ht="17" customHeight="1">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c r="A70" s="25"/>
      <c r="B70" s="25"/>
      <c r="C70" s="6"/>
      <c r="D70" s="6"/>
      <c r="E70" s="6"/>
      <c r="F70" s="6"/>
      <c r="G70" s="6"/>
      <c r="H70" s="6"/>
      <c r="I70" s="6"/>
      <c r="J70" s="6"/>
      <c r="K70" s="521"/>
      <c r="L70" s="521"/>
      <c r="M70" s="67"/>
      <c r="N70" s="586"/>
      <c r="O70" s="1830"/>
      <c r="W70" s="25"/>
    </row>
    <row r="71" spans="1:23" s="7" customFormat="1">
      <c r="A71" s="25"/>
      <c r="B71" s="25"/>
      <c r="C71" s="6"/>
      <c r="D71" s="6"/>
      <c r="E71" s="6"/>
      <c r="F71" s="6"/>
      <c r="G71" s="6"/>
      <c r="H71" s="6"/>
      <c r="I71" s="6"/>
      <c r="J71" s="6"/>
      <c r="K71" s="521"/>
      <c r="L71" s="521"/>
      <c r="M71" s="67"/>
      <c r="N71" s="586"/>
      <c r="O71" s="1830"/>
      <c r="W71" s="25"/>
    </row>
    <row r="72" spans="1:23" s="7" customFormat="1">
      <c r="A72" s="25"/>
      <c r="B72" s="25"/>
      <c r="C72" s="6"/>
      <c r="D72" s="6"/>
      <c r="E72" s="6"/>
      <c r="F72" s="6"/>
      <c r="G72" s="6"/>
      <c r="H72" s="6"/>
      <c r="I72" s="6"/>
      <c r="J72" s="6"/>
      <c r="K72" s="521"/>
      <c r="L72" s="521"/>
      <c r="M72" s="67"/>
      <c r="N72" s="586"/>
      <c r="O72" s="1830"/>
      <c r="W72" s="25"/>
    </row>
    <row r="73" spans="1:23" s="7" customFormat="1">
      <c r="A73" s="25"/>
      <c r="B73" s="25"/>
      <c r="C73" s="6"/>
      <c r="D73" s="6"/>
      <c r="E73" s="6"/>
      <c r="F73" s="6"/>
      <c r="G73" s="6"/>
      <c r="H73" s="6"/>
      <c r="I73" s="6"/>
      <c r="J73" s="6"/>
      <c r="K73" s="521"/>
      <c r="L73" s="521"/>
      <c r="M73" s="67"/>
      <c r="N73" s="586"/>
      <c r="O73" s="1830"/>
      <c r="W73" s="25"/>
    </row>
    <row r="74" spans="1:23" s="7" customFormat="1" ht="34" customHeight="1">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c r="A142" s="25"/>
      <c r="B142" s="25"/>
      <c r="C142" s="6"/>
      <c r="D142" s="6"/>
      <c r="E142" s="6"/>
      <c r="F142" s="6"/>
      <c r="G142" s="1851"/>
      <c r="H142" s="6"/>
      <c r="I142" s="6"/>
      <c r="J142" s="6"/>
      <c r="K142" s="521"/>
      <c r="L142" s="521"/>
      <c r="M142" s="67"/>
      <c r="N142" s="586"/>
      <c r="O142" s="1830"/>
      <c r="U142" s="25"/>
      <c r="W142" s="25"/>
    </row>
    <row r="143" spans="1:23" s="7" customFormat="1">
      <c r="A143" s="25"/>
      <c r="B143" s="25"/>
      <c r="C143" s="6"/>
      <c r="D143" s="6"/>
      <c r="E143" s="6"/>
      <c r="F143" s="6"/>
      <c r="G143" s="1851"/>
      <c r="H143" s="6"/>
      <c r="I143" s="6"/>
      <c r="J143" s="6"/>
      <c r="K143" s="521"/>
      <c r="L143" s="521"/>
      <c r="M143" s="67"/>
      <c r="N143" s="586"/>
      <c r="O143" s="1830"/>
      <c r="U143" s="25"/>
      <c r="W143" s="25"/>
    </row>
    <row r="144" spans="1:23" s="7" customFormat="1">
      <c r="A144" s="25"/>
      <c r="B144" s="25"/>
      <c r="C144" s="6"/>
      <c r="D144" s="6"/>
      <c r="E144" s="6"/>
      <c r="F144" s="6"/>
      <c r="G144" s="6"/>
      <c r="H144" s="6"/>
      <c r="I144" s="6"/>
      <c r="J144" s="6"/>
      <c r="K144" s="521"/>
      <c r="L144" s="521"/>
      <c r="M144" s="67"/>
      <c r="N144" s="586"/>
      <c r="O144" s="1830"/>
      <c r="W144" s="25"/>
    </row>
    <row r="145" spans="1:23" s="7" customFormat="1">
      <c r="A145" s="25"/>
      <c r="B145" s="25"/>
      <c r="C145" s="6"/>
      <c r="D145" s="6"/>
      <c r="E145" s="6"/>
      <c r="F145" s="6"/>
      <c r="G145" s="6"/>
      <c r="H145" s="6"/>
      <c r="I145" s="6"/>
      <c r="J145" s="6"/>
      <c r="K145" s="521"/>
      <c r="L145" s="521"/>
      <c r="M145" s="67"/>
      <c r="N145" s="586"/>
      <c r="O145" s="1830"/>
      <c r="W145" s="25"/>
    </row>
    <row r="146" spans="1:23" s="7" customFormat="1">
      <c r="A146" s="25"/>
      <c r="B146" s="25"/>
      <c r="C146" s="6"/>
      <c r="D146" s="6"/>
      <c r="E146" s="6"/>
      <c r="F146" s="6"/>
      <c r="G146" s="6"/>
      <c r="H146" s="6"/>
      <c r="I146" s="6"/>
      <c r="J146" s="6"/>
      <c r="K146" s="521"/>
      <c r="L146" s="521"/>
      <c r="M146" s="67"/>
      <c r="N146" s="586"/>
      <c r="O146" s="1830"/>
      <c r="W146" s="25"/>
    </row>
    <row r="147" spans="1:23" s="7" customFormat="1" ht="34" customHeight="1">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c r="A211" s="25"/>
      <c r="B211" s="25"/>
      <c r="C211" s="6"/>
      <c r="D211" s="6"/>
      <c r="E211" s="6"/>
      <c r="F211" s="6"/>
      <c r="G211" s="6"/>
      <c r="H211" s="6"/>
      <c r="I211" s="6"/>
      <c r="J211" s="6"/>
      <c r="K211" s="6"/>
      <c r="L211" s="6"/>
      <c r="M211" s="67"/>
      <c r="N211" s="67"/>
      <c r="O211" s="1830"/>
      <c r="W211" s="25"/>
    </row>
    <row r="212" spans="1:23" s="7" customFormat="1">
      <c r="A212" s="25"/>
      <c r="B212" s="25"/>
      <c r="C212" s="6"/>
      <c r="D212" s="6"/>
      <c r="E212" s="6"/>
      <c r="F212" s="6"/>
      <c r="G212" s="6"/>
      <c r="H212" s="6"/>
      <c r="I212" s="6"/>
      <c r="J212" s="6"/>
      <c r="K212" s="6"/>
      <c r="L212" s="6"/>
      <c r="M212" s="67"/>
      <c r="N212" s="67"/>
      <c r="O212" s="1830"/>
      <c r="W212" s="25"/>
    </row>
    <row r="213" spans="1:23" s="7" customFormat="1">
      <c r="A213" s="25"/>
      <c r="B213" s="25"/>
      <c r="C213" s="6"/>
      <c r="D213" s="6"/>
      <c r="E213" s="6"/>
      <c r="F213" s="6"/>
      <c r="G213" s="6"/>
      <c r="H213" s="6"/>
      <c r="I213" s="6"/>
      <c r="J213" s="6"/>
      <c r="K213" s="6"/>
      <c r="L213" s="6"/>
      <c r="M213" s="67"/>
      <c r="N213" s="67"/>
      <c r="O213" s="1830"/>
      <c r="W213" s="25"/>
    </row>
    <row r="214" spans="1:23" s="7" customFormat="1">
      <c r="A214" s="25"/>
      <c r="B214" s="25"/>
      <c r="C214" s="6"/>
      <c r="D214" s="6"/>
      <c r="E214" s="6"/>
      <c r="F214" s="6"/>
      <c r="G214" s="6"/>
      <c r="H214" s="6"/>
      <c r="I214" s="6"/>
      <c r="J214" s="6"/>
      <c r="K214" s="6"/>
      <c r="L214" s="6"/>
      <c r="M214" s="67"/>
      <c r="N214" s="586"/>
      <c r="O214" s="1830"/>
      <c r="W214" s="25"/>
    </row>
    <row r="215" spans="1:23" s="7" customFormat="1">
      <c r="A215" s="25"/>
      <c r="B215" s="25"/>
      <c r="C215" s="6"/>
      <c r="D215" s="6"/>
      <c r="E215" s="6"/>
      <c r="F215" s="6"/>
      <c r="G215" s="6"/>
      <c r="H215" s="6"/>
      <c r="I215" s="6"/>
      <c r="J215" s="6"/>
      <c r="K215" s="521"/>
      <c r="L215" s="521"/>
      <c r="M215" s="67"/>
      <c r="N215" s="586"/>
      <c r="O215" s="1830"/>
      <c r="W215" s="25"/>
    </row>
    <row r="216" spans="1:23" s="7" customFormat="1" ht="34" customHeight="1">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c r="A235" s="25"/>
      <c r="B235" s="25"/>
      <c r="C235" s="6"/>
      <c r="D235" s="6"/>
      <c r="E235" s="6"/>
      <c r="F235" s="6"/>
      <c r="G235" s="6"/>
      <c r="H235" s="6"/>
      <c r="I235" s="6"/>
      <c r="J235" s="6"/>
      <c r="K235" s="521"/>
      <c r="L235" s="521"/>
      <c r="M235" s="67"/>
      <c r="N235" s="586"/>
      <c r="O235" s="1830"/>
      <c r="W235" s="25"/>
    </row>
    <row r="236" spans="1:23" s="7" customFormat="1">
      <c r="A236" s="25"/>
      <c r="B236" s="25"/>
      <c r="C236" s="6"/>
      <c r="D236" s="6"/>
      <c r="E236" s="6"/>
      <c r="F236" s="6"/>
      <c r="G236" s="6"/>
      <c r="H236" s="6"/>
      <c r="I236" s="6"/>
      <c r="J236" s="6"/>
      <c r="K236" s="521"/>
      <c r="L236" s="521"/>
      <c r="M236" s="67"/>
      <c r="N236" s="586"/>
      <c r="O236" s="1830"/>
      <c r="W236" s="25"/>
    </row>
    <row r="237" spans="1:23" s="7" customFormat="1">
      <c r="A237" s="25"/>
      <c r="B237" s="25"/>
      <c r="C237" s="6"/>
      <c r="D237" s="6"/>
      <c r="E237" s="6"/>
      <c r="F237" s="6"/>
      <c r="G237" s="6"/>
      <c r="H237" s="6"/>
      <c r="I237" s="6"/>
      <c r="J237" s="6"/>
      <c r="K237" s="521"/>
      <c r="L237" s="521"/>
      <c r="M237" s="67"/>
      <c r="N237" s="586"/>
      <c r="O237" s="1830"/>
      <c r="W237" s="25"/>
    </row>
    <row r="238" spans="1:23" s="7" customFormat="1">
      <c r="A238" s="25"/>
      <c r="B238" s="25"/>
      <c r="C238" s="6"/>
      <c r="D238" s="6"/>
      <c r="E238" s="6"/>
      <c r="F238" s="6"/>
      <c r="G238" s="6"/>
      <c r="H238" s="6"/>
      <c r="I238" s="6"/>
      <c r="J238" s="6"/>
      <c r="K238" s="521"/>
      <c r="L238" s="521"/>
      <c r="M238" s="67"/>
      <c r="N238" s="586"/>
      <c r="O238" s="1830"/>
      <c r="W238" s="25"/>
    </row>
    <row r="239" spans="1:23" s="7" customFormat="1">
      <c r="A239" s="25"/>
      <c r="B239" s="25"/>
      <c r="C239" s="6"/>
      <c r="D239" s="6"/>
      <c r="E239" s="6"/>
      <c r="F239" s="6"/>
      <c r="G239" s="6"/>
      <c r="H239" s="6"/>
      <c r="I239" s="6"/>
      <c r="J239" s="6"/>
      <c r="K239" s="521"/>
      <c r="L239" s="521"/>
      <c r="M239" s="67"/>
      <c r="N239" s="586"/>
      <c r="O239" s="1830"/>
      <c r="W239" s="25"/>
    </row>
    <row r="240" spans="1:23" s="7" customFormat="1" ht="17" customHeight="1">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228" workbookViewId="0">
      <selection activeCell="A234" sqref="A234"/>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198</v>
      </c>
      <c r="M1" s="128" t="s">
        <v>199</v>
      </c>
      <c r="N1" s="540"/>
      <c r="O1" s="1516"/>
      <c r="P1" s="128"/>
      <c r="Q1" s="163"/>
      <c r="R1" s="163"/>
      <c r="S1" s="110"/>
      <c r="U1" s="290"/>
    </row>
    <row r="2" spans="4:51" ht="15" customHeight="1">
      <c r="F2" s="942"/>
      <c r="L2" s="2481"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c r="L3" s="2488"/>
      <c r="M3" s="7" t="s">
        <v>203</v>
      </c>
      <c r="N3" s="541"/>
      <c r="O3" s="17" t="s">
        <v>204</v>
      </c>
      <c r="P3" s="17"/>
      <c r="Q3" s="163"/>
      <c r="R3" s="163"/>
      <c r="S3" s="110"/>
      <c r="U3" s="290"/>
      <c r="AX3" s="7" t="s">
        <v>205</v>
      </c>
      <c r="AY3" t="str">
        <f>O9</f>
        <v>Toujours / Souvent / Régulièrement / Occasionnellement / Rarement / Jamais / S.O.</v>
      </c>
    </row>
    <row r="4" spans="4:51" ht="15" customHeight="1">
      <c r="L4" s="2488"/>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c r="L5" s="2488"/>
      <c r="M5" s="7" t="s">
        <v>209</v>
      </c>
      <c r="N5" s="541"/>
      <c r="O5" s="17" t="s">
        <v>210</v>
      </c>
      <c r="P5" s="17"/>
      <c r="Q5" s="163"/>
      <c r="R5" s="163"/>
      <c r="S5" s="110"/>
      <c r="U5" s="290"/>
      <c r="AX5" s="805" t="s">
        <v>211</v>
      </c>
      <c r="AY5" t="str">
        <f>O10</f>
        <v xml:space="preserve">Mauvaise / Faible / Moyenne / Bonne / Très bonne / Excellente / S.O </v>
      </c>
    </row>
    <row r="6" spans="4:51" ht="15" customHeight="1">
      <c r="L6" s="2488"/>
      <c r="M6" s="7" t="s">
        <v>212</v>
      </c>
      <c r="N6" s="541"/>
      <c r="O6" s="17" t="s">
        <v>213</v>
      </c>
      <c r="P6" s="17"/>
      <c r="Q6" s="163"/>
      <c r="R6" s="163"/>
      <c r="S6" s="110"/>
      <c r="U6" s="290"/>
      <c r="AX6" s="805"/>
    </row>
    <row r="7" spans="4:51" ht="15" customHeight="1">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c r="L8" s="835"/>
      <c r="M8" s="7" t="s">
        <v>216</v>
      </c>
      <c r="N8" s="541"/>
      <c r="O8" s="17" t="s">
        <v>217</v>
      </c>
      <c r="P8" s="17"/>
      <c r="Q8" s="163"/>
      <c r="R8" s="163"/>
      <c r="S8" s="110"/>
      <c r="U8" s="290"/>
      <c r="AX8" s="803" t="s">
        <v>218</v>
      </c>
      <c r="AY8" t="s">
        <v>219</v>
      </c>
    </row>
    <row r="9" spans="4:51" ht="15" customHeight="1">
      <c r="L9" s="2488"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c r="L10" s="2488"/>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c r="L11" s="2488"/>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c r="L12" s="2488"/>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c r="L13" s="2488"/>
      <c r="M13" s="7" t="s">
        <v>227</v>
      </c>
      <c r="N13" s="541"/>
      <c r="O13" s="17" t="s">
        <v>228</v>
      </c>
      <c r="P13" s="17"/>
      <c r="Q13" s="163"/>
      <c r="R13" s="163"/>
      <c r="S13" s="110"/>
      <c r="U13" s="290"/>
      <c r="AX13" s="805"/>
    </row>
    <row r="14" spans="4:51" ht="76" customHeight="1">
      <c r="N14" s="17"/>
      <c r="O14" s="272" t="s">
        <v>229</v>
      </c>
      <c r="P14" s="17"/>
      <c r="Q14" s="17"/>
      <c r="R14" s="17"/>
      <c r="S14" s="17"/>
    </row>
    <row r="15" spans="4:51" ht="20" customHeight="1">
      <c r="D15" s="2473"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c r="D16" s="2474"/>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76" t="s">
        <v>232</v>
      </c>
      <c r="B17" s="2468"/>
      <c r="C17" s="2468"/>
      <c r="D17" s="2474"/>
      <c r="E17" s="95"/>
      <c r="F17" s="95"/>
      <c r="G17" s="95"/>
      <c r="H17" s="95" t="s">
        <v>233</v>
      </c>
      <c r="I17" s="95"/>
      <c r="J17" s="32" t="s">
        <v>234</v>
      </c>
      <c r="K17" s="32"/>
      <c r="L17" s="2489" t="s">
        <v>235</v>
      </c>
      <c r="M17" s="2490"/>
      <c r="N17" s="2489" t="s">
        <v>199</v>
      </c>
      <c r="O17" s="2490"/>
      <c r="P17" s="764"/>
      <c r="Q17" s="485" t="s">
        <v>236</v>
      </c>
      <c r="R17" s="485"/>
      <c r="S17" s="2485" t="s">
        <v>237</v>
      </c>
      <c r="T17" s="2486"/>
      <c r="U17" s="2487"/>
      <c r="V17" s="740" t="s">
        <v>87</v>
      </c>
      <c r="W17" s="414"/>
      <c r="X17" s="414"/>
      <c r="AE17" s="2482" t="s">
        <v>238</v>
      </c>
      <c r="AF17" s="2483"/>
      <c r="AG17" s="2483"/>
      <c r="AH17" s="2482" t="s">
        <v>239</v>
      </c>
      <c r="AI17" s="2484"/>
      <c r="AJ17" s="2468"/>
    </row>
    <row r="18" spans="1:36" ht="78" customHeight="1" thickBot="1">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c r="B29" s="1493"/>
      <c r="D29" s="175">
        <v>9</v>
      </c>
      <c r="E29" s="175" t="s">
        <v>302</v>
      </c>
      <c r="F29" s="577" t="s">
        <v>303</v>
      </c>
      <c r="G29" s="577" t="s">
        <v>304</v>
      </c>
      <c r="H29" s="220"/>
      <c r="I29" s="883"/>
      <c r="J29" s="180"/>
      <c r="K29" s="197">
        <v>4</v>
      </c>
      <c r="L29" s="196">
        <v>3</v>
      </c>
      <c r="M29" s="555"/>
      <c r="N29" s="111" t="s">
        <v>216</v>
      </c>
      <c r="O29" s="272" t="s">
        <v>305</v>
      </c>
      <c r="P29" s="305" t="str">
        <f>Test_Bible!P53</f>
        <v>4</v>
      </c>
      <c r="Q29" s="305">
        <f>Test_Bible!Q53</f>
        <v>12</v>
      </c>
      <c r="R29" s="305"/>
      <c r="S29" s="164" t="s">
        <v>269</v>
      </c>
      <c r="T29" s="345" t="s">
        <v>269</v>
      </c>
      <c r="U29" s="346" t="s">
        <v>269</v>
      </c>
      <c r="V29" s="154" t="s">
        <v>101</v>
      </c>
      <c r="W29" s="418"/>
      <c r="X29" s="418"/>
      <c r="AE29" s="500" t="s">
        <v>271</v>
      </c>
      <c r="AF29" s="263" t="s">
        <v>306</v>
      </c>
      <c r="AH29" s="837" t="s">
        <v>307</v>
      </c>
      <c r="AI29" s="834"/>
      <c r="AJ29" s="836"/>
    </row>
    <row r="30" spans="1:36" ht="51" customHeight="1">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c r="B31" s="99" t="s">
        <v>313</v>
      </c>
      <c r="D31" s="175">
        <v>11</v>
      </c>
      <c r="E31" s="118" t="s">
        <v>314</v>
      </c>
      <c r="F31" s="274" t="s">
        <v>315</v>
      </c>
      <c r="G31" s="274" t="s">
        <v>316</v>
      </c>
      <c r="H31" s="97"/>
      <c r="I31" s="884"/>
      <c r="J31" s="99"/>
      <c r="K31" s="199"/>
      <c r="L31" s="539">
        <v>2</v>
      </c>
      <c r="M31" s="557"/>
      <c r="N31" s="111" t="s">
        <v>317</v>
      </c>
      <c r="O31" s="1517" t="s">
        <v>221</v>
      </c>
      <c r="P31" s="305" t="str">
        <f>Test_Bible!P56</f>
        <v>7</v>
      </c>
      <c r="Q31" s="305">
        <f>Test_Bible!Q56</f>
        <v>14</v>
      </c>
      <c r="R31" s="305"/>
      <c r="S31" s="164" t="s">
        <v>269</v>
      </c>
      <c r="T31" s="345" t="s">
        <v>269</v>
      </c>
      <c r="U31" s="346" t="s">
        <v>269</v>
      </c>
      <c r="V31" s="154" t="s">
        <v>101</v>
      </c>
      <c r="W31" s="417"/>
      <c r="X31" s="417"/>
      <c r="AE31" s="983"/>
      <c r="AF31" s="984"/>
      <c r="AG31" s="984"/>
      <c r="AH31" s="837" t="s">
        <v>307</v>
      </c>
      <c r="AI31" s="834"/>
      <c r="AJ31" s="836"/>
    </row>
    <row r="32" spans="1:36" ht="59" customHeight="1">
      <c r="B32" s="99" t="s">
        <v>308</v>
      </c>
      <c r="D32" s="175">
        <v>12</v>
      </c>
      <c r="E32" s="118" t="s">
        <v>318</v>
      </c>
      <c r="F32" s="274" t="s">
        <v>319</v>
      </c>
      <c r="G32" s="274" t="s">
        <v>320</v>
      </c>
      <c r="H32" s="97"/>
      <c r="I32" s="884"/>
      <c r="J32" s="99"/>
      <c r="K32" s="199"/>
      <c r="L32" s="539">
        <v>2</v>
      </c>
      <c r="M32" s="557"/>
      <c r="N32" s="111" t="s">
        <v>317</v>
      </c>
      <c r="O32" s="1517" t="s">
        <v>221</v>
      </c>
      <c r="P32" s="305" t="str">
        <f>Test_Bible!P57</f>
        <v>1</v>
      </c>
      <c r="Q32" s="305">
        <f>Test_Bible!Q57</f>
        <v>2</v>
      </c>
      <c r="R32" s="305"/>
      <c r="S32" s="164" t="s">
        <v>269</v>
      </c>
      <c r="T32" s="345" t="s">
        <v>269</v>
      </c>
      <c r="U32" s="346" t="s">
        <v>269</v>
      </c>
      <c r="V32" s="154" t="s">
        <v>101</v>
      </c>
      <c r="W32" s="418"/>
      <c r="X32" s="418"/>
      <c r="AE32" s="983"/>
      <c r="AF32" s="984"/>
      <c r="AG32" s="984"/>
      <c r="AH32" s="983"/>
      <c r="AI32" s="834"/>
      <c r="AJ32" s="836"/>
    </row>
    <row r="33" spans="2:47" ht="125" customHeight="1" thickBot="1">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c r="D40" s="149">
        <v>0</v>
      </c>
      <c r="E40" s="119" t="s">
        <v>351</v>
      </c>
      <c r="F40" s="833" t="s">
        <v>352</v>
      </c>
      <c r="G40" s="833" t="s">
        <v>353</v>
      </c>
      <c r="H40" s="104"/>
      <c r="I40" s="889"/>
      <c r="J40" s="108" t="s">
        <v>354</v>
      </c>
      <c r="K40" s="1578"/>
      <c r="L40" s="549">
        <v>1</v>
      </c>
      <c r="M40" s="559"/>
      <c r="N40" s="783" t="s">
        <v>355</v>
      </c>
      <c r="O40" s="781" t="s">
        <v>356</v>
      </c>
      <c r="P40" s="306" t="str">
        <f>Test_Bible!P98</f>
        <v>7</v>
      </c>
      <c r="Q40" s="306">
        <f>Test_Bible!Q98</f>
        <v>7</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c r="D41" s="149">
        <v>1</v>
      </c>
      <c r="E41" s="119" t="s">
        <v>358</v>
      </c>
      <c r="F41" s="530" t="s">
        <v>359</v>
      </c>
      <c r="G41" s="530" t="s">
        <v>360</v>
      </c>
      <c r="H41" s="104"/>
      <c r="I41" s="889"/>
      <c r="J41" s="108" t="s">
        <v>354</v>
      </c>
      <c r="K41" s="1578"/>
      <c r="L41" s="549">
        <v>1</v>
      </c>
      <c r="M41" s="559"/>
      <c r="N41" s="112" t="s">
        <v>355</v>
      </c>
      <c r="O41" s="781" t="s">
        <v>356</v>
      </c>
      <c r="P41" s="306" t="str">
        <f>Test_Bible!P99</f>
        <v>6</v>
      </c>
      <c r="Q41" s="306">
        <f>Test_Bible!Q99</f>
        <v>6</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c r="D42" s="149">
        <v>2</v>
      </c>
      <c r="E42" s="119" t="s">
        <v>361</v>
      </c>
      <c r="F42" s="530" t="s">
        <v>362</v>
      </c>
      <c r="G42" s="530" t="s">
        <v>363</v>
      </c>
      <c r="H42" s="104"/>
      <c r="I42" s="889"/>
      <c r="J42" s="108" t="s">
        <v>354</v>
      </c>
      <c r="K42" s="1578">
        <v>6</v>
      </c>
      <c r="L42" s="549">
        <v>1</v>
      </c>
      <c r="M42" s="559"/>
      <c r="N42" s="112" t="s">
        <v>355</v>
      </c>
      <c r="O42" s="781" t="s">
        <v>356</v>
      </c>
      <c r="P42" s="306" t="str">
        <f>Test_Bible!P100</f>
        <v>4</v>
      </c>
      <c r="Q42" s="306">
        <f>Test_Bible!Q100</f>
        <v>4</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0</v>
      </c>
      <c r="Q43" s="306">
        <f>Test_Bible!Q101</f>
        <v>0</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c r="D45" s="149">
        <v>7</v>
      </c>
      <c r="E45" s="119" t="s">
        <v>374</v>
      </c>
      <c r="F45" s="530" t="s">
        <v>375</v>
      </c>
      <c r="G45" s="530" t="s">
        <v>376</v>
      </c>
      <c r="H45" s="104"/>
      <c r="I45" s="889"/>
      <c r="J45" s="108" t="s">
        <v>354</v>
      </c>
      <c r="K45" s="1266">
        <v>2</v>
      </c>
      <c r="L45" s="539">
        <v>2</v>
      </c>
      <c r="M45" s="559"/>
      <c r="N45" s="559" t="s">
        <v>201</v>
      </c>
      <c r="O45" s="1518" t="s">
        <v>202</v>
      </c>
      <c r="P45" s="305" t="str">
        <f>Test_Bible!P104</f>
        <v>2</v>
      </c>
      <c r="Q45" s="305">
        <f>Test_Bible!Q104</f>
        <v>4</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c r="B46" s="99" t="s">
        <v>378</v>
      </c>
      <c r="D46" s="149">
        <v>8</v>
      </c>
      <c r="E46" s="118" t="s">
        <v>379</v>
      </c>
      <c r="F46" s="531" t="s">
        <v>380</v>
      </c>
      <c r="G46" s="531" t="s">
        <v>381</v>
      </c>
      <c r="H46" s="96"/>
      <c r="I46" s="890"/>
      <c r="J46" s="99" t="s">
        <v>382</v>
      </c>
      <c r="K46" s="199"/>
      <c r="L46" s="196">
        <v>3</v>
      </c>
      <c r="M46" s="559"/>
      <c r="N46" s="559" t="s">
        <v>201</v>
      </c>
      <c r="O46" s="1518" t="s">
        <v>202</v>
      </c>
      <c r="P46" s="305" t="str">
        <f>Test_Bible!P105</f>
        <v>4</v>
      </c>
      <c r="Q46" s="305">
        <f>Test_Bible!Q105</f>
        <v>12</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c r="D47" s="149">
        <v>5</v>
      </c>
      <c r="E47" s="119" t="s">
        <v>383</v>
      </c>
      <c r="F47" s="530" t="s">
        <v>384</v>
      </c>
      <c r="G47" s="530" t="s">
        <v>385</v>
      </c>
      <c r="H47" s="104"/>
      <c r="I47" s="889"/>
      <c r="J47" s="1589"/>
      <c r="K47" s="1266">
        <v>4</v>
      </c>
      <c r="L47" s="537">
        <v>1</v>
      </c>
      <c r="M47" s="559"/>
      <c r="N47" s="559" t="s">
        <v>224</v>
      </c>
      <c r="O47" s="1519" t="s">
        <v>226</v>
      </c>
      <c r="P47" s="305" t="str">
        <f>Test_Bible!P106</f>
        <v>4</v>
      </c>
      <c r="Q47" s="305">
        <f>Test_Bible!Q106</f>
        <v>4</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c r="B48" s="99" t="s">
        <v>388</v>
      </c>
      <c r="D48" s="149">
        <v>6</v>
      </c>
      <c r="E48" s="118" t="s">
        <v>389</v>
      </c>
      <c r="F48" s="531" t="s">
        <v>390</v>
      </c>
      <c r="G48" s="531" t="s">
        <v>391</v>
      </c>
      <c r="H48" s="96"/>
      <c r="I48" s="890"/>
      <c r="J48" s="99" t="s">
        <v>382</v>
      </c>
      <c r="K48" s="199"/>
      <c r="L48" s="539">
        <v>3</v>
      </c>
      <c r="M48" s="559"/>
      <c r="N48" s="559" t="s">
        <v>201</v>
      </c>
      <c r="O48" s="1518" t="s">
        <v>202</v>
      </c>
      <c r="P48" s="305" t="str">
        <f>Test_Bible!P107</f>
        <v>7</v>
      </c>
      <c r="Q48" s="305">
        <f>Test_Bible!Q107</f>
        <v>21</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395</v>
      </c>
      <c r="F50" s="331" t="s">
        <v>396</v>
      </c>
      <c r="G50" s="330"/>
      <c r="H50" s="331"/>
      <c r="I50" s="331"/>
      <c r="J50" s="108" t="s">
        <v>354</v>
      </c>
      <c r="K50" s="200">
        <v>6</v>
      </c>
      <c r="L50" s="551">
        <v>1</v>
      </c>
      <c r="M50" s="551"/>
      <c r="N50" s="788" t="s">
        <v>397</v>
      </c>
      <c r="O50" s="781" t="s">
        <v>356</v>
      </c>
      <c r="Q50" s="6">
        <f>Test_Bible!Q110</f>
        <v>5</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t="str">
        <v>2</v>
      </c>
      <c r="BA50" s="82">
        <v>2</v>
      </c>
      <c r="BB50" s="82" t="str">
        <v>Laisse entendre à l'enfant que l'autre parent a abandonné la famille</v>
      </c>
      <c r="BC50" s="82">
        <v>0</v>
      </c>
      <c r="BD50" s="82">
        <v>1</v>
      </c>
      <c r="BE50" s="82">
        <v>0</v>
      </c>
      <c r="BF50" s="82" t="str">
        <v>Altération ou dévoiement de la réalité</v>
      </c>
    </row>
    <row r="51" spans="1:58" ht="78" customHeight="1" thickBot="1">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t="str">
        <v>2</v>
      </c>
      <c r="BA51">
        <v>4</v>
      </c>
      <c r="BB51" t="str">
        <v>Laisse entendre à l'enfant qu'il n'est pas aimé de l'autre parent</v>
      </c>
      <c r="BC51">
        <v>0</v>
      </c>
      <c r="BD51">
        <v>1</v>
      </c>
      <c r="BE51">
        <v>0</v>
      </c>
      <c r="BF51" t="str">
        <v>Altération ou dévoiement de la réalité</v>
      </c>
    </row>
    <row r="52" spans="1:58" ht="65" customHeight="1" thickBot="1">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t="str">
        <v>2</v>
      </c>
      <c r="BA52">
        <v>4</v>
      </c>
      <c r="BB52" t="str">
        <v>Laisse entendre à l'enfant qu'il n'est pas en sécurité avec l'autre parent</v>
      </c>
      <c r="BC52">
        <v>0</v>
      </c>
      <c r="BD52">
        <v>1</v>
      </c>
      <c r="BE52">
        <v>0</v>
      </c>
      <c r="BF52" t="str">
        <v>Altération ou dévoiement de la réalité</v>
      </c>
    </row>
    <row r="53" spans="1:58" ht="60" customHeight="1">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t="str">
        <v>1</v>
      </c>
      <c r="BA54">
        <v>2</v>
      </c>
      <c r="BB54" t="str">
        <v>Modifie certains faits passés</v>
      </c>
      <c r="BC54">
        <v>0</v>
      </c>
      <c r="BD54">
        <v>0.5</v>
      </c>
      <c r="BE54">
        <v>0.5</v>
      </c>
      <c r="BF54" t="str">
        <v>Altération ou dévoiement de la réalité</v>
      </c>
    </row>
    <row r="55" spans="1:58" ht="60" customHeight="1">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426</v>
      </c>
      <c r="F56" s="331" t="s">
        <v>427</v>
      </c>
      <c r="G56" s="482" t="s">
        <v>428</v>
      </c>
      <c r="H56" s="225"/>
      <c r="I56" s="891"/>
      <c r="J56" s="187"/>
      <c r="K56" s="201"/>
      <c r="L56" s="537">
        <v>1</v>
      </c>
      <c r="M56" s="537"/>
      <c r="N56" s="791" t="s">
        <v>317</v>
      </c>
      <c r="O56" s="1517" t="s">
        <v>221</v>
      </c>
      <c r="P56" s="311" t="str">
        <f>Test_Bible!P124</f>
        <v>2</v>
      </c>
      <c r="Q56" s="311">
        <f>Test_Bible!Q124</f>
        <v>2</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t="str">
        <v>4</v>
      </c>
      <c r="BA56">
        <v>8</v>
      </c>
      <c r="BB56" t="str">
        <v>Pense qu'il a été abandonné</v>
      </c>
      <c r="BC56">
        <v>0</v>
      </c>
      <c r="BD56">
        <v>0.5</v>
      </c>
      <c r="BE56">
        <v>0.5</v>
      </c>
      <c r="BF56" t="str">
        <v>Altération ou dévoiement de la réalité</v>
      </c>
    </row>
    <row r="57" spans="1:58" s="7" customFormat="1" ht="104" customHeight="1">
      <c r="D57" s="1605">
        <v>16</v>
      </c>
      <c r="E57" s="772" t="s">
        <v>430</v>
      </c>
      <c r="F57" s="331" t="s">
        <v>431</v>
      </c>
      <c r="G57" s="844" t="s">
        <v>432</v>
      </c>
      <c r="H57" s="226"/>
      <c r="I57" s="892"/>
      <c r="J57" s="188"/>
      <c r="K57" s="202"/>
      <c r="L57" s="537">
        <v>1</v>
      </c>
      <c r="M57" s="537"/>
      <c r="N57" s="788" t="s">
        <v>201</v>
      </c>
      <c r="O57" s="272" t="s">
        <v>202</v>
      </c>
      <c r="P57" s="311" t="str">
        <f>Test_Bible!P125</f>
        <v>7</v>
      </c>
      <c r="Q57" s="311">
        <f>Test_Bible!Q125</f>
        <v>7</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t="str">
        <v>4</v>
      </c>
      <c r="BA57" s="7">
        <v>12</v>
      </c>
      <c r="BB57" s="7" t="str">
        <v>Pense que son parent souffre de maladie mentale</v>
      </c>
      <c r="BC57" s="7">
        <v>0</v>
      </c>
      <c r="BD57" s="7">
        <v>1</v>
      </c>
      <c r="BE57" s="7">
        <v>0</v>
      </c>
      <c r="BF57" s="7" t="str">
        <v>Altération ou dévoiement de la réalité</v>
      </c>
    </row>
    <row r="58" spans="1:58" ht="99" customHeight="1">
      <c r="D58" s="1605">
        <v>17</v>
      </c>
      <c r="E58" s="773" t="s">
        <v>435</v>
      </c>
      <c r="F58" s="331" t="s">
        <v>436</v>
      </c>
      <c r="G58" s="845" t="s">
        <v>437</v>
      </c>
      <c r="H58" s="228"/>
      <c r="I58" s="893"/>
      <c r="J58" s="221"/>
      <c r="K58" s="203">
        <v>2</v>
      </c>
      <c r="L58" s="537">
        <v>1</v>
      </c>
      <c r="M58" s="537"/>
      <c r="N58" s="788" t="s">
        <v>201</v>
      </c>
      <c r="O58" s="272" t="s">
        <v>202</v>
      </c>
      <c r="P58" s="311" t="str">
        <f>Test_Bible!P126</f>
        <v>4</v>
      </c>
      <c r="Q58" s="311">
        <f>Test_Bible!Q126</f>
        <v>4</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t="str">
        <v>1</v>
      </c>
      <c r="BA58">
        <v>3</v>
      </c>
      <c r="BB58" t="str">
        <v>Pense qu'il n'est pas en sécurité</v>
      </c>
      <c r="BC58">
        <v>0</v>
      </c>
      <c r="BD58">
        <v>0.5</v>
      </c>
      <c r="BE58">
        <v>0.5</v>
      </c>
      <c r="BF58" t="str">
        <v>Altération ou dévoiement de la réalité</v>
      </c>
    </row>
    <row r="59" spans="1:58" ht="86" customHeight="1">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t="str">
        <v>4</v>
      </c>
      <c r="BA59">
        <v>8</v>
      </c>
      <c r="BB59" t="str">
        <v>Manque de sécurité chez l'autre</v>
      </c>
      <c r="BC59">
        <v>0.5</v>
      </c>
      <c r="BD59">
        <v>0</v>
      </c>
      <c r="BE59">
        <v>0.5</v>
      </c>
      <c r="BF59" t="str">
        <v>Altération ou dévoiement de la réalité</v>
      </c>
    </row>
    <row r="60" spans="1:58" ht="52" customHeight="1">
      <c r="D60" s="1605">
        <v>19</v>
      </c>
      <c r="E60" s="775" t="s">
        <v>445</v>
      </c>
      <c r="F60" s="331" t="s">
        <v>446</v>
      </c>
      <c r="G60" s="847" t="s">
        <v>447</v>
      </c>
      <c r="H60" s="228"/>
      <c r="I60" s="893"/>
      <c r="J60" s="186"/>
      <c r="K60" s="201"/>
      <c r="L60" s="537">
        <v>1</v>
      </c>
      <c r="M60" s="537"/>
      <c r="N60" s="791" t="s">
        <v>201</v>
      </c>
      <c r="O60" s="1517" t="s">
        <v>202</v>
      </c>
      <c r="P60" s="311" t="str">
        <f>Test_Bible!P134</f>
        <v>4</v>
      </c>
      <c r="Q60" s="311">
        <f>Test_Bible!Q134</f>
        <v>4</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c r="C61" s="769" t="s">
        <v>450</v>
      </c>
      <c r="D61" s="1605">
        <v>11</v>
      </c>
      <c r="E61" s="775" t="s">
        <v>451</v>
      </c>
      <c r="F61" s="331" t="s">
        <v>452</v>
      </c>
      <c r="G61" s="844" t="s">
        <v>453</v>
      </c>
      <c r="H61" s="228"/>
      <c r="I61" s="893"/>
      <c r="J61" s="186" t="s">
        <v>424</v>
      </c>
      <c r="K61" s="203">
        <v>2</v>
      </c>
      <c r="L61" s="537">
        <v>1</v>
      </c>
      <c r="M61" s="544">
        <v>3</v>
      </c>
      <c r="N61" s="791" t="s">
        <v>214</v>
      </c>
      <c r="O61" s="1517" t="s">
        <v>454</v>
      </c>
      <c r="P61" s="311" t="str">
        <f>Test_Bible!P135</f>
        <v>4</v>
      </c>
      <c r="Q61" s="311">
        <f>Test_Bible!Q135</f>
        <v>12</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c r="C62" s="769" t="s">
        <v>457</v>
      </c>
      <c r="D62" s="1605">
        <v>23</v>
      </c>
      <c r="E62" s="776" t="s">
        <v>458</v>
      </c>
      <c r="F62" s="331" t="s">
        <v>459</v>
      </c>
      <c r="G62" s="844" t="s">
        <v>460</v>
      </c>
      <c r="H62" s="594"/>
      <c r="I62" s="895"/>
      <c r="J62" s="595"/>
      <c r="K62" s="205"/>
      <c r="L62" s="545">
        <v>2</v>
      </c>
      <c r="M62" s="544">
        <v>3</v>
      </c>
      <c r="N62" s="791" t="s">
        <v>201</v>
      </c>
      <c r="O62" s="1517" t="s">
        <v>202</v>
      </c>
      <c r="P62" s="311" t="str">
        <f>Test_Bible!P136</f>
        <v>2</v>
      </c>
      <c r="Q62" s="311">
        <f>Test_Bible!Q136</f>
        <v>4</v>
      </c>
      <c r="R62" s="311" t="s">
        <v>461</v>
      </c>
      <c r="S62" s="315">
        <v>1</v>
      </c>
      <c r="T62" s="317">
        <v>0</v>
      </c>
      <c r="U62" s="318">
        <v>0</v>
      </c>
      <c r="V62" s="648" t="s">
        <v>101</v>
      </c>
      <c r="W62" s="423"/>
      <c r="X62" s="423"/>
      <c r="Y62" s="410"/>
      <c r="Z62" s="424"/>
      <c r="AA62" s="1041">
        <v>1</v>
      </c>
    </row>
    <row r="63" spans="1:58" ht="68" customHeight="1">
      <c r="D63" s="1605">
        <v>7</v>
      </c>
      <c r="E63" s="1223" t="s">
        <v>462</v>
      </c>
      <c r="F63" s="1606" t="s">
        <v>463</v>
      </c>
      <c r="G63" s="848" t="s">
        <v>464</v>
      </c>
      <c r="H63" s="205"/>
      <c r="I63" s="895"/>
      <c r="J63" s="595"/>
      <c r="K63" s="205"/>
      <c r="L63" s="537">
        <v>1</v>
      </c>
      <c r="M63" s="537"/>
      <c r="N63" s="791" t="s">
        <v>227</v>
      </c>
      <c r="O63" s="1517" t="s">
        <v>228</v>
      </c>
      <c r="P63" s="311" t="str">
        <f>Test_Bible!P137</f>
        <v>4</v>
      </c>
      <c r="Q63" s="311">
        <f>Test_Bible!Q137</f>
        <v>4</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c r="D64" s="1605">
        <v>8</v>
      </c>
      <c r="E64" s="776" t="s">
        <v>467</v>
      </c>
      <c r="F64" s="1606" t="s">
        <v>468</v>
      </c>
      <c r="G64" s="848" t="s">
        <v>469</v>
      </c>
      <c r="H64" s="596"/>
      <c r="I64" s="896"/>
      <c r="J64" s="597"/>
      <c r="K64" s="205"/>
      <c r="L64" s="537">
        <v>1</v>
      </c>
      <c r="M64" s="537"/>
      <c r="N64" s="791" t="s">
        <v>227</v>
      </c>
      <c r="O64" s="1517" t="s">
        <v>228</v>
      </c>
      <c r="P64" s="311" t="str">
        <f>Test_Bible!P138</f>
        <v>4</v>
      </c>
      <c r="Q64" s="311">
        <f>Test_Bible!Q138</f>
        <v>4</v>
      </c>
      <c r="R64" s="311" t="s">
        <v>470</v>
      </c>
      <c r="S64" s="316">
        <v>0</v>
      </c>
      <c r="T64" s="317">
        <v>1</v>
      </c>
      <c r="U64" s="318">
        <v>0</v>
      </c>
      <c r="V64" s="649" t="s">
        <v>106</v>
      </c>
      <c r="W64" s="423"/>
      <c r="X64" s="423"/>
      <c r="Y64" s="410"/>
      <c r="Z64" s="424"/>
      <c r="AB64" s="1041">
        <v>1</v>
      </c>
      <c r="AE64" s="996"/>
      <c r="AG64" s="986"/>
    </row>
    <row r="65" spans="1:98" ht="90" customHeight="1">
      <c r="D65" s="1605">
        <v>10</v>
      </c>
      <c r="E65" s="776" t="s">
        <v>471</v>
      </c>
      <c r="F65" s="331" t="s">
        <v>472</v>
      </c>
      <c r="G65" s="848" t="s">
        <v>473</v>
      </c>
      <c r="H65" s="228"/>
      <c r="I65" s="893"/>
      <c r="J65" s="186" t="s">
        <v>424</v>
      </c>
      <c r="K65" s="201"/>
      <c r="L65" s="545">
        <v>2</v>
      </c>
      <c r="M65" s="545"/>
      <c r="N65" s="791" t="s">
        <v>317</v>
      </c>
      <c r="O65" s="1517" t="s">
        <v>221</v>
      </c>
      <c r="P65" s="311" t="str">
        <f>Test_Bible!P139</f>
        <v>1</v>
      </c>
      <c r="Q65" s="311">
        <f>Test_Bible!Q139</f>
        <v>2</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c r="D66" s="1605">
        <v>14</v>
      </c>
      <c r="E66" s="775" t="s">
        <v>475</v>
      </c>
      <c r="F66" s="331" t="s">
        <v>476</v>
      </c>
      <c r="G66" s="847" t="s">
        <v>477</v>
      </c>
      <c r="H66" s="230"/>
      <c r="I66" s="897"/>
      <c r="J66" s="188"/>
      <c r="K66" s="202">
        <v>4</v>
      </c>
      <c r="L66" s="545">
        <v>2</v>
      </c>
      <c r="M66" s="545"/>
      <c r="N66" s="791" t="s">
        <v>201</v>
      </c>
      <c r="O66" s="1517" t="s">
        <v>202</v>
      </c>
      <c r="P66" s="311" t="str">
        <f>Test_Bible!P140</f>
        <v>2</v>
      </c>
      <c r="Q66" s="311">
        <f>Test_Bible!Q140</f>
        <v>4</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c r="C68" s="2227" t="s">
        <v>484</v>
      </c>
      <c r="D68" s="1605">
        <v>13</v>
      </c>
      <c r="E68" s="775" t="s">
        <v>485</v>
      </c>
      <c r="F68" s="331" t="s">
        <v>486</v>
      </c>
      <c r="G68" s="504" t="s">
        <v>487</v>
      </c>
      <c r="H68" s="228"/>
      <c r="I68" s="893"/>
      <c r="J68" s="186" t="s">
        <v>424</v>
      </c>
      <c r="K68" s="201"/>
      <c r="L68" s="545">
        <v>2</v>
      </c>
      <c r="M68" s="544">
        <v>3</v>
      </c>
      <c r="N68" s="791" t="s">
        <v>201</v>
      </c>
      <c r="O68" s="1517" t="s">
        <v>202</v>
      </c>
      <c r="P68" s="311" t="str">
        <f>Test_Bible!P149</f>
        <v>4</v>
      </c>
      <c r="Q68" s="311">
        <f>Test_Bible!Q149</f>
        <v>8</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c r="C69" s="769" t="s">
        <v>490</v>
      </c>
      <c r="D69" s="1605">
        <v>20</v>
      </c>
      <c r="E69" s="775" t="s">
        <v>491</v>
      </c>
      <c r="F69" s="331" t="s">
        <v>492</v>
      </c>
      <c r="G69" s="504" t="s">
        <v>493</v>
      </c>
      <c r="H69" s="228"/>
      <c r="I69" s="893"/>
      <c r="J69" s="186" t="s">
        <v>424</v>
      </c>
      <c r="K69" s="201"/>
      <c r="L69" s="545">
        <v>2</v>
      </c>
      <c r="M69" s="544">
        <v>3</v>
      </c>
      <c r="N69" s="791" t="s">
        <v>206</v>
      </c>
      <c r="O69" s="1517" t="s">
        <v>207</v>
      </c>
      <c r="P69" s="311" t="str">
        <f>Test_Bible!P150</f>
        <v>2</v>
      </c>
      <c r="Q69" s="311">
        <f>Test_Bible!Q150</f>
        <v>4</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c r="C70" s="769" t="s">
        <v>495</v>
      </c>
      <c r="D70" s="1605">
        <v>21</v>
      </c>
      <c r="E70" s="775" t="s">
        <v>496</v>
      </c>
      <c r="F70" s="331" t="s">
        <v>497</v>
      </c>
      <c r="G70" s="504" t="s">
        <v>498</v>
      </c>
      <c r="H70" s="228"/>
      <c r="I70" s="893"/>
      <c r="J70" s="186"/>
      <c r="K70" s="201">
        <v>2</v>
      </c>
      <c r="L70" s="545">
        <v>2</v>
      </c>
      <c r="M70" s="544">
        <v>3</v>
      </c>
      <c r="N70" s="791" t="s">
        <v>206</v>
      </c>
      <c r="O70" s="1517" t="s">
        <v>207</v>
      </c>
      <c r="P70" s="311" t="str">
        <f>Test_Bible!P151</f>
        <v>2</v>
      </c>
      <c r="Q70" s="311">
        <f>Test_Bible!Q151</f>
        <v>4</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c r="C72" s="2324" t="s">
        <v>504</v>
      </c>
      <c r="D72" s="1605">
        <v>5</v>
      </c>
      <c r="E72" s="772" t="s">
        <v>505</v>
      </c>
      <c r="F72" s="331" t="s">
        <v>506</v>
      </c>
      <c r="G72" s="482" t="s">
        <v>507</v>
      </c>
      <c r="H72" s="227"/>
      <c r="I72" s="900"/>
      <c r="J72" s="188"/>
      <c r="K72" s="202">
        <v>4</v>
      </c>
      <c r="L72" s="546">
        <v>1</v>
      </c>
      <c r="M72" s="546">
        <v>0</v>
      </c>
      <c r="N72" s="791" t="s">
        <v>227</v>
      </c>
      <c r="O72" s="1517" t="s">
        <v>228</v>
      </c>
      <c r="P72" s="311" t="str">
        <f>Test_Bible!P154</f>
        <v>1</v>
      </c>
      <c r="Q72" s="311">
        <f>Test_Bible!Q154</f>
        <v>1</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c r="B73" s="99" t="s">
        <v>509</v>
      </c>
      <c r="D73" s="1605">
        <v>6</v>
      </c>
      <c r="E73" s="778" t="s">
        <v>510</v>
      </c>
      <c r="F73" s="274" t="s">
        <v>511</v>
      </c>
      <c r="G73" s="503" t="s">
        <v>512</v>
      </c>
      <c r="H73" s="347"/>
      <c r="I73" s="901"/>
      <c r="J73" s="348"/>
      <c r="K73" s="349"/>
      <c r="L73" s="545">
        <v>2</v>
      </c>
      <c r="M73" s="545"/>
      <c r="N73" s="791" t="s">
        <v>201</v>
      </c>
      <c r="O73" s="1517" t="s">
        <v>202</v>
      </c>
      <c r="P73" s="350">
        <f>Test_Bible!P155</f>
        <v>0</v>
      </c>
      <c r="Q73" s="350">
        <f>Test_Bible!Q155</f>
        <v>0</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c r="A74" s="694" t="s">
        <v>514</v>
      </c>
      <c r="B74" s="1659"/>
      <c r="D74" s="1605">
        <v>24</v>
      </c>
      <c r="E74" s="779" t="s">
        <v>515</v>
      </c>
      <c r="F74" s="331" t="s">
        <v>516</v>
      </c>
      <c r="G74" s="330" t="s">
        <v>517</v>
      </c>
      <c r="H74" s="528"/>
      <c r="I74" s="528"/>
      <c r="J74" s="529"/>
      <c r="K74" s="529"/>
      <c r="L74" s="1273">
        <v>1</v>
      </c>
      <c r="M74" s="1572"/>
      <c r="N74" s="1625" t="s">
        <v>201</v>
      </c>
      <c r="O74" s="1517" t="s">
        <v>202</v>
      </c>
      <c r="P74" s="350" t="str">
        <f>Test_Bible!P156</f>
        <v>1</v>
      </c>
      <c r="Q74" s="350">
        <f>Test_Bible!Q156</f>
        <v>1</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81" t="s">
        <v>519</v>
      </c>
    </row>
    <row r="75" spans="1:98" s="7" customFormat="1" ht="35" customHeight="1" thickBot="1">
      <c r="A75" s="694" t="s">
        <v>514</v>
      </c>
      <c r="B75" s="1659"/>
      <c r="D75" s="1605">
        <v>25</v>
      </c>
      <c r="E75" s="779" t="s">
        <v>520</v>
      </c>
      <c r="F75" s="331" t="s">
        <v>521</v>
      </c>
      <c r="G75" s="330" t="s">
        <v>522</v>
      </c>
      <c r="H75" s="528"/>
      <c r="I75" s="528"/>
      <c r="J75" s="529"/>
      <c r="K75" s="529"/>
      <c r="L75" s="1273">
        <v>1</v>
      </c>
      <c r="M75" s="1572"/>
      <c r="N75" s="1626" t="s">
        <v>201</v>
      </c>
      <c r="O75" s="1517" t="s">
        <v>202</v>
      </c>
      <c r="P75" s="350" t="str">
        <f>Test_Bible!P157</f>
        <v>2</v>
      </c>
      <c r="Q75" s="350">
        <f>Test_Bible!Q157</f>
        <v>2</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80"/>
    </row>
    <row r="76" spans="1:98" s="107" customFormat="1" ht="37" customHeight="1">
      <c r="A76" s="7"/>
      <c r="B76" s="7"/>
      <c r="C76" s="7"/>
      <c r="D76" s="943"/>
      <c r="E76" s="944"/>
      <c r="F76" s="945"/>
      <c r="G76" s="946"/>
      <c r="H76" s="947"/>
      <c r="I76" s="947"/>
      <c r="J76" s="948"/>
      <c r="K76" s="948"/>
      <c r="L76" s="948"/>
      <c r="M76" s="948"/>
      <c r="N76" s="949"/>
      <c r="O76" s="1507"/>
      <c r="P76" s="949"/>
      <c r="Q76" s="950">
        <f>SUM(Q51:Q75)</f>
        <v>67</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420</v>
      </c>
      <c r="D80" s="354">
        <v>4</v>
      </c>
      <c r="E80" s="117" t="s">
        <v>524</v>
      </c>
      <c r="F80" s="532" t="s">
        <v>525</v>
      </c>
      <c r="G80" s="532" t="s">
        <v>526</v>
      </c>
      <c r="H80" s="532"/>
      <c r="I80" s="532"/>
      <c r="J80" s="532"/>
      <c r="K80" s="209"/>
      <c r="L80" s="789">
        <v>1</v>
      </c>
      <c r="M80" s="1627"/>
      <c r="N80" s="1628" t="s">
        <v>317</v>
      </c>
      <c r="O80" s="1517" t="s">
        <v>221</v>
      </c>
      <c r="P80" s="1562">
        <f>Test_Bible!P163</f>
        <v>0</v>
      </c>
      <c r="Q80" s="1562">
        <f>Test_Bible!Q163</f>
        <v>0</v>
      </c>
      <c r="R80" s="322" t="s">
        <v>425</v>
      </c>
      <c r="S80" s="315">
        <v>1</v>
      </c>
      <c r="T80" s="339">
        <v>0</v>
      </c>
      <c r="U80" s="342">
        <v>0</v>
      </c>
      <c r="V80" s="646" t="s">
        <v>256</v>
      </c>
      <c r="W80" s="419"/>
      <c r="X80" s="423"/>
      <c r="Y80" s="43">
        <v>1</v>
      </c>
      <c r="Z80" s="425"/>
      <c r="AE80" s="500"/>
      <c r="AH80" s="500"/>
      <c r="AJ80" s="500"/>
    </row>
    <row r="81" spans="1:36" s="7" customFormat="1" ht="52" customHeight="1">
      <c r="D81" s="354">
        <v>7</v>
      </c>
      <c r="E81" s="117" t="s">
        <v>527</v>
      </c>
      <c r="F81" s="532" t="s">
        <v>528</v>
      </c>
      <c r="G81" s="532" t="s">
        <v>529</v>
      </c>
      <c r="H81" s="355"/>
      <c r="I81" s="902"/>
      <c r="J81" s="356" t="s">
        <v>354</v>
      </c>
      <c r="K81" s="357"/>
      <c r="L81" s="566">
        <v>1</v>
      </c>
      <c r="M81" s="1627"/>
      <c r="N81" s="1629" t="s">
        <v>355</v>
      </c>
      <c r="O81" s="781" t="s">
        <v>356</v>
      </c>
      <c r="P81" s="358" t="str">
        <f>Test_Bible!P165</f>
        <v>5</v>
      </c>
      <c r="Q81" s="358">
        <f>Test_Bible!Q165</f>
        <v>5</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c r="D82" s="354">
        <v>8</v>
      </c>
      <c r="E82" s="117" t="s">
        <v>530</v>
      </c>
      <c r="F82" s="532" t="s">
        <v>531</v>
      </c>
      <c r="G82" s="532" t="s">
        <v>532</v>
      </c>
      <c r="H82" s="234"/>
      <c r="I82" s="903"/>
      <c r="J82" s="356" t="s">
        <v>354</v>
      </c>
      <c r="K82" s="200">
        <v>6</v>
      </c>
      <c r="L82" s="567">
        <v>1</v>
      </c>
      <c r="M82" s="1630"/>
      <c r="N82" s="1631" t="s">
        <v>355</v>
      </c>
      <c r="O82" s="781" t="s">
        <v>356</v>
      </c>
      <c r="P82" s="306" t="str">
        <f>Test_Bible!P166</f>
        <v>8</v>
      </c>
      <c r="Q82" s="306">
        <f>Test_Bible!Q166</f>
        <v>8</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c r="C84" s="769" t="s">
        <v>457</v>
      </c>
      <c r="D84" s="354">
        <v>52</v>
      </c>
      <c r="E84" s="181" t="s">
        <v>540</v>
      </c>
      <c r="F84" s="532" t="s">
        <v>541</v>
      </c>
      <c r="G84" s="532" t="s">
        <v>542</v>
      </c>
      <c r="H84" s="234"/>
      <c r="I84" s="903"/>
      <c r="J84" s="190"/>
      <c r="K84" s="209"/>
      <c r="L84" s="568">
        <v>2</v>
      </c>
      <c r="M84" s="1633">
        <v>3</v>
      </c>
      <c r="N84" s="791" t="s">
        <v>201</v>
      </c>
      <c r="O84" s="272" t="s">
        <v>202</v>
      </c>
      <c r="P84" s="307" t="str">
        <f>Test_Bible!P170</f>
        <v>4</v>
      </c>
      <c r="Q84" s="307">
        <f>Test_Bible!Q170</f>
        <v>8</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c r="D85" s="354">
        <v>56</v>
      </c>
      <c r="E85" s="181" t="s">
        <v>546</v>
      </c>
      <c r="F85" s="532" t="s">
        <v>547</v>
      </c>
      <c r="G85" s="532" t="s">
        <v>548</v>
      </c>
      <c r="H85" s="234"/>
      <c r="I85" s="903"/>
      <c r="J85" s="190"/>
      <c r="K85" s="209">
        <v>4</v>
      </c>
      <c r="L85" s="569">
        <v>1</v>
      </c>
      <c r="M85" s="1634"/>
      <c r="N85" s="791" t="s">
        <v>209</v>
      </c>
      <c r="O85" s="272" t="s">
        <v>549</v>
      </c>
      <c r="P85" s="307" t="str">
        <f>Test_Bible!P171</f>
        <v>2</v>
      </c>
      <c r="Q85" s="307">
        <f>Test_Bible!Q171</f>
        <v>2</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c r="B86" s="99" t="s">
        <v>552</v>
      </c>
      <c r="D86" s="354">
        <v>57</v>
      </c>
      <c r="E86" s="118" t="s">
        <v>553</v>
      </c>
      <c r="F86" s="274" t="s">
        <v>554</v>
      </c>
      <c r="G86" s="274" t="s">
        <v>555</v>
      </c>
      <c r="H86" s="229"/>
      <c r="I86" s="229"/>
      <c r="J86" s="229"/>
      <c r="K86" s="229"/>
      <c r="L86" s="568">
        <v>2</v>
      </c>
      <c r="M86" s="1635"/>
      <c r="N86" s="791" t="s">
        <v>209</v>
      </c>
      <c r="O86" s="272" t="s">
        <v>549</v>
      </c>
      <c r="P86" s="307" t="str">
        <f>Test_Bible!P173</f>
        <v>2</v>
      </c>
      <c r="Q86" s="307">
        <f>Test_Bible!Q173</f>
        <v>4</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c r="D87" s="354">
        <v>58</v>
      </c>
      <c r="E87" s="181" t="s">
        <v>557</v>
      </c>
      <c r="F87" s="532" t="s">
        <v>558</v>
      </c>
      <c r="G87" s="532" t="s">
        <v>559</v>
      </c>
      <c r="H87" s="234"/>
      <c r="I87" s="903"/>
      <c r="J87" s="190"/>
      <c r="K87" s="209">
        <v>4</v>
      </c>
      <c r="L87" s="568">
        <v>2</v>
      </c>
      <c r="M87" s="1635"/>
      <c r="N87" s="791" t="s">
        <v>209</v>
      </c>
      <c r="O87" s="272" t="s">
        <v>549</v>
      </c>
      <c r="P87" s="307" t="str">
        <f>Test_Bible!P173</f>
        <v>2</v>
      </c>
      <c r="Q87" s="307">
        <f>Test_Bible!Q173</f>
        <v>4</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c r="B88" s="99" t="s">
        <v>562</v>
      </c>
      <c r="D88" s="354">
        <v>59</v>
      </c>
      <c r="E88" s="120" t="s">
        <v>563</v>
      </c>
      <c r="F88" s="274" t="s">
        <v>564</v>
      </c>
      <c r="G88" s="274" t="s">
        <v>565</v>
      </c>
      <c r="H88" s="229"/>
      <c r="I88" s="904"/>
      <c r="J88" s="189" t="s">
        <v>382</v>
      </c>
      <c r="K88" s="208"/>
      <c r="L88" s="568">
        <v>2</v>
      </c>
      <c r="M88" s="1635"/>
      <c r="N88" s="791" t="s">
        <v>209</v>
      </c>
      <c r="O88" s="272" t="s">
        <v>549</v>
      </c>
      <c r="P88" s="307">
        <f>Test_Bible!P174</f>
        <v>0</v>
      </c>
      <c r="Q88" s="307">
        <f>Test_Bible!Q174</f>
        <v>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c r="D89" s="354">
        <v>60</v>
      </c>
      <c r="E89" s="181" t="s">
        <v>568</v>
      </c>
      <c r="F89" s="532" t="s">
        <v>569</v>
      </c>
      <c r="G89" s="532" t="s">
        <v>570</v>
      </c>
      <c r="H89" s="234"/>
      <c r="I89" s="903"/>
      <c r="J89" s="191"/>
      <c r="K89" s="210">
        <v>4</v>
      </c>
      <c r="L89" s="570">
        <v>2</v>
      </c>
      <c r="M89" s="1636"/>
      <c r="N89" s="791" t="s">
        <v>209</v>
      </c>
      <c r="O89" s="272" t="s">
        <v>549</v>
      </c>
      <c r="P89" s="307" t="str">
        <f>Test_Bible!P175</f>
        <v>1</v>
      </c>
      <c r="Q89" s="307">
        <f>Test_Bible!Q175</f>
        <v>2</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c r="B90" s="99" t="s">
        <v>573</v>
      </c>
      <c r="D90" s="354">
        <v>61</v>
      </c>
      <c r="E90" s="120" t="s">
        <v>574</v>
      </c>
      <c r="F90" s="274" t="s">
        <v>575</v>
      </c>
      <c r="G90" s="274" t="s">
        <v>576</v>
      </c>
      <c r="H90" s="229"/>
      <c r="I90" s="904"/>
      <c r="J90" s="189" t="s">
        <v>382</v>
      </c>
      <c r="K90" s="208"/>
      <c r="L90" s="571">
        <v>3</v>
      </c>
      <c r="M90" s="561"/>
      <c r="N90" s="791" t="s">
        <v>209</v>
      </c>
      <c r="O90" s="1517" t="s">
        <v>549</v>
      </c>
      <c r="P90" s="307">
        <f>Test_Bible!P176</f>
        <v>0</v>
      </c>
      <c r="Q90" s="307">
        <f>Test_Bible!Q176</f>
        <v>0</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c r="D91" s="354">
        <v>34</v>
      </c>
      <c r="E91" s="181" t="s">
        <v>578</v>
      </c>
      <c r="F91" s="532" t="s">
        <v>579</v>
      </c>
      <c r="G91" s="532" t="s">
        <v>580</v>
      </c>
      <c r="H91" s="234"/>
      <c r="I91" s="903"/>
      <c r="J91" s="151"/>
      <c r="K91" s="211">
        <v>2</v>
      </c>
      <c r="L91" s="572">
        <v>1</v>
      </c>
      <c r="M91" s="537"/>
      <c r="N91" s="791" t="s">
        <v>209</v>
      </c>
      <c r="O91" s="1517" t="s">
        <v>549</v>
      </c>
      <c r="P91" s="307" t="str">
        <f>Test_Bible!P177</f>
        <v>7</v>
      </c>
      <c r="Q91" s="307">
        <f>Test_Bible!Q177</f>
        <v>7</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c r="B92" s="99" t="s">
        <v>583</v>
      </c>
      <c r="D92" s="354">
        <v>35</v>
      </c>
      <c r="E92" s="120" t="s">
        <v>584</v>
      </c>
      <c r="F92" s="274" t="s">
        <v>585</v>
      </c>
      <c r="G92" s="274" t="s">
        <v>586</v>
      </c>
      <c r="H92" s="229"/>
      <c r="I92" s="904"/>
      <c r="J92" s="189" t="s">
        <v>382</v>
      </c>
      <c r="K92" s="208">
        <v>2</v>
      </c>
      <c r="L92" s="568">
        <v>2</v>
      </c>
      <c r="M92" s="560"/>
      <c r="N92" s="791" t="s">
        <v>209</v>
      </c>
      <c r="O92" s="1517" t="s">
        <v>210</v>
      </c>
      <c r="P92" s="307" t="str">
        <f>Test_Bible!P178</f>
        <v>7</v>
      </c>
      <c r="Q92" s="307">
        <f>Test_Bible!Q178</f>
        <v>14</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c r="B93" s="99" t="s">
        <v>588</v>
      </c>
      <c r="D93" s="354">
        <v>36</v>
      </c>
      <c r="E93" s="120" t="s">
        <v>589</v>
      </c>
      <c r="F93" s="274" t="s">
        <v>590</v>
      </c>
      <c r="G93" s="274" t="s">
        <v>591</v>
      </c>
      <c r="H93" s="229"/>
      <c r="I93" s="904"/>
      <c r="J93" s="189" t="s">
        <v>592</v>
      </c>
      <c r="K93" s="208"/>
      <c r="L93" s="571">
        <v>3</v>
      </c>
      <c r="M93" s="561"/>
      <c r="N93" s="791" t="s">
        <v>209</v>
      </c>
      <c r="O93" s="1517" t="s">
        <v>210</v>
      </c>
      <c r="P93" s="307" t="str">
        <f>Test_Bible!P179</f>
        <v>7</v>
      </c>
      <c r="Q93" s="307">
        <f>Test_Bible!Q179</f>
        <v>21</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c r="D94" s="354">
        <v>27</v>
      </c>
      <c r="E94" s="181" t="s">
        <v>594</v>
      </c>
      <c r="F94" s="532" t="s">
        <v>595</v>
      </c>
      <c r="G94" s="532" t="s">
        <v>596</v>
      </c>
      <c r="H94" s="234"/>
      <c r="I94" s="903"/>
      <c r="J94" s="190"/>
      <c r="K94" s="209">
        <v>4</v>
      </c>
      <c r="L94" s="569">
        <v>1</v>
      </c>
      <c r="M94" s="546"/>
      <c r="N94" s="791" t="s">
        <v>201</v>
      </c>
      <c r="O94" s="1517" t="s">
        <v>202</v>
      </c>
      <c r="P94" s="307" t="str">
        <f>Test_Bible!P180</f>
        <v>4</v>
      </c>
      <c r="Q94" s="307">
        <f>Test_Bible!Q180</f>
        <v>4</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t="str">
        <f>Test_Bible!P181</f>
        <v>2</v>
      </c>
      <c r="Q95" s="307">
        <f>Test_Bible!Q181</f>
        <v>6</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606</v>
      </c>
      <c r="F96" s="532" t="s">
        <v>607</v>
      </c>
      <c r="G96" s="532" t="s">
        <v>608</v>
      </c>
      <c r="H96" s="236"/>
      <c r="I96" s="906"/>
      <c r="J96" s="190"/>
      <c r="K96" s="209"/>
      <c r="L96" s="569">
        <v>1</v>
      </c>
      <c r="M96" s="546"/>
      <c r="N96" s="791" t="s">
        <v>317</v>
      </c>
      <c r="O96" s="1517" t="s">
        <v>221</v>
      </c>
      <c r="P96" s="307" t="str">
        <f>Test_Bible!P182</f>
        <v>4</v>
      </c>
      <c r="Q96" s="307">
        <f>Test_Bible!Q182</f>
        <v>4</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c r="C97" s="769" t="s">
        <v>490</v>
      </c>
      <c r="D97" s="354">
        <v>43</v>
      </c>
      <c r="E97" s="181" t="s">
        <v>609</v>
      </c>
      <c r="F97" s="532" t="s">
        <v>610</v>
      </c>
      <c r="G97" s="532" t="s">
        <v>611</v>
      </c>
      <c r="H97" s="234"/>
      <c r="I97" s="903"/>
      <c r="J97" s="190" t="s">
        <v>612</v>
      </c>
      <c r="K97" s="209">
        <v>4</v>
      </c>
      <c r="L97" s="545">
        <v>2</v>
      </c>
      <c r="M97" s="544">
        <v>3</v>
      </c>
      <c r="N97" s="791" t="s">
        <v>209</v>
      </c>
      <c r="O97" s="1517" t="s">
        <v>210</v>
      </c>
      <c r="P97" s="308" t="str">
        <f>Test_Bible!P198</f>
        <v>2</v>
      </c>
      <c r="Q97" s="308">
        <f>Test_Bible!Q198</f>
        <v>6</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t="str">
        <f>Test_Bible!P199</f>
        <v>2</v>
      </c>
      <c r="Q98" s="308">
        <f>Test_Bible!Q199</f>
        <v>4</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c r="C99" s="769" t="s">
        <v>619</v>
      </c>
      <c r="D99" s="354">
        <v>26</v>
      </c>
      <c r="E99" s="181" t="s">
        <v>620</v>
      </c>
      <c r="F99" s="532" t="s">
        <v>621</v>
      </c>
      <c r="G99" s="532" t="s">
        <v>622</v>
      </c>
      <c r="H99" s="236"/>
      <c r="I99" s="906"/>
      <c r="J99" s="190"/>
      <c r="K99" s="209"/>
      <c r="L99" s="569">
        <v>1</v>
      </c>
      <c r="M99" s="545">
        <v>2</v>
      </c>
      <c r="N99" s="791" t="s">
        <v>209</v>
      </c>
      <c r="O99" s="1517" t="s">
        <v>623</v>
      </c>
      <c r="P99" s="307" t="str">
        <f>Test_Bible!P185</f>
        <v>4</v>
      </c>
      <c r="Q99" s="307">
        <f>Test_Bible!Q185</f>
        <v>8</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c r="D100" s="354">
        <v>37</v>
      </c>
      <c r="E100" s="181" t="s">
        <v>626</v>
      </c>
      <c r="F100" s="532" t="s">
        <v>627</v>
      </c>
      <c r="G100" s="532" t="s">
        <v>628</v>
      </c>
      <c r="H100" s="236"/>
      <c r="I100" s="906"/>
      <c r="J100" s="192" t="s">
        <v>629</v>
      </c>
      <c r="K100" s="209">
        <v>4</v>
      </c>
      <c r="L100" s="569">
        <v>1</v>
      </c>
      <c r="M100" s="546"/>
      <c r="N100" s="791" t="s">
        <v>201</v>
      </c>
      <c r="O100" s="1517" t="s">
        <v>202</v>
      </c>
      <c r="P100" s="307" t="str">
        <f>Test_Bible!P186</f>
        <v>10</v>
      </c>
      <c r="Q100" s="307">
        <f>Test_Bible!Q186</f>
        <v>10</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c r="B101" s="99" t="s">
        <v>631</v>
      </c>
      <c r="D101" s="354">
        <v>38</v>
      </c>
      <c r="E101" s="120" t="s">
        <v>632</v>
      </c>
      <c r="F101" s="531" t="s">
        <v>633</v>
      </c>
      <c r="G101" s="531" t="s">
        <v>634</v>
      </c>
      <c r="H101" s="235"/>
      <c r="I101" s="905"/>
      <c r="J101" s="189" t="s">
        <v>382</v>
      </c>
      <c r="K101" s="208"/>
      <c r="L101" s="574">
        <v>3</v>
      </c>
      <c r="M101" s="544"/>
      <c r="N101" s="791" t="s">
        <v>201</v>
      </c>
      <c r="O101" s="1517" t="s">
        <v>202</v>
      </c>
      <c r="P101" s="307" t="str">
        <f>Test_Bible!P187</f>
        <v>7</v>
      </c>
      <c r="Q101" s="307">
        <f>Test_Bible!Q187</f>
        <v>21</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c r="B103" s="99" t="s">
        <v>631</v>
      </c>
      <c r="D103" s="354">
        <v>40</v>
      </c>
      <c r="E103" s="120" t="s">
        <v>639</v>
      </c>
      <c r="F103" s="531" t="s">
        <v>640</v>
      </c>
      <c r="G103" s="531" t="s">
        <v>641</v>
      </c>
      <c r="H103" s="235"/>
      <c r="I103" s="905"/>
      <c r="J103" s="189" t="s">
        <v>382</v>
      </c>
      <c r="K103" s="208"/>
      <c r="L103" s="573">
        <v>2</v>
      </c>
      <c r="M103" s="545"/>
      <c r="N103" s="791" t="s">
        <v>201</v>
      </c>
      <c r="O103" s="1517" t="s">
        <v>202</v>
      </c>
      <c r="P103" s="307" t="str">
        <f>Test_Bible!P189</f>
        <v>1</v>
      </c>
      <c r="Q103" s="307">
        <f>Test_Bible!Q189</f>
        <v>2</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c r="A104" s="694" t="s">
        <v>514</v>
      </c>
      <c r="D104" s="354">
        <v>66</v>
      </c>
      <c r="E104" s="117" t="s">
        <v>643</v>
      </c>
      <c r="F104" s="532" t="s">
        <v>644</v>
      </c>
      <c r="G104" s="532" t="s">
        <v>645</v>
      </c>
      <c r="H104" s="236"/>
      <c r="I104" s="906"/>
      <c r="J104" s="190"/>
      <c r="K104" s="209"/>
      <c r="L104" s="569">
        <v>1</v>
      </c>
      <c r="M104" s="546"/>
      <c r="N104" s="791" t="s">
        <v>201</v>
      </c>
      <c r="O104" s="1517" t="s">
        <v>202</v>
      </c>
      <c r="P104" s="307" t="str">
        <f>Test_Bible!P190</f>
        <v>2</v>
      </c>
      <c r="Q104" s="307">
        <f>Test_Bible!Q190</f>
        <v>2</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t="str">
        <f>Test_Bible!P191</f>
        <v>1</v>
      </c>
      <c r="Q105" s="307">
        <f>Test_Bible!Q191</f>
        <v>2</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659</v>
      </c>
      <c r="F107" s="532" t="s">
        <v>660</v>
      </c>
      <c r="G107" s="532" t="s">
        <v>661</v>
      </c>
      <c r="H107" s="234"/>
      <c r="I107" s="903"/>
      <c r="J107" s="190" t="s">
        <v>662</v>
      </c>
      <c r="K107" s="209">
        <v>2</v>
      </c>
      <c r="L107" s="545">
        <v>2</v>
      </c>
      <c r="M107" s="545"/>
      <c r="N107" s="791" t="s">
        <v>201</v>
      </c>
      <c r="O107" s="1517" t="s">
        <v>202</v>
      </c>
      <c r="P107" s="307" t="str">
        <f>Test_Bible!P193</f>
        <v>7</v>
      </c>
      <c r="Q107" s="307">
        <f>Test_Bible!Q193</f>
        <v>14</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c r="B108" s="99" t="s">
        <v>664</v>
      </c>
      <c r="D108" s="354">
        <v>19</v>
      </c>
      <c r="E108" s="120" t="s">
        <v>665</v>
      </c>
      <c r="F108" s="274" t="s">
        <v>666</v>
      </c>
      <c r="G108" s="274" t="s">
        <v>667</v>
      </c>
      <c r="H108" s="238"/>
      <c r="I108" s="908"/>
      <c r="J108" s="189" t="s">
        <v>382</v>
      </c>
      <c r="K108" s="208"/>
      <c r="L108" s="545">
        <v>2</v>
      </c>
      <c r="M108" s="545"/>
      <c r="N108" s="791" t="s">
        <v>201</v>
      </c>
      <c r="O108" s="1517" t="s">
        <v>202</v>
      </c>
      <c r="P108" s="307" t="str">
        <f>Test_Bible!P194</f>
        <v>2</v>
      </c>
      <c r="Q108" s="307">
        <f>Test_Bible!Q194</f>
        <v>4</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c r="B109" s="99" t="s">
        <v>664</v>
      </c>
      <c r="D109" s="354">
        <v>20</v>
      </c>
      <c r="E109" s="120" t="s">
        <v>669</v>
      </c>
      <c r="F109" s="274" t="s">
        <v>670</v>
      </c>
      <c r="G109" s="274" t="s">
        <v>671</v>
      </c>
      <c r="H109" s="239"/>
      <c r="I109" s="909"/>
      <c r="J109" s="189" t="s">
        <v>382</v>
      </c>
      <c r="K109" s="208">
        <v>4</v>
      </c>
      <c r="L109" s="545">
        <v>2</v>
      </c>
      <c r="M109" s="545"/>
      <c r="N109" s="791" t="s">
        <v>201</v>
      </c>
      <c r="O109" s="1517" t="s">
        <v>202</v>
      </c>
      <c r="P109" s="307" t="str">
        <f>Test_Bible!P195</f>
        <v>4</v>
      </c>
      <c r="Q109" s="307">
        <f>Test_Bible!Q195</f>
        <v>8</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c r="B110" s="99" t="s">
        <v>673</v>
      </c>
      <c r="D110" s="354">
        <v>21</v>
      </c>
      <c r="E110" s="120" t="s">
        <v>674</v>
      </c>
      <c r="F110" s="274" t="s">
        <v>675</v>
      </c>
      <c r="G110" s="274" t="s">
        <v>676</v>
      </c>
      <c r="H110" s="238"/>
      <c r="I110" s="908"/>
      <c r="J110" s="189" t="s">
        <v>592</v>
      </c>
      <c r="K110" s="208"/>
      <c r="L110" s="544">
        <v>3</v>
      </c>
      <c r="M110" s="544"/>
      <c r="N110" s="791" t="s">
        <v>201</v>
      </c>
      <c r="O110" s="1517" t="s">
        <v>202</v>
      </c>
      <c r="P110" s="307" t="str">
        <f>Test_Bible!P196</f>
        <v>2</v>
      </c>
      <c r="Q110" s="307">
        <f>Test_Bible!Q196</f>
        <v>6</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678</v>
      </c>
      <c r="F111" s="532" t="s">
        <v>679</v>
      </c>
      <c r="G111" s="532" t="s">
        <v>680</v>
      </c>
      <c r="H111" s="234"/>
      <c r="I111" s="903"/>
      <c r="J111" s="190"/>
      <c r="K111" s="209"/>
      <c r="L111" s="537">
        <v>1</v>
      </c>
      <c r="M111" s="537"/>
      <c r="N111" s="791" t="s">
        <v>201</v>
      </c>
      <c r="O111" s="1517" t="s">
        <v>202</v>
      </c>
      <c r="P111" s="307" t="str">
        <f>Test_Bible!P197</f>
        <v>1</v>
      </c>
      <c r="Q111" s="307">
        <f>Test_Bible!Q197</f>
        <v>1</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c r="C112" s="769" t="s">
        <v>682</v>
      </c>
      <c r="D112" s="354">
        <v>17</v>
      </c>
      <c r="E112" s="181" t="s">
        <v>683</v>
      </c>
      <c r="F112" s="532" t="s">
        <v>684</v>
      </c>
      <c r="G112" s="532" t="s">
        <v>685</v>
      </c>
      <c r="H112" s="234"/>
      <c r="I112" s="903"/>
      <c r="J112" s="190"/>
      <c r="K112" s="209">
        <v>4</v>
      </c>
      <c r="L112" s="537">
        <v>1</v>
      </c>
      <c r="M112" s="850">
        <v>3</v>
      </c>
      <c r="N112" s="791" t="s">
        <v>214</v>
      </c>
      <c r="O112" s="1517" t="s">
        <v>215</v>
      </c>
      <c r="P112" s="307" t="str">
        <f>Test_Bible!P198</f>
        <v>2</v>
      </c>
      <c r="Q112" s="307">
        <f>Test_Bible!Q198</f>
        <v>6</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687</v>
      </c>
      <c r="F113" s="532" t="s">
        <v>688</v>
      </c>
      <c r="G113" s="696" t="s">
        <v>689</v>
      </c>
      <c r="H113" s="234"/>
      <c r="I113" s="903"/>
      <c r="J113" s="190"/>
      <c r="K113" s="1607">
        <v>7</v>
      </c>
      <c r="L113" s="545">
        <v>2</v>
      </c>
      <c r="M113" s="545"/>
      <c r="N113" s="791" t="s">
        <v>317</v>
      </c>
      <c r="O113" s="1517" t="s">
        <v>221</v>
      </c>
      <c r="P113" s="307" t="str">
        <f>Test_Bible!P199</f>
        <v>2</v>
      </c>
      <c r="Q113" s="307">
        <f>Test_Bible!Q199</f>
        <v>4</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0</v>
      </c>
      <c r="Q114" s="307">
        <f>Test_Bible!Q200</f>
        <v>0</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696</v>
      </c>
      <c r="F115" s="532" t="s">
        <v>697</v>
      </c>
      <c r="G115" s="696" t="s">
        <v>698</v>
      </c>
      <c r="H115" s="234"/>
      <c r="I115" s="903"/>
      <c r="J115" s="190" t="s">
        <v>612</v>
      </c>
      <c r="K115" s="209">
        <v>4</v>
      </c>
      <c r="L115" s="537">
        <v>1</v>
      </c>
      <c r="M115" s="537"/>
      <c r="N115" s="791" t="s">
        <v>317</v>
      </c>
      <c r="O115" s="1517" t="s">
        <v>221</v>
      </c>
      <c r="P115" s="307" t="str">
        <f>Test_Bible!P201</f>
        <v>2</v>
      </c>
      <c r="Q115" s="307">
        <f>Test_Bible!Q201</f>
        <v>2</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0</v>
      </c>
      <c r="Q116" s="307">
        <f>Test_Bible!Q202</f>
        <v>0</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0</v>
      </c>
      <c r="Q117" s="307">
        <f>Test_Bible!Q203</f>
        <v>0</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c r="D119" s="354">
        <v>3</v>
      </c>
      <c r="E119" s="181" t="s">
        <v>716</v>
      </c>
      <c r="F119" s="1571" t="s">
        <v>717</v>
      </c>
      <c r="G119" s="696" t="s">
        <v>718</v>
      </c>
      <c r="H119" s="903"/>
      <c r="I119" s="903"/>
      <c r="J119" s="1570"/>
      <c r="K119" s="209"/>
      <c r="L119" s="537">
        <v>1</v>
      </c>
      <c r="M119" s="537"/>
      <c r="N119" s="791" t="s">
        <v>227</v>
      </c>
      <c r="O119" s="1517" t="s">
        <v>228</v>
      </c>
      <c r="P119" s="305" t="str">
        <f>Test_Bible!P205</f>
        <v>4</v>
      </c>
      <c r="Q119" s="305">
        <f>Test_Bible!Q205</f>
        <v>4</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c r="D120" s="354">
        <v>33</v>
      </c>
      <c r="E120" s="181" t="s">
        <v>722</v>
      </c>
      <c r="F120" s="1571" t="s">
        <v>723</v>
      </c>
      <c r="G120" s="696" t="s">
        <v>724</v>
      </c>
      <c r="H120" s="903"/>
      <c r="I120" s="903"/>
      <c r="J120" s="1570" t="s">
        <v>382</v>
      </c>
      <c r="K120" s="209"/>
      <c r="L120" s="545">
        <v>2</v>
      </c>
      <c r="M120" s="545"/>
      <c r="N120" s="791" t="s">
        <v>209</v>
      </c>
      <c r="O120" s="1517" t="s">
        <v>549</v>
      </c>
      <c r="P120" s="305" t="str">
        <f>Test_Bible!P206</f>
        <v>2</v>
      </c>
      <c r="Q120" s="305">
        <f>Test_Bible!Q206</f>
        <v>4</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c r="D121" s="354">
        <v>5</v>
      </c>
      <c r="E121" s="181" t="s">
        <v>727</v>
      </c>
      <c r="F121" s="532" t="s">
        <v>728</v>
      </c>
      <c r="G121" s="696" t="s">
        <v>729</v>
      </c>
      <c r="H121" s="234"/>
      <c r="I121" s="903"/>
      <c r="J121" s="151"/>
      <c r="K121" s="211"/>
      <c r="L121" s="537">
        <v>1</v>
      </c>
      <c r="M121" s="537"/>
      <c r="N121" s="791" t="s">
        <v>227</v>
      </c>
      <c r="O121" s="1517" t="s">
        <v>228</v>
      </c>
      <c r="P121" s="305" t="str">
        <f>Test_Bible!P207</f>
        <v>4</v>
      </c>
      <c r="Q121" s="305">
        <f>Test_Bible!Q207</f>
        <v>4</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c r="D122" s="354">
        <v>10</v>
      </c>
      <c r="E122" s="181" t="s">
        <v>731</v>
      </c>
      <c r="F122" s="532" t="s">
        <v>732</v>
      </c>
      <c r="G122" s="696" t="s">
        <v>733</v>
      </c>
      <c r="H122" s="234"/>
      <c r="I122" s="903"/>
      <c r="J122" s="151"/>
      <c r="K122" s="211">
        <v>4</v>
      </c>
      <c r="L122" s="537">
        <v>1</v>
      </c>
      <c r="M122" s="537"/>
      <c r="N122" s="791" t="s">
        <v>209</v>
      </c>
      <c r="O122" s="1517" t="s">
        <v>549</v>
      </c>
      <c r="P122" s="305" t="str">
        <f>Test_Bible!P208</f>
        <v>2</v>
      </c>
      <c r="Q122" s="305">
        <f>Test_Bible!Q208</f>
        <v>2</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c r="B123" s="99" t="s">
        <v>735</v>
      </c>
      <c r="D123" s="354">
        <v>11</v>
      </c>
      <c r="E123" s="120" t="s">
        <v>736</v>
      </c>
      <c r="F123" s="274" t="s">
        <v>737</v>
      </c>
      <c r="G123" s="692"/>
      <c r="H123" s="229"/>
      <c r="I123" s="904"/>
      <c r="J123" s="99"/>
      <c r="K123" s="199"/>
      <c r="L123" s="545">
        <v>2</v>
      </c>
      <c r="M123" s="537"/>
      <c r="N123" s="791" t="s">
        <v>201</v>
      </c>
      <c r="O123" s="1517" t="s">
        <v>202</v>
      </c>
      <c r="P123" s="305">
        <f>Test_Bible!P209</f>
        <v>0</v>
      </c>
      <c r="Q123" s="305">
        <f>Test_Bible!Q209</f>
        <v>0</v>
      </c>
      <c r="R123" s="305" t="s">
        <v>738</v>
      </c>
      <c r="S123" s="316">
        <v>0.5</v>
      </c>
      <c r="T123" s="317">
        <v>0.5</v>
      </c>
      <c r="U123" s="318"/>
      <c r="V123" s="688" t="s">
        <v>106</v>
      </c>
      <c r="W123" s="8"/>
      <c r="X123" s="423"/>
      <c r="Z123" s="425"/>
      <c r="AB123" s="1041"/>
      <c r="AE123" s="500"/>
      <c r="AH123" s="500"/>
      <c r="AI123" s="834"/>
      <c r="AJ123" s="836"/>
    </row>
    <row r="124" spans="1:36" ht="86" customHeight="1">
      <c r="C124" s="769" t="s">
        <v>739</v>
      </c>
      <c r="D124" s="354">
        <v>55</v>
      </c>
      <c r="E124" s="181" t="s">
        <v>740</v>
      </c>
      <c r="F124" s="532" t="s">
        <v>741</v>
      </c>
      <c r="G124" s="696" t="s">
        <v>742</v>
      </c>
      <c r="H124" s="234"/>
      <c r="I124" s="903"/>
      <c r="J124" s="151"/>
      <c r="K124" s="211">
        <v>4</v>
      </c>
      <c r="L124" s="545">
        <v>2</v>
      </c>
      <c r="M124" s="544">
        <v>3</v>
      </c>
      <c r="N124" s="791" t="s">
        <v>209</v>
      </c>
      <c r="O124" s="1517" t="s">
        <v>549</v>
      </c>
      <c r="P124" s="305" t="str">
        <f>Test_Bible!P210</f>
        <v>1</v>
      </c>
      <c r="Q124" s="305">
        <f>Test_Bible!Q210</f>
        <v>3</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t="str">
        <f>Test_Bible!P211</f>
        <v>7</v>
      </c>
      <c r="Q125" s="305">
        <f>Test_Bible!Q211</f>
        <v>7</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c r="A127" s="694" t="s">
        <v>648</v>
      </c>
      <c r="D127" s="354">
        <v>65</v>
      </c>
      <c r="E127" s="181" t="s">
        <v>756</v>
      </c>
      <c r="F127" s="532" t="s">
        <v>757</v>
      </c>
      <c r="G127" s="383" t="s">
        <v>758</v>
      </c>
      <c r="H127" s="234"/>
      <c r="I127" s="903"/>
      <c r="J127" s="190"/>
      <c r="K127" s="209">
        <v>4</v>
      </c>
      <c r="L127" s="545">
        <v>2</v>
      </c>
      <c r="M127" s="545"/>
      <c r="N127" s="791" t="s">
        <v>209</v>
      </c>
      <c r="O127" s="1517" t="s">
        <v>549</v>
      </c>
      <c r="P127" s="308" t="str">
        <f>Test_Bible!P216</f>
        <v>2</v>
      </c>
      <c r="Q127" s="308">
        <f>Test_Bible!Q216</f>
        <v>4</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c r="A128" s="694" t="s">
        <v>760</v>
      </c>
      <c r="D128" s="354">
        <v>62</v>
      </c>
      <c r="E128" s="181" t="s">
        <v>761</v>
      </c>
      <c r="F128" s="532" t="s">
        <v>762</v>
      </c>
      <c r="G128" s="383" t="s">
        <v>763</v>
      </c>
      <c r="H128" s="234"/>
      <c r="I128" s="903"/>
      <c r="J128" s="190"/>
      <c r="K128" s="209"/>
      <c r="L128" s="545">
        <v>2</v>
      </c>
      <c r="M128" s="545"/>
      <c r="N128" s="791" t="s">
        <v>209</v>
      </c>
      <c r="O128" s="1517" t="s">
        <v>549</v>
      </c>
      <c r="P128" s="308" t="str">
        <f>Test_Bible!P217</f>
        <v>4</v>
      </c>
      <c r="Q128" s="308">
        <f>Test_Bible!Q217</f>
        <v>8</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765</v>
      </c>
      <c r="F129" s="532" t="s">
        <v>766</v>
      </c>
      <c r="G129" s="383" t="s">
        <v>767</v>
      </c>
      <c r="H129" s="234"/>
      <c r="I129" s="903"/>
      <c r="J129" s="190"/>
      <c r="K129" s="209">
        <v>4</v>
      </c>
      <c r="L129" s="545">
        <v>2</v>
      </c>
      <c r="M129" s="545"/>
      <c r="N129" s="791" t="s">
        <v>317</v>
      </c>
      <c r="O129" s="1517" t="s">
        <v>221</v>
      </c>
      <c r="P129" s="308" t="str">
        <f>Test_Bible!P218</f>
        <v>2</v>
      </c>
      <c r="Q129" s="308">
        <f>Test_Bible!Q218</f>
        <v>4</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0</v>
      </c>
      <c r="Q130" s="308">
        <f>Test_Bible!Q219</f>
        <v>0</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c r="A131" s="694" t="s">
        <v>760</v>
      </c>
      <c r="D131" s="354">
        <v>45</v>
      </c>
      <c r="E131" s="182" t="s">
        <v>774</v>
      </c>
      <c r="F131" s="532" t="s">
        <v>775</v>
      </c>
      <c r="G131" s="507" t="s">
        <v>776</v>
      </c>
      <c r="H131" s="240"/>
      <c r="I131" s="911"/>
      <c r="J131" s="190"/>
      <c r="K131" s="209"/>
      <c r="L131" s="544">
        <v>3</v>
      </c>
      <c r="M131" s="544"/>
      <c r="N131" s="791" t="s">
        <v>209</v>
      </c>
      <c r="O131" s="1517" t="s">
        <v>549</v>
      </c>
      <c r="P131" s="308" t="str">
        <f>Test_Bible!P220</f>
        <v>1</v>
      </c>
      <c r="Q131" s="308">
        <f>Test_Bible!Q220</f>
        <v>3</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c r="D132" s="354">
        <v>23</v>
      </c>
      <c r="E132" s="182" t="s">
        <v>778</v>
      </c>
      <c r="F132" s="532" t="s">
        <v>779</v>
      </c>
      <c r="G132" s="507" t="s">
        <v>776</v>
      </c>
      <c r="H132" s="240"/>
      <c r="I132" s="911"/>
      <c r="J132" s="190"/>
      <c r="K132" s="209">
        <v>2</v>
      </c>
      <c r="L132" s="545">
        <v>2</v>
      </c>
      <c r="M132" s="545"/>
      <c r="N132" s="791" t="s">
        <v>201</v>
      </c>
      <c r="O132" s="1517" t="s">
        <v>202</v>
      </c>
      <c r="P132" s="1564">
        <f>Test_Bible!P222</f>
        <v>3</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c r="A135" s="174" t="s">
        <v>791</v>
      </c>
      <c r="D135" s="354">
        <v>47</v>
      </c>
      <c r="E135" s="182" t="s">
        <v>792</v>
      </c>
      <c r="F135" s="696" t="s">
        <v>793</v>
      </c>
      <c r="G135" s="856" t="s">
        <v>794</v>
      </c>
      <c r="H135" s="234"/>
      <c r="I135" s="903"/>
      <c r="J135" s="190"/>
      <c r="K135" s="212">
        <v>4</v>
      </c>
      <c r="L135" s="544">
        <v>3</v>
      </c>
      <c r="M135" s="544"/>
      <c r="N135" s="788" t="s">
        <v>209</v>
      </c>
      <c r="O135" s="1517" t="s">
        <v>549</v>
      </c>
      <c r="P135" s="1567" t="str">
        <f>Test_Bible!P234</f>
        <v>4</v>
      </c>
      <c r="Q135" s="305">
        <f>Test_Bible!Q234</f>
        <v>12</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c r="B136" s="99" t="s">
        <v>796</v>
      </c>
      <c r="D136" s="354">
        <v>48</v>
      </c>
      <c r="E136" s="118" t="s">
        <v>797</v>
      </c>
      <c r="F136" s="692" t="s">
        <v>798</v>
      </c>
      <c r="G136" s="692" t="s">
        <v>799</v>
      </c>
      <c r="H136" s="229"/>
      <c r="I136" s="904"/>
      <c r="J136" s="99" t="s">
        <v>382</v>
      </c>
      <c r="K136" s="199">
        <v>4</v>
      </c>
      <c r="L136" s="544">
        <v>3</v>
      </c>
      <c r="M136" s="544"/>
      <c r="N136" s="788" t="s">
        <v>209</v>
      </c>
      <c r="O136" s="1517" t="s">
        <v>549</v>
      </c>
      <c r="P136" s="305" t="str">
        <f>Test_Bible!P235</f>
        <v>4</v>
      </c>
      <c r="Q136" s="305">
        <f>Test_Bible!Q235</f>
        <v>12</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t="str">
        <f>Test_Bible!P243</f>
        <v>4</v>
      </c>
      <c r="Q139" s="308">
        <f>Test_Bible!Q243</f>
        <v>4</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c r="B140" s="99" t="s">
        <v>816</v>
      </c>
      <c r="D140" s="354">
        <v>1</v>
      </c>
      <c r="E140" s="120" t="s">
        <v>817</v>
      </c>
      <c r="F140" s="692" t="s">
        <v>818</v>
      </c>
      <c r="G140" s="692" t="s">
        <v>819</v>
      </c>
      <c r="H140" s="229"/>
      <c r="I140" s="904"/>
      <c r="J140" s="189" t="s">
        <v>382</v>
      </c>
      <c r="K140" s="208">
        <v>4</v>
      </c>
      <c r="L140" s="545">
        <v>2</v>
      </c>
      <c r="M140" s="545"/>
      <c r="N140" s="788" t="s">
        <v>209</v>
      </c>
      <c r="O140" s="1517" t="s">
        <v>549</v>
      </c>
      <c r="P140" s="308" t="str">
        <f>Test_Bible!P244</f>
        <v>2</v>
      </c>
      <c r="Q140" s="308">
        <f>Test_Bible!Q244</f>
        <v>4</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0</v>
      </c>
      <c r="Q141" s="308">
        <f>Test_Bible!Q245</f>
        <v>0</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c r="C142" s="2227" t="s">
        <v>495</v>
      </c>
      <c r="D142" s="354">
        <v>42</v>
      </c>
      <c r="E142" s="181" t="s">
        <v>826</v>
      </c>
      <c r="F142" s="696" t="s">
        <v>827</v>
      </c>
      <c r="G142" s="696" t="s">
        <v>828</v>
      </c>
      <c r="H142" s="234"/>
      <c r="I142" s="903"/>
      <c r="J142" s="190"/>
      <c r="K142" s="209"/>
      <c r="L142" s="545">
        <v>2</v>
      </c>
      <c r="M142" s="544">
        <v>3</v>
      </c>
      <c r="N142" s="788" t="s">
        <v>209</v>
      </c>
      <c r="O142" s="1517" t="s">
        <v>549</v>
      </c>
      <c r="P142" s="308" t="str">
        <f>Test_Bible!P246</f>
        <v>4</v>
      </c>
      <c r="Q142" s="308">
        <f>Test_Bible!Q246</f>
        <v>8</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c r="A143" s="694" t="s">
        <v>514</v>
      </c>
      <c r="D143" s="354">
        <v>67</v>
      </c>
      <c r="E143" s="181" t="s">
        <v>830</v>
      </c>
      <c r="F143" s="696" t="s">
        <v>831</v>
      </c>
      <c r="G143" s="696" t="s">
        <v>832</v>
      </c>
      <c r="H143" s="234"/>
      <c r="I143" s="914"/>
      <c r="J143" s="412"/>
      <c r="K143" s="209"/>
      <c r="L143" s="545">
        <v>2</v>
      </c>
      <c r="M143" s="545"/>
      <c r="N143" s="788" t="s">
        <v>209</v>
      </c>
      <c r="O143" s="1517" t="s">
        <v>549</v>
      </c>
      <c r="P143" s="308" t="str">
        <f>Test_Bible!P247</f>
        <v>7</v>
      </c>
      <c r="Q143" s="308">
        <f>Test_Bible!Q247</f>
        <v>14</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c r="C144" s="769" t="s">
        <v>484</v>
      </c>
      <c r="D144" s="354">
        <v>41</v>
      </c>
      <c r="E144" s="181" t="s">
        <v>834</v>
      </c>
      <c r="F144" s="696" t="s">
        <v>835</v>
      </c>
      <c r="G144" s="696" t="s">
        <v>836</v>
      </c>
      <c r="H144" s="234"/>
      <c r="I144" s="903"/>
      <c r="J144" s="190"/>
      <c r="K144" s="209">
        <v>2</v>
      </c>
      <c r="L144" s="545">
        <v>2</v>
      </c>
      <c r="M144" s="544">
        <v>3</v>
      </c>
      <c r="N144" s="788" t="s">
        <v>201</v>
      </c>
      <c r="O144" s="272" t="s">
        <v>202</v>
      </c>
      <c r="P144" s="308" t="str">
        <f>Test_Bible!P248</f>
        <v>2</v>
      </c>
      <c r="Q144" s="308">
        <f>Test_Bible!Q248</f>
        <v>6</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c r="A145" s="694" t="s">
        <v>760</v>
      </c>
      <c r="D145" s="354">
        <v>46</v>
      </c>
      <c r="E145" s="181" t="s">
        <v>837</v>
      </c>
      <c r="F145" s="696" t="s">
        <v>838</v>
      </c>
      <c r="G145" s="696" t="s">
        <v>839</v>
      </c>
      <c r="H145" s="234"/>
      <c r="I145" s="914"/>
      <c r="J145" s="412"/>
      <c r="K145" s="209"/>
      <c r="L145" s="544">
        <v>3</v>
      </c>
      <c r="M145" s="544"/>
      <c r="N145" s="788" t="s">
        <v>201</v>
      </c>
      <c r="O145" s="272" t="s">
        <v>202</v>
      </c>
      <c r="P145" s="308" t="str">
        <f>Test_Bible!P249</f>
        <v>2</v>
      </c>
      <c r="Q145" s="308">
        <f>Test_Bible!Q249</f>
        <v>6</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c r="A146" s="694" t="s">
        <v>760</v>
      </c>
      <c r="D146" s="354">
        <v>51</v>
      </c>
      <c r="E146" s="181" t="s">
        <v>841</v>
      </c>
      <c r="F146" s="696" t="s">
        <v>842</v>
      </c>
      <c r="G146" s="696" t="s">
        <v>843</v>
      </c>
      <c r="H146" s="236"/>
      <c r="I146" s="906"/>
      <c r="J146" s="190"/>
      <c r="K146" s="209"/>
      <c r="L146" s="571">
        <v>3</v>
      </c>
      <c r="M146" s="561"/>
      <c r="N146" s="788" t="s">
        <v>209</v>
      </c>
      <c r="O146" s="1517" t="s">
        <v>549</v>
      </c>
      <c r="P146" s="307" t="str">
        <f>Test_Bible!P234</f>
        <v>4</v>
      </c>
      <c r="Q146" s="308">
        <f>Test_Bible!Q234</f>
        <v>12</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310</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853</v>
      </c>
      <c r="F151" s="77" t="s">
        <v>854</v>
      </c>
      <c r="G151" s="878" t="s">
        <v>855</v>
      </c>
      <c r="H151" s="243"/>
      <c r="I151" s="918"/>
      <c r="J151" s="108" t="s">
        <v>354</v>
      </c>
      <c r="K151" s="200"/>
      <c r="L151" s="551">
        <v>1</v>
      </c>
      <c r="M151" s="551"/>
      <c r="N151" s="788" t="s">
        <v>397</v>
      </c>
      <c r="O151" s="781" t="s">
        <v>356</v>
      </c>
      <c r="P151" s="309" t="str">
        <f>Test_Bible!P263</f>
        <v>3</v>
      </c>
      <c r="Q151" s="309">
        <f>Test_Bible!Q263</f>
        <v>3</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c r="D152" s="1262">
        <v>1</v>
      </c>
      <c r="E152" s="286" t="s">
        <v>856</v>
      </c>
      <c r="F152" s="77" t="s">
        <v>857</v>
      </c>
      <c r="G152" s="879" t="s">
        <v>858</v>
      </c>
      <c r="H152" s="244"/>
      <c r="I152" s="919"/>
      <c r="J152" s="108" t="s">
        <v>354</v>
      </c>
      <c r="K152" s="200">
        <v>6</v>
      </c>
      <c r="L152" s="551">
        <v>1</v>
      </c>
      <c r="M152" s="551"/>
      <c r="N152" s="788" t="s">
        <v>397</v>
      </c>
      <c r="O152" s="781" t="s">
        <v>356</v>
      </c>
      <c r="P152" s="309" t="str">
        <f>Test_Bible!P264</f>
        <v>9</v>
      </c>
      <c r="Q152" s="309">
        <f>Test_Bible!Q264</f>
        <v>9</v>
      </c>
      <c r="R152" s="309"/>
      <c r="S152" s="315" t="s">
        <v>269</v>
      </c>
      <c r="T152" s="339" t="s">
        <v>269</v>
      </c>
      <c r="U152" s="342" t="s">
        <v>269</v>
      </c>
      <c r="V152" s="655" t="s">
        <v>254</v>
      </c>
      <c r="W152" s="8"/>
      <c r="X152" s="423"/>
      <c r="Z152" s="425"/>
      <c r="AE152" s="500" t="s">
        <v>271</v>
      </c>
      <c r="AH152" s="983"/>
      <c r="AI152" s="834"/>
      <c r="AJ152" s="836"/>
    </row>
    <row r="153" spans="1:98" ht="58" customHeight="1">
      <c r="B153" s="99" t="s">
        <v>859</v>
      </c>
      <c r="D153" s="1262">
        <v>2</v>
      </c>
      <c r="E153" s="167" t="s">
        <v>860</v>
      </c>
      <c r="F153" s="274" t="s">
        <v>861</v>
      </c>
      <c r="G153" s="880" t="s">
        <v>862</v>
      </c>
      <c r="H153" s="241"/>
      <c r="I153" s="920"/>
      <c r="J153" s="108" t="s">
        <v>354</v>
      </c>
      <c r="K153" s="215"/>
      <c r="L153" s="551">
        <v>1</v>
      </c>
      <c r="M153" s="551"/>
      <c r="N153" s="788" t="s">
        <v>397</v>
      </c>
      <c r="O153" s="781" t="s">
        <v>356</v>
      </c>
      <c r="P153" s="309" t="str">
        <f>Test_Bible!P265</f>
        <v>5</v>
      </c>
      <c r="Q153" s="309">
        <f>Test_Bible!Q265</f>
        <v>5</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c r="C154" s="769" t="s">
        <v>864</v>
      </c>
      <c r="D154" s="1262">
        <v>20</v>
      </c>
      <c r="E154" s="166" t="s">
        <v>865</v>
      </c>
      <c r="F154" s="77" t="s">
        <v>866</v>
      </c>
      <c r="G154" s="878" t="s">
        <v>867</v>
      </c>
      <c r="H154" s="245"/>
      <c r="I154" s="921"/>
      <c r="J154" s="123"/>
      <c r="K154" s="213">
        <v>4</v>
      </c>
      <c r="L154" s="537">
        <v>1</v>
      </c>
      <c r="M154" s="565">
        <v>2</v>
      </c>
      <c r="N154" s="788" t="s">
        <v>201</v>
      </c>
      <c r="O154" s="272" t="s">
        <v>202</v>
      </c>
      <c r="P154" s="310" t="str">
        <f>Test_Bible!P267</f>
        <v>2</v>
      </c>
      <c r="Q154" s="310">
        <f>Test_Bible!Q267</f>
        <v>2</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t="str">
        <f>Test_Bible!P269</f>
        <v>4</v>
      </c>
      <c r="Q156" s="310">
        <f>Test_Bible!Q269</f>
        <v>8</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c r="B157" s="99" t="s">
        <v>880</v>
      </c>
      <c r="D157" s="1262">
        <v>53</v>
      </c>
      <c r="E157" s="167" t="s">
        <v>881</v>
      </c>
      <c r="F157" s="274" t="s">
        <v>882</v>
      </c>
      <c r="G157" s="880" t="s">
        <v>883</v>
      </c>
      <c r="H157" s="241"/>
      <c r="I157" s="920"/>
      <c r="J157" s="124"/>
      <c r="K157" s="214">
        <v>4</v>
      </c>
      <c r="L157" s="544">
        <v>3</v>
      </c>
      <c r="M157" s="544"/>
      <c r="N157" s="788" t="s">
        <v>201</v>
      </c>
      <c r="O157" s="272" t="s">
        <v>202</v>
      </c>
      <c r="P157" s="310" t="str">
        <f>Test_Bible!P270</f>
        <v>7</v>
      </c>
      <c r="Q157" s="310">
        <f>Test_Bible!Q270</f>
        <v>21</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c r="B158" s="99" t="s">
        <v>885</v>
      </c>
      <c r="D158" s="1262">
        <v>54</v>
      </c>
      <c r="E158" s="168" t="s">
        <v>886</v>
      </c>
      <c r="F158" s="692" t="s">
        <v>887</v>
      </c>
      <c r="G158" s="691" t="s">
        <v>888</v>
      </c>
      <c r="H158" s="249"/>
      <c r="I158" s="924"/>
      <c r="J158" s="146"/>
      <c r="K158" s="171"/>
      <c r="L158" s="544">
        <v>3</v>
      </c>
      <c r="M158" s="544"/>
      <c r="N158" s="788" t="s">
        <v>201</v>
      </c>
      <c r="O158" s="272" t="s">
        <v>202</v>
      </c>
      <c r="P158" s="310" t="str">
        <f>Test_Bible!P271</f>
        <v>7</v>
      </c>
      <c r="Q158" s="310">
        <f>Test_Bible!Q271</f>
        <v>21</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c r="D159" s="1262">
        <v>29</v>
      </c>
      <c r="E159" s="166" t="s">
        <v>890</v>
      </c>
      <c r="F159" s="77" t="s">
        <v>891</v>
      </c>
      <c r="G159" s="878" t="s">
        <v>892</v>
      </c>
      <c r="H159" s="247"/>
      <c r="I159" s="923"/>
      <c r="J159" s="123"/>
      <c r="K159" s="213">
        <v>4</v>
      </c>
      <c r="L159" s="545">
        <v>2</v>
      </c>
      <c r="M159" s="545"/>
      <c r="N159" s="788" t="s">
        <v>201</v>
      </c>
      <c r="O159" s="272" t="s">
        <v>202</v>
      </c>
      <c r="P159" s="310" t="str">
        <f>Test_Bible!P272</f>
        <v>7</v>
      </c>
      <c r="Q159" s="310">
        <f>Test_Bible!Q272</f>
        <v>14</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c r="C161" s="769" t="s">
        <v>901</v>
      </c>
      <c r="D161" s="1262">
        <v>31</v>
      </c>
      <c r="E161" s="166" t="s">
        <v>902</v>
      </c>
      <c r="F161" s="77" t="s">
        <v>903</v>
      </c>
      <c r="G161" s="878" t="s">
        <v>904</v>
      </c>
      <c r="H161" s="247"/>
      <c r="I161" s="923"/>
      <c r="J161" s="123"/>
      <c r="K161" s="213">
        <v>4</v>
      </c>
      <c r="L161" s="537">
        <v>1</v>
      </c>
      <c r="M161" s="565">
        <v>2</v>
      </c>
      <c r="N161" s="788" t="s">
        <v>201</v>
      </c>
      <c r="O161" s="272" t="s">
        <v>202</v>
      </c>
      <c r="P161" s="310" t="str">
        <f>Test_Bible!P278</f>
        <v>4</v>
      </c>
      <c r="Q161" s="310">
        <f>Test_Bible!Q278</f>
        <v>8</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t="str">
        <f>Test_Bible!P279</f>
        <v>4</v>
      </c>
      <c r="Q162" s="310">
        <f>Test_Bible!Q279</f>
        <v>12</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c r="B163" s="99" t="s">
        <v>914</v>
      </c>
      <c r="D163" s="1262">
        <v>33</v>
      </c>
      <c r="E163" s="167" t="s">
        <v>915</v>
      </c>
      <c r="F163" s="274" t="s">
        <v>916</v>
      </c>
      <c r="G163" s="880" t="s">
        <v>917</v>
      </c>
      <c r="H163" s="241"/>
      <c r="I163" s="920"/>
      <c r="J163" s="124" t="s">
        <v>592</v>
      </c>
      <c r="K163" s="214"/>
      <c r="L163" s="544">
        <v>3</v>
      </c>
      <c r="M163" s="544"/>
      <c r="N163" s="788" t="s">
        <v>201</v>
      </c>
      <c r="O163" s="272" t="s">
        <v>202</v>
      </c>
      <c r="P163" s="310" t="str">
        <f>Test_Bible!P280</f>
        <v>1</v>
      </c>
      <c r="Q163" s="310">
        <f>Test_Bible!Q280</f>
        <v>3</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c r="D164" s="1262">
        <v>14</v>
      </c>
      <c r="E164" s="166" t="s">
        <v>920</v>
      </c>
      <c r="F164" s="77" t="s">
        <v>921</v>
      </c>
      <c r="G164" s="878" t="s">
        <v>922</v>
      </c>
      <c r="H164" s="247"/>
      <c r="I164" s="923"/>
      <c r="J164" s="125" t="s">
        <v>424</v>
      </c>
      <c r="K164" s="216"/>
      <c r="L164" s="537">
        <v>1</v>
      </c>
      <c r="M164" s="537"/>
      <c r="N164" s="788" t="s">
        <v>209</v>
      </c>
      <c r="O164" s="1517" t="s">
        <v>549</v>
      </c>
      <c r="P164" s="310" t="str">
        <f>Test_Bible!P281</f>
        <v>7</v>
      </c>
      <c r="Q164" s="310">
        <f>Test_Bible!Q281</f>
        <v>7</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t="str">
        <f>Test_Bible!P282</f>
        <v>7</v>
      </c>
      <c r="Q165" s="310">
        <f>Test_Bible!Q282</f>
        <v>7</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c r="D166" s="1262">
        <v>17</v>
      </c>
      <c r="E166" s="166" t="s">
        <v>932</v>
      </c>
      <c r="F166" s="694" t="s">
        <v>933</v>
      </c>
      <c r="G166" s="185" t="s">
        <v>934</v>
      </c>
      <c r="H166" s="247"/>
      <c r="I166" s="923"/>
      <c r="J166" s="125" t="s">
        <v>424</v>
      </c>
      <c r="K166" s="216"/>
      <c r="L166" s="545">
        <v>2</v>
      </c>
      <c r="M166" s="545"/>
      <c r="N166" s="788" t="s">
        <v>201</v>
      </c>
      <c r="O166" s="272" t="s">
        <v>202</v>
      </c>
      <c r="P166" s="310" t="str">
        <f>Test_Bible!P283</f>
        <v>1</v>
      </c>
      <c r="Q166" s="310">
        <f>Test_Bible!Q283</f>
        <v>2</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t="str">
        <f>Test_Bible!P284</f>
        <v>4</v>
      </c>
      <c r="Q167" s="310">
        <f>Test_Bible!Q284</f>
        <v>8</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c r="A168" s="694" t="s">
        <v>514</v>
      </c>
      <c r="D168" s="1262">
        <v>47</v>
      </c>
      <c r="E168" s="172" t="s">
        <v>943</v>
      </c>
      <c r="F168" s="694" t="s">
        <v>944</v>
      </c>
      <c r="G168" s="185" t="s">
        <v>945</v>
      </c>
      <c r="H168" s="247"/>
      <c r="I168" s="923"/>
      <c r="J168" s="125" t="s">
        <v>424</v>
      </c>
      <c r="K168" s="216"/>
      <c r="L168" s="545">
        <v>2</v>
      </c>
      <c r="M168" s="545"/>
      <c r="N168" s="788" t="s">
        <v>201</v>
      </c>
      <c r="O168" s="272" t="s">
        <v>202</v>
      </c>
      <c r="P168" s="310" t="str">
        <f>Test_Bible!P285</f>
        <v>1</v>
      </c>
      <c r="Q168" s="310">
        <f>Test_Bible!Q285</f>
        <v>2</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t="str">
        <f>Test_Bible!P286</f>
        <v>1</v>
      </c>
      <c r="Q169" s="310">
        <f>Test_Bible!Q286</f>
        <v>2</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0</v>
      </c>
      <c r="Q170" s="310">
        <f>Test_Bible!Q287</f>
        <v>0</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c r="D171" s="1262">
        <v>22</v>
      </c>
      <c r="E171" s="166" t="s">
        <v>957</v>
      </c>
      <c r="F171" s="694" t="s">
        <v>958</v>
      </c>
      <c r="G171" s="185" t="s">
        <v>959</v>
      </c>
      <c r="H171" s="247"/>
      <c r="I171" s="923"/>
      <c r="J171" s="125" t="s">
        <v>612</v>
      </c>
      <c r="K171" s="216">
        <v>4</v>
      </c>
      <c r="L171" s="545">
        <v>2</v>
      </c>
      <c r="M171" s="545"/>
      <c r="N171" s="788" t="s">
        <v>201</v>
      </c>
      <c r="O171" s="272" t="s">
        <v>202</v>
      </c>
      <c r="P171" s="310" t="str">
        <f>Test_Bible!P288</f>
        <v>2</v>
      </c>
      <c r="Q171" s="310">
        <f>Test_Bible!Q288</f>
        <v>4</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c r="C173" s="1489"/>
      <c r="D173" s="1522">
        <v>24</v>
      </c>
      <c r="E173" s="166" t="s">
        <v>967</v>
      </c>
      <c r="F173" s="694" t="s">
        <v>968</v>
      </c>
      <c r="G173" s="185" t="s">
        <v>969</v>
      </c>
      <c r="H173" s="247"/>
      <c r="I173" s="923"/>
      <c r="J173" s="125" t="s">
        <v>612</v>
      </c>
      <c r="K173" s="216">
        <v>2</v>
      </c>
      <c r="L173" s="545">
        <v>2</v>
      </c>
      <c r="M173" s="565"/>
      <c r="N173" s="788" t="s">
        <v>201</v>
      </c>
      <c r="O173" s="272" t="s">
        <v>202</v>
      </c>
      <c r="P173" s="310" t="str">
        <f>Test_Bible!P290</f>
        <v>7</v>
      </c>
      <c r="Q173" s="310">
        <f>Test_Bible!Q290</f>
        <v>14</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0</v>
      </c>
      <c r="Q176" s="310">
        <f>Test_Bible!Q297</f>
        <v>0</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0</v>
      </c>
      <c r="Q177" s="310">
        <f>Test_Bible!Q298</f>
        <v>0</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c r="D178" s="1262">
        <v>4</v>
      </c>
      <c r="E178" s="166" t="s">
        <v>990</v>
      </c>
      <c r="F178" s="694" t="s">
        <v>991</v>
      </c>
      <c r="G178" s="185" t="s">
        <v>992</v>
      </c>
      <c r="H178" s="248"/>
      <c r="I178" s="185"/>
      <c r="J178" s="185"/>
      <c r="K178" s="217"/>
      <c r="L178" s="545">
        <v>2</v>
      </c>
      <c r="M178" s="545"/>
      <c r="N178" s="788" t="s">
        <v>317</v>
      </c>
      <c r="O178" s="1517" t="s">
        <v>221</v>
      </c>
      <c r="P178" s="310" t="str">
        <f>Test_Bible!P299</f>
        <v>7</v>
      </c>
      <c r="Q178" s="310">
        <f>Test_Bible!Q299</f>
        <v>14</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t="str">
        <f>Test_Bible!P300</f>
        <v>7</v>
      </c>
      <c r="Q179" s="310">
        <f>Test_Bible!Q300</f>
        <v>14</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t="str">
        <f>Test_Bible!P301</f>
        <v>4</v>
      </c>
      <c r="Q180" s="310">
        <f>Test_Bible!Q301</f>
        <v>12</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c r="D181" s="1262">
        <v>5</v>
      </c>
      <c r="E181" s="166" t="s">
        <v>1004</v>
      </c>
      <c r="F181" s="694" t="s">
        <v>1005</v>
      </c>
      <c r="G181" s="185" t="s">
        <v>1006</v>
      </c>
      <c r="H181" s="247"/>
      <c r="I181" s="923"/>
      <c r="J181" s="125" t="s">
        <v>424</v>
      </c>
      <c r="K181" s="216">
        <v>4</v>
      </c>
      <c r="L181" s="537">
        <v>1</v>
      </c>
      <c r="M181" s="537"/>
      <c r="N181" s="788" t="s">
        <v>317</v>
      </c>
      <c r="O181" s="1517" t="s">
        <v>221</v>
      </c>
      <c r="P181" s="310" t="str">
        <f>Test_Bible!P302</f>
        <v>4</v>
      </c>
      <c r="Q181" s="310">
        <f>Test_Bible!Q302</f>
        <v>4</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c r="B182" s="99" t="s">
        <v>1009</v>
      </c>
      <c r="D182" s="1262">
        <v>6</v>
      </c>
      <c r="E182" s="168" t="s">
        <v>1010</v>
      </c>
      <c r="F182" s="692" t="s">
        <v>1011</v>
      </c>
      <c r="G182" s="691" t="s">
        <v>1012</v>
      </c>
      <c r="H182" s="249"/>
      <c r="I182" s="924"/>
      <c r="J182" s="146" t="s">
        <v>424</v>
      </c>
      <c r="K182" s="171"/>
      <c r="L182" s="545">
        <v>2</v>
      </c>
      <c r="M182" s="545"/>
      <c r="N182" s="788" t="s">
        <v>317</v>
      </c>
      <c r="O182" s="1517" t="s">
        <v>221</v>
      </c>
      <c r="P182" s="310" t="str">
        <f>Test_Bible!P303</f>
        <v>7</v>
      </c>
      <c r="Q182" s="310">
        <f>Test_Bible!Q303</f>
        <v>14</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c r="D183" s="1262">
        <v>42</v>
      </c>
      <c r="E183" s="166" t="s">
        <v>1014</v>
      </c>
      <c r="F183" s="694" t="s">
        <v>1015</v>
      </c>
      <c r="G183" s="185" t="s">
        <v>1016</v>
      </c>
      <c r="H183" s="247"/>
      <c r="I183" s="923"/>
      <c r="J183" s="125" t="s">
        <v>424</v>
      </c>
      <c r="K183" s="216">
        <v>2</v>
      </c>
      <c r="L183" s="545">
        <v>2</v>
      </c>
      <c r="M183" s="545"/>
      <c r="N183" s="788" t="s">
        <v>209</v>
      </c>
      <c r="O183" s="1517" t="s">
        <v>549</v>
      </c>
      <c r="P183" s="310" t="str">
        <f>Test_Bible!P304</f>
        <v>2</v>
      </c>
      <c r="Q183" s="310">
        <f>Test_Bible!Q304</f>
        <v>4</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c r="B184" s="99" t="s">
        <v>1018</v>
      </c>
      <c r="D184" s="1262">
        <v>43</v>
      </c>
      <c r="E184" s="167" t="s">
        <v>1019</v>
      </c>
      <c r="F184" s="692" t="s">
        <v>1020</v>
      </c>
      <c r="G184" s="935" t="s">
        <v>1021</v>
      </c>
      <c r="H184" s="241"/>
      <c r="I184" s="920"/>
      <c r="J184" s="127" t="s">
        <v>382</v>
      </c>
      <c r="K184" s="207"/>
      <c r="L184" s="544">
        <v>3</v>
      </c>
      <c r="M184" s="544"/>
      <c r="N184" s="788" t="s">
        <v>209</v>
      </c>
      <c r="O184" s="1517" t="s">
        <v>549</v>
      </c>
      <c r="P184" s="310" t="str">
        <f>Test_Bible!P305</f>
        <v>2</v>
      </c>
      <c r="Q184" s="310">
        <f>Test_Bible!Q305</f>
        <v>6</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0</v>
      </c>
      <c r="Q185" s="310">
        <f>Test_Bible!Q306</f>
        <v>0</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c r="D186" s="1262">
        <v>7</v>
      </c>
      <c r="E186" s="166" t="s">
        <v>1029</v>
      </c>
      <c r="F186" s="694" t="s">
        <v>1030</v>
      </c>
      <c r="G186" s="185" t="s">
        <v>1031</v>
      </c>
      <c r="H186" s="247"/>
      <c r="I186" s="923"/>
      <c r="J186" s="125" t="s">
        <v>424</v>
      </c>
      <c r="K186" s="216"/>
      <c r="L186" s="537">
        <v>1</v>
      </c>
      <c r="M186" s="537"/>
      <c r="N186" s="788" t="s">
        <v>209</v>
      </c>
      <c r="O186" s="1517" t="s">
        <v>549</v>
      </c>
      <c r="P186" s="310" t="str">
        <f>Test_Bible!P307</f>
        <v>4</v>
      </c>
      <c r="Q186" s="310">
        <f>Test_Bible!Q307</f>
        <v>4</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c r="A187" s="694" t="s">
        <v>1034</v>
      </c>
      <c r="D187" s="1262">
        <v>38</v>
      </c>
      <c r="E187" s="166" t="s">
        <v>1035</v>
      </c>
      <c r="F187" s="694" t="s">
        <v>1036</v>
      </c>
      <c r="G187" s="185" t="s">
        <v>1037</v>
      </c>
      <c r="H187" s="247"/>
      <c r="I187" s="923"/>
      <c r="J187" s="125" t="s">
        <v>424</v>
      </c>
      <c r="K187" s="216"/>
      <c r="L187" s="545">
        <v>2</v>
      </c>
      <c r="M187" s="545"/>
      <c r="N187" s="788" t="s">
        <v>209</v>
      </c>
      <c r="O187" s="1517" t="s">
        <v>549</v>
      </c>
      <c r="P187" s="310" t="str">
        <f>Test_Bible!P308</f>
        <v>4</v>
      </c>
      <c r="Q187" s="310">
        <f>Test_Bible!Q308</f>
        <v>8</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c r="D188" s="1262">
        <v>15</v>
      </c>
      <c r="E188" s="172" t="s">
        <v>1039</v>
      </c>
      <c r="F188" s="694" t="s">
        <v>1040</v>
      </c>
      <c r="G188" s="693" t="s">
        <v>1041</v>
      </c>
      <c r="H188" s="244"/>
      <c r="I188" s="919"/>
      <c r="J188" s="174"/>
      <c r="K188" s="218"/>
      <c r="L188" s="545">
        <v>2</v>
      </c>
      <c r="M188" s="545"/>
      <c r="N188" s="788" t="s">
        <v>209</v>
      </c>
      <c r="O188" s="1517" t="s">
        <v>549</v>
      </c>
      <c r="P188" s="310" t="str">
        <f>Test_Bible!P309</f>
        <v>2</v>
      </c>
      <c r="Q188" s="310">
        <f>Test_Bible!Q309</f>
        <v>4</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c r="D189" s="1262">
        <v>12</v>
      </c>
      <c r="E189" s="166" t="s">
        <v>1044</v>
      </c>
      <c r="F189" s="694" t="s">
        <v>1045</v>
      </c>
      <c r="G189" s="185" t="s">
        <v>1046</v>
      </c>
      <c r="H189" s="247"/>
      <c r="I189" s="923"/>
      <c r="J189" s="125" t="s">
        <v>424</v>
      </c>
      <c r="K189" s="216">
        <v>2</v>
      </c>
      <c r="L189" s="545">
        <v>2</v>
      </c>
      <c r="M189" s="545"/>
      <c r="N189" s="788" t="s">
        <v>201</v>
      </c>
      <c r="O189" s="272" t="s">
        <v>202</v>
      </c>
      <c r="P189" s="310" t="str">
        <f>Test_Bible!P310</f>
        <v>7</v>
      </c>
      <c r="Q189" s="310">
        <f>Test_Bible!Q310</f>
        <v>14</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t="str">
        <f>Test_Bible!P311</f>
        <v>7</v>
      </c>
      <c r="Q190" s="310">
        <f>Test_Bible!Q311</f>
        <v>14</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c r="D191" s="1262">
        <v>9</v>
      </c>
      <c r="E191" s="166" t="s">
        <v>1054</v>
      </c>
      <c r="F191" s="694" t="s">
        <v>1055</v>
      </c>
      <c r="G191" s="185" t="s">
        <v>1056</v>
      </c>
      <c r="H191" s="247"/>
      <c r="I191" s="923"/>
      <c r="J191" s="125"/>
      <c r="K191" s="216">
        <v>4</v>
      </c>
      <c r="L191" s="545">
        <v>2</v>
      </c>
      <c r="M191" s="545"/>
      <c r="N191" s="788" t="s">
        <v>201</v>
      </c>
      <c r="O191" s="272" t="s">
        <v>202</v>
      </c>
      <c r="P191" s="310" t="str">
        <f>Test_Bible!P312</f>
        <v>4</v>
      </c>
      <c r="Q191" s="310">
        <f>Test_Bible!Q312</f>
        <v>8</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c r="B193" s="99" t="s">
        <v>1065</v>
      </c>
      <c r="D193" s="1262">
        <v>11</v>
      </c>
      <c r="E193" s="167" t="s">
        <v>1066</v>
      </c>
      <c r="F193" s="692" t="s">
        <v>1067</v>
      </c>
      <c r="G193" s="935" t="s">
        <v>1068</v>
      </c>
      <c r="H193" s="241"/>
      <c r="I193" s="920"/>
      <c r="J193" s="127" t="s">
        <v>382</v>
      </c>
      <c r="K193" s="207"/>
      <c r="L193" s="545">
        <v>3</v>
      </c>
      <c r="M193" s="545"/>
      <c r="N193" s="788" t="s">
        <v>201</v>
      </c>
      <c r="O193" s="272" t="s">
        <v>202</v>
      </c>
      <c r="P193" s="310" t="str">
        <f>Test_Bible!P320</f>
        <v>4</v>
      </c>
      <c r="Q193" s="310">
        <f>Test_Bible!Q320</f>
        <v>12</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c r="D194" s="1262">
        <v>39</v>
      </c>
      <c r="E194" s="166" t="s">
        <v>1070</v>
      </c>
      <c r="F194" s="694" t="s">
        <v>1071</v>
      </c>
      <c r="G194" s="185" t="s">
        <v>1072</v>
      </c>
      <c r="H194" s="247"/>
      <c r="I194" s="923"/>
      <c r="J194" s="125" t="s">
        <v>424</v>
      </c>
      <c r="K194" s="216"/>
      <c r="L194" s="545">
        <v>2</v>
      </c>
      <c r="M194" s="545"/>
      <c r="N194" s="788" t="s">
        <v>201</v>
      </c>
      <c r="O194" s="272" t="s">
        <v>202</v>
      </c>
      <c r="P194" s="310" t="str">
        <f>Test_Bible!P321</f>
        <v>7</v>
      </c>
      <c r="Q194" s="310">
        <f>Test_Bible!Q321</f>
        <v>14</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c r="A195" s="16"/>
      <c r="D195" s="1262">
        <v>40</v>
      </c>
      <c r="E195" s="166" t="s">
        <v>1074</v>
      </c>
      <c r="F195" s="694" t="s">
        <v>1075</v>
      </c>
      <c r="G195" s="185" t="s">
        <v>1076</v>
      </c>
      <c r="H195" s="247"/>
      <c r="I195" s="923"/>
      <c r="J195" s="125"/>
      <c r="K195" s="216">
        <v>4</v>
      </c>
      <c r="L195" s="545">
        <v>2</v>
      </c>
      <c r="M195" s="545"/>
      <c r="N195" s="788" t="s">
        <v>212</v>
      </c>
      <c r="O195" s="1517" t="s">
        <v>213</v>
      </c>
      <c r="P195" s="310" t="str">
        <f>Test_Bible!P322</f>
        <v>4</v>
      </c>
      <c r="Q195" s="310">
        <f>Test_Bible!Q322</f>
        <v>8</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c r="B196" s="99" t="s">
        <v>1078</v>
      </c>
      <c r="D196" s="1262">
        <v>41</v>
      </c>
      <c r="E196" s="552" t="s">
        <v>1079</v>
      </c>
      <c r="F196" s="692" t="s">
        <v>1080</v>
      </c>
      <c r="G196" s="691" t="s">
        <v>1081</v>
      </c>
      <c r="H196" s="249"/>
      <c r="I196" s="924"/>
      <c r="J196" s="127" t="s">
        <v>382</v>
      </c>
      <c r="K196" s="216"/>
      <c r="L196" s="544">
        <v>3</v>
      </c>
      <c r="M196" s="544"/>
      <c r="N196" s="788" t="s">
        <v>212</v>
      </c>
      <c r="O196" s="1517" t="s">
        <v>213</v>
      </c>
      <c r="P196" s="310" t="str">
        <f>Test_Bible!P323</f>
        <v>7</v>
      </c>
      <c r="Q196" s="310">
        <f>Test_Bible!Q323</f>
        <v>21</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t="str">
        <f>Test_Bible!P324</f>
        <v>4</v>
      </c>
      <c r="Q197" s="310">
        <f>Test_Bible!Q324</f>
        <v>8</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c r="A198" s="1921" t="s">
        <v>1089</v>
      </c>
      <c r="D198" s="1262">
        <v>55</v>
      </c>
      <c r="E198" s="166" t="s">
        <v>1090</v>
      </c>
      <c r="F198" s="694" t="s">
        <v>1091</v>
      </c>
      <c r="G198" s="185" t="s">
        <v>1092</v>
      </c>
      <c r="H198" s="247"/>
      <c r="I198" s="923"/>
      <c r="J198" s="125" t="s">
        <v>424</v>
      </c>
      <c r="K198" s="216"/>
      <c r="L198" s="545">
        <v>2</v>
      </c>
      <c r="M198" s="545"/>
      <c r="N198" s="788" t="s">
        <v>201</v>
      </c>
      <c r="O198" s="272" t="s">
        <v>202</v>
      </c>
      <c r="P198" s="310" t="str">
        <f>Test_Bible!P325</f>
        <v>4</v>
      </c>
      <c r="Q198" s="310">
        <f>Test_Bible!Q325</f>
        <v>8</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c r="A199" s="174" t="s">
        <v>1083</v>
      </c>
      <c r="D199" s="1262">
        <v>35</v>
      </c>
      <c r="E199" s="166" t="s">
        <v>1094</v>
      </c>
      <c r="F199" s="694" t="s">
        <v>1095</v>
      </c>
      <c r="G199" s="185" t="s">
        <v>1096</v>
      </c>
      <c r="H199" s="247"/>
      <c r="I199" s="923"/>
      <c r="J199" s="125"/>
      <c r="K199" s="216">
        <v>4</v>
      </c>
      <c r="L199" s="544">
        <v>3</v>
      </c>
      <c r="M199" s="544"/>
      <c r="N199" s="788" t="s">
        <v>201</v>
      </c>
      <c r="O199" s="272" t="s">
        <v>202</v>
      </c>
      <c r="P199" s="310" t="str">
        <f>Test_Bible!P326</f>
        <v>2</v>
      </c>
      <c r="Q199" s="310">
        <f>Test_Bible!Q326</f>
        <v>6</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t="str">
        <f>Test_Bible!P329</f>
        <v>2</v>
      </c>
      <c r="Q202" s="310">
        <f>Test_Bible!Q329</f>
        <v>4</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c r="A204" s="16"/>
      <c r="B204" s="99" t="s">
        <v>1119</v>
      </c>
      <c r="D204" s="1262">
        <v>45</v>
      </c>
      <c r="E204" s="171" t="s">
        <v>1120</v>
      </c>
      <c r="F204" s="692" t="s">
        <v>1121</v>
      </c>
      <c r="G204" s="691"/>
      <c r="H204" s="251"/>
      <c r="I204" s="691"/>
      <c r="J204" s="505"/>
      <c r="K204" s="171"/>
      <c r="L204" s="551">
        <v>1</v>
      </c>
      <c r="M204" s="551"/>
      <c r="N204" s="788" t="s">
        <v>201</v>
      </c>
      <c r="O204" s="272" t="s">
        <v>202</v>
      </c>
      <c r="P204" s="310" t="str">
        <f>Test_Bible!P337</f>
        <v>7</v>
      </c>
      <c r="Q204" s="310">
        <f>Test_Bible!Q337</f>
        <v>7</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c r="B205" s="99" t="s">
        <v>1119</v>
      </c>
      <c r="D205" s="1262">
        <v>46</v>
      </c>
      <c r="E205" s="171" t="s">
        <v>1123</v>
      </c>
      <c r="F205" s="692" t="s">
        <v>1124</v>
      </c>
      <c r="G205" s="691" t="s">
        <v>1125</v>
      </c>
      <c r="H205" s="251"/>
      <c r="I205" s="691"/>
      <c r="J205" s="126" t="s">
        <v>1117</v>
      </c>
      <c r="K205" s="171"/>
      <c r="L205" s="551">
        <v>1</v>
      </c>
      <c r="M205" s="551"/>
      <c r="N205" s="788" t="s">
        <v>203</v>
      </c>
      <c r="O205" s="272" t="s">
        <v>204</v>
      </c>
      <c r="P205" s="310" t="str">
        <f>Test_Bible!P337</f>
        <v>7</v>
      </c>
      <c r="Q205" s="310">
        <f>Test_Bible!Q337</f>
        <v>7</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1143</v>
      </c>
      <c r="F209" s="879" t="s">
        <v>1144</v>
      </c>
      <c r="G209" s="1290"/>
      <c r="H209" s="1290"/>
      <c r="I209" s="1290"/>
      <c r="J209" s="1290"/>
      <c r="K209" s="1290">
        <v>4</v>
      </c>
      <c r="L209" s="1291">
        <v>2</v>
      </c>
      <c r="M209" s="1292"/>
      <c r="N209" s="788" t="s">
        <v>201</v>
      </c>
      <c r="O209" s="272" t="s">
        <v>202</v>
      </c>
      <c r="P209" s="310" t="str">
        <f>Test_Bible!P329</f>
        <v>2</v>
      </c>
      <c r="Q209" s="310">
        <f>Test_Bible!Q329</f>
        <v>4</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t="str">
        <f>Test_Bible!P372</f>
        <v>4</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1151</v>
      </c>
      <c r="B213" s="25"/>
      <c r="C213" s="2477"/>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c r="A214" s="510" t="s">
        <v>1159</v>
      </c>
      <c r="B214" s="25"/>
      <c r="C214" s="2478"/>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c r="A215" s="2479"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0"/>
      <c r="D216" s="780">
        <v>0</v>
      </c>
      <c r="E216" s="1593" t="s">
        <v>1169</v>
      </c>
      <c r="F216" s="1595" t="s">
        <v>1170</v>
      </c>
      <c r="G216" s="1594"/>
      <c r="H216" s="1595"/>
      <c r="I216" s="1594"/>
      <c r="J216" s="356" t="s">
        <v>354</v>
      </c>
      <c r="K216" s="357">
        <v>5</v>
      </c>
      <c r="L216" s="1590">
        <v>1</v>
      </c>
      <c r="M216" s="1591"/>
      <c r="N216" s="783" t="s">
        <v>355</v>
      </c>
      <c r="O216" s="781" t="s">
        <v>356</v>
      </c>
      <c r="P216" s="358" t="str">
        <f>Test_Bible!P301</f>
        <v>4</v>
      </c>
      <c r="Q216" s="358">
        <f>Test_Bible!Q301</f>
        <v>12</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t="str">
        <f>Test_Bible!P404</f>
        <v>2</v>
      </c>
      <c r="Q217" s="397">
        <f>Test_Bible!Q404</f>
        <v>2</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c r="A219" s="1666" t="s">
        <v>1107</v>
      </c>
      <c r="D219" s="1263">
        <v>15</v>
      </c>
      <c r="E219" s="121" t="s">
        <v>1183</v>
      </c>
      <c r="F219" s="936" t="s">
        <v>1184</v>
      </c>
      <c r="G219" s="936" t="s">
        <v>1185</v>
      </c>
      <c r="H219" s="253"/>
      <c r="I219" s="929"/>
      <c r="J219" s="193"/>
      <c r="K219" s="219"/>
      <c r="L219" s="545">
        <v>2</v>
      </c>
      <c r="M219" s="545"/>
      <c r="N219" s="788" t="s">
        <v>209</v>
      </c>
      <c r="O219" s="1517" t="s">
        <v>549</v>
      </c>
      <c r="P219" s="308" t="str">
        <f>Test_Bible!P406</f>
        <v>4</v>
      </c>
      <c r="Q219" s="308">
        <f>Test_Bible!Q406</f>
        <v>8</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c r="A220" s="1665"/>
      <c r="D220" s="1263">
        <v>7</v>
      </c>
      <c r="E220" s="121" t="s">
        <v>1188</v>
      </c>
      <c r="F220" s="936" t="s">
        <v>1189</v>
      </c>
      <c r="G220" s="936" t="s">
        <v>1190</v>
      </c>
      <c r="H220" s="254"/>
      <c r="I220" s="930"/>
      <c r="J220" s="193"/>
      <c r="K220" s="219"/>
      <c r="L220" s="537">
        <v>1</v>
      </c>
      <c r="M220" s="537"/>
      <c r="N220" s="788" t="s">
        <v>317</v>
      </c>
      <c r="O220" s="1517" t="s">
        <v>221</v>
      </c>
      <c r="P220" s="308" t="str">
        <f>Test_Bible!P407</f>
        <v>2</v>
      </c>
      <c r="Q220" s="308">
        <f>Test_Bible!Q407</f>
        <v>2</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t="str">
        <f>Test_Bible!P415</f>
        <v>4</v>
      </c>
      <c r="Q222" s="308">
        <f>Test_Bible!Q415</f>
        <v>12</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t="str">
        <f>Test_Bible!P414</f>
        <v>2</v>
      </c>
      <c r="Q223" s="308">
        <f>Test_Bible!Q414</f>
        <v>6</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t="str">
        <f>Test_Bible!P416</f>
        <v>2</v>
      </c>
      <c r="Q224" s="308">
        <f>Test_Bible!Q416</f>
        <v>6</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c r="A225" s="1665"/>
      <c r="D225" s="1263">
        <v>9</v>
      </c>
      <c r="E225" s="121" t="s">
        <v>1214</v>
      </c>
      <c r="F225" s="936" t="s">
        <v>1215</v>
      </c>
      <c r="G225" s="936" t="s">
        <v>1216</v>
      </c>
      <c r="H225" s="254"/>
      <c r="I225" s="930"/>
      <c r="J225" s="193"/>
      <c r="K225" s="219">
        <v>4</v>
      </c>
      <c r="L225" s="545">
        <v>2</v>
      </c>
      <c r="M225" s="545"/>
      <c r="N225" s="788" t="s">
        <v>201</v>
      </c>
      <c r="O225" s="272" t="s">
        <v>202</v>
      </c>
      <c r="P225" s="308" t="str">
        <f>Test_Bible!P417</f>
        <v>7</v>
      </c>
      <c r="Q225" s="308">
        <f>Test_Bible!Q417</f>
        <v>14</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t="str">
        <f>Test_Bible!P418</f>
        <v>4</v>
      </c>
      <c r="Q226" s="308">
        <f>Test_Bible!Q418</f>
        <v>8</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c r="A227" s="1665"/>
      <c r="D227" s="1263">
        <v>13</v>
      </c>
      <c r="E227" s="121" t="s">
        <v>1223</v>
      </c>
      <c r="F227" s="936" t="s">
        <v>1224</v>
      </c>
      <c r="G227" s="936" t="s">
        <v>1225</v>
      </c>
      <c r="H227" s="254"/>
      <c r="I227" s="930"/>
      <c r="J227" s="193"/>
      <c r="K227" s="219"/>
      <c r="L227" s="545">
        <v>2</v>
      </c>
      <c r="M227" s="545"/>
      <c r="N227" s="788" t="s">
        <v>201</v>
      </c>
      <c r="O227" s="272" t="s">
        <v>202</v>
      </c>
      <c r="P227" s="308" t="str">
        <f>Test_Bible!P419</f>
        <v>2</v>
      </c>
      <c r="Q227" s="308">
        <f>Test_Bible!Q419</f>
        <v>4</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1226</v>
      </c>
      <c r="F228" s="936" t="s">
        <v>1227</v>
      </c>
      <c r="G228" s="936" t="s">
        <v>1228</v>
      </c>
      <c r="H228" s="254"/>
      <c r="I228" s="930"/>
      <c r="J228" s="193"/>
      <c r="K228" s="219"/>
      <c r="L228" s="545">
        <v>2</v>
      </c>
      <c r="M228" s="545"/>
      <c r="N228" s="788" t="s">
        <v>201</v>
      </c>
      <c r="O228" s="272" t="s">
        <v>202</v>
      </c>
      <c r="P228" s="308" t="str">
        <f>Test_Bible!P420</f>
        <v>4</v>
      </c>
      <c r="Q228" s="308">
        <f>Test_Bible!Q420</f>
        <v>8</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1229</v>
      </c>
      <c r="F229" s="936" t="s">
        <v>1230</v>
      </c>
      <c r="G229" s="936" t="s">
        <v>1231</v>
      </c>
      <c r="H229" s="253"/>
      <c r="I229" s="929"/>
      <c r="J229" s="193"/>
      <c r="K229" s="219"/>
      <c r="L229" s="545">
        <v>2</v>
      </c>
      <c r="M229" s="545"/>
      <c r="N229" s="788" t="s">
        <v>201</v>
      </c>
      <c r="O229" s="272" t="s">
        <v>202</v>
      </c>
      <c r="P229" s="308" t="str">
        <f>Test_Bible!P421</f>
        <v>4</v>
      </c>
      <c r="Q229" s="308">
        <f>Test_Bible!Q421</f>
        <v>8</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c r="A230" s="1666" t="s">
        <v>1107</v>
      </c>
      <c r="D230" s="1263">
        <v>11</v>
      </c>
      <c r="E230" s="121" t="s">
        <v>1233</v>
      </c>
      <c r="F230" s="936" t="s">
        <v>1234</v>
      </c>
      <c r="G230" s="936" t="s">
        <v>1235</v>
      </c>
      <c r="H230" s="253"/>
      <c r="I230" s="929"/>
      <c r="J230" s="193"/>
      <c r="K230" s="219"/>
      <c r="L230" s="544">
        <v>3</v>
      </c>
      <c r="M230" s="544"/>
      <c r="N230" s="788" t="s">
        <v>214</v>
      </c>
      <c r="O230" s="272" t="s">
        <v>215</v>
      </c>
      <c r="P230" s="307" t="str">
        <f>Test_Bible!P320</f>
        <v>4</v>
      </c>
      <c r="Q230" s="307">
        <f>Test_Bible!Q320</f>
        <v>12</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c r="A231" s="1665"/>
      <c r="D231" s="1263">
        <v>14</v>
      </c>
      <c r="E231" s="121" t="s">
        <v>1237</v>
      </c>
      <c r="F231" s="936" t="s">
        <v>1238</v>
      </c>
      <c r="G231" s="936" t="s">
        <v>1239</v>
      </c>
      <c r="H231" s="253"/>
      <c r="I231" s="929"/>
      <c r="J231" s="193"/>
      <c r="K231" s="219"/>
      <c r="L231" s="544">
        <v>3</v>
      </c>
      <c r="M231" s="544"/>
      <c r="N231" s="788" t="s">
        <v>209</v>
      </c>
      <c r="O231" s="1517" t="s">
        <v>549</v>
      </c>
      <c r="P231" s="308" t="str">
        <f>Test_Bible!P423</f>
        <v>10</v>
      </c>
      <c r="Q231" s="308">
        <f>Test_Bible!Q423</f>
        <v>30</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c r="A232" s="1665"/>
      <c r="D232" s="1263">
        <v>17</v>
      </c>
      <c r="E232" s="121" t="s">
        <v>1240</v>
      </c>
      <c r="F232" s="936" t="s">
        <v>1241</v>
      </c>
      <c r="G232" s="936" t="s">
        <v>1242</v>
      </c>
      <c r="H232" s="253"/>
      <c r="I232" s="929"/>
      <c r="J232" s="193"/>
      <c r="K232" s="219"/>
      <c r="L232" s="545">
        <v>2</v>
      </c>
      <c r="M232" s="545"/>
      <c r="N232" s="788" t="s">
        <v>209</v>
      </c>
      <c r="O232" s="1517" t="s">
        <v>549</v>
      </c>
      <c r="P232" s="308" t="str">
        <f>Test_Bible!P424</f>
        <v>1</v>
      </c>
      <c r="Q232" s="308">
        <f>Test_Bible!Q424</f>
        <v>2</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c r="A233" s="1666" t="s">
        <v>1107</v>
      </c>
      <c r="D233" s="1263">
        <v>18</v>
      </c>
      <c r="E233" s="121" t="s">
        <v>1245</v>
      </c>
      <c r="F233" s="936" t="s">
        <v>1246</v>
      </c>
      <c r="G233" s="936" t="s">
        <v>1247</v>
      </c>
      <c r="H233" s="253"/>
      <c r="I233" s="929"/>
      <c r="J233" s="193"/>
      <c r="K233" s="219"/>
      <c r="L233" s="545">
        <v>2</v>
      </c>
      <c r="M233" s="545"/>
      <c r="N233" s="788" t="s">
        <v>212</v>
      </c>
      <c r="O233" s="1517" t="s">
        <v>213</v>
      </c>
      <c r="P233" s="308" t="str">
        <f>Test_Bible!P425</f>
        <v>1</v>
      </c>
      <c r="Q233" s="308">
        <f>Test_Bible!Q425</f>
        <v>2</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0</v>
      </c>
      <c r="Q234" s="372">
        <f>Test_Bible!Q426</f>
        <v>0</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124</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310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434</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c r="C241" s="2475"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c r="C242" s="2468"/>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c r="C243" s="2468"/>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c r="C244" s="2468"/>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413" zoomScale="93" zoomScaleNormal="93" workbookViewId="0">
      <selection activeCell="AC419" sqref="X419:AC419"/>
    </sheetView>
  </sheetViews>
  <sheetFormatPr defaultColWidth="11" defaultRowHeight="15.5" outlineLevelRow="1"/>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c r="F1" t="s">
        <v>1272</v>
      </c>
      <c r="H1" s="467">
        <v>0</v>
      </c>
      <c r="I1" t="s">
        <v>1273</v>
      </c>
      <c r="W1" s="500" t="s">
        <v>271</v>
      </c>
      <c r="X1" s="291" t="s">
        <v>1274</v>
      </c>
    </row>
    <row r="2" spans="1:24" ht="25" customHeight="1" thickTop="1">
      <c r="A2" s="101" t="s">
        <v>1275</v>
      </c>
      <c r="I2" t="s">
        <v>1276</v>
      </c>
      <c r="W2" s="500" t="s">
        <v>281</v>
      </c>
      <c r="X2" s="291" t="s">
        <v>1277</v>
      </c>
    </row>
    <row r="3" spans="1:24" ht="21" customHeight="1">
      <c r="A3" s="1184" t="str">
        <f>BIBLE!E20</f>
        <v>B00</v>
      </c>
      <c r="B3" t="str">
        <f>BIBLE!F20</f>
        <v xml:space="preserve">Identification: Qui êtes-vous ? </v>
      </c>
      <c r="D3" s="1644" t="s">
        <v>1278</v>
      </c>
      <c r="E3" s="267"/>
      <c r="P3" s="1446">
        <f>'TEST_pour PROTOTYPE'!D4</f>
        <v>3</v>
      </c>
      <c r="W3" s="500"/>
      <c r="X3" s="291"/>
    </row>
    <row r="4" spans="1:24" ht="16" customHeight="1">
      <c r="A4" s="1184"/>
      <c r="B4" s="2" t="s">
        <v>1279</v>
      </c>
      <c r="D4" s="1644">
        <v>1</v>
      </c>
      <c r="E4" s="1452" t="str">
        <f t="shared" ref="E4:E9" si="0">IF(P$3=D4,1,"x")</f>
        <v>x</v>
      </c>
      <c r="W4" s="500"/>
      <c r="X4" s="291"/>
    </row>
    <row r="5" spans="1:24" ht="16" customHeight="1">
      <c r="A5" s="1184"/>
      <c r="B5" s="2" t="s">
        <v>1280</v>
      </c>
      <c r="D5" s="1644">
        <v>2</v>
      </c>
      <c r="E5" s="1452" t="str">
        <f t="shared" si="0"/>
        <v>x</v>
      </c>
      <c r="W5" s="500"/>
      <c r="X5" s="291"/>
    </row>
    <row r="6" spans="1:24" ht="16" customHeight="1">
      <c r="A6" s="1184"/>
      <c r="B6" s="2" t="s">
        <v>1281</v>
      </c>
      <c r="D6" s="1644">
        <v>3</v>
      </c>
      <c r="E6" s="1452">
        <f t="shared" si="0"/>
        <v>1</v>
      </c>
      <c r="W6" s="500"/>
      <c r="X6" s="291"/>
    </row>
    <row r="7" spans="1:24" ht="16" customHeight="1">
      <c r="A7" s="1184"/>
      <c r="B7" s="2" t="s">
        <v>1282</v>
      </c>
      <c r="D7" s="1644">
        <v>4</v>
      </c>
      <c r="E7" s="1452" t="str">
        <f t="shared" si="0"/>
        <v>x</v>
      </c>
      <c r="W7" s="500"/>
      <c r="X7" s="291"/>
    </row>
    <row r="8" spans="1:24" ht="16" customHeight="1">
      <c r="A8" s="1184"/>
      <c r="B8" s="2" t="s">
        <v>1283</v>
      </c>
      <c r="D8" s="1644">
        <v>5</v>
      </c>
      <c r="E8" s="1452" t="str">
        <f t="shared" si="0"/>
        <v>x</v>
      </c>
      <c r="W8" s="500"/>
      <c r="X8" s="291"/>
    </row>
    <row r="9" spans="1:24" ht="16" customHeight="1">
      <c r="A9" s="1184"/>
      <c r="B9" s="2" t="s">
        <v>1284</v>
      </c>
      <c r="D9" s="1644" t="s">
        <v>1285</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1286</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1287</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2</v>
      </c>
    </row>
    <row r="17" spans="1:16" ht="19" customHeight="1">
      <c r="A17" s="1184"/>
      <c r="B17" s="2" t="s">
        <v>1288</v>
      </c>
      <c r="D17" s="1644">
        <v>1</v>
      </c>
      <c r="E17" s="1452" t="str">
        <f>IF(P$16=D17,1,"x")</f>
        <v>x</v>
      </c>
    </row>
    <row r="18" spans="1:16" ht="19" customHeight="1">
      <c r="A18" s="1184"/>
      <c r="B18" s="2" t="s">
        <v>1289</v>
      </c>
      <c r="D18" s="1644">
        <v>2</v>
      </c>
      <c r="E18" s="1452">
        <f>IF(P$16=D18,1,"x")</f>
        <v>1</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5</v>
      </c>
    </row>
    <row r="22" spans="1:16" ht="14" customHeight="1">
      <c r="A22" s="1184"/>
      <c r="B22" s="2" t="s">
        <v>1290</v>
      </c>
      <c r="D22" s="1644">
        <v>1</v>
      </c>
      <c r="E22" s="1452" t="str">
        <f>IF(P$21=D22,1,"x")</f>
        <v>x</v>
      </c>
    </row>
    <row r="23" spans="1:16" ht="14" customHeight="1">
      <c r="A23" s="1184"/>
      <c r="B23" s="2" t="s">
        <v>1291</v>
      </c>
      <c r="D23" s="1644">
        <v>2</v>
      </c>
      <c r="E23" s="1452" t="str">
        <f>IF(P$21=D23,1,"x")</f>
        <v>x</v>
      </c>
    </row>
    <row r="24" spans="1:16" ht="14" customHeight="1">
      <c r="A24" s="1184"/>
      <c r="B24" s="2" t="s">
        <v>1292</v>
      </c>
      <c r="D24" s="1644">
        <v>3</v>
      </c>
      <c r="E24" s="1452" t="str">
        <f>IF(P$21=D24,1,"x")</f>
        <v>x</v>
      </c>
    </row>
    <row r="25" spans="1:16" ht="14" customHeight="1">
      <c r="A25" s="1184"/>
      <c r="B25" s="2" t="s">
        <v>1293</v>
      </c>
      <c r="D25" s="1644">
        <v>4</v>
      </c>
      <c r="E25" s="1452" t="str">
        <f>IF(P$21=D25,1,"x")</f>
        <v>x</v>
      </c>
    </row>
    <row r="26" spans="1:16" ht="14" customHeight="1">
      <c r="A26" s="1184"/>
      <c r="B26" s="2" t="s">
        <v>1294</v>
      </c>
      <c r="D26" s="1644">
        <v>5</v>
      </c>
      <c r="E26" s="1452">
        <f>IF(P$21=D26,1,"x")</f>
        <v>1</v>
      </c>
    </row>
    <row r="27" spans="1:16">
      <c r="A27" s="1184" t="str">
        <f>BIBLE!E24</f>
        <v>B04</v>
      </c>
      <c r="B27" t="str">
        <f>BIBLE!F24</f>
        <v xml:space="preserve">Depuis combien de temps êtes vous séparé·e de l'autre parent (coparent) ? </v>
      </c>
      <c r="D27" s="1644"/>
      <c r="P27" s="1446">
        <f>'TEST_pour PROTOTYPE'!D8</f>
        <v>5</v>
      </c>
    </row>
    <row r="28" spans="1:16" ht="14" customHeight="1">
      <c r="A28" s="1184"/>
      <c r="B28" s="2" t="s">
        <v>1295</v>
      </c>
      <c r="D28" s="1644">
        <v>1</v>
      </c>
      <c r="E28" s="1452" t="str">
        <f>IF(P$27=D28,1,"x")</f>
        <v>x</v>
      </c>
    </row>
    <row r="29" spans="1:16" ht="14" customHeight="1">
      <c r="A29" s="1184"/>
      <c r="B29" s="2" t="s">
        <v>1296</v>
      </c>
      <c r="D29" s="1644">
        <v>2</v>
      </c>
      <c r="E29" s="1452" t="str">
        <f>IF(P$27=D29,1,"x")</f>
        <v>x</v>
      </c>
    </row>
    <row r="30" spans="1:16" ht="14" customHeight="1">
      <c r="A30" s="1184"/>
      <c r="B30" s="2" t="s">
        <v>1291</v>
      </c>
      <c r="D30" s="1644">
        <v>3</v>
      </c>
      <c r="E30" s="1452" t="str">
        <f>IF(P$27=D30,1,"x")</f>
        <v>x</v>
      </c>
      <c r="G30" s="3"/>
      <c r="I30" s="141"/>
    </row>
    <row r="31" spans="1:16" ht="14" customHeight="1">
      <c r="A31" s="1184"/>
      <c r="B31" s="2" t="s">
        <v>1292</v>
      </c>
      <c r="D31" s="1644">
        <v>4</v>
      </c>
      <c r="E31" s="1452" t="str">
        <f>IF(P$27=D31,1,"x")</f>
        <v>x</v>
      </c>
    </row>
    <row r="32" spans="1:16" ht="14" customHeight="1">
      <c r="A32" s="1184"/>
      <c r="B32" s="2" t="s">
        <v>1297</v>
      </c>
      <c r="D32" s="1644">
        <v>5</v>
      </c>
      <c r="E32" s="1452">
        <f>IF(P$27=D32,1,"x")</f>
        <v>1</v>
      </c>
    </row>
    <row r="33" spans="1:18" ht="14" customHeight="1">
      <c r="A33" s="1184"/>
      <c r="B33" s="2"/>
      <c r="D33" s="1644"/>
    </row>
    <row r="34" spans="1:18" ht="14" customHeight="1">
      <c r="A34" s="1184" t="str">
        <f>BIBLE!E25</f>
        <v>B05</v>
      </c>
      <c r="B34" s="291" t="str">
        <f>BIBLE!F25</f>
        <v>Combien d'enfants compte la fratrie ?</v>
      </c>
      <c r="D34" s="1644"/>
      <c r="P34" s="1446">
        <f>'TEST_pour PROTOTYPE'!D9</f>
        <v>1</v>
      </c>
    </row>
    <row r="35" spans="1:18" ht="14" customHeight="1">
      <c r="A35" s="1184"/>
      <c r="B35" s="2" t="s">
        <v>1298</v>
      </c>
      <c r="D35" s="1644">
        <v>1</v>
      </c>
      <c r="E35" s="1452">
        <f>IF(P$34=D35,1,"x")</f>
        <v>1</v>
      </c>
    </row>
    <row r="36" spans="1:18" ht="14" customHeight="1">
      <c r="A36" s="1184"/>
      <c r="B36" s="2" t="s">
        <v>1299</v>
      </c>
      <c r="D36" s="1644">
        <v>2</v>
      </c>
      <c r="E36" s="1452" t="str">
        <f>IF(P$34=D36,1,"x")</f>
        <v>x</v>
      </c>
    </row>
    <row r="37" spans="1:18" ht="14" customHeight="1">
      <c r="A37" s="1184"/>
      <c r="B37" s="2" t="s">
        <v>1300</v>
      </c>
      <c r="D37" s="1644">
        <v>3</v>
      </c>
      <c r="E37" s="1452" t="str">
        <f>IF(P$34=D37,1,"x")</f>
        <v>x</v>
      </c>
    </row>
    <row r="38" spans="1:18" ht="14" customHeight="1">
      <c r="A38" s="1184"/>
      <c r="B38" s="2" t="s">
        <v>1301</v>
      </c>
      <c r="D38" s="1644">
        <v>4</v>
      </c>
      <c r="E38" s="1452" t="str">
        <f>IF(P$34=D38,1,"x")</f>
        <v>x</v>
      </c>
    </row>
    <row r="39" spans="1:18" ht="14" customHeight="1" thickBot="1">
      <c r="A39" s="1184"/>
      <c r="B39" s="2"/>
      <c r="D39" s="1644"/>
    </row>
    <row r="40" spans="1:18" ht="17" customHeight="1" thickBot="1">
      <c r="A40" s="1184" t="str">
        <f>BIBLE!E26</f>
        <v>B06</v>
      </c>
      <c r="B40" t="str">
        <f>BIBLE!F26</f>
        <v>Quel âge a l'enfant qui fait l'objet de l'analyse ?</v>
      </c>
      <c r="D40" s="1644"/>
      <c r="E40" s="30" t="str">
        <f>P$40</f>
        <v>10</v>
      </c>
      <c r="P40" s="1446" t="str">
        <f>'TEST_pour PROTOTYPE'!D10</f>
        <v>10</v>
      </c>
    </row>
    <row r="41" spans="1:18" ht="15" customHeight="1">
      <c r="A41" s="1184"/>
      <c r="D41" s="1644"/>
    </row>
    <row r="42" spans="1:18">
      <c r="A42" s="1184" t="str">
        <f>BIBLE!E27</f>
        <v>B07</v>
      </c>
      <c r="B42" t="str">
        <f>BIBLE!F27</f>
        <v xml:space="preserve">Quelle est votre situation familiale actuelle ? </v>
      </c>
      <c r="D42" s="1644"/>
      <c r="P42" s="1446" t="str">
        <f>'TEST_pour PROTOTYPE'!D11</f>
        <v>2</v>
      </c>
    </row>
    <row r="43" spans="1:18" ht="15" customHeight="1">
      <c r="A43" s="1184"/>
      <c r="B43" s="2" t="s">
        <v>1302</v>
      </c>
      <c r="D43" s="1644">
        <v>1</v>
      </c>
      <c r="E43" s="1452" t="str">
        <f>IF(P$42=D43,1,"x")</f>
        <v>x</v>
      </c>
    </row>
    <row r="44" spans="1:18" ht="15" customHeight="1">
      <c r="A44" s="1184"/>
      <c r="B44" s="2" t="s">
        <v>1303</v>
      </c>
      <c r="D44" s="1644">
        <v>2</v>
      </c>
      <c r="E44" s="1452" t="str">
        <f>IF(P$42=D44,1,"x")</f>
        <v>x</v>
      </c>
    </row>
    <row r="45" spans="1:18" ht="15" customHeight="1">
      <c r="A45" s="1184"/>
      <c r="B45" s="2" t="s">
        <v>1304</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t="str">
        <f>'TEST_pour PROTOTYPE'!D12</f>
        <v>2</v>
      </c>
    </row>
    <row r="47" spans="1:18" ht="16" customHeight="1">
      <c r="A47" s="1184"/>
      <c r="B47" s="2" t="s">
        <v>1302</v>
      </c>
      <c r="D47" s="1644">
        <v>1</v>
      </c>
      <c r="E47" s="1452" t="str">
        <f>IF(P$46=D47,1,"x")</f>
        <v>x</v>
      </c>
    </row>
    <row r="48" spans="1:18" ht="14" customHeight="1">
      <c r="A48" s="1184"/>
      <c r="B48" s="2" t="s">
        <v>1303</v>
      </c>
      <c r="D48" s="1644">
        <v>2</v>
      </c>
      <c r="E48" s="1452" t="str">
        <f>IF(P$46=D48,1,"x")</f>
        <v>x</v>
      </c>
    </row>
    <row r="49" spans="1:29" ht="14" customHeight="1">
      <c r="A49" s="1184"/>
      <c r="B49" s="2" t="s">
        <v>1304</v>
      </c>
      <c r="D49" s="1644">
        <v>3</v>
      </c>
      <c r="E49" s="1452" t="str">
        <f>IF(P$46=D49,1,"x")</f>
        <v>x</v>
      </c>
    </row>
    <row r="50" spans="1:29" ht="18" customHeight="1">
      <c r="A50" s="1184"/>
      <c r="C50" s="255" t="s">
        <v>250</v>
      </c>
      <c r="D50" s="264" t="s">
        <v>235</v>
      </c>
      <c r="E50" s="2497" t="s">
        <v>252</v>
      </c>
      <c r="F50" s="2468"/>
      <c r="G50" s="2468"/>
      <c r="H50" s="2468"/>
      <c r="I50" s="2468"/>
      <c r="J50" s="2468"/>
      <c r="K50" s="2468"/>
      <c r="L50" s="2468"/>
      <c r="M50" s="2468"/>
      <c r="N50" s="2468"/>
      <c r="O50" s="2468"/>
    </row>
    <row r="51" spans="1:29" ht="18" customHeight="1">
      <c r="A51" s="1184"/>
      <c r="C51" s="255"/>
      <c r="D51" s="264"/>
      <c r="E51" s="466" t="s">
        <v>1305</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t="str">
        <f>'TEST_pour PROTOTYPE'!D13</f>
        <v>4</v>
      </c>
      <c r="Q53" s="6">
        <f>P53*D53</f>
        <v>12</v>
      </c>
      <c r="R53" s="8">
        <f>BIBLE!K29</f>
        <v>4</v>
      </c>
      <c r="T53" s="500" t="s">
        <v>271</v>
      </c>
      <c r="U53" s="7" t="s">
        <v>1309</v>
      </c>
      <c r="V53" s="8"/>
      <c r="X53" s="8"/>
      <c r="Y53" s="8"/>
      <c r="Z53" s="8"/>
      <c r="AA53" s="8"/>
      <c r="AB53" s="8"/>
      <c r="AC53" s="8"/>
    </row>
    <row r="54" spans="1:29" s="7" customFormat="1" ht="23" customHeight="1">
      <c r="A54" s="1184" t="str">
        <f>BIBLE!E30</f>
        <v>B11a</v>
      </c>
      <c r="B54" s="1499" t="str">
        <f>IF(P53&gt;=$R$53,BIBLE!F30," ")</f>
        <v>Un jugement concernant la garde des enfants a-t-il été rendu par le tribunal ?</v>
      </c>
      <c r="C54" s="257" t="s">
        <v>1310</v>
      </c>
      <c r="D54" s="1643">
        <v>1</v>
      </c>
      <c r="E54" s="1452" t="str">
        <f>IF(P$54=D54,1,"x")</f>
        <v>x</v>
      </c>
      <c r="F54" s="19"/>
      <c r="G54" s="19"/>
      <c r="H54" s="19"/>
      <c r="I54" s="19"/>
      <c r="J54" s="19"/>
      <c r="K54" s="19"/>
      <c r="L54" s="19"/>
      <c r="M54" s="19"/>
      <c r="N54" s="19"/>
      <c r="O54" s="19"/>
      <c r="P54" s="1550" t="str">
        <f>'TEST_pour PROTOTYPE'!D14</f>
        <v>1</v>
      </c>
      <c r="Q54" s="130"/>
      <c r="V54" s="8"/>
      <c r="X54" s="8"/>
      <c r="Y54" s="8"/>
      <c r="Z54" s="8"/>
      <c r="AA54" s="8"/>
      <c r="AB54" s="8"/>
      <c r="AC54" s="8"/>
    </row>
    <row r="55" spans="1:29" s="7" customFormat="1" ht="19.5" customHeight="1" outlineLevel="1">
      <c r="A55" s="1184"/>
      <c r="B55" s="131"/>
      <c r="C55" s="257" t="s">
        <v>1311</v>
      </c>
      <c r="D55" s="1643">
        <v>0</v>
      </c>
      <c r="E55" s="1452" t="str">
        <f>IF(P$54=D55,1,"x")</f>
        <v>x</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t="str">
        <f>'TEST_pour PROTOTYPE'!D15</f>
        <v>7</v>
      </c>
      <c r="Q56" s="24">
        <f>P56*D56</f>
        <v>14</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De votre côté-vous, respectez-vous les ordonnances et l'entente de garde ?</v>
      </c>
      <c r="C57" s="268" t="str">
        <f>IF(BIBLE!H32=0,"",BIBLE!H32)</f>
        <v/>
      </c>
      <c r="D57" s="1643">
        <f>BIBLE!L32</f>
        <v>2</v>
      </c>
      <c r="E57" s="19"/>
      <c r="F57" s="19"/>
      <c r="G57" s="19"/>
      <c r="H57" s="19">
        <v>2</v>
      </c>
      <c r="I57" s="19"/>
      <c r="J57" s="19"/>
      <c r="K57" s="19"/>
      <c r="L57" s="19"/>
      <c r="M57" s="19"/>
      <c r="N57" s="19"/>
      <c r="O57" s="19"/>
      <c r="P57" s="1547" t="str">
        <f>'TEST_pour PROTOTYPE'!D16</f>
        <v>1</v>
      </c>
      <c r="Q57" s="24">
        <f>P57*D57</f>
        <v>2</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271</v>
      </c>
      <c r="U58" s="7" t="s">
        <v>1312</v>
      </c>
    </row>
    <row r="59" spans="1:29">
      <c r="A59" s="1184" t="str">
        <f t="shared" ref="A59:A65" si="1">A58</f>
        <v>B12</v>
      </c>
      <c r="C59" s="1464"/>
      <c r="D59" s="1445"/>
      <c r="E59" s="1"/>
      <c r="O59" t="s">
        <v>1313</v>
      </c>
      <c r="P59" s="1447">
        <f>MAX(P60:P65)</f>
        <v>3</v>
      </c>
      <c r="U59" s="7"/>
    </row>
    <row r="60" spans="1:29" ht="17" customHeight="1">
      <c r="A60" s="1184" t="str">
        <f t="shared" si="1"/>
        <v>B12</v>
      </c>
      <c r="B60" s="1465"/>
      <c r="C60" s="1466" t="s">
        <v>1314</v>
      </c>
      <c r="D60" s="1445">
        <v>1</v>
      </c>
      <c r="E60" s="1463">
        <f>'TEST_pour PROTOTYPE'!D17</f>
        <v>0</v>
      </c>
      <c r="P60" s="1462">
        <f t="shared" ref="P60:P65" si="2">D60*E60</f>
        <v>0</v>
      </c>
      <c r="U60" s="7"/>
    </row>
    <row r="61" spans="1:29" ht="17" customHeight="1">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1316</v>
      </c>
      <c r="D62" s="1445">
        <v>3</v>
      </c>
      <c r="E62" s="1463">
        <f>'TEST_pour PROTOTYPE'!D19</f>
        <v>1</v>
      </c>
      <c r="F62" s="8"/>
      <c r="G62" s="8"/>
      <c r="H62" s="8"/>
      <c r="I62" s="8"/>
      <c r="J62" s="8"/>
      <c r="K62" s="8"/>
      <c r="L62" s="8"/>
      <c r="M62" s="8"/>
      <c r="N62" s="8"/>
      <c r="O62" s="8"/>
      <c r="P62" s="1462">
        <f t="shared" si="2"/>
        <v>3</v>
      </c>
      <c r="Q62" s="6"/>
      <c r="U62" s="7"/>
    </row>
    <row r="63" spans="1:29" ht="17" customHeight="1">
      <c r="A63" s="1184" t="str">
        <f t="shared" si="1"/>
        <v>B12</v>
      </c>
      <c r="B63" s="1466"/>
      <c r="C63" s="1466" t="s">
        <v>1317</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1318</v>
      </c>
      <c r="D64" s="1445">
        <v>5</v>
      </c>
      <c r="E64" s="1463">
        <f>'TEST_pour PROTOTYPE'!D21</f>
        <v>0</v>
      </c>
      <c r="G64" s="8"/>
      <c r="H64" s="8"/>
      <c r="P64" s="1462">
        <f t="shared" si="2"/>
        <v>0</v>
      </c>
      <c r="T64" s="500" t="s">
        <v>271</v>
      </c>
      <c r="U64" s="7" t="s">
        <v>1312</v>
      </c>
    </row>
    <row r="65" spans="1:21" ht="17" customHeight="1">
      <c r="A65" s="1184" t="str">
        <f t="shared" si="1"/>
        <v>B12</v>
      </c>
      <c r="C65" s="1466" t="s">
        <v>1319</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Quels types de difficultés relationnelles rencontrez-vous ?</v>
      </c>
      <c r="C68" s="1466"/>
      <c r="D68" s="1445"/>
      <c r="E68" s="8"/>
      <c r="F68" s="8"/>
      <c r="G68" s="8"/>
      <c r="H68" s="15"/>
      <c r="M68" s="8"/>
      <c r="N68" s="8"/>
      <c r="O68" t="s">
        <v>1313</v>
      </c>
      <c r="P68" s="1447">
        <f>MAX(P69:P75)</f>
        <v>5</v>
      </c>
      <c r="Q68" s="6"/>
    </row>
    <row r="69" spans="1:21" ht="17" customHeight="1">
      <c r="A69" s="1184" t="str">
        <f t="shared" ref="A69:A75" si="3">A68</f>
        <v>B12a</v>
      </c>
      <c r="C69" s="1638" t="s">
        <v>1320</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1321</v>
      </c>
      <c r="D70" s="1445">
        <v>2</v>
      </c>
      <c r="E70" s="1463">
        <f>'TEST_pour PROTOTYPE'!D24</f>
        <v>0</v>
      </c>
      <c r="F70" s="8"/>
      <c r="G70" s="8"/>
      <c r="H70" s="15"/>
      <c r="M70" s="8"/>
      <c r="N70" s="8"/>
      <c r="O70" s="8"/>
      <c r="P70" s="1462">
        <f t="shared" si="4"/>
        <v>0</v>
      </c>
      <c r="Q70" s="6"/>
    </row>
    <row r="71" spans="1:21" ht="17" customHeight="1">
      <c r="A71" s="1184" t="str">
        <f t="shared" si="3"/>
        <v>B12a</v>
      </c>
      <c r="C71" s="1638" t="s">
        <v>1322</v>
      </c>
      <c r="D71" s="1445">
        <v>3</v>
      </c>
      <c r="E71" s="1463">
        <f>'TEST_pour PROTOTYPE'!D25</f>
        <v>0</v>
      </c>
      <c r="F71" s="8"/>
      <c r="G71" s="8"/>
      <c r="H71" s="15"/>
      <c r="M71" s="8"/>
      <c r="N71" s="8"/>
      <c r="O71" s="8"/>
      <c r="P71" s="1462">
        <f t="shared" si="4"/>
        <v>0</v>
      </c>
      <c r="Q71" s="6"/>
    </row>
    <row r="72" spans="1:21" ht="17" customHeight="1">
      <c r="A72" s="1184" t="str">
        <f t="shared" si="3"/>
        <v>B12a</v>
      </c>
      <c r="C72" s="1638" t="s">
        <v>1323</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1324</v>
      </c>
      <c r="D73" s="1445">
        <v>5</v>
      </c>
      <c r="E73" s="1463">
        <f>'TEST_pour PROTOTYPE'!D27</f>
        <v>1</v>
      </c>
      <c r="F73" s="8"/>
      <c r="G73" s="8"/>
      <c r="H73" s="15"/>
      <c r="M73" s="8"/>
      <c r="N73" s="8"/>
      <c r="O73" s="8"/>
      <c r="P73" s="1462">
        <f t="shared" si="4"/>
        <v>5</v>
      </c>
      <c r="Q73" s="6"/>
      <c r="T73" s="500"/>
      <c r="U73" t="s">
        <v>1325</v>
      </c>
    </row>
    <row r="74" spans="1:21" ht="17" customHeight="1">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1327</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Ces difficultés relationnelles sont-elles récentes ? </v>
      </c>
      <c r="C77" s="1409"/>
      <c r="D77" s="1641"/>
      <c r="E77" s="8"/>
      <c r="F77" s="1451"/>
      <c r="G77" s="8"/>
      <c r="H77" s="15"/>
      <c r="P77" s="1446" t="str">
        <f>'TEST_pour PROTOTYPE'!D29</f>
        <v>1</v>
      </c>
    </row>
    <row r="78" spans="1:21" ht="17" customHeight="1">
      <c r="A78" s="1184"/>
      <c r="B78" s="2"/>
      <c r="C78" s="1409" t="s">
        <v>1328</v>
      </c>
      <c r="D78" s="1641">
        <v>1</v>
      </c>
      <c r="E78" s="1452" t="str">
        <f>IF(P$77=D78,1,"x")</f>
        <v>x</v>
      </c>
      <c r="F78" s="1451"/>
      <c r="G78" s="8"/>
      <c r="H78" s="15"/>
    </row>
    <row r="79" spans="1:21" ht="17" customHeight="1">
      <c r="A79" s="1184"/>
      <c r="B79" s="2"/>
      <c r="C79" s="1409" t="s">
        <v>1329</v>
      </c>
      <c r="D79" s="1641">
        <v>2</v>
      </c>
      <c r="E79" s="1452" t="str">
        <f>IF(P$77=D79,1,"x")</f>
        <v>x</v>
      </c>
      <c r="F79" s="1451"/>
      <c r="G79" s="8"/>
      <c r="H79" s="15"/>
    </row>
    <row r="80" spans="1:21" ht="17" customHeight="1">
      <c r="A80" s="1184"/>
      <c r="B80" s="2"/>
      <c r="C80" s="1409" t="s">
        <v>1330</v>
      </c>
      <c r="D80" s="1641">
        <v>3</v>
      </c>
      <c r="E80" s="1452" t="str">
        <f>IF(P$77=D80,1,"x")</f>
        <v>x</v>
      </c>
      <c r="F80" s="1451"/>
      <c r="G80" s="8"/>
      <c r="H80" s="15"/>
    </row>
    <row r="81" spans="1:44" ht="17" customHeight="1">
      <c r="A81" s="1184"/>
      <c r="B81" s="2"/>
      <c r="C81" s="1409" t="s">
        <v>1331</v>
      </c>
      <c r="D81" s="1641">
        <v>4</v>
      </c>
      <c r="E81" s="1452" t="str">
        <f>IF(P$77=D81,1,"x")</f>
        <v>x</v>
      </c>
      <c r="F81" s="1451"/>
      <c r="G81" s="8"/>
      <c r="H81" s="15"/>
    </row>
    <row r="82" spans="1:44" ht="17" customHeight="1">
      <c r="A82" s="1184"/>
      <c r="B82" s="2"/>
      <c r="C82" s="1409" t="s">
        <v>1332</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1310</v>
      </c>
      <c r="D84" s="1641">
        <v>1</v>
      </c>
      <c r="E84" s="1452" t="str">
        <f>IF(P$84=D84,1,"x")</f>
        <v>x</v>
      </c>
      <c r="F84" s="1451"/>
      <c r="G84" s="8"/>
      <c r="H84" s="15"/>
      <c r="P84" s="1446">
        <f>'TEST_pour PROTOTYPE'!D30</f>
        <v>0</v>
      </c>
    </row>
    <row r="85" spans="1:44" ht="17" customHeight="1">
      <c r="A85" s="1184"/>
      <c r="C85" s="1468" t="s">
        <v>1311</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1333</v>
      </c>
      <c r="P87" s="1446">
        <f>SUM(P88:P92)</f>
        <v>0</v>
      </c>
    </row>
    <row r="88" spans="1:44" ht="35" customHeight="1">
      <c r="A88" s="1184" t="str">
        <f>A93</f>
        <v>B12d</v>
      </c>
      <c r="C88" s="1469" t="s">
        <v>1334</v>
      </c>
      <c r="D88" s="1445">
        <v>1</v>
      </c>
      <c r="E88" s="37">
        <f>'TEST_pour PROTOTYPE'!D31</f>
        <v>0</v>
      </c>
      <c r="F88" s="1451"/>
      <c r="G88" s="8"/>
      <c r="H88" s="15"/>
      <c r="P88" s="1462">
        <f t="shared" ref="P88:P93" si="5">D88*E88</f>
        <v>0</v>
      </c>
      <c r="AE88" s="2508" t="s">
        <v>1335</v>
      </c>
      <c r="AF88" s="2511" t="s">
        <v>1336</v>
      </c>
      <c r="AG88" s="1704"/>
      <c r="AH88" s="2498" t="s">
        <v>1337</v>
      </c>
      <c r="AI88" s="2492"/>
      <c r="AJ88" s="2499"/>
      <c r="AK88" s="2502" t="s">
        <v>1338</v>
      </c>
      <c r="AL88" s="2492"/>
      <c r="AM88" s="2492"/>
      <c r="AN88" s="2492"/>
      <c r="AO88" s="2492"/>
      <c r="AP88" s="2492"/>
      <c r="AQ88" s="2492"/>
      <c r="AR88" s="2499"/>
    </row>
    <row r="89" spans="1:44" ht="35" customHeight="1">
      <c r="A89" s="1184" t="str">
        <f>A88</f>
        <v>B12d</v>
      </c>
      <c r="C89" s="1469" t="s">
        <v>1339</v>
      </c>
      <c r="D89" s="1445">
        <v>2</v>
      </c>
      <c r="E89" s="37">
        <f>'TEST_pour PROTOTYPE'!D32</f>
        <v>0</v>
      </c>
      <c r="F89" s="1451"/>
      <c r="G89" s="8"/>
      <c r="H89" s="15"/>
      <c r="P89" s="1462">
        <f t="shared" si="5"/>
        <v>0</v>
      </c>
      <c r="AE89" s="2509"/>
      <c r="AF89" s="2509"/>
      <c r="AG89" s="1695"/>
      <c r="AH89" s="2494" t="s">
        <v>1340</v>
      </c>
      <c r="AI89" s="2512" t="s">
        <v>1341</v>
      </c>
      <c r="AJ89" s="2520" t="s">
        <v>1342</v>
      </c>
      <c r="AK89" s="2494" t="s">
        <v>254</v>
      </c>
      <c r="AL89" s="2504" t="s">
        <v>1343</v>
      </c>
      <c r="AM89" s="2504" t="s">
        <v>1344</v>
      </c>
      <c r="AN89" s="2504" t="s">
        <v>1345</v>
      </c>
      <c r="AO89" s="2504" t="s">
        <v>1346</v>
      </c>
      <c r="AP89" s="2504" t="s">
        <v>1347</v>
      </c>
      <c r="AQ89" s="2504" t="s">
        <v>1348</v>
      </c>
      <c r="AR89" s="2514" t="s">
        <v>1349</v>
      </c>
    </row>
    <row r="90" spans="1:44" ht="35" customHeight="1">
      <c r="A90" s="1184" t="str">
        <f>A89</f>
        <v>B12d</v>
      </c>
      <c r="C90" s="1469" t="s">
        <v>1350</v>
      </c>
      <c r="D90" s="1445">
        <v>3</v>
      </c>
      <c r="E90" s="37">
        <f>'TEST_pour PROTOTYPE'!D33</f>
        <v>0</v>
      </c>
      <c r="F90" s="1451"/>
      <c r="G90" s="8"/>
      <c r="H90" s="15"/>
      <c r="P90" s="1462">
        <f t="shared" si="5"/>
        <v>0</v>
      </c>
      <c r="AE90" s="2509"/>
      <c r="AF90" s="2509"/>
      <c r="AG90" s="1695"/>
      <c r="AH90" s="2495"/>
      <c r="AI90" s="2468"/>
      <c r="AJ90" s="2515"/>
      <c r="AK90" s="2495"/>
      <c r="AL90" s="2468"/>
      <c r="AM90" s="2468"/>
      <c r="AN90" s="2468"/>
      <c r="AO90" s="2468"/>
      <c r="AP90" s="2468"/>
      <c r="AQ90" s="2468"/>
      <c r="AR90" s="2515"/>
    </row>
    <row r="91" spans="1:44" ht="35" customHeight="1">
      <c r="A91" s="1184" t="str">
        <f>A90</f>
        <v>B12d</v>
      </c>
      <c r="C91" s="1469" t="s">
        <v>1351</v>
      </c>
      <c r="D91" s="1445">
        <v>4</v>
      </c>
      <c r="E91" s="37">
        <f>'TEST_pour PROTOTYPE'!D34</f>
        <v>0</v>
      </c>
      <c r="F91" s="1451"/>
      <c r="G91" s="8"/>
      <c r="H91" s="15"/>
      <c r="P91" s="1462">
        <f t="shared" si="5"/>
        <v>0</v>
      </c>
      <c r="AE91" s="2509"/>
      <c r="AF91" s="2509"/>
      <c r="AG91" s="1695"/>
      <c r="AH91" s="2495"/>
      <c r="AI91" s="2468"/>
      <c r="AJ91" s="2515"/>
      <c r="AK91" s="2495"/>
      <c r="AL91" s="2468"/>
      <c r="AM91" s="2468"/>
      <c r="AN91" s="2468"/>
      <c r="AO91" s="2468"/>
      <c r="AP91" s="2468"/>
      <c r="AQ91" s="2468"/>
      <c r="AR91" s="2515"/>
    </row>
    <row r="92" spans="1:44" ht="33" customHeight="1">
      <c r="A92" s="1184" t="str">
        <f>A91</f>
        <v>B12d</v>
      </c>
      <c r="C92" s="1469" t="s">
        <v>1352</v>
      </c>
      <c r="D92" s="1445">
        <v>5</v>
      </c>
      <c r="E92" s="37">
        <f>'TEST_pour PROTOTYPE'!D35</f>
        <v>0</v>
      </c>
      <c r="F92" s="1451"/>
      <c r="G92" s="8"/>
      <c r="H92" s="15"/>
      <c r="P92" s="1462">
        <f t="shared" si="5"/>
        <v>0</v>
      </c>
      <c r="AE92" s="2509"/>
      <c r="AF92" s="2509"/>
      <c r="AG92" s="1695"/>
      <c r="AH92" s="2495"/>
      <c r="AI92" s="2468"/>
      <c r="AJ92" s="2515"/>
      <c r="AK92" s="2495"/>
      <c r="AL92" s="2468"/>
      <c r="AM92" s="2468"/>
      <c r="AN92" s="2468"/>
      <c r="AO92" s="2468"/>
      <c r="AP92" s="2468"/>
      <c r="AQ92" s="2468"/>
      <c r="AR92" s="2515"/>
    </row>
    <row r="93" spans="1:44" ht="33" customHeight="1">
      <c r="A93" s="1184" t="str">
        <f>A87</f>
        <v>B12d</v>
      </c>
      <c r="B93" s="1660"/>
      <c r="C93" s="1470" t="s">
        <v>1353</v>
      </c>
      <c r="D93" s="1445">
        <v>0</v>
      </c>
      <c r="E93" s="37">
        <f>'TEST_pour PROTOTYPE'!D36</f>
        <v>0</v>
      </c>
      <c r="F93" s="1451"/>
      <c r="G93" s="8"/>
      <c r="H93" s="15"/>
      <c r="P93" s="1462">
        <f t="shared" si="5"/>
        <v>0</v>
      </c>
      <c r="AE93" s="2509"/>
      <c r="AF93" s="2509"/>
      <c r="AG93" s="1695"/>
      <c r="AH93" s="2495"/>
      <c r="AI93" s="2468"/>
      <c r="AJ93" s="2515"/>
      <c r="AK93" s="2495"/>
      <c r="AL93" s="2468"/>
      <c r="AM93" s="2468"/>
      <c r="AN93" s="2468"/>
      <c r="AO93" s="2468"/>
      <c r="AP93" s="2468"/>
      <c r="AQ93" s="2468"/>
      <c r="AR93" s="2515"/>
    </row>
    <row r="94" spans="1:44" ht="25" customHeight="1">
      <c r="A94" s="1184" t="str">
        <f>A92</f>
        <v>B12d</v>
      </c>
      <c r="C94" s="1542" t="s">
        <v>1354</v>
      </c>
      <c r="D94" s="1543" t="s">
        <v>1285</v>
      </c>
      <c r="E94" s="37"/>
      <c r="F94" s="8"/>
      <c r="G94" s="8"/>
      <c r="H94" s="1451"/>
      <c r="I94" s="8"/>
      <c r="J94" s="15"/>
      <c r="P94" s="1462"/>
      <c r="AE94" s="2510"/>
      <c r="AF94" s="2510"/>
      <c r="AG94" s="1696"/>
      <c r="AH94" s="2496"/>
      <c r="AI94" s="2501"/>
      <c r="AJ94" s="2516"/>
      <c r="AK94" s="2496"/>
      <c r="AL94" s="2501"/>
      <c r="AM94" s="2501"/>
      <c r="AN94" s="2501"/>
      <c r="AO94" s="2501"/>
      <c r="AP94" s="2501"/>
      <c r="AQ94" s="2501"/>
      <c r="AR94" s="2516"/>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74" t="s">
        <v>1355</v>
      </c>
      <c r="F96" s="2468"/>
      <c r="G96" s="2468"/>
      <c r="H96" s="2468"/>
      <c r="I96" s="2468"/>
      <c r="J96" s="2468"/>
      <c r="K96" s="2468"/>
      <c r="AE96" s="473"/>
      <c r="AF96" s="38"/>
      <c r="AG96" s="38"/>
      <c r="AH96" s="69"/>
      <c r="AI96" s="69"/>
      <c r="AJ96" s="69"/>
      <c r="AK96" s="677"/>
      <c r="AL96" s="677"/>
      <c r="AM96" s="677"/>
      <c r="AN96" s="677"/>
      <c r="AO96" s="677"/>
      <c r="AP96" s="677"/>
      <c r="AQ96" s="677"/>
      <c r="AR96" s="677"/>
    </row>
    <row r="97" spans="1:61" s="7" customFormat="1" ht="26" customHeight="1" thickBot="1">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t="str">
        <f>'TEST_pour PROTOTYPE'!D49</f>
        <v>7</v>
      </c>
      <c r="Q98" s="24">
        <f>P98*D98</f>
        <v>7</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t="str">
        <f>'TEST_pour PROTOTYPE'!D50</f>
        <v>6</v>
      </c>
      <c r="Q99" s="24">
        <f>P99*D99</f>
        <v>6</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t="str">
        <f>'TEST_pour PROTOTYPE'!D51</f>
        <v>4</v>
      </c>
      <c r="Q100" s="24">
        <f>P100*D100</f>
        <v>4</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c r="A101" s="1185" t="str">
        <f>BIBLE!E43</f>
        <v>H04a</v>
      </c>
      <c r="B101" s="103" t="str">
        <f>IF(P100&gt;=$R$100,BIBLE!F43," ")</f>
        <v>Dans quelle mesure diriez-vous que leur relation était fusionnelle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t="str">
        <f>'TEST_pour PROTOTYPE'!D54</f>
        <v>2</v>
      </c>
      <c r="Q104" s="24">
        <f>P104*D104</f>
        <v>4</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c r="A105" s="1185" t="str">
        <f>BIBLE!E46</f>
        <v>H05a</v>
      </c>
      <c r="B105" s="1203" t="str">
        <f>IF(P104&gt;=R104,BIBLE!F46," ")</f>
        <v>Arrivait-il que l'autre parent hausse le ton ou vous insulte pour imposer son point de vue ou sa volonté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t="str">
        <f>'TEST_pour PROTOTYPE'!D55</f>
        <v>4</v>
      </c>
      <c r="Q105" s="24">
        <f>P105*D105</f>
        <v>12</v>
      </c>
      <c r="R105" s="8"/>
      <c r="X105" s="8"/>
      <c r="Y105" s="8"/>
      <c r="Z105" s="8"/>
      <c r="AA105" s="8"/>
      <c r="AB105" s="8"/>
      <c r="AC105" s="8"/>
      <c r="AE105" s="445">
        <f>Q105</f>
        <v>12</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t="str">
        <f>'TEST_pour PROTOTYPE'!D56</f>
        <v>4</v>
      </c>
      <c r="Q106" s="24">
        <f>P106*D106</f>
        <v>4</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Arrivait-il que l'autre parent présente à votre entourage une vision négative de vos compétences parentales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t="str">
        <f>'TEST_pour PROTOTYPE'!D57</f>
        <v>7</v>
      </c>
      <c r="Q107" s="24">
        <f>P107*D107</f>
        <v>21</v>
      </c>
      <c r="R107" s="8"/>
      <c r="V107" s="8"/>
      <c r="X107" s="8"/>
      <c r="Y107" s="8"/>
      <c r="Z107" s="8"/>
      <c r="AA107" s="8"/>
      <c r="AB107" s="8"/>
      <c r="AC107" s="8"/>
      <c r="AE107" s="445">
        <f>Q107</f>
        <v>21</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74" t="s">
        <v>1355</v>
      </c>
      <c r="F108" s="2474"/>
      <c r="G108" s="2474"/>
      <c r="H108" s="2474"/>
      <c r="I108" s="2474"/>
      <c r="J108" s="2474"/>
      <c r="K108" s="2474"/>
      <c r="X108" s="2493" t="s">
        <v>1362</v>
      </c>
      <c r="Y108" s="2474"/>
      <c r="Z108" s="2474"/>
      <c r="AA108" s="2474"/>
      <c r="AB108" s="2474"/>
      <c r="AC108" s="2474"/>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t="str">
        <f>'TEST_pour PROTOTYPE'!D83</f>
        <v>5</v>
      </c>
      <c r="Q110" s="24">
        <f>P110*D110</f>
        <v>5</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Vous êtes à l'aise en présence de l'autre parent (coparent).</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19"/>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0"/>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17"/>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18"/>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18"/>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 xml:space="preserve"> </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t="str">
        <f>'TEST_pour PROTOTYPE'!D94</f>
        <v>2</v>
      </c>
      <c r="Q124" s="24">
        <f>P124*D124</f>
        <v>2</v>
      </c>
      <c r="R124" s="8" t="str">
        <f>IF(BIBLE!K56=0,"",BIBLE!K56)</f>
        <v/>
      </c>
      <c r="V124" s="6">
        <f>Q124</f>
        <v>2</v>
      </c>
      <c r="X124" s="6">
        <f t="shared" si="11"/>
        <v>0</v>
      </c>
      <c r="Y124" s="6">
        <f t="shared" si="11"/>
        <v>1</v>
      </c>
      <c r="Z124" s="6">
        <f t="shared" si="11"/>
        <v>2</v>
      </c>
      <c r="AA124" s="6">
        <f t="shared" si="11"/>
        <v>4</v>
      </c>
      <c r="AB124" s="6">
        <f t="shared" si="11"/>
        <v>7</v>
      </c>
      <c r="AC124" s="6">
        <f t="shared" si="11"/>
        <v>10</v>
      </c>
      <c r="AE124" s="474"/>
      <c r="AF124" s="1698"/>
      <c r="AG124" s="1698"/>
      <c r="AH124" s="22">
        <f>$V124*BIBLE!S56</f>
        <v>2</v>
      </c>
      <c r="AI124" s="22">
        <f>$V124*BIBLE!T56</f>
        <v>0</v>
      </c>
      <c r="AJ124" s="22">
        <f>$V124*BIBLE!U56</f>
        <v>0</v>
      </c>
      <c r="AK124" s="1225">
        <f>$V124*BIBLE!W56</f>
        <v>0</v>
      </c>
      <c r="AL124" s="1225">
        <f>$V124*BIBLE!X56</f>
        <v>0</v>
      </c>
      <c r="AM124" s="1225">
        <f>$V124*BIBLE!Y56</f>
        <v>2</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t="str">
        <f>'TEST_pour PROTOTYPE'!D95</f>
        <v>7</v>
      </c>
      <c r="Q125" s="24">
        <f>P125*D125</f>
        <v>7</v>
      </c>
      <c r="R125" s="8" t="str">
        <f>IF(BIBLE!K57=0,"",BIBLE!K57)</f>
        <v/>
      </c>
      <c r="V125" s="6">
        <f>Q125</f>
        <v>7</v>
      </c>
      <c r="X125" s="6">
        <f t="shared" si="11"/>
        <v>0</v>
      </c>
      <c r="Y125" s="6">
        <f t="shared" si="11"/>
        <v>1</v>
      </c>
      <c r="Z125" s="6">
        <f t="shared" si="11"/>
        <v>2</v>
      </c>
      <c r="AA125" s="6">
        <f t="shared" si="11"/>
        <v>4</v>
      </c>
      <c r="AB125" s="6">
        <f t="shared" si="11"/>
        <v>7</v>
      </c>
      <c r="AC125" s="6">
        <f t="shared" si="11"/>
        <v>10</v>
      </c>
      <c r="AE125" s="474"/>
      <c r="AF125" s="1698"/>
      <c r="AG125" s="1698"/>
      <c r="AH125" s="22">
        <f>$V125*BIBLE!S57</f>
        <v>0</v>
      </c>
      <c r="AI125" s="22">
        <f>$V125*BIBLE!T57</f>
        <v>0</v>
      </c>
      <c r="AJ125" s="22">
        <f>$V125*BIBLE!U57</f>
        <v>7</v>
      </c>
      <c r="AK125" s="1225">
        <f>$V125*BIBLE!W57</f>
        <v>0</v>
      </c>
      <c r="AL125" s="1225">
        <f>$V125*BIBLE!X57</f>
        <v>0</v>
      </c>
      <c r="AM125" s="1225">
        <f>$V125*BIBLE!Y57</f>
        <v>7</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t="str">
        <f>'TEST_pour PROTOTYPE'!D96</f>
        <v>4</v>
      </c>
      <c r="Q126" s="24">
        <f>P126*D126</f>
        <v>4</v>
      </c>
      <c r="R126" s="8">
        <f>IF(BIBLE!K58=0,"",BIBLE!K58)</f>
        <v>2</v>
      </c>
      <c r="V126" s="6">
        <f>Q126</f>
        <v>4</v>
      </c>
      <c r="X126" s="6">
        <f t="shared" si="11"/>
        <v>0</v>
      </c>
      <c r="Y126" s="6">
        <f t="shared" si="11"/>
        <v>1</v>
      </c>
      <c r="Z126" s="6">
        <f t="shared" si="11"/>
        <v>2</v>
      </c>
      <c r="AA126" s="6">
        <f t="shared" si="11"/>
        <v>4</v>
      </c>
      <c r="AB126" s="6">
        <f t="shared" si="11"/>
        <v>7</v>
      </c>
      <c r="AC126" s="6">
        <f t="shared" si="11"/>
        <v>10</v>
      </c>
      <c r="AE126" s="474"/>
      <c r="AF126" s="1698"/>
      <c r="AG126" s="1698"/>
      <c r="AH126" s="22">
        <f>$V126*BIBLE!S58</f>
        <v>4</v>
      </c>
      <c r="AI126" s="22">
        <f>$V126*BIBLE!T58</f>
        <v>0</v>
      </c>
      <c r="AJ126" s="22">
        <f>$V126*BIBLE!U58</f>
        <v>0</v>
      </c>
      <c r="AK126" s="1225">
        <f>$V126*BIBLE!W58</f>
        <v>0</v>
      </c>
      <c r="AL126" s="1225">
        <f>$V126*BIBLE!X58</f>
        <v>0</v>
      </c>
      <c r="AM126" s="1225">
        <f>$V126*BIBLE!Y58</f>
        <v>0</v>
      </c>
      <c r="AN126" s="1225">
        <f>$V126*BIBLE!Z58</f>
        <v>4</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Quels sont les sujets de discorde entre vous et l'autre parent ?</v>
      </c>
      <c r="C127" s="69"/>
      <c r="D127" s="1643"/>
      <c r="E127" s="20"/>
      <c r="F127" s="20"/>
      <c r="G127" s="20"/>
      <c r="H127" s="20"/>
      <c r="I127" s="20"/>
      <c r="J127" s="20"/>
      <c r="K127" s="20"/>
      <c r="L127" s="20"/>
      <c r="M127" s="20"/>
      <c r="N127" s="19"/>
      <c r="O127" s="1545" t="s">
        <v>1367</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Préparation des repas ou boîte à lunch des enfants</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Accompagnement des devoirs</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Gestion des vêtements</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Choix des activités culturelles ou sportives</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Hygiène</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Autre (spécifiez)</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t="str">
        <f>'TEST_pour PROTOTYPE'!D102</f>
        <v>4</v>
      </c>
      <c r="Q134" s="24">
        <f t="shared" ref="Q134:Q140" si="12">P134*D134</f>
        <v>4</v>
      </c>
      <c r="R134" s="8" t="str">
        <f>IF(BIBLE!K60=0,"",BIBLE!K60)</f>
        <v/>
      </c>
      <c r="S134" s="41"/>
      <c r="T134" s="41"/>
      <c r="U134" s="41"/>
      <c r="V134" s="6">
        <f>Q134</f>
        <v>4</v>
      </c>
      <c r="W134" s="41"/>
      <c r="X134" s="6">
        <f t="shared" ref="X134:AC136" si="13">IF($Q134&gt;0,X$109*$D134,0)</f>
        <v>0</v>
      </c>
      <c r="Y134" s="6">
        <f t="shared" si="13"/>
        <v>1</v>
      </c>
      <c r="Z134" s="6">
        <f t="shared" si="13"/>
        <v>2</v>
      </c>
      <c r="AA134" s="6">
        <f t="shared" si="13"/>
        <v>4</v>
      </c>
      <c r="AB134" s="6">
        <f t="shared" si="13"/>
        <v>7</v>
      </c>
      <c r="AC134" s="6">
        <f t="shared" si="13"/>
        <v>10</v>
      </c>
      <c r="AE134" s="473"/>
      <c r="AF134" s="38"/>
      <c r="AG134" s="38"/>
      <c r="AH134" s="22">
        <f>$V134*BIBLE!S60</f>
        <v>0</v>
      </c>
      <c r="AI134" s="22">
        <f>$V134*BIBLE!T60</f>
        <v>0</v>
      </c>
      <c r="AJ134" s="22">
        <f>$V134*BIBLE!U60</f>
        <v>4</v>
      </c>
      <c r="AK134" s="1225">
        <f>$V134*BIBLE!W60</f>
        <v>0</v>
      </c>
      <c r="AL134" s="1225">
        <f>$V134*BIBLE!X60</f>
        <v>0</v>
      </c>
      <c r="AM134" s="1225">
        <f>$V134*BIBLE!Y60</f>
        <v>0</v>
      </c>
      <c r="AN134" s="1225">
        <f>$V134*BIBLE!Z60</f>
        <v>4</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3</v>
      </c>
      <c r="E135" s="20"/>
      <c r="F135" s="20"/>
      <c r="G135" s="20"/>
      <c r="H135" s="20"/>
      <c r="I135" s="20">
        <v>1</v>
      </c>
      <c r="J135" s="20"/>
      <c r="K135" s="20"/>
      <c r="L135" s="20"/>
      <c r="M135" s="20"/>
      <c r="N135" s="20"/>
      <c r="O135" s="20"/>
      <c r="P135" s="1449" t="str">
        <f>'TEST_pour PROTOTYPE'!D103</f>
        <v>4</v>
      </c>
      <c r="Q135" s="24">
        <f t="shared" si="12"/>
        <v>12</v>
      </c>
      <c r="R135" s="8">
        <f>IF(BIBLE!K61=0,"",BIBLE!K61)</f>
        <v>2</v>
      </c>
      <c r="S135" s="40"/>
      <c r="T135" s="40"/>
      <c r="U135" s="40"/>
      <c r="V135" s="6">
        <f>Q135</f>
        <v>12</v>
      </c>
      <c r="W135" s="40"/>
      <c r="X135" s="6">
        <f t="shared" si="13"/>
        <v>0</v>
      </c>
      <c r="Y135" s="6">
        <f t="shared" si="13"/>
        <v>3</v>
      </c>
      <c r="Z135" s="6">
        <f t="shared" si="13"/>
        <v>6</v>
      </c>
      <c r="AA135" s="6">
        <f t="shared" si="13"/>
        <v>12</v>
      </c>
      <c r="AB135" s="6">
        <f t="shared" si="13"/>
        <v>21</v>
      </c>
      <c r="AC135" s="6">
        <f t="shared" si="13"/>
        <v>30</v>
      </c>
      <c r="AE135" s="473"/>
      <c r="AF135" s="38"/>
      <c r="AG135" s="38"/>
      <c r="AH135" s="22">
        <f>$V135*BIBLE!S61</f>
        <v>12</v>
      </c>
      <c r="AI135" s="22">
        <f>$V135*BIBLE!T61</f>
        <v>0</v>
      </c>
      <c r="AJ135" s="22">
        <f>$V135*BIBLE!U61</f>
        <v>0</v>
      </c>
      <c r="AK135" s="1225">
        <f>$V135*BIBLE!W61</f>
        <v>0</v>
      </c>
      <c r="AL135" s="1225">
        <f>$V135*BIBLE!X61</f>
        <v>0</v>
      </c>
      <c r="AM135" s="1225">
        <f>$V135*BIBLE!Y61</f>
        <v>0</v>
      </c>
      <c r="AN135" s="1225">
        <f>$V135*BIBLE!Z61</f>
        <v>0</v>
      </c>
      <c r="AO135" s="1225">
        <f>$V135*BIBLE!AA61</f>
        <v>12</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2</v>
      </c>
      <c r="E136" s="20"/>
      <c r="F136" s="20"/>
      <c r="G136" s="20"/>
      <c r="H136" s="20">
        <v>1</v>
      </c>
      <c r="I136" s="20"/>
      <c r="J136" s="20"/>
      <c r="K136" s="20"/>
      <c r="L136" s="20"/>
      <c r="M136" s="20"/>
      <c r="N136" s="20"/>
      <c r="O136" s="20"/>
      <c r="P136" s="1449" t="str">
        <f>'TEST_pour PROTOTYPE'!D104</f>
        <v>2</v>
      </c>
      <c r="Q136" s="24">
        <f t="shared" si="12"/>
        <v>4</v>
      </c>
      <c r="R136" s="8" t="str">
        <f>IF(BIBLE!K62=0,"",BIBLE!K62)</f>
        <v/>
      </c>
      <c r="S136" s="41"/>
      <c r="T136" s="41"/>
      <c r="U136" s="41"/>
      <c r="V136" s="6">
        <f>Q136</f>
        <v>4</v>
      </c>
      <c r="W136" s="41"/>
      <c r="X136" s="6">
        <f t="shared" si="13"/>
        <v>0</v>
      </c>
      <c r="Y136" s="6">
        <f t="shared" si="13"/>
        <v>2</v>
      </c>
      <c r="Z136" s="6">
        <f t="shared" si="13"/>
        <v>4</v>
      </c>
      <c r="AA136" s="6">
        <f t="shared" si="13"/>
        <v>8</v>
      </c>
      <c r="AB136" s="6">
        <f t="shared" si="13"/>
        <v>14</v>
      </c>
      <c r="AC136" s="6">
        <f t="shared" si="13"/>
        <v>20</v>
      </c>
      <c r="AE136" s="473"/>
      <c r="AF136" s="38"/>
      <c r="AG136" s="38"/>
      <c r="AH136" s="22">
        <f>$V136*BIBLE!S62</f>
        <v>4</v>
      </c>
      <c r="AI136" s="22">
        <f>$V136*BIBLE!T62</f>
        <v>0</v>
      </c>
      <c r="AJ136" s="22">
        <f>$V136*BIBLE!U62</f>
        <v>0</v>
      </c>
      <c r="AK136" s="1225">
        <f>$V136*BIBLE!W62</f>
        <v>0</v>
      </c>
      <c r="AL136" s="1225">
        <f>$V136*BIBLE!X62</f>
        <v>0</v>
      </c>
      <c r="AM136" s="1225">
        <f>$V136*BIBLE!Y62</f>
        <v>0</v>
      </c>
      <c r="AN136" s="1225">
        <f>$V136*BIBLE!Z62</f>
        <v>0</v>
      </c>
      <c r="AO136" s="1225">
        <f>$V136*BIBLE!AA62</f>
        <v>4</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t="str">
        <f>'TEST_pour PROTOTYPE'!D105</f>
        <v>4</v>
      </c>
      <c r="Q137" s="24">
        <f t="shared" si="12"/>
        <v>4</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t="str">
        <f>'TEST_pour PROTOTYPE'!D106</f>
        <v>4</v>
      </c>
      <c r="Q138" s="24">
        <f t="shared" si="12"/>
        <v>4</v>
      </c>
      <c r="R138" s="8" t="str">
        <f>IF(BIBLE!K64=0,"",BIBLE!K64)</f>
        <v/>
      </c>
      <c r="S138" s="41"/>
      <c r="T138" s="41"/>
      <c r="U138" s="41"/>
      <c r="V138" s="6">
        <f>Q138</f>
        <v>4</v>
      </c>
      <c r="W138" s="41"/>
      <c r="X138" s="6">
        <f t="shared" ref="X138:AC140" si="14">IF($Q138&gt;0,X$109*$D138,0)</f>
        <v>0</v>
      </c>
      <c r="Y138" s="6">
        <f t="shared" si="14"/>
        <v>1</v>
      </c>
      <c r="Z138" s="6">
        <f t="shared" si="14"/>
        <v>2</v>
      </c>
      <c r="AA138" s="6">
        <f t="shared" si="14"/>
        <v>4</v>
      </c>
      <c r="AB138" s="6">
        <f t="shared" si="14"/>
        <v>7</v>
      </c>
      <c r="AC138" s="6">
        <f t="shared" si="14"/>
        <v>10</v>
      </c>
      <c r="AE138" s="473"/>
      <c r="AF138" s="38"/>
      <c r="AG138" s="38"/>
      <c r="AH138" s="22">
        <f>$V138*BIBLE!S64</f>
        <v>0</v>
      </c>
      <c r="AI138" s="22">
        <f>$V138*BIBLE!T64</f>
        <v>4</v>
      </c>
      <c r="AJ138" s="22">
        <f>$V138*BIBLE!U64</f>
        <v>0</v>
      </c>
      <c r="AK138" s="1225">
        <f>$V138*BIBLE!W64</f>
        <v>0</v>
      </c>
      <c r="AL138" s="1225">
        <f>$V138*BIBLE!X64</f>
        <v>0</v>
      </c>
      <c r="AM138" s="1225">
        <f>$V138*BIBLE!Y64</f>
        <v>0</v>
      </c>
      <c r="AN138" s="1225">
        <f>$V138*BIBLE!Z64</f>
        <v>0</v>
      </c>
      <c r="AO138" s="1225">
        <f>$V138*BIBLE!AA64</f>
        <v>0</v>
      </c>
      <c r="AP138" s="1225">
        <f>$V138*BIBLE!AB64</f>
        <v>4</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t="str">
        <f>'TEST_pour PROTOTYPE'!D107</f>
        <v>1</v>
      </c>
      <c r="Q139" s="24">
        <f t="shared" si="12"/>
        <v>2</v>
      </c>
      <c r="R139" s="8" t="str">
        <f>IF(BIBLE!K65=0,"",BIBLE!K65)</f>
        <v/>
      </c>
      <c r="S139" s="40"/>
      <c r="T139" s="40"/>
      <c r="U139" s="40"/>
      <c r="V139" s="6">
        <f>Q139</f>
        <v>2</v>
      </c>
      <c r="W139" s="40"/>
      <c r="X139" s="6">
        <f t="shared" si="14"/>
        <v>0</v>
      </c>
      <c r="Y139" s="6">
        <f t="shared" si="14"/>
        <v>2</v>
      </c>
      <c r="Z139" s="6">
        <f t="shared" si="14"/>
        <v>4</v>
      </c>
      <c r="AA139" s="6">
        <f t="shared" si="14"/>
        <v>8</v>
      </c>
      <c r="AB139" s="6">
        <f t="shared" si="14"/>
        <v>14</v>
      </c>
      <c r="AC139" s="6">
        <f t="shared" si="14"/>
        <v>20</v>
      </c>
      <c r="AE139" s="473"/>
      <c r="AF139" s="38"/>
      <c r="AG139" s="38"/>
      <c r="AH139" s="22">
        <f>$V139*BIBLE!S65</f>
        <v>2</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2</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t="str">
        <f>'TEST_pour PROTOTYPE'!D108</f>
        <v>2</v>
      </c>
      <c r="Q140" s="24">
        <f t="shared" si="12"/>
        <v>4</v>
      </c>
      <c r="R140" s="8">
        <f>IF(BIBLE!K66=0,"",BIBLE!K66)</f>
        <v>4</v>
      </c>
      <c r="S140" s="41"/>
      <c r="T140" s="41"/>
      <c r="U140" s="41"/>
      <c r="V140" s="6">
        <f>Q140</f>
        <v>4</v>
      </c>
      <c r="W140" s="41"/>
      <c r="X140" s="6">
        <f t="shared" si="14"/>
        <v>0</v>
      </c>
      <c r="Y140" s="6">
        <f t="shared" si="14"/>
        <v>2</v>
      </c>
      <c r="Z140" s="6">
        <f t="shared" si="14"/>
        <v>4</v>
      </c>
      <c r="AA140" s="6">
        <f t="shared" si="14"/>
        <v>8</v>
      </c>
      <c r="AB140" s="6">
        <f t="shared" si="14"/>
        <v>14</v>
      </c>
      <c r="AC140" s="6">
        <f t="shared" si="14"/>
        <v>20</v>
      </c>
      <c r="AE140" s="473"/>
      <c r="AF140" s="38"/>
      <c r="AG140" s="38"/>
      <c r="AH140" s="22">
        <f>$V140*BIBLE!S66</f>
        <v>4</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4</v>
      </c>
      <c r="AQ140" s="1225">
        <f>$V140*BIBLE!AC66</f>
        <v>0</v>
      </c>
      <c r="AR140" s="1225">
        <f>$V140*BIBLE!AD66</f>
        <v>0</v>
      </c>
    </row>
    <row r="141" spans="1:45" s="7" customFormat="1" ht="17" customHeight="1">
      <c r="A141" s="1186" t="str">
        <f>BIBLE!E67</f>
        <v>PCR12a</v>
      </c>
      <c r="B141" s="103" t="str">
        <f>IF(P140&gt;=R140,BIBLE!F67," ")</f>
        <v>Quel type de décisions avez-vous pris sans consulter l'autre parent ou sans attendre son approbation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Choix d'école et/ou inscription (primaire et secondaire)</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Choix de club|programme sportif ou calendrier sportif</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Soins médicaux ou dentaires</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Déménagement (forçant un changement majeur ou autres)</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Achat d'une valeur significative (auto, animal,…)</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Décisions engendrant des coûts significatifs sans votre consentement préalable</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Autre (spécifiez)</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2</v>
      </c>
      <c r="E149" s="19"/>
      <c r="F149" s="20"/>
      <c r="G149" s="20"/>
      <c r="H149" s="20"/>
      <c r="I149" s="20"/>
      <c r="J149" s="20">
        <v>1</v>
      </c>
      <c r="K149" s="20"/>
      <c r="L149" s="20"/>
      <c r="M149" s="20"/>
      <c r="N149" s="20"/>
      <c r="O149" s="20"/>
      <c r="P149" s="1449" t="str">
        <f>'TEST_pour PROTOTYPE'!D115</f>
        <v>4</v>
      </c>
      <c r="Q149" s="24">
        <f>P149*D149</f>
        <v>8</v>
      </c>
      <c r="R149" s="8" t="str">
        <f>IF(BIBLE!K68=0,"",BIBLE!K68)</f>
        <v/>
      </c>
      <c r="V149" s="6">
        <f>Q149</f>
        <v>8</v>
      </c>
      <c r="X149" s="6">
        <f t="shared" ref="X149:AC151" si="16">IF($Q149&gt;0,X$109*$D149,0)</f>
        <v>0</v>
      </c>
      <c r="Y149" s="6">
        <f t="shared" si="16"/>
        <v>2</v>
      </c>
      <c r="Z149" s="6">
        <f t="shared" si="16"/>
        <v>4</v>
      </c>
      <c r="AA149" s="6">
        <f t="shared" si="16"/>
        <v>8</v>
      </c>
      <c r="AB149" s="6">
        <f t="shared" si="16"/>
        <v>14</v>
      </c>
      <c r="AC149" s="6">
        <f t="shared" si="16"/>
        <v>20</v>
      </c>
      <c r="AE149" s="472"/>
      <c r="AF149" s="1697"/>
      <c r="AG149" s="1697"/>
      <c r="AH149" s="22">
        <f>$V149*BIBLE!S68</f>
        <v>8</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8</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2</v>
      </c>
      <c r="E150" s="20"/>
      <c r="F150" s="20"/>
      <c r="G150" s="20"/>
      <c r="H150" s="20"/>
      <c r="I150" s="20"/>
      <c r="J150" s="20">
        <v>1</v>
      </c>
      <c r="K150" s="20"/>
      <c r="L150" s="20"/>
      <c r="M150" s="20"/>
      <c r="N150" s="20"/>
      <c r="O150" s="20"/>
      <c r="P150" s="1449" t="str">
        <f>'TEST_pour PROTOTYPE'!D116</f>
        <v>2</v>
      </c>
      <c r="Q150" s="24">
        <f>P150*D150</f>
        <v>4</v>
      </c>
      <c r="R150" s="8" t="str">
        <f>IF(BIBLE!K69=0,"",BIBLE!K69)</f>
        <v/>
      </c>
      <c r="V150" s="6">
        <f>Q150</f>
        <v>4</v>
      </c>
      <c r="X150" s="6">
        <f t="shared" si="16"/>
        <v>0</v>
      </c>
      <c r="Y150" s="6">
        <f t="shared" si="16"/>
        <v>2</v>
      </c>
      <c r="Z150" s="6">
        <f t="shared" si="16"/>
        <v>4</v>
      </c>
      <c r="AA150" s="6">
        <f t="shared" si="16"/>
        <v>8</v>
      </c>
      <c r="AB150" s="6">
        <f t="shared" si="16"/>
        <v>14</v>
      </c>
      <c r="AC150" s="6">
        <f t="shared" si="16"/>
        <v>20</v>
      </c>
      <c r="AE150" s="472"/>
      <c r="AF150" s="1697"/>
      <c r="AG150" s="1697"/>
      <c r="AH150" s="22">
        <f>$V150*BIBLE!S69</f>
        <v>4</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4</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2</v>
      </c>
      <c r="E151" s="20"/>
      <c r="F151" s="20"/>
      <c r="G151" s="20"/>
      <c r="H151" s="20"/>
      <c r="I151" s="20"/>
      <c r="J151" s="20">
        <v>1</v>
      </c>
      <c r="K151" s="20"/>
      <c r="L151" s="20"/>
      <c r="M151" s="20"/>
      <c r="N151" s="20"/>
      <c r="O151" s="20"/>
      <c r="P151" s="1449" t="str">
        <f>'TEST_pour PROTOTYPE'!D117</f>
        <v>2</v>
      </c>
      <c r="Q151" s="24">
        <f>P151*D151</f>
        <v>4</v>
      </c>
      <c r="R151" s="8">
        <f>IF(BIBLE!K70=0,"",BIBLE!K70)</f>
        <v>2</v>
      </c>
      <c r="V151" s="6">
        <f>Q151</f>
        <v>4</v>
      </c>
      <c r="X151" s="6">
        <f t="shared" si="16"/>
        <v>0</v>
      </c>
      <c r="Y151" s="6">
        <f t="shared" si="16"/>
        <v>2</v>
      </c>
      <c r="Z151" s="6">
        <f t="shared" si="16"/>
        <v>4</v>
      </c>
      <c r="AA151" s="6">
        <f t="shared" si="16"/>
        <v>8</v>
      </c>
      <c r="AB151" s="6">
        <f t="shared" si="16"/>
        <v>14</v>
      </c>
      <c r="AC151" s="6">
        <f t="shared" si="16"/>
        <v>20</v>
      </c>
      <c r="AE151" s="472"/>
      <c r="AF151" s="1697"/>
      <c r="AG151" s="1697"/>
      <c r="AH151" s="22">
        <f>$V151*BIBLE!S70</f>
        <v>4</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4</v>
      </c>
      <c r="AR151" s="1225">
        <f>$V151*BIBLE!AD70</f>
        <v>4</v>
      </c>
    </row>
    <row r="152" spans="1:44" s="8" customFormat="1" ht="39" customHeight="1">
      <c r="A152" s="1186" t="str">
        <f>BIBLE!E71</f>
        <v>PCR15a</v>
      </c>
      <c r="B152" s="2521" t="str">
        <f>IF(P151&gt;=R151,BIBLE!F71," ")</f>
        <v>Avez-vous mis votre enfant au courant des enjeux juridiques (pension alimentaire, modalité de garde, etc.) qui vous oppose à l’autre parent ?</v>
      </c>
      <c r="C152" s="100" t="s">
        <v>1310</v>
      </c>
      <c r="D152" s="1641">
        <v>1</v>
      </c>
      <c r="E152" s="37" t="str">
        <f>IF(P$152=D152,1,"x")</f>
        <v>x</v>
      </c>
      <c r="F152" s="20"/>
      <c r="G152" s="20"/>
      <c r="H152" s="20"/>
      <c r="I152" s="20"/>
      <c r="J152" s="20"/>
      <c r="K152" s="20"/>
      <c r="L152" s="20"/>
      <c r="M152" s="20"/>
      <c r="N152" s="20"/>
      <c r="O152" s="20"/>
      <c r="P152" s="1485" t="str">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65"/>
      <c r="C153" s="100" t="s">
        <v>1311</v>
      </c>
      <c r="D153" s="1641">
        <v>0</v>
      </c>
      <c r="E153" s="37" t="str">
        <f>IF(P$152=D153,1,"x")</f>
        <v>x</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1</v>
      </c>
      <c r="E154" s="20"/>
      <c r="F154" s="20"/>
      <c r="G154" s="20"/>
      <c r="H154" s="20"/>
      <c r="I154" s="20"/>
      <c r="J154" s="20">
        <v>1</v>
      </c>
      <c r="K154" s="20"/>
      <c r="L154" s="20"/>
      <c r="M154" s="20"/>
      <c r="N154" s="20"/>
      <c r="O154" s="20"/>
      <c r="P154" s="1449" t="str">
        <f>'TEST_pour PROTOTYPE'!D119</f>
        <v>1</v>
      </c>
      <c r="Q154" s="24">
        <f>P154*D154</f>
        <v>1</v>
      </c>
      <c r="R154" s="8">
        <f>IF(BIBLE!K72=0,"",BIBLE!K72)</f>
        <v>4</v>
      </c>
      <c r="V154" s="6">
        <f>IF(P154&gt;=R154,IF(Q154&gt;Q155,Q154,Q155),Q154)</f>
        <v>1</v>
      </c>
      <c r="X154" s="6">
        <f t="shared" ref="X154:AC154" si="17">IF(($P154&gt;=$R154),IF($Q154&gt;$Q155,X$109*$D154,X$109*$D155),X$109*$D154)</f>
        <v>0</v>
      </c>
      <c r="Y154" s="6">
        <f t="shared" si="17"/>
        <v>1</v>
      </c>
      <c r="Z154" s="6">
        <f t="shared" si="17"/>
        <v>2</v>
      </c>
      <c r="AA154" s="6">
        <f t="shared" si="17"/>
        <v>4</v>
      </c>
      <c r="AB154" s="6">
        <f t="shared" si="17"/>
        <v>7</v>
      </c>
      <c r="AC154" s="6">
        <f t="shared" si="17"/>
        <v>10</v>
      </c>
      <c r="AE154" s="472"/>
      <c r="AF154" s="1697"/>
      <c r="AG154" s="1697"/>
      <c r="AH154" s="22">
        <f>IF($Q154=$V154,$Q154*BIBLE!S72,$Q155*BIBLE!S73)</f>
        <v>0</v>
      </c>
      <c r="AI154" s="22">
        <f>IF($Q154=$V154,$Q154*BIBLE!T72,$Q155*BIBLE!T73)</f>
        <v>1</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1</v>
      </c>
      <c r="AR154" s="1225">
        <f>IF($Q154=$V154,$Q154*BIBLE!AD72,$Q155*BIBLE!AD73)</f>
        <v>0</v>
      </c>
    </row>
    <row r="155" spans="1:44" s="8" customFormat="1" ht="50" customHeight="1">
      <c r="A155" s="1186" t="str">
        <f>BIBLE!E73</f>
        <v>PCR16a</v>
      </c>
      <c r="B155" s="103" t="str">
        <f>IF(P154&gt;=R154,BIBLE!F73," ")</f>
        <v>Vous confiez à votre enfant votre peine concernant la séparation.</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t="str">
        <f>'TEST_pour PROTOTYPE'!D121</f>
        <v>1</v>
      </c>
      <c r="Q156" s="24">
        <f>P156*D156</f>
        <v>1</v>
      </c>
      <c r="R156" s="8" t="str">
        <f>IF(BIBLE!K75=0,"",BIBLE!K75)</f>
        <v/>
      </c>
      <c r="V156" s="6">
        <f>Q156</f>
        <v>1</v>
      </c>
      <c r="X156" s="6">
        <f t="shared" ref="X156:AC157" si="18">IF($Q156&gt;0,X$109*$D156,0)</f>
        <v>0</v>
      </c>
      <c r="Y156" s="6">
        <f t="shared" si="18"/>
        <v>1</v>
      </c>
      <c r="Z156" s="6">
        <f t="shared" si="18"/>
        <v>2</v>
      </c>
      <c r="AA156" s="6">
        <f t="shared" si="18"/>
        <v>4</v>
      </c>
      <c r="AB156" s="6">
        <f t="shared" si="18"/>
        <v>7</v>
      </c>
      <c r="AC156" s="6">
        <f t="shared" si="18"/>
        <v>10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t="str">
        <f>'TEST_pour PROTOTYPE'!D122</f>
        <v>2</v>
      </c>
      <c r="Q157" s="24">
        <f>P157*D157</f>
        <v>2</v>
      </c>
      <c r="R157" s="8" t="str">
        <f>IF(BIBLE!K78=0,"",BIBLE!K78)</f>
        <v/>
      </c>
      <c r="V157" s="6">
        <f>Q157</f>
        <v>2</v>
      </c>
      <c r="X157" s="6">
        <f t="shared" si="18"/>
        <v>0</v>
      </c>
      <c r="Y157" s="6">
        <f t="shared" si="18"/>
        <v>1</v>
      </c>
      <c r="Z157" s="6">
        <f t="shared" si="18"/>
        <v>2</v>
      </c>
      <c r="AA157" s="6">
        <f t="shared" si="18"/>
        <v>4</v>
      </c>
      <c r="AB157" s="6">
        <f t="shared" si="18"/>
        <v>7</v>
      </c>
      <c r="AC157" s="6">
        <f t="shared" si="18"/>
        <v>10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63</v>
      </c>
      <c r="X159" s="450">
        <f t="shared" ref="X159:AC159" si="19">SUM(X112:X157)</f>
        <v>0</v>
      </c>
      <c r="Y159" s="450">
        <f t="shared" si="19"/>
        <v>23</v>
      </c>
      <c r="Z159" s="450">
        <f t="shared" si="19"/>
        <v>46</v>
      </c>
      <c r="AA159" s="450">
        <f t="shared" si="19"/>
        <v>92</v>
      </c>
      <c r="AB159" s="450">
        <f t="shared" si="19"/>
        <v>161</v>
      </c>
      <c r="AC159" s="450">
        <f t="shared" si="19"/>
        <v>230</v>
      </c>
      <c r="AD159" s="63">
        <f>V159/AC159</f>
        <v>0.27391304347826084</v>
      </c>
      <c r="AE159" s="1236">
        <f>SUM(AE112:AE158)</f>
        <v>0</v>
      </c>
      <c r="AF159" s="1700"/>
      <c r="AG159" s="1700"/>
      <c r="AH159" s="1237">
        <f t="shared" ref="AH159:AR159" si="20">SUM(AH112:AH158)</f>
        <v>44</v>
      </c>
      <c r="AI159" s="1237">
        <f t="shared" si="20"/>
        <v>5</v>
      </c>
      <c r="AJ159" s="1237">
        <f t="shared" si="20"/>
        <v>11</v>
      </c>
      <c r="AK159" s="1238">
        <f t="shared" si="20"/>
        <v>0</v>
      </c>
      <c r="AL159" s="1238">
        <f t="shared" si="20"/>
        <v>0</v>
      </c>
      <c r="AM159" s="1238">
        <f t="shared" si="20"/>
        <v>9</v>
      </c>
      <c r="AN159" s="1238">
        <f t="shared" si="20"/>
        <v>8</v>
      </c>
      <c r="AO159" s="1238">
        <f t="shared" si="20"/>
        <v>16</v>
      </c>
      <c r="AP159" s="1238">
        <f t="shared" si="20"/>
        <v>10</v>
      </c>
      <c r="AQ159" s="1238">
        <f t="shared" si="20"/>
        <v>17</v>
      </c>
      <c r="AR159" s="1238">
        <f t="shared" si="20"/>
        <v>4</v>
      </c>
    </row>
    <row r="160" spans="1:44" s="8" customFormat="1">
      <c r="A160" s="259"/>
      <c r="B160" s="54"/>
      <c r="C160" s="277"/>
      <c r="D160" s="269"/>
      <c r="P160" s="67"/>
      <c r="Q160" s="6"/>
      <c r="X160" s="6"/>
      <c r="Y160" s="7" t="s">
        <v>1369</v>
      </c>
      <c r="Z160" s="8" t="s">
        <v>1370</v>
      </c>
      <c r="AA160" s="8" t="s">
        <v>103</v>
      </c>
      <c r="AB160" s="8" t="s">
        <v>104</v>
      </c>
      <c r="AC160" s="8" t="s">
        <v>1371</v>
      </c>
      <c r="AE160" s="1242"/>
      <c r="AF160" s="1701"/>
      <c r="AG160" s="1701"/>
      <c r="AH160" s="1240">
        <f>AH159/SUM($AH$159:$AJ$159)</f>
        <v>0.73333333333333328</v>
      </c>
      <c r="AI160" s="1240">
        <f>AI159/SUM($AH$159:$AJ$159)</f>
        <v>8.3333333333333329E-2</v>
      </c>
      <c r="AJ160" s="1240">
        <f>AJ159/SUM($AH$159:$AJ$159)</f>
        <v>0.18333333333333332</v>
      </c>
      <c r="AK160" s="1241">
        <f t="shared" ref="AK160:AR160" si="21">AK159/SUM($AK$159:$AR$159)</f>
        <v>0</v>
      </c>
      <c r="AL160" s="1241">
        <f t="shared" si="21"/>
        <v>0</v>
      </c>
      <c r="AM160" s="1241">
        <f t="shared" si="21"/>
        <v>0.140625</v>
      </c>
      <c r="AN160" s="1241">
        <f t="shared" si="21"/>
        <v>0.125</v>
      </c>
      <c r="AO160" s="1241">
        <f t="shared" si="21"/>
        <v>0.25</v>
      </c>
      <c r="AP160" s="1241">
        <f t="shared" si="21"/>
        <v>0.15625</v>
      </c>
      <c r="AQ160" s="1241">
        <f t="shared" si="21"/>
        <v>0.265625</v>
      </c>
      <c r="AR160" s="1241">
        <f t="shared" si="21"/>
        <v>6.25E-2</v>
      </c>
    </row>
    <row r="161" spans="1:44" s="8" customFormat="1" ht="20" customHeight="1">
      <c r="A161" s="105"/>
      <c r="B161" s="25"/>
      <c r="C161" s="100"/>
      <c r="D161" s="266"/>
      <c r="P161" s="23"/>
      <c r="Q161" s="24"/>
      <c r="R161" s="16"/>
      <c r="S161" s="16"/>
      <c r="T161" s="16"/>
      <c r="U161" s="16"/>
      <c r="V161" s="16"/>
      <c r="W161" s="16"/>
      <c r="X161" s="2493" t="s">
        <v>1362</v>
      </c>
      <c r="Y161" s="2474"/>
      <c r="Z161" s="2474"/>
      <c r="AA161" s="2474"/>
      <c r="AB161" s="2474"/>
      <c r="AC161" s="2474"/>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t="str">
        <f>'TEST_pour PROTOTYPE'!D148</f>
        <v>5</v>
      </c>
      <c r="Q165" s="24">
        <f>P165*D165</f>
        <v>5</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t="str">
        <f>'TEST_pour PROTOTYPE'!D149</f>
        <v>8</v>
      </c>
      <c r="Q166" s="24">
        <f>P166*D166</f>
        <v>8</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22" t="str">
        <f>IF(P166&gt;=R166,BIBLE!F83,"")</f>
        <v>Diriez-vous que la relation fusionnelle entre votre enfant et l'autre parent est consciente (intentionnelle) ou inconsciente ?</v>
      </c>
      <c r="C167" s="100" t="s">
        <v>1372</v>
      </c>
      <c r="D167" s="1641">
        <v>1</v>
      </c>
      <c r="E167" s="37" t="str">
        <f>IF(P$167=D167,1,"x")</f>
        <v>x</v>
      </c>
      <c r="K167" s="7"/>
      <c r="P167" s="1548" t="str">
        <f>'TEST_pour PROTOTYPE'!D150</f>
        <v>1</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07"/>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2</v>
      </c>
      <c r="E170" s="19"/>
      <c r="F170" s="19"/>
      <c r="G170" s="19"/>
      <c r="H170" s="19"/>
      <c r="I170" s="19"/>
      <c r="J170" s="19">
        <v>1</v>
      </c>
      <c r="K170" s="19"/>
      <c r="L170" s="19"/>
      <c r="M170" s="19"/>
      <c r="N170" s="19"/>
      <c r="O170" s="19"/>
      <c r="P170" s="1547" t="str">
        <f>'TEST_pour PROTOTYPE'!D151</f>
        <v>4</v>
      </c>
      <c r="Q170" s="24">
        <f t="shared" ref="Q170:Q211" si="23">P170*D170</f>
        <v>8</v>
      </c>
      <c r="R170" s="8" t="str">
        <f>IF(BIBLE!K84=0,"",BIBLE!K84)</f>
        <v/>
      </c>
      <c r="S170" s="16"/>
      <c r="T170" s="16"/>
      <c r="U170" s="16"/>
      <c r="V170" s="6">
        <f>Q170</f>
        <v>8</v>
      </c>
      <c r="W170" s="16"/>
      <c r="X170" s="6">
        <f t="shared" ref="X170:AC170" si="24">IF($Q170&gt;0,X$109*$D170,0)</f>
        <v>0</v>
      </c>
      <c r="Y170" s="6">
        <f t="shared" si="24"/>
        <v>2</v>
      </c>
      <c r="Z170" s="6">
        <f t="shared" si="24"/>
        <v>4</v>
      </c>
      <c r="AA170" s="6">
        <f t="shared" si="24"/>
        <v>8</v>
      </c>
      <c r="AB170" s="6">
        <f t="shared" si="24"/>
        <v>14</v>
      </c>
      <c r="AC170" s="6">
        <f t="shared" si="24"/>
        <v>20</v>
      </c>
      <c r="AE170" s="472"/>
      <c r="AF170" s="1697"/>
      <c r="AG170" s="1697"/>
      <c r="AH170" s="22">
        <f>$V170*BIBLE!S84</f>
        <v>0</v>
      </c>
      <c r="AI170" s="22">
        <f>$V170*BIBLE!T84</f>
        <v>0</v>
      </c>
      <c r="AJ170" s="22">
        <f>$V170*BIBLE!U84</f>
        <v>8</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8</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t="str">
        <f>'TEST_pour PROTOTYPE'!D152</f>
        <v>2</v>
      </c>
      <c r="Q171" s="24">
        <f t="shared" si="23"/>
        <v>2</v>
      </c>
      <c r="R171" s="8">
        <f>IF(BIBLE!K85=0,"",BIBLE!K85)</f>
        <v>4</v>
      </c>
      <c r="S171" s="16"/>
      <c r="T171" s="16"/>
      <c r="U171" s="16"/>
      <c r="V171" s="6">
        <f>IF(P171&gt;=R171,IF(Q171&gt;Q172,Q171,Q172),Q171)</f>
        <v>2</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2</v>
      </c>
      <c r="AJ171" s="22">
        <f>IF($Q171=$V171,$Q171*BIBLE!U85,$Q172*BIBLE!U86)</f>
        <v>0</v>
      </c>
      <c r="AK171" s="1225">
        <f>IF($Q171=$V171,$Q171*BIBLE!W85,$Q172*BIBLE!W86)</f>
        <v>0</v>
      </c>
      <c r="AL171" s="1225">
        <f>IF($Q171=$V171,$Q171*BIBLE!X85,$Q172*BIBLE!X86)</f>
        <v>2</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L’autre parent laisse entendre à votre enfant que vous ne l’aimez pas vraiment.</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t="str">
        <f>'TEST_pour PROTOTYPE'!D154</f>
        <v>2</v>
      </c>
      <c r="Q173" s="24">
        <f t="shared" si="23"/>
        <v>4</v>
      </c>
      <c r="R173" s="8">
        <f>IF(BIBLE!K87=0,"",BIBLE!K87)</f>
        <v>4</v>
      </c>
      <c r="S173" s="16"/>
      <c r="T173" s="16"/>
      <c r="U173" s="16"/>
      <c r="V173" s="6">
        <f>IF(P173&gt;=R173,IF(Q173&gt;Q174,Q173,Q174),Q173)</f>
        <v>4</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4</v>
      </c>
      <c r="AJ173" s="1246">
        <f>IF($Q173=$V173,$Q173*BIBLE!U87,$Q174*BIBLE!U88)</f>
        <v>0</v>
      </c>
      <c r="AK173" s="1228">
        <f>IF($Q173=$V173,$Q173*BIBLE!W87,$Q174*BIBLE!W88)</f>
        <v>0</v>
      </c>
      <c r="AL173" s="1228">
        <f>IF($Q173=$V173,$Q173*BIBLE!X87,$Q174*BIBLE!X88)</f>
        <v>4</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L’autre parent laisse entendre à votre enfant que vous souffrez d’une maladie mentale ou que vous êtes instable psychologiquement.</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t="str">
        <f>'TEST_pour PROTOTYPE'!D156</f>
        <v>1</v>
      </c>
      <c r="Q175" s="24">
        <f t="shared" si="23"/>
        <v>2</v>
      </c>
      <c r="R175" s="8">
        <f>IF(BIBLE!K89=0,"",BIBLE!K89)</f>
        <v>4</v>
      </c>
      <c r="S175" s="16"/>
      <c r="T175" s="16"/>
      <c r="U175" s="16"/>
      <c r="V175" s="6">
        <f>IF(P175&gt;=R175,IF(Q175&gt;Q176,Q175,Q176),Q175)</f>
        <v>2</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1</v>
      </c>
      <c r="AJ175" s="1246">
        <f>IF($Q175=$V175,$Q175*BIBLE!U89,$Q176*BIBLE!U90)</f>
        <v>1</v>
      </c>
      <c r="AK175" s="1228">
        <f>IF($Q175=$V175,$Q175*BIBLE!W89,$Q176*BIBLE!W90)</f>
        <v>0</v>
      </c>
      <c r="AL175" s="1228">
        <f>IF($Q175=$V175,$Q175*BIBLE!X89,$Q176*BIBLE!X90)</f>
        <v>2</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xml:space="preserve">L'autre parent déforme les souvenirs de votre enfant (ex.: souvenirs de la petite enfance vus aujourd'hui négativement).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t="str">
        <f>'TEST_pour PROTOTYPE'!D158</f>
        <v>7</v>
      </c>
      <c r="Q177" s="24">
        <f t="shared" si="23"/>
        <v>7</v>
      </c>
      <c r="R177" s="8">
        <f>IF(BIBLE!K91=0,"",BIBLE!K91)</f>
        <v>2</v>
      </c>
      <c r="S177" s="16"/>
      <c r="T177" s="16"/>
      <c r="U177" s="16"/>
      <c r="V177" s="6">
        <f>MAX(AS177:AS179)</f>
        <v>21</v>
      </c>
      <c r="X177" s="6">
        <f t="shared" ref="X177:AC177" si="28">MAX(AU177:AU179)</f>
        <v>0</v>
      </c>
      <c r="Y177" s="6">
        <f t="shared" si="28"/>
        <v>3</v>
      </c>
      <c r="Z177" s="6">
        <f t="shared" si="28"/>
        <v>6</v>
      </c>
      <c r="AA177" s="6">
        <f t="shared" si="28"/>
        <v>12</v>
      </c>
      <c r="AB177" s="6">
        <f t="shared" si="28"/>
        <v>21</v>
      </c>
      <c r="AC177" s="6">
        <f t="shared" si="28"/>
        <v>30</v>
      </c>
      <c r="AE177" s="472"/>
      <c r="AF177" s="1697"/>
      <c r="AG177" s="1697"/>
      <c r="AH177" s="22">
        <f>IF($Q177=$V177,$Q177*BIBLE!S91,IF(Test_Bible!$Q178=Test_Bible!$V177,Test_Bible!$Q178*BIBLE!S92,Test_Bible!$Q179*BIBLE!S93))</f>
        <v>10.5</v>
      </c>
      <c r="AI177" s="22">
        <f>IF($Q177=$V177,$Q177*BIBLE!T91,IF(Test_Bible!$Q178=Test_Bible!$V177,Test_Bible!$Q178*BIBLE!T92,Test_Bible!$Q179*BIBLE!T93))</f>
        <v>10.5</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21</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7</v>
      </c>
      <c r="AT177" s="16"/>
      <c r="AU177" s="6">
        <f t="shared" ref="AU177:AZ179" si="29">IF($Q177&gt;0,X$109*$D177,0)</f>
        <v>0</v>
      </c>
      <c r="AV177" s="6">
        <f t="shared" si="29"/>
        <v>1</v>
      </c>
      <c r="AW177" s="6">
        <f t="shared" si="29"/>
        <v>2</v>
      </c>
      <c r="AX177" s="6">
        <f t="shared" si="29"/>
        <v>4</v>
      </c>
      <c r="AY177" s="6">
        <f t="shared" si="29"/>
        <v>7</v>
      </c>
      <c r="AZ177" s="6">
        <f t="shared" si="29"/>
        <v>10</v>
      </c>
      <c r="BB177" s="17" t="s">
        <v>1366</v>
      </c>
    </row>
    <row r="178" spans="1:73" s="8" customFormat="1" ht="66" customHeight="1">
      <c r="A178" s="1187" t="str">
        <f>BIBLE!E92</f>
        <v>PFA07a</v>
      </c>
      <c r="B178" s="1202" t="str">
        <f>IF(P177&gt;=R177,BIBLE!F92,"")</f>
        <v>Il arrive que l’autre parent boude votre enfant lorsqu'il est temps de rentrer chez vous (pour votre tour de garde).</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t="str">
        <f>'TEST_pour PROTOTYPE'!D159</f>
        <v>7</v>
      </c>
      <c r="Q178" s="24">
        <f t="shared" si="23"/>
        <v>14</v>
      </c>
      <c r="R178" s="8">
        <f>IF(BIBLE!K92=0,"",BIBLE!K92)</f>
        <v>2</v>
      </c>
      <c r="S178" s="16"/>
      <c r="T178" s="16"/>
      <c r="U178" s="16"/>
      <c r="AE178" s="445">
        <f>Q178</f>
        <v>14</v>
      </c>
      <c r="AF178" s="1699"/>
      <c r="AG178" s="1699"/>
      <c r="AH178" s="22"/>
      <c r="AI178" s="22"/>
      <c r="AJ178" s="22"/>
      <c r="AK178" s="1225"/>
      <c r="AL178" s="1225"/>
      <c r="AM178" s="1225"/>
      <c r="AN178" s="1225"/>
      <c r="AO178" s="1225"/>
      <c r="AP178" s="1225"/>
      <c r="AQ178" s="1225"/>
      <c r="AR178" s="1225"/>
      <c r="AS178" s="6">
        <f>Q178</f>
        <v>14</v>
      </c>
      <c r="AT178" s="16"/>
      <c r="AU178" s="6">
        <f t="shared" si="29"/>
        <v>0</v>
      </c>
      <c r="AV178" s="6">
        <f t="shared" si="29"/>
        <v>2</v>
      </c>
      <c r="AW178" s="6">
        <f t="shared" si="29"/>
        <v>4</v>
      </c>
      <c r="AX178" s="6">
        <f t="shared" si="29"/>
        <v>8</v>
      </c>
      <c r="AY178" s="6">
        <f t="shared" si="29"/>
        <v>14</v>
      </c>
      <c r="AZ178" s="6">
        <f t="shared" si="29"/>
        <v>20</v>
      </c>
    </row>
    <row r="179" spans="1:73" s="8" customFormat="1" ht="66" customHeight="1">
      <c r="A179" s="1187" t="str">
        <f>BIBLE!E93</f>
        <v>PFA07a1</v>
      </c>
      <c r="B179" s="134" t="str">
        <f>IF(P178&gt;=R178,BIBLE!F93,"")</f>
        <v xml:space="preserve">Il arrive à l’autre parent de se fâcher contre votre enfant lorsqu'il ou elle exprime de l'affection pour vous. </v>
      </c>
      <c r="C179" s="459" t="str">
        <f>BIBLE!O93</f>
        <v xml:space="preserve">Nulle / Très faible / Faible / Moyenne / Élevée / Très élevée / S.O. </v>
      </c>
      <c r="D179" s="1278">
        <f>BIBLE!L93</f>
        <v>3</v>
      </c>
      <c r="E179" s="19"/>
      <c r="F179" s="19"/>
      <c r="G179" s="19"/>
      <c r="H179" s="8">
        <v>1</v>
      </c>
      <c r="P179" s="1547" t="str">
        <f>'TEST_pour PROTOTYPE'!D160</f>
        <v>7</v>
      </c>
      <c r="Q179" s="24">
        <f t="shared" si="23"/>
        <v>21</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21</v>
      </c>
      <c r="AT179" s="16"/>
      <c r="AU179" s="6">
        <f t="shared" si="29"/>
        <v>0</v>
      </c>
      <c r="AV179" s="6">
        <f t="shared" si="29"/>
        <v>3</v>
      </c>
      <c r="AW179" s="6">
        <f t="shared" si="29"/>
        <v>6</v>
      </c>
      <c r="AX179" s="6">
        <f t="shared" si="29"/>
        <v>12</v>
      </c>
      <c r="AY179" s="6">
        <f t="shared" si="29"/>
        <v>21</v>
      </c>
      <c r="AZ179" s="6">
        <f t="shared" si="29"/>
        <v>30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t="str">
        <f>'TEST_pour PROTOTYPE'!D161</f>
        <v>4</v>
      </c>
      <c r="Q180" s="24">
        <f t="shared" si="23"/>
        <v>4</v>
      </c>
      <c r="R180" s="8">
        <f>IF(BIBLE!K94=0,"",BIBLE!K94)</f>
        <v>4</v>
      </c>
      <c r="S180" s="16"/>
      <c r="T180" s="16"/>
      <c r="U180" s="16"/>
      <c r="V180" s="6">
        <f>IF(P180&gt;=R180,IF(Q180&gt;Q181,Q180,Q181),Q180)</f>
        <v>6</v>
      </c>
      <c r="X180" s="6">
        <f t="shared" ref="X180:AC180" si="30">IF(($P180&gt;=$R180),IF($Q180&gt;$Q181,X$109*$D180,X$109*$D181),X$109*$D180)</f>
        <v>0</v>
      </c>
      <c r="Y180" s="6">
        <f t="shared" si="30"/>
        <v>3</v>
      </c>
      <c r="Z180" s="6">
        <f t="shared" si="30"/>
        <v>6</v>
      </c>
      <c r="AA180" s="6">
        <f t="shared" si="30"/>
        <v>12</v>
      </c>
      <c r="AB180" s="6">
        <f t="shared" si="30"/>
        <v>21</v>
      </c>
      <c r="AC180" s="6">
        <f t="shared" si="30"/>
        <v>30</v>
      </c>
      <c r="AE180" s="472"/>
      <c r="AF180" s="1697"/>
      <c r="AG180" s="1697"/>
      <c r="AH180" s="22">
        <f>IF($Q180=$V180,$Q180*BIBLE!S94,$Q181*BIBLE!S95)</f>
        <v>6</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6</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Est-ce que l'autre parent fait ou a déjà fait des menaces (claires ou voilées) de vous enlever les enfants ?</v>
      </c>
      <c r="C181" s="459" t="str">
        <f>BIBLE!O95</f>
        <v xml:space="preserve">Jamais / Rarement / Occasionnellement / Régulièrement / Souvent / Toujours / S.O. </v>
      </c>
      <c r="D181" s="1278">
        <f>IF(AND(P181&gt;=2,$P$27&gt;=3),BIBLE!M95,BIBLE!L95)</f>
        <v>3</v>
      </c>
      <c r="E181" s="19"/>
      <c r="F181" s="19"/>
      <c r="G181" s="19"/>
      <c r="H181" s="46"/>
      <c r="I181" s="46">
        <v>1</v>
      </c>
      <c r="J181" s="46"/>
      <c r="K181" s="46"/>
      <c r="L181" s="46"/>
      <c r="M181" s="46"/>
      <c r="N181" s="46"/>
      <c r="O181" s="46"/>
      <c r="P181" s="1547" t="str">
        <f>'TEST_pour PROTOTYPE'!D162</f>
        <v>2</v>
      </c>
      <c r="Q181" s="24">
        <f t="shared" si="23"/>
        <v>6</v>
      </c>
      <c r="R181" s="8" t="str">
        <f>IF(BIBLE!K95=0,"",BIBLE!K95)</f>
        <v/>
      </c>
      <c r="S181" s="16"/>
      <c r="T181" s="16"/>
      <c r="U181" s="16"/>
      <c r="V181" s="6"/>
      <c r="W181" s="16"/>
      <c r="AE181" s="445">
        <f>Q181</f>
        <v>6</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t="str">
        <f>'TEST_pour PROTOTYPE'!D163</f>
        <v>4</v>
      </c>
      <c r="Q182" s="24">
        <f t="shared" si="23"/>
        <v>4</v>
      </c>
      <c r="R182" s="8" t="str">
        <f>IF(BIBLE!K96=0,"",BIBLE!K96)</f>
        <v/>
      </c>
      <c r="S182" s="16"/>
      <c r="T182" s="16"/>
      <c r="U182" s="16"/>
      <c r="V182" s="6">
        <f>Q182</f>
        <v>4</v>
      </c>
      <c r="W182" s="16"/>
      <c r="X182" s="6">
        <f t="shared" ref="X182:AC182" si="31">IF($Q182&gt;0,X$109*$D182,0)</f>
        <v>0</v>
      </c>
      <c r="Y182" s="6">
        <f t="shared" si="31"/>
        <v>1</v>
      </c>
      <c r="Z182" s="6">
        <f t="shared" si="31"/>
        <v>2</v>
      </c>
      <c r="AA182" s="6">
        <f t="shared" si="31"/>
        <v>4</v>
      </c>
      <c r="AB182" s="6">
        <f t="shared" si="31"/>
        <v>7</v>
      </c>
      <c r="AC182" s="6">
        <f t="shared" si="31"/>
        <v>10</v>
      </c>
      <c r="AE182" s="472"/>
      <c r="AF182" s="1697"/>
      <c r="AG182" s="1697"/>
      <c r="AH182" s="22">
        <f>$V182*BIBLE!S96</f>
        <v>4</v>
      </c>
      <c r="AI182" s="22">
        <f>$V182*BIBLE!T96</f>
        <v>0</v>
      </c>
      <c r="AJ182" s="22">
        <f>$V182*BIBLE!U96</f>
        <v>0</v>
      </c>
      <c r="AK182" s="1225">
        <f>$V182*BIBLE!W96</f>
        <v>0</v>
      </c>
      <c r="AL182" s="1225">
        <f>$V182*BIBLE!X96</f>
        <v>0</v>
      </c>
      <c r="AM182" s="1225">
        <f>$V182*BIBLE!Y96</f>
        <v>4</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2</v>
      </c>
      <c r="E183" s="19"/>
      <c r="F183" s="19"/>
      <c r="G183" s="19"/>
      <c r="H183" s="47"/>
      <c r="I183" s="47"/>
      <c r="J183" s="47"/>
      <c r="K183" s="47">
        <v>1</v>
      </c>
      <c r="L183" s="47"/>
      <c r="M183" s="47"/>
      <c r="N183" s="47"/>
      <c r="O183" s="47"/>
      <c r="P183" s="1547" t="str">
        <f>'TEST_pour PROTOTYPE'!D164</f>
        <v>2</v>
      </c>
      <c r="Q183" s="24">
        <f t="shared" si="23"/>
        <v>4</v>
      </c>
      <c r="R183" s="8">
        <f>IF(BIBLE!K97=0,"",BIBLE!K97)</f>
        <v>4</v>
      </c>
      <c r="S183" s="16"/>
      <c r="T183" s="16"/>
      <c r="U183" s="16"/>
      <c r="V183" s="6">
        <f>IF(P183&gt;=R183,IF(Q183&gt;Q184,Q183,Q184),Q183)</f>
        <v>4</v>
      </c>
      <c r="X183" s="6">
        <f t="shared" ref="X183:AC183" si="32">IF(($P183&gt;=$R183),IF($Q183&gt;$Q184,X$109*$D183,X$109*$D184),X$109*$D183)</f>
        <v>0</v>
      </c>
      <c r="Y183" s="6">
        <f t="shared" si="32"/>
        <v>2</v>
      </c>
      <c r="Z183" s="6">
        <f t="shared" si="32"/>
        <v>4</v>
      </c>
      <c r="AA183" s="6">
        <f t="shared" si="32"/>
        <v>8</v>
      </c>
      <c r="AB183" s="6">
        <f t="shared" si="32"/>
        <v>14</v>
      </c>
      <c r="AC183" s="6">
        <f t="shared" si="32"/>
        <v>20</v>
      </c>
      <c r="AE183" s="472"/>
      <c r="AF183" s="1697"/>
      <c r="AG183" s="1697"/>
      <c r="AH183" s="22">
        <f>IF($Q183=$V183,$Q183*BIBLE!S97,$Q184*BIBLE!S98)</f>
        <v>0</v>
      </c>
      <c r="AI183" s="22">
        <f>IF($Q183=$V183,$Q183*BIBLE!T97,$Q184*BIBLE!T98)</f>
        <v>2</v>
      </c>
      <c r="AJ183" s="22">
        <f>IF($Q183=$V183,$Q183*BIBLE!U97,$Q184*BIBLE!U98)</f>
        <v>2</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4</v>
      </c>
    </row>
    <row r="184" spans="1:73" s="8" customFormat="1" ht="66" customHeight="1">
      <c r="A184" s="1187" t="str">
        <f>BIBLE!E98</f>
        <v>PFA11a</v>
      </c>
      <c r="B184" s="134" t="str">
        <f>IF(P183&gt;=R183,BIBLE!F98,"")</f>
        <v>Est-ce que l'autre parent vous demande de respecter les désirs et les choix de votre enfant ?</v>
      </c>
      <c r="C184" s="459" t="str">
        <f>BIBLE!O98</f>
        <v xml:space="preserve">Jamais / Rarement / Occasionnellement / Régulièrement / Souvent / Toujours / S.O. </v>
      </c>
      <c r="D184" s="1643">
        <f>IF($E$40&gt;=11,BIBLE!L98,BIBLE!M98)</f>
        <v>2</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2</v>
      </c>
      <c r="E185" s="19"/>
      <c r="F185" s="19"/>
      <c r="G185" s="19"/>
      <c r="H185" s="20"/>
      <c r="I185" s="20"/>
      <c r="J185" s="20"/>
      <c r="K185" s="20">
        <v>1</v>
      </c>
      <c r="L185" s="20"/>
      <c r="M185" s="20"/>
      <c r="N185" s="20"/>
      <c r="O185" s="20"/>
      <c r="P185" s="1547" t="str">
        <f>'TEST_pour PROTOTYPE'!D166</f>
        <v>4</v>
      </c>
      <c r="Q185" s="24">
        <f t="shared" si="23"/>
        <v>8</v>
      </c>
      <c r="R185" s="8" t="str">
        <f>IF(BIBLE!K99=0,"",BIBLE!K99)</f>
        <v/>
      </c>
      <c r="S185" s="16"/>
      <c r="T185" s="16"/>
      <c r="U185" s="16"/>
      <c r="V185" s="6">
        <f>Q185</f>
        <v>8</v>
      </c>
      <c r="W185" s="16"/>
      <c r="X185" s="6">
        <f t="shared" ref="X185:AC185" si="33">IF($Q185&gt;0,X$109*$D185,0)</f>
        <v>0</v>
      </c>
      <c r="Y185" s="6">
        <f t="shared" si="33"/>
        <v>2</v>
      </c>
      <c r="Z185" s="6">
        <f t="shared" si="33"/>
        <v>4</v>
      </c>
      <c r="AA185" s="6">
        <f t="shared" si="33"/>
        <v>8</v>
      </c>
      <c r="AB185" s="6">
        <f t="shared" si="33"/>
        <v>14</v>
      </c>
      <c r="AC185" s="6">
        <f t="shared" si="33"/>
        <v>20</v>
      </c>
      <c r="AE185" s="472"/>
      <c r="AF185" s="1697"/>
      <c r="AG185" s="1697"/>
      <c r="AH185" s="22">
        <f>$V185*BIBLE!S99</f>
        <v>0</v>
      </c>
      <c r="AI185" s="22">
        <f>$V185*BIBLE!T99</f>
        <v>0</v>
      </c>
      <c r="AJ185" s="22">
        <f>$V185*BIBLE!U99</f>
        <v>8</v>
      </c>
      <c r="AK185" s="1225">
        <f>$V185*BIBLE!W99</f>
        <v>0</v>
      </c>
      <c r="AL185" s="1225">
        <f>$V185*BIBLE!X99</f>
        <v>0</v>
      </c>
      <c r="AM185" s="1225">
        <f>$V185*BIBLE!Y99</f>
        <v>8</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t="str">
        <f>'TEST_pour PROTOTYPE'!D167</f>
        <v>10</v>
      </c>
      <c r="Q186" s="24">
        <f t="shared" si="23"/>
        <v>10</v>
      </c>
      <c r="R186" s="8">
        <f>IF(BIBLE!K100=0,"",BIBLE!K100)</f>
        <v>4</v>
      </c>
      <c r="S186" s="16"/>
      <c r="T186" s="16"/>
      <c r="U186" s="16"/>
      <c r="V186" s="6">
        <f>IF(P186&gt;=R186,IF(SUM(Q187:Q189)&gt;Q186,SUM(Q187:Q189),Q186),Q186)</f>
        <v>23</v>
      </c>
      <c r="X186" s="6">
        <f>IF(Q186&gt;SUM(Q187:Q189),AU186,SUM(AU187:AU189))</f>
        <v>0</v>
      </c>
      <c r="Y186" s="6">
        <f>IF(Q186&gt;SUM(Q187:Q189),AV186,SUM(AV187:AV189))</f>
        <v>5</v>
      </c>
      <c r="Z186" s="6">
        <f>IF(Q186&gt;SUM(Q187:Q189),AW186,SUM(AW187:AW189))</f>
        <v>10</v>
      </c>
      <c r="AA186" s="6">
        <f>IF(Q186&gt;SUM(Q187:Q189),AX186,SUM(AX187:AX189))</f>
        <v>20</v>
      </c>
      <c r="AB186" s="6">
        <f>IF(Q186&gt;SUM(Q187:Q189),AY186,SUM(AY187:AY189))</f>
        <v>35</v>
      </c>
      <c r="AC186" s="6">
        <f>IF(Q186&gt;SUM(Q187:Q189),AZ186,SUM(AZ187:AZ189))</f>
        <v>50</v>
      </c>
      <c r="AE186" s="472"/>
      <c r="AF186" s="1697"/>
      <c r="AG186" s="1697"/>
      <c r="AH186" s="22">
        <f>IF($Q186=$V186,$Q186*BIBLE!S100,(Test_Bible!$Q187*BIBLE!S101+Test_Bible!$Q188*BIBLE!S102+$Q189*BIBLE!S103))</f>
        <v>2</v>
      </c>
      <c r="AI186" s="22">
        <f>IF($Q186=$V186,$Q186*BIBLE!T100,(Test_Bible!$Q187*BIBLE!T101+Test_Bible!$Q188*BIBLE!T102+$Q189*BIBLE!T103))</f>
        <v>21</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23</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10</v>
      </c>
      <c r="AT186" s="16"/>
      <c r="AU186" s="6">
        <f t="shared" ref="AU186:AZ189" si="34">IF($Q186&gt;0,X$109*$D186,0)</f>
        <v>0</v>
      </c>
      <c r="AV186" s="6">
        <f t="shared" si="34"/>
        <v>1</v>
      </c>
      <c r="AW186" s="6">
        <f t="shared" si="34"/>
        <v>2</v>
      </c>
      <c r="AX186" s="6">
        <f t="shared" si="34"/>
        <v>4</v>
      </c>
      <c r="AY186" s="6">
        <f t="shared" si="34"/>
        <v>7</v>
      </c>
      <c r="AZ186" s="6">
        <f t="shared" si="34"/>
        <v>10</v>
      </c>
      <c r="BB186" s="17" t="s">
        <v>1374</v>
      </c>
    </row>
    <row r="187" spans="1:73" s="8" customFormat="1" ht="66" customHeight="1">
      <c r="A187" s="1187" t="str">
        <f>BIBLE!E101</f>
        <v>PFA13a</v>
      </c>
      <c r="B187" s="1202" t="str">
        <f>IF($P$186&gt;=$R$186,BIBLE!F101,"")</f>
        <v>L'autre parent vous renvoie une image négative de vous-même en tant que parent, ridiculise vos décisions ou vous insulte.</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t="str">
        <f>'TEST_pour PROTOTYPE'!D168</f>
        <v>7</v>
      </c>
      <c r="Q187" s="24">
        <f t="shared" si="23"/>
        <v>21</v>
      </c>
      <c r="R187" s="8" t="str">
        <f>IF(BIBLE!K101=0,"",BIBLE!K101)</f>
        <v/>
      </c>
      <c r="S187" s="16"/>
      <c r="T187" s="16"/>
      <c r="U187" s="16"/>
      <c r="AE187" s="445">
        <f>Q187</f>
        <v>21</v>
      </c>
      <c r="AF187" s="1699"/>
      <c r="AG187" s="1699"/>
      <c r="AH187" s="24"/>
      <c r="AI187" s="24"/>
      <c r="AJ187" s="24"/>
      <c r="AK187" s="1227"/>
      <c r="AL187" s="1227"/>
      <c r="AM187" s="1227"/>
      <c r="AN187" s="1227"/>
      <c r="AO187" s="1227"/>
      <c r="AP187" s="1227"/>
      <c r="AQ187" s="1227"/>
      <c r="AR187" s="1227"/>
      <c r="AS187" s="6">
        <f>Q187</f>
        <v>21</v>
      </c>
      <c r="AT187" s="16"/>
      <c r="AU187" s="6">
        <f t="shared" si="34"/>
        <v>0</v>
      </c>
      <c r="AV187" s="6">
        <f t="shared" si="34"/>
        <v>3</v>
      </c>
      <c r="AW187" s="6">
        <f t="shared" si="34"/>
        <v>6</v>
      </c>
      <c r="AX187" s="6">
        <f t="shared" si="34"/>
        <v>12</v>
      </c>
      <c r="AY187" s="6">
        <f t="shared" si="34"/>
        <v>21</v>
      </c>
      <c r="AZ187" s="6">
        <f t="shared" si="34"/>
        <v>30</v>
      </c>
      <c r="BB187" s="6">
        <f>AS186</f>
        <v>10</v>
      </c>
      <c r="BD187" s="6">
        <f t="shared" ref="BD187:BJ187" si="35">AU186</f>
        <v>0</v>
      </c>
      <c r="BE187" s="6">
        <f t="shared" si="35"/>
        <v>1</v>
      </c>
      <c r="BF187" s="6">
        <f t="shared" si="35"/>
        <v>2</v>
      </c>
      <c r="BG187" s="6">
        <f t="shared" si="35"/>
        <v>4</v>
      </c>
      <c r="BH187" s="6">
        <f t="shared" si="35"/>
        <v>7</v>
      </c>
      <c r="BI187" s="6">
        <f t="shared" si="35"/>
        <v>10</v>
      </c>
      <c r="BJ187" s="6">
        <f t="shared" si="35"/>
        <v>0</v>
      </c>
      <c r="BK187" s="6">
        <f>BB187</f>
        <v>10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23</v>
      </c>
      <c r="BD188" s="6">
        <f t="shared" ref="BD188:BJ188" si="36">SUM(AU187:AU189)</f>
        <v>0</v>
      </c>
      <c r="BE188" s="6">
        <f t="shared" si="36"/>
        <v>5</v>
      </c>
      <c r="BF188" s="6">
        <f t="shared" si="36"/>
        <v>10</v>
      </c>
      <c r="BG188" s="6">
        <f t="shared" si="36"/>
        <v>20</v>
      </c>
      <c r="BH188" s="6">
        <f t="shared" si="36"/>
        <v>35</v>
      </c>
      <c r="BI188" s="6">
        <f t="shared" si="36"/>
        <v>50</v>
      </c>
      <c r="BJ188" s="6">
        <f t="shared" si="36"/>
        <v>0</v>
      </c>
      <c r="BK188" s="6">
        <f>SUM(BB188:BB189)</f>
        <v>23</v>
      </c>
    </row>
    <row r="189" spans="1:73" s="8" customFormat="1" ht="66" customHeight="1">
      <c r="A189" s="1187" t="str">
        <f>BIBLE!E103</f>
        <v>PFA13c</v>
      </c>
      <c r="B189" s="1202" t="str">
        <f>IF($P$186&gt;=$R$186,BIBLE!F103,"")</f>
        <v>L'autre parent présente à votre entourage une vision négative de vos compétences parentales ou de votre santé mentale.</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t="str">
        <f>'TEST_pour PROTOTYPE'!D170</f>
        <v>1</v>
      </c>
      <c r="Q189" s="24">
        <f t="shared" si="23"/>
        <v>2</v>
      </c>
      <c r="R189" s="8" t="str">
        <f>IF(BIBLE!K103=0,"",BIBLE!K103)</f>
        <v/>
      </c>
      <c r="AE189" s="445">
        <f>Q189</f>
        <v>2</v>
      </c>
      <c r="AF189" s="1699"/>
      <c r="AG189" s="1699"/>
      <c r="AH189" s="24"/>
      <c r="AI189" s="24"/>
      <c r="AJ189" s="24"/>
      <c r="AK189" s="1227"/>
      <c r="AL189" s="1227"/>
      <c r="AM189" s="1227"/>
      <c r="AN189" s="1227"/>
      <c r="AO189" s="1227"/>
      <c r="AP189" s="1227"/>
      <c r="AQ189" s="1227"/>
      <c r="AR189" s="1227"/>
      <c r="AS189" s="6">
        <f>Q189</f>
        <v>2</v>
      </c>
      <c r="AU189" s="6">
        <f t="shared" si="34"/>
        <v>0</v>
      </c>
      <c r="AV189" s="6">
        <f t="shared" si="34"/>
        <v>2</v>
      </c>
      <c r="AW189" s="6">
        <f t="shared" si="34"/>
        <v>4</v>
      </c>
      <c r="AX189" s="6">
        <f t="shared" si="34"/>
        <v>8</v>
      </c>
      <c r="AY189" s="6">
        <f t="shared" si="34"/>
        <v>14</v>
      </c>
      <c r="AZ189" s="6">
        <f t="shared" si="34"/>
        <v>20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t="str">
        <f>'TEST_pour PROTOTYPE'!D171</f>
        <v>2</v>
      </c>
      <c r="Q190" s="24">
        <f t="shared" si="23"/>
        <v>2</v>
      </c>
      <c r="R190" s="8" t="str">
        <f>IF(BIBLE!K104=0,"",BIBLE!K104)</f>
        <v/>
      </c>
      <c r="V190" s="6">
        <f>Q190</f>
        <v>2</v>
      </c>
      <c r="X190" s="6">
        <f t="shared" ref="X190:AC190" si="37">IF($Q190&gt;0,X$109*$D190,0)</f>
        <v>0</v>
      </c>
      <c r="Y190" s="6">
        <f t="shared" si="37"/>
        <v>1</v>
      </c>
      <c r="Z190" s="6">
        <f t="shared" si="37"/>
        <v>2</v>
      </c>
      <c r="AA190" s="6">
        <f t="shared" si="37"/>
        <v>4</v>
      </c>
      <c r="AB190" s="6">
        <f t="shared" si="37"/>
        <v>7</v>
      </c>
      <c r="AC190" s="6">
        <f t="shared" si="37"/>
        <v>10</v>
      </c>
      <c r="AE190" s="472"/>
      <c r="AF190" s="1697"/>
      <c r="AG190" s="1697"/>
      <c r="AH190" s="22">
        <f>$V190*BIBLE!S104</f>
        <v>0</v>
      </c>
      <c r="AI190" s="22">
        <f>$V190*BIBLE!T104</f>
        <v>0</v>
      </c>
      <c r="AJ190" s="22">
        <f>$V190*BIBLE!U104</f>
        <v>2</v>
      </c>
      <c r="AK190" s="1225">
        <f>$V190*BIBLE!W104</f>
        <v>0</v>
      </c>
      <c r="AL190" s="1225">
        <f>$V190*BIBLE!X104</f>
        <v>0</v>
      </c>
      <c r="AM190" s="1225">
        <f>$V190*BIBLE!Y104</f>
        <v>0</v>
      </c>
      <c r="AN190" s="1225">
        <f>$V190*BIBLE!Z104</f>
        <v>2</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t="str">
        <f>'TEST_pour PROTOTYPE'!D172</f>
        <v>1</v>
      </c>
      <c r="Q191" s="24">
        <f t="shared" si="23"/>
        <v>2</v>
      </c>
      <c r="R191" s="8">
        <f>IF(BIBLE!K105=0,"",BIBLE!K105)</f>
        <v>4</v>
      </c>
      <c r="S191" s="16"/>
      <c r="T191" s="16"/>
      <c r="U191" s="16"/>
      <c r="V191" s="6">
        <f>IF(P191&gt;=R191,IF(Q191&gt;Q192,Q191,Q192),Q191)</f>
        <v>2</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2</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2</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L'autre parent demande à votre enfant d'appeler son nouveau ou nouvelle conjoint·e maman ou papa.</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t="str">
        <f>'TEST_pour PROTOTYPE'!D174</f>
        <v>7</v>
      </c>
      <c r="Q193" s="24">
        <f t="shared" si="23"/>
        <v>14</v>
      </c>
      <c r="R193" s="8">
        <f>IF(BIBLE!K107=0,"",BIBLE!K107)</f>
        <v>2</v>
      </c>
      <c r="S193" s="8"/>
      <c r="T193" s="8"/>
      <c r="U193" s="8"/>
      <c r="V193" s="6">
        <f>MAX(AS193,SUM(BD194:BD195))</f>
        <v>14</v>
      </c>
      <c r="X193" s="6">
        <f t="shared" ref="X193:AC193" si="39">MAX(BF193,SUM(BF194:BF195))</f>
        <v>0</v>
      </c>
      <c r="Y193" s="6">
        <f t="shared" si="39"/>
        <v>5</v>
      </c>
      <c r="Z193" s="6">
        <f t="shared" si="39"/>
        <v>10</v>
      </c>
      <c r="AA193" s="6">
        <f t="shared" si="39"/>
        <v>20</v>
      </c>
      <c r="AB193" s="6">
        <f t="shared" si="39"/>
        <v>35</v>
      </c>
      <c r="AC193" s="6">
        <f t="shared" si="39"/>
        <v>50</v>
      </c>
      <c r="AE193" s="473"/>
      <c r="AF193" s="38"/>
      <c r="AG193" s="38"/>
      <c r="AH193" s="69">
        <f>IF($Q193=$V193,$Q193*BIBLE!S107,IF($Q196&gt;=$Q195,(Test_Bible!$Q196*BIBLE!S110+Test_Bible!$Q194*BIBLE!S108),(Test_Bible!$Q195*BIBLE!S109+Test_Bible!$Q194*BIBLE!S108)))</f>
        <v>14</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14</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14</v>
      </c>
      <c r="AT193" s="8"/>
      <c r="AU193" s="6">
        <f t="shared" ref="AU193:AZ196" si="40">IF($Q193&gt;0,X$109*$D193,0)</f>
        <v>0</v>
      </c>
      <c r="AV193" s="6">
        <f t="shared" si="40"/>
        <v>2</v>
      </c>
      <c r="AW193" s="6">
        <f t="shared" si="40"/>
        <v>4</v>
      </c>
      <c r="AX193" s="6">
        <f t="shared" si="40"/>
        <v>8</v>
      </c>
      <c r="AY193" s="6">
        <f t="shared" si="40"/>
        <v>14</v>
      </c>
      <c r="AZ193" s="6">
        <f t="shared" si="40"/>
        <v>20</v>
      </c>
      <c r="BD193" s="6">
        <f>IF(P193&gt;R193,IF(Q193&gt;Q194,Q193,Q194),0)</f>
        <v>14</v>
      </c>
      <c r="BE193" s="8"/>
      <c r="BF193" s="6">
        <f t="shared" ref="BF193:BK193" si="41">IF(($P193&gt;$R193),IF($Q193&gt;$Q194,X$109*$D193,X$109*$D194),0)</f>
        <v>0</v>
      </c>
      <c r="BG193" s="6">
        <f t="shared" si="41"/>
        <v>2</v>
      </c>
      <c r="BH193" s="6">
        <f t="shared" si="41"/>
        <v>4</v>
      </c>
      <c r="BI193" s="6">
        <f t="shared" si="41"/>
        <v>8</v>
      </c>
      <c r="BJ193" s="6">
        <f t="shared" si="41"/>
        <v>14</v>
      </c>
      <c r="BK193" s="6">
        <f t="shared" si="41"/>
        <v>20</v>
      </c>
      <c r="BM193" s="521">
        <f>BD193</f>
        <v>14</v>
      </c>
      <c r="BO193" s="521">
        <f t="shared" ref="BO193:BT193" si="42">BF193</f>
        <v>0</v>
      </c>
      <c r="BP193" s="521">
        <f t="shared" si="42"/>
        <v>2</v>
      </c>
      <c r="BQ193" s="521">
        <f t="shared" si="42"/>
        <v>4</v>
      </c>
      <c r="BR193" s="521">
        <f t="shared" si="42"/>
        <v>8</v>
      </c>
      <c r="BS193" s="521">
        <f t="shared" si="42"/>
        <v>14</v>
      </c>
      <c r="BT193" s="521">
        <f t="shared" si="42"/>
        <v>20</v>
      </c>
    </row>
    <row r="194" spans="1:72" s="7" customFormat="1" ht="63" customHeight="1">
      <c r="A194" s="1187" t="str">
        <f>BIBLE!E108</f>
        <v>PFA16a</v>
      </c>
      <c r="B194" s="134" t="str">
        <f>IF(P193&gt;=R193,BIBLE!F108,"")</f>
        <v>Arrive-t-il que l'autre parent ramène votre enfant à la maison à l'heure qui lui convient, sans respecter l'entente initiale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t="str">
        <f>'TEST_pour PROTOTYPE'!D175</f>
        <v>2</v>
      </c>
      <c r="Q194" s="24">
        <f t="shared" si="23"/>
        <v>4</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4</v>
      </c>
      <c r="AT194" s="8"/>
      <c r="AU194" s="6">
        <f t="shared" si="40"/>
        <v>0</v>
      </c>
      <c r="AV194" s="6">
        <f t="shared" si="40"/>
        <v>2</v>
      </c>
      <c r="AW194" s="6">
        <f t="shared" si="40"/>
        <v>4</v>
      </c>
      <c r="AX194" s="6">
        <f t="shared" si="40"/>
        <v>8</v>
      </c>
      <c r="AY194" s="6">
        <f t="shared" si="40"/>
        <v>14</v>
      </c>
      <c r="AZ194" s="6">
        <f t="shared" si="40"/>
        <v>20</v>
      </c>
      <c r="BB194" s="7" t="s">
        <v>1378</v>
      </c>
      <c r="BD194" s="6">
        <f>Q194</f>
        <v>4</v>
      </c>
      <c r="BE194" s="8"/>
      <c r="BF194" s="6">
        <f t="shared" ref="BF194:BK194" si="43">IF($Q194&gt;0,X$109*$D194,0)</f>
        <v>0</v>
      </c>
      <c r="BG194" s="6">
        <f t="shared" si="43"/>
        <v>2</v>
      </c>
      <c r="BH194" s="6">
        <f t="shared" si="43"/>
        <v>4</v>
      </c>
      <c r="BI194" s="6">
        <f t="shared" si="43"/>
        <v>8</v>
      </c>
      <c r="BJ194" s="6">
        <f t="shared" si="43"/>
        <v>14</v>
      </c>
      <c r="BK194" s="6">
        <f t="shared" si="43"/>
        <v>20</v>
      </c>
      <c r="BM194" s="521">
        <f>SUM(BD194:BD195)</f>
        <v>12</v>
      </c>
      <c r="BO194" s="521">
        <f t="shared" ref="BO194:BT194" si="44">SUM(BF194:BF195)</f>
        <v>0</v>
      </c>
      <c r="BP194" s="521">
        <f t="shared" si="44"/>
        <v>5</v>
      </c>
      <c r="BQ194" s="521">
        <f t="shared" si="44"/>
        <v>10</v>
      </c>
      <c r="BR194" s="521">
        <f t="shared" si="44"/>
        <v>20</v>
      </c>
      <c r="BS194" s="521">
        <f t="shared" si="44"/>
        <v>35</v>
      </c>
      <c r="BT194" s="521">
        <f t="shared" si="44"/>
        <v>50</v>
      </c>
    </row>
    <row r="195" spans="1:72" s="7" customFormat="1" ht="63" customHeight="1">
      <c r="A195" s="1187" t="str">
        <f>BIBLE!E109</f>
        <v>PFA16b</v>
      </c>
      <c r="B195" s="134" t="str">
        <f>IF(P193&gt;=R193,BIBLE!F109,"")</f>
        <v>Arrive-t-il que l’autre parent organise et propose des activités à votre enfant sur votre temps de garde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t="str">
        <f>'TEST_pour PROTOTYPE'!D176</f>
        <v>4</v>
      </c>
      <c r="Q195" s="24">
        <f t="shared" si="23"/>
        <v>8</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8</v>
      </c>
      <c r="AT195" s="8"/>
      <c r="AU195" s="6">
        <f t="shared" si="40"/>
        <v>0</v>
      </c>
      <c r="AV195" s="6">
        <f t="shared" si="40"/>
        <v>2</v>
      </c>
      <c r="AW195" s="6">
        <f t="shared" si="40"/>
        <v>4</v>
      </c>
      <c r="AX195" s="6">
        <f t="shared" si="40"/>
        <v>8</v>
      </c>
      <c r="AY195" s="6">
        <f t="shared" si="40"/>
        <v>14</v>
      </c>
      <c r="AZ195" s="6">
        <f t="shared" si="40"/>
        <v>20</v>
      </c>
      <c r="BB195" s="7" t="s">
        <v>1378</v>
      </c>
      <c r="BD195" s="6">
        <f>MAX(AS195:AS196)</f>
        <v>8</v>
      </c>
      <c r="BE195" s="8"/>
      <c r="BF195" s="6">
        <f t="shared" ref="BF195:BK195" si="45">MAX(AU195:AU196)</f>
        <v>0</v>
      </c>
      <c r="BG195" s="6">
        <f t="shared" si="45"/>
        <v>3</v>
      </c>
      <c r="BH195" s="6">
        <f t="shared" si="45"/>
        <v>6</v>
      </c>
      <c r="BI195" s="6">
        <f t="shared" si="45"/>
        <v>12</v>
      </c>
      <c r="BJ195" s="6">
        <f t="shared" si="45"/>
        <v>21</v>
      </c>
      <c r="BK195" s="6">
        <f t="shared" si="45"/>
        <v>30</v>
      </c>
    </row>
    <row r="196" spans="1:72" s="7" customFormat="1" ht="63" customHeight="1">
      <c r="A196" s="1187" t="str">
        <f>BIBLE!E110</f>
        <v>PFA16b1</v>
      </c>
      <c r="B196" s="134" t="str">
        <f>IF(P195&gt;=R195,BIBLE!F110,"")</f>
        <v>Arrive-t-il que l’autre parent organise et propose des activités amusantes, voire irrésistibles à votre enfant durant votre temps de garde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t="str">
        <f>'TEST_pour PROTOTYPE'!D177</f>
        <v>2</v>
      </c>
      <c r="Q196" s="24">
        <f t="shared" si="23"/>
        <v>6</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6</v>
      </c>
      <c r="AT196" s="8"/>
      <c r="AU196" s="6">
        <f t="shared" si="40"/>
        <v>0</v>
      </c>
      <c r="AV196" s="6">
        <f t="shared" si="40"/>
        <v>3</v>
      </c>
      <c r="AW196" s="6">
        <f t="shared" si="40"/>
        <v>6</v>
      </c>
      <c r="AX196" s="6">
        <f t="shared" si="40"/>
        <v>12</v>
      </c>
      <c r="AY196" s="6">
        <f t="shared" si="40"/>
        <v>21</v>
      </c>
      <c r="AZ196" s="6">
        <f t="shared" si="40"/>
        <v>30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t="str">
        <f>'TEST_pour PROTOTYPE'!D178</f>
        <v>1</v>
      </c>
      <c r="Q197" s="24">
        <f t="shared" si="23"/>
        <v>1</v>
      </c>
      <c r="R197" s="8" t="str">
        <f>IF(BIBLE!K111=0,"",BIBLE!K111)</f>
        <v/>
      </c>
      <c r="S197" s="451"/>
      <c r="T197" s="451"/>
      <c r="U197" s="451"/>
      <c r="V197" s="6">
        <f>Q197</f>
        <v>1</v>
      </c>
      <c r="W197" s="451"/>
      <c r="X197" s="6">
        <f t="shared" ref="X197:AC198" si="46">IF($Q197&gt;0,X$109*$D197,0)</f>
        <v>0</v>
      </c>
      <c r="Y197" s="6">
        <f t="shared" si="46"/>
        <v>1</v>
      </c>
      <c r="Z197" s="6">
        <f t="shared" si="46"/>
        <v>2</v>
      </c>
      <c r="AA197" s="6">
        <f t="shared" si="46"/>
        <v>4</v>
      </c>
      <c r="AB197" s="6">
        <f t="shared" si="46"/>
        <v>7</v>
      </c>
      <c r="AC197" s="6">
        <f t="shared" si="46"/>
        <v>10</v>
      </c>
      <c r="AE197" s="473"/>
      <c r="AF197" s="38"/>
      <c r="AG197" s="38"/>
      <c r="AH197" s="22">
        <f>$V197*BIBLE!S111</f>
        <v>1</v>
      </c>
      <c r="AI197" s="22">
        <f>$V197*BIBLE!T111</f>
        <v>0</v>
      </c>
      <c r="AJ197" s="22">
        <f>$V197*BIBLE!U111</f>
        <v>0</v>
      </c>
      <c r="AK197" s="1225">
        <f>$V197*BIBLE!W111</f>
        <v>0</v>
      </c>
      <c r="AL197" s="1225">
        <f>$V197*BIBLE!X111</f>
        <v>0</v>
      </c>
      <c r="AM197" s="1225">
        <f>$V197*BIBLE!Y111</f>
        <v>0</v>
      </c>
      <c r="AN197" s="1225">
        <f>$V197*BIBLE!Z111</f>
        <v>0</v>
      </c>
      <c r="AO197" s="1225">
        <f>$V197*BIBLE!AA111</f>
        <v>1</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3</v>
      </c>
      <c r="E198" s="19"/>
      <c r="F198" s="19"/>
      <c r="G198" s="19"/>
      <c r="H198" s="19"/>
      <c r="I198" s="19"/>
      <c r="J198" s="19">
        <v>1</v>
      </c>
      <c r="K198" s="19"/>
      <c r="L198" s="19"/>
      <c r="M198" s="19"/>
      <c r="N198" s="19"/>
      <c r="O198" s="19"/>
      <c r="P198" s="1547" t="str">
        <f>'TEST_pour PROTOTYPE'!D179</f>
        <v>2</v>
      </c>
      <c r="Q198" s="24">
        <f t="shared" si="23"/>
        <v>6</v>
      </c>
      <c r="R198" s="8">
        <f>IF(BIBLE!K112=0,"",BIBLE!K112)</f>
        <v>4</v>
      </c>
      <c r="S198" s="273"/>
      <c r="T198" s="273"/>
      <c r="U198" s="273"/>
      <c r="V198" s="6">
        <f>Q198</f>
        <v>6</v>
      </c>
      <c r="W198" s="273"/>
      <c r="X198" s="6">
        <f t="shared" si="46"/>
        <v>0</v>
      </c>
      <c r="Y198" s="6">
        <f t="shared" si="46"/>
        <v>3</v>
      </c>
      <c r="Z198" s="6">
        <f t="shared" si="46"/>
        <v>6</v>
      </c>
      <c r="AA198" s="6">
        <f t="shared" si="46"/>
        <v>12</v>
      </c>
      <c r="AB198" s="6">
        <f t="shared" si="46"/>
        <v>21</v>
      </c>
      <c r="AC198" s="6">
        <f t="shared" si="46"/>
        <v>30</v>
      </c>
      <c r="AE198" s="473"/>
      <c r="AF198" s="38"/>
      <c r="AG198" s="38"/>
      <c r="AH198" s="22">
        <f>$V198*BIBLE!S112</f>
        <v>6</v>
      </c>
      <c r="AI198" s="22">
        <f>$V198*BIBLE!T112</f>
        <v>0</v>
      </c>
      <c r="AJ198" s="22">
        <f>$V198*BIBLE!U112</f>
        <v>0</v>
      </c>
      <c r="AK198" s="1225">
        <f>$V198*BIBLE!W112</f>
        <v>0</v>
      </c>
      <c r="AL198" s="1225">
        <f>$V198*BIBLE!X112</f>
        <v>0</v>
      </c>
      <c r="AM198" s="1225">
        <f>$V198*BIBLE!Y112</f>
        <v>0</v>
      </c>
      <c r="AN198" s="1225">
        <f>$V198*BIBLE!Z112</f>
        <v>0</v>
      </c>
      <c r="AO198" s="1225">
        <f>$V198*BIBLE!AA112</f>
        <v>6</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t="str">
        <f>'TEST_pour PROTOTYPE'!D180</f>
        <v>2</v>
      </c>
      <c r="Q199" s="24">
        <f t="shared" si="23"/>
        <v>4</v>
      </c>
      <c r="R199" s="8">
        <f>IF(BIBLE!K113=0,"",BIBLE!K113)</f>
        <v>7</v>
      </c>
      <c r="S199" s="273"/>
      <c r="T199" s="273"/>
      <c r="U199" s="273"/>
      <c r="V199" s="6">
        <f>IF(P199&gt;=R199,IF(Q199&gt;Q200,Q199,Q200),Q199)</f>
        <v>4</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4</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4</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L'autre parent demande aux personnes gravitant autour de votre enfant (profs, médecins, entraîneurs, etc.) de ne PAS vous communiquer de l'information à son sujet.</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t="str">
        <f>'TEST_pour PROTOTYPE'!D182</f>
        <v>2</v>
      </c>
      <c r="Q201" s="24">
        <f t="shared" si="23"/>
        <v>2</v>
      </c>
      <c r="R201" s="8">
        <f>IF(BIBLE!K115=0,"",BIBLE!K115)</f>
        <v>4</v>
      </c>
      <c r="S201" s="16"/>
      <c r="T201" s="16"/>
      <c r="U201" s="16"/>
      <c r="V201" s="6">
        <f>MAX(AS201:AS204)</f>
        <v>2</v>
      </c>
      <c r="W201" s="8"/>
      <c r="X201" s="6">
        <f t="shared" ref="X201:AC201" si="48">MAX(AU201:AU204)</f>
        <v>0</v>
      </c>
      <c r="Y201" s="6">
        <f t="shared" si="48"/>
        <v>1</v>
      </c>
      <c r="Z201" s="6">
        <f t="shared" si="48"/>
        <v>2</v>
      </c>
      <c r="AA201" s="6">
        <f t="shared" si="48"/>
        <v>4</v>
      </c>
      <c r="AB201" s="6">
        <f t="shared" si="48"/>
        <v>7</v>
      </c>
      <c r="AC201" s="6">
        <f t="shared" si="48"/>
        <v>10</v>
      </c>
      <c r="AD201" s="8"/>
      <c r="AE201" s="472"/>
      <c r="AF201" s="1697"/>
      <c r="AG201" s="1697"/>
      <c r="AH201" s="22">
        <f>IF($Q201=$V201,$Q201*BIBLE!S115,(Test_Bible!$Q202*BIBLE!S116+Test_Bible!$Q204*BIBLE!S118+$Q203*BIBLE!S117))</f>
        <v>2</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2</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2</v>
      </c>
      <c r="AT201" s="16"/>
      <c r="AU201" s="6">
        <f t="shared" ref="AU201:AZ204" si="49">IF($Q201&gt;0,X$109*$D201,0)</f>
        <v>0</v>
      </c>
      <c r="AV201" s="6">
        <f t="shared" si="49"/>
        <v>1</v>
      </c>
      <c r="AW201" s="6">
        <f t="shared" si="49"/>
        <v>2</v>
      </c>
      <c r="AX201" s="6">
        <f t="shared" si="49"/>
        <v>4</v>
      </c>
      <c r="AY201" s="6">
        <f t="shared" si="49"/>
        <v>7</v>
      </c>
      <c r="AZ201" s="6">
        <f t="shared" si="49"/>
        <v>10</v>
      </c>
      <c r="BA201" s="8"/>
      <c r="BB201" s="6">
        <f>AS201</f>
        <v>2</v>
      </c>
      <c r="BC201" s="8"/>
      <c r="BD201" s="6">
        <f t="shared" ref="BD201:BI201" si="50">AU201</f>
        <v>0</v>
      </c>
      <c r="BE201" s="6">
        <f t="shared" si="50"/>
        <v>1</v>
      </c>
      <c r="BF201" s="6">
        <f t="shared" si="50"/>
        <v>2</v>
      </c>
      <c r="BG201" s="6">
        <f t="shared" si="50"/>
        <v>4</v>
      </c>
      <c r="BH201" s="6">
        <f t="shared" si="50"/>
        <v>7</v>
      </c>
      <c r="BI201" s="6">
        <f t="shared" si="50"/>
        <v>10</v>
      </c>
      <c r="BJ201" s="6"/>
      <c r="BK201" s="6"/>
    </row>
    <row r="202" spans="1:72" s="7" customFormat="1" ht="63" customHeight="1">
      <c r="A202" s="1187" t="str">
        <f>BIBLE!E116</f>
        <v>PFA20a</v>
      </c>
      <c r="B202" s="134" t="str">
        <f>IF(P201&gt;=R201,BIBLE!F116,"")</f>
        <v>Arrive-t-il que l'autre parent contrôle, écoute ou écourte vos conversations téléphoniques avec votre enfant (lors de son tour de garde)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t="str">
        <f>'TEST_pour PROTOTYPE'!D186</f>
        <v>4</v>
      </c>
      <c r="Q205" s="24">
        <f t="shared" si="23"/>
        <v>4</v>
      </c>
      <c r="R205" s="8" t="str">
        <f>IF(BIBLE!K119=0,"",BIBLE!K119)</f>
        <v/>
      </c>
      <c r="S205" s="273"/>
      <c r="T205" s="273"/>
      <c r="U205" s="273"/>
      <c r="V205" s="6">
        <f>Q205</f>
        <v>4</v>
      </c>
      <c r="W205" s="273"/>
      <c r="X205" s="6">
        <f t="shared" ref="X205:AC207" si="52">IF($Q205&gt;0,X$109*$D205,0)</f>
        <v>0</v>
      </c>
      <c r="Y205" s="6">
        <f t="shared" si="52"/>
        <v>1</v>
      </c>
      <c r="Z205" s="6">
        <f t="shared" si="52"/>
        <v>2</v>
      </c>
      <c r="AA205" s="6">
        <f t="shared" si="52"/>
        <v>4</v>
      </c>
      <c r="AB205" s="6">
        <f t="shared" si="52"/>
        <v>7</v>
      </c>
      <c r="AC205" s="6">
        <f t="shared" si="52"/>
        <v>10</v>
      </c>
      <c r="AE205" s="473"/>
      <c r="AF205" s="38"/>
      <c r="AG205" s="38"/>
      <c r="AH205" s="22">
        <f>$V205*BIBLE!S119</f>
        <v>2</v>
      </c>
      <c r="AI205" s="22">
        <f>$V205*BIBLE!T119</f>
        <v>2</v>
      </c>
      <c r="AJ205" s="22">
        <f>$V205*BIBLE!U119</f>
        <v>0</v>
      </c>
      <c r="AK205" s="1225">
        <f>$V205*BIBLE!W119</f>
        <v>0</v>
      </c>
      <c r="AL205" s="1225">
        <f>$V205*BIBLE!X119</f>
        <v>0</v>
      </c>
      <c r="AM205" s="1225">
        <f>$V205*BIBLE!Y119</f>
        <v>0</v>
      </c>
      <c r="AN205" s="1225">
        <f>$V205*BIBLE!Z119</f>
        <v>0</v>
      </c>
      <c r="AO205" s="1225">
        <f>$V205*BIBLE!AA119</f>
        <v>0</v>
      </c>
      <c r="AP205" s="1225">
        <f>$V205*BIBLE!AB119</f>
        <v>4</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t="str">
        <f>'TEST_pour PROTOTYPE'!D187</f>
        <v>2</v>
      </c>
      <c r="Q206" s="24">
        <f t="shared" si="23"/>
        <v>4</v>
      </c>
      <c r="R206" s="8" t="str">
        <f>IF(BIBLE!K120=0,"",BIBLE!K120)</f>
        <v/>
      </c>
      <c r="S206" s="273"/>
      <c r="T206" s="273"/>
      <c r="U206" s="273"/>
      <c r="V206" s="6">
        <f>Q206</f>
        <v>4</v>
      </c>
      <c r="W206" s="273"/>
      <c r="X206" s="6">
        <f t="shared" si="52"/>
        <v>0</v>
      </c>
      <c r="Y206" s="6">
        <f t="shared" si="52"/>
        <v>2</v>
      </c>
      <c r="Z206" s="6">
        <f t="shared" si="52"/>
        <v>4</v>
      </c>
      <c r="AA206" s="6">
        <f t="shared" si="52"/>
        <v>8</v>
      </c>
      <c r="AB206" s="6">
        <f t="shared" si="52"/>
        <v>14</v>
      </c>
      <c r="AC206" s="6">
        <f t="shared" si="52"/>
        <v>20</v>
      </c>
      <c r="AE206" s="473"/>
      <c r="AF206" s="38"/>
      <c r="AG206" s="38"/>
      <c r="AH206" s="22">
        <f>$V206*BIBLE!S120</f>
        <v>0</v>
      </c>
      <c r="AI206" s="22">
        <f>$V206*BIBLE!T120</f>
        <v>4</v>
      </c>
      <c r="AJ206" s="22">
        <f>$V206*BIBLE!U120</f>
        <v>0</v>
      </c>
      <c r="AK206" s="1225">
        <f>$V206*BIBLE!W120</f>
        <v>0</v>
      </c>
      <c r="AL206" s="1225">
        <f>$V206*BIBLE!X120</f>
        <v>0</v>
      </c>
      <c r="AM206" s="1225">
        <f>$V206*BIBLE!Y120</f>
        <v>0</v>
      </c>
      <c r="AN206" s="1225">
        <f>$V206*BIBLE!Z120</f>
        <v>0</v>
      </c>
      <c r="AO206" s="1225">
        <f>$V206*BIBLE!AA120</f>
        <v>0</v>
      </c>
      <c r="AP206" s="1225">
        <f>$V206*BIBLE!AB120</f>
        <v>4</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t="str">
        <f>'TEST_pour PROTOTYPE'!D188</f>
        <v>4</v>
      </c>
      <c r="Q207" s="24">
        <f t="shared" si="23"/>
        <v>4</v>
      </c>
      <c r="R207" s="8" t="str">
        <f>IF(BIBLE!K121=0,"",BIBLE!K121)</f>
        <v/>
      </c>
      <c r="S207" s="273"/>
      <c r="T207" s="273"/>
      <c r="U207" s="273"/>
      <c r="V207" s="6">
        <f>Q207</f>
        <v>4</v>
      </c>
      <c r="W207" s="273"/>
      <c r="X207" s="6">
        <f t="shared" si="52"/>
        <v>0</v>
      </c>
      <c r="Y207" s="6">
        <f t="shared" si="52"/>
        <v>1</v>
      </c>
      <c r="Z207" s="6">
        <f t="shared" si="52"/>
        <v>2</v>
      </c>
      <c r="AA207" s="6">
        <f t="shared" si="52"/>
        <v>4</v>
      </c>
      <c r="AB207" s="6">
        <f t="shared" si="52"/>
        <v>7</v>
      </c>
      <c r="AC207" s="6">
        <f t="shared" si="52"/>
        <v>10</v>
      </c>
      <c r="AE207" s="473"/>
      <c r="AF207" s="38"/>
      <c r="AG207" s="38"/>
      <c r="AH207" s="22">
        <f>$V207*BIBLE!S121</f>
        <v>2</v>
      </c>
      <c r="AI207" s="22">
        <f>$V207*BIBLE!T121</f>
        <v>2</v>
      </c>
      <c r="AJ207" s="22">
        <f>$V207*BIBLE!U121</f>
        <v>0</v>
      </c>
      <c r="AK207" s="1225">
        <f>$V207*BIBLE!W121</f>
        <v>0</v>
      </c>
      <c r="AL207" s="1225">
        <f>$V207*BIBLE!X121</f>
        <v>0</v>
      </c>
      <c r="AM207" s="1225">
        <f>$V207*BIBLE!Y121</f>
        <v>0</v>
      </c>
      <c r="AN207" s="1225">
        <f>$V207*BIBLE!Z121</f>
        <v>0</v>
      </c>
      <c r="AO207" s="1225">
        <f>$V207*BIBLE!AA121</f>
        <v>0</v>
      </c>
      <c r="AP207" s="1225">
        <f>$V207*BIBLE!AB121</f>
        <v>4</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t="str">
        <f>'TEST_pour PROTOTYPE'!D189</f>
        <v>2</v>
      </c>
      <c r="Q208" s="24">
        <f t="shared" si="23"/>
        <v>2</v>
      </c>
      <c r="R208" s="8">
        <f>BIBLE!K122</f>
        <v>4</v>
      </c>
      <c r="S208" s="273"/>
      <c r="T208" s="273"/>
      <c r="U208" s="273"/>
      <c r="V208" s="6">
        <f>IF(P208&gt;=R208,IF(Q208&gt;Q209,Q208,Q209),Q208)</f>
        <v>2</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2</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2</v>
      </c>
      <c r="AQ208" s="1225">
        <f>IF($Q208=$V208,$Q208*BIBLE!AC122,$Q209*BIBLE!AC123)</f>
        <v>0</v>
      </c>
      <c r="AR208" s="1225">
        <f>IF($Q208=$V208,$Q208*BIBLE!AD122,$Q209*BIBLE!AD123)</f>
        <v>0</v>
      </c>
    </row>
    <row r="209" spans="1:44" s="7" customFormat="1" ht="66" customHeight="1">
      <c r="A209" s="1187" t="str">
        <f>BIBLE!E123</f>
        <v>PFA23a</v>
      </c>
      <c r="B209" s="134" t="str">
        <f>IF(P208&gt;=R208,BIBLE!F123,"")</f>
        <v xml:space="preserve">Arrive-t-il que l'autre parent s'impose sa présence lors de fêtes ou d'activités destinés aux enfants ?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3</v>
      </c>
      <c r="E210" s="19"/>
      <c r="F210" s="19"/>
      <c r="G210" s="19"/>
      <c r="H210" s="19"/>
      <c r="I210" s="19"/>
      <c r="J210" s="19">
        <v>1</v>
      </c>
      <c r="K210" s="19"/>
      <c r="L210" s="19"/>
      <c r="M210" s="19"/>
      <c r="N210" s="19"/>
      <c r="O210" s="19"/>
      <c r="P210" s="1547" t="str">
        <f>'TEST_pour PROTOTYPE'!D191</f>
        <v>1</v>
      </c>
      <c r="Q210" s="24">
        <f t="shared" si="23"/>
        <v>3</v>
      </c>
      <c r="R210" s="8">
        <f>IF(BIBLE!K124=0,"",BIBLE!K124)</f>
        <v>4</v>
      </c>
      <c r="S210" s="273"/>
      <c r="T210" s="273"/>
      <c r="U210" s="273"/>
      <c r="V210" s="6">
        <f>Q210</f>
        <v>3</v>
      </c>
      <c r="W210" s="273"/>
      <c r="X210" s="6">
        <f t="shared" ref="X210:AC211" si="54">IF($Q210&gt;0,X$109*$D210,0)</f>
        <v>0</v>
      </c>
      <c r="Y210" s="6">
        <f t="shared" si="54"/>
        <v>3</v>
      </c>
      <c r="Z210" s="6">
        <f t="shared" si="54"/>
        <v>6</v>
      </c>
      <c r="AA210" s="6">
        <f t="shared" si="54"/>
        <v>12</v>
      </c>
      <c r="AB210" s="6">
        <f t="shared" si="54"/>
        <v>21</v>
      </c>
      <c r="AC210" s="6">
        <f t="shared" si="54"/>
        <v>30</v>
      </c>
      <c r="AE210" s="473"/>
      <c r="AF210" s="38"/>
      <c r="AG210" s="38"/>
      <c r="AH210" s="22">
        <f>$V210*BIBLE!S124</f>
        <v>3</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3</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t="str">
        <f>'TEST_pour PROTOTYPE'!D192</f>
        <v>7</v>
      </c>
      <c r="Q211" s="24">
        <f t="shared" si="23"/>
        <v>7</v>
      </c>
      <c r="R211" s="8">
        <f>IF(BIBLE!K125=0,"",BIBLE!K125)</f>
        <v>2</v>
      </c>
      <c r="S211" s="273"/>
      <c r="T211" s="273"/>
      <c r="U211" s="273"/>
      <c r="V211" s="6">
        <f>Q211</f>
        <v>7</v>
      </c>
      <c r="W211" s="273"/>
      <c r="X211" s="6">
        <f t="shared" si="54"/>
        <v>0</v>
      </c>
      <c r="Y211" s="6">
        <f t="shared" si="54"/>
        <v>1</v>
      </c>
      <c r="Z211" s="6">
        <f t="shared" si="54"/>
        <v>2</v>
      </c>
      <c r="AA211" s="6">
        <f t="shared" si="54"/>
        <v>4</v>
      </c>
      <c r="AB211" s="6">
        <f t="shared" si="54"/>
        <v>7</v>
      </c>
      <c r="AC211" s="6">
        <f t="shared" si="54"/>
        <v>10</v>
      </c>
      <c r="AE211" s="473"/>
      <c r="AF211" s="38"/>
      <c r="AG211" s="38"/>
      <c r="AH211" s="22">
        <f>$V211*BIBLE!S125</f>
        <v>3.5</v>
      </c>
      <c r="AI211" s="22">
        <f>$V211*BIBLE!T125</f>
        <v>3.5</v>
      </c>
      <c r="AJ211" s="22">
        <f>$V211*BIBLE!U125</f>
        <v>0</v>
      </c>
      <c r="AK211" s="1225">
        <f>$V211*BIBLE!W125</f>
        <v>0</v>
      </c>
      <c r="AL211" s="1225">
        <f>$V211*BIBLE!X125</f>
        <v>0</v>
      </c>
      <c r="AM211" s="1225">
        <f>$V211*BIBLE!Y125</f>
        <v>0</v>
      </c>
      <c r="AN211" s="1225">
        <f>$V211*BIBLE!Z125</f>
        <v>0</v>
      </c>
      <c r="AO211" s="1225">
        <f>$V211*BIBLE!AA125</f>
        <v>0</v>
      </c>
      <c r="AP211" s="1225">
        <f>$V211*BIBLE!AB125</f>
        <v>7</v>
      </c>
      <c r="AQ211" s="1225">
        <f>$V211*BIBLE!AC125</f>
        <v>0</v>
      </c>
      <c r="AR211" s="1225">
        <f>$V211*BIBLE!AD125</f>
        <v>0</v>
      </c>
    </row>
    <row r="212" spans="1:44" s="7" customFormat="1" ht="60" customHeight="1">
      <c r="A212" s="1187" t="str">
        <f>BIBLE!E126</f>
        <v>PFA25a</v>
      </c>
      <c r="B212" s="464" t="str">
        <f>IF(P211&gt;=R211,BIBLE!F126,"")</f>
        <v>Cette façon de s'adresser à vous devant votre enfant (prénom versus maman ou papa) est-elle habituelle ou est-ce nouveau depuis la séparation ?</v>
      </c>
      <c r="C212" s="69"/>
      <c r="D212" s="1643"/>
      <c r="E212" s="8"/>
      <c r="F212" s="19"/>
      <c r="G212" s="19"/>
      <c r="H212" s="19"/>
      <c r="I212" s="19"/>
      <c r="J212" s="19"/>
      <c r="K212" s="19"/>
      <c r="L212" s="19"/>
      <c r="M212" s="19"/>
      <c r="N212" s="19"/>
      <c r="O212" s="19"/>
      <c r="P212" s="1550" t="str">
        <f>'TEST_pour PROTOTYPE'!D193</f>
        <v>1</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Normal / Usuel</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Nouveau</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t="str">
        <f>'TEST_pour PROTOTYPE'!D194</f>
        <v>2</v>
      </c>
      <c r="Q216" s="24">
        <f t="shared" ref="Q216:Q221" si="55">P216*D216</f>
        <v>4</v>
      </c>
      <c r="R216" s="8">
        <f>IF(BIBLE!K127=0,"",BIBLE!K127)</f>
        <v>4</v>
      </c>
      <c r="S216" s="8"/>
      <c r="T216" s="8"/>
      <c r="U216" s="8"/>
      <c r="V216" s="6">
        <f>Q216</f>
        <v>4</v>
      </c>
      <c r="W216" s="8"/>
      <c r="X216" s="6">
        <f t="shared" ref="X216:AC217" si="56">IF($Q216&gt;0,X$109*$D216,0)</f>
        <v>0</v>
      </c>
      <c r="Y216" s="6">
        <f t="shared" si="56"/>
        <v>2</v>
      </c>
      <c r="Z216" s="6">
        <f t="shared" si="56"/>
        <v>4</v>
      </c>
      <c r="AA216" s="6">
        <f t="shared" si="56"/>
        <v>8</v>
      </c>
      <c r="AB216" s="6">
        <f t="shared" si="56"/>
        <v>14</v>
      </c>
      <c r="AC216" s="6">
        <f t="shared" si="56"/>
        <v>20</v>
      </c>
      <c r="AE216" s="473"/>
      <c r="AF216" s="38"/>
      <c r="AG216" s="38"/>
      <c r="AH216" s="22">
        <f>$V216*BIBLE!S127</f>
        <v>2</v>
      </c>
      <c r="AI216" s="22">
        <f>$V216*BIBLE!T127</f>
        <v>2</v>
      </c>
      <c r="AJ216" s="22">
        <f>$V216*BIBLE!U127</f>
        <v>0</v>
      </c>
      <c r="AK216" s="1225">
        <f>$V216*BIBLE!W127</f>
        <v>0</v>
      </c>
      <c r="AL216" s="1225">
        <f>$V216*BIBLE!X127</f>
        <v>0</v>
      </c>
      <c r="AM216" s="1225">
        <f>$V216*BIBLE!Y127</f>
        <v>0</v>
      </c>
      <c r="AN216" s="1225">
        <f>$V216*BIBLE!Z127</f>
        <v>0</v>
      </c>
      <c r="AO216" s="1225">
        <f>$V216*BIBLE!AA127</f>
        <v>0</v>
      </c>
      <c r="AP216" s="1225">
        <f>$V216*BIBLE!AB127</f>
        <v>4</v>
      </c>
      <c r="AQ216" s="1225">
        <f>$V216*BIBLE!AC127</f>
        <v>0</v>
      </c>
      <c r="AR216" s="1225">
        <f>$V216*BIBLE!AD127</f>
        <v>0</v>
      </c>
    </row>
    <row r="217" spans="1:44" s="7" customFormat="1" ht="65" customHeight="1">
      <c r="A217" s="1187" t="str">
        <f>BIBLE!E128</f>
        <v>PFA27</v>
      </c>
      <c r="B217" s="133" t="str">
        <f>IF($P$53&gt;=$R$53,BIBLE!F128,"")</f>
        <v>L’autre parent cherche à limiter les contacts entre votre enfant et votre famille élargie (cousin.es, grands-parents, etc.).</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t="str">
        <f>'TEST_pour PROTOTYPE'!D195</f>
        <v>4</v>
      </c>
      <c r="Q217" s="24">
        <f t="shared" si="55"/>
        <v>8</v>
      </c>
      <c r="R217" s="8" t="str">
        <f>IF(BIBLE!K128=0,"",BIBLE!K128)</f>
        <v/>
      </c>
      <c r="S217" s="8"/>
      <c r="T217" s="8"/>
      <c r="U217" s="8"/>
      <c r="V217" s="6">
        <f>Q217</f>
        <v>8</v>
      </c>
      <c r="W217" s="8"/>
      <c r="X217" s="6">
        <f t="shared" si="56"/>
        <v>0</v>
      </c>
      <c r="Y217" s="6">
        <f t="shared" si="56"/>
        <v>2</v>
      </c>
      <c r="Z217" s="6">
        <f t="shared" si="56"/>
        <v>4</v>
      </c>
      <c r="AA217" s="6">
        <f t="shared" si="56"/>
        <v>8</v>
      </c>
      <c r="AB217" s="6">
        <f t="shared" si="56"/>
        <v>14</v>
      </c>
      <c r="AC217" s="6">
        <f t="shared" si="56"/>
        <v>20</v>
      </c>
      <c r="AE217" s="473"/>
      <c r="AF217" s="38"/>
      <c r="AG217" s="38"/>
      <c r="AH217" s="22">
        <f>$V217*BIBLE!S128</f>
        <v>8</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8</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t="str">
        <f>'TEST_pour PROTOTYPE'!D196</f>
        <v>2</v>
      </c>
      <c r="Q218" s="24">
        <f t="shared" si="55"/>
        <v>4</v>
      </c>
      <c r="R218" s="8">
        <f>IF(BIBLE!K129=0,"",BIBLE!K129)</f>
        <v>4</v>
      </c>
      <c r="S218" s="8"/>
      <c r="T218" s="8"/>
      <c r="U218" s="8"/>
      <c r="V218" s="6">
        <f>IF(P218&gt;=R218,IF(Q218&gt;Q219,Q218,Q219),Q218)</f>
        <v>4</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4</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4</v>
      </c>
      <c r="AQ218" s="1225">
        <f>IF($Q218=$V218,$Q218*BIBLE!AC129,$Q219*BIBLE!AC130)</f>
        <v>0</v>
      </c>
      <c r="AR218" s="1225">
        <f>IF($Q218=$V218,$Q218*BIBLE!AD129,$Q219*BIBLE!AD130)</f>
        <v>0</v>
      </c>
    </row>
    <row r="219" spans="1:44" s="7" customFormat="1" ht="65" customHeight="1">
      <c r="A219" s="1187" t="str">
        <f>BIBLE!E130</f>
        <v>PFA28a</v>
      </c>
      <c r="B219" s="134" t="str">
        <f>IF(P218&gt;=R218,BIBLE!F130,"")</f>
        <v xml:space="preserve">L’autre parent jette les cadeaux que vous avez offerts à votre enfant ou proscrit les photographies de vous dans sa demeure.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xml:space="preserve">Dans quelle mesure est-ce que l'autre parent se dit impuissant et non responsable de la décision de votre enfant de ne plus respecter l'entente de garde ?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t="str">
        <f>'TEST_pour PROTOTYPE'!D198</f>
        <v>1</v>
      </c>
      <c r="Q220" s="24">
        <f t="shared" si="55"/>
        <v>3</v>
      </c>
      <c r="R220" s="8" t="str">
        <f>IF(BIBLE!K131=0,"",BIBLE!K131)</f>
        <v/>
      </c>
      <c r="S220" s="8"/>
      <c r="T220" s="8"/>
      <c r="U220" s="8"/>
      <c r="V220" s="6">
        <f>Q220</f>
        <v>3</v>
      </c>
      <c r="W220" s="8"/>
      <c r="X220" s="6">
        <f t="shared" ref="X220:AC221" si="58">IF($Q220&gt;0,X$109*$D220,0)</f>
        <v>0</v>
      </c>
      <c r="Y220" s="6">
        <f t="shared" si="58"/>
        <v>3</v>
      </c>
      <c r="Z220" s="6">
        <f t="shared" si="58"/>
        <v>6</v>
      </c>
      <c r="AA220" s="6">
        <f t="shared" si="58"/>
        <v>12</v>
      </c>
      <c r="AB220" s="6">
        <f t="shared" si="58"/>
        <v>21</v>
      </c>
      <c r="AC220" s="6">
        <f t="shared" si="58"/>
        <v>30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t="str">
        <f>'TEST_pour PROTOTYPE'!D199</f>
        <v>7</v>
      </c>
      <c r="Q221" s="24">
        <f t="shared" si="55"/>
        <v>14</v>
      </c>
      <c r="R221" s="8">
        <f>IF(BIBLE!K132=0,"",BIBLE!K132)</f>
        <v>2</v>
      </c>
      <c r="S221" s="8"/>
      <c r="T221" s="8"/>
      <c r="U221" s="8"/>
      <c r="V221" s="6">
        <f>Q221</f>
        <v>14</v>
      </c>
      <c r="W221" s="8"/>
      <c r="X221" s="6">
        <f t="shared" si="58"/>
        <v>0</v>
      </c>
      <c r="Y221" s="6">
        <f t="shared" si="58"/>
        <v>2</v>
      </c>
      <c r="Z221" s="6">
        <f t="shared" si="58"/>
        <v>4</v>
      </c>
      <c r="AA221" s="6">
        <f t="shared" si="58"/>
        <v>8</v>
      </c>
      <c r="AB221" s="6">
        <f t="shared" si="58"/>
        <v>14</v>
      </c>
      <c r="AC221" s="6">
        <f t="shared" si="58"/>
        <v>20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Quels types de décisions ont été prises sans votre consentement ou connaissance de votre part ?</v>
      </c>
      <c r="C222" s="553"/>
      <c r="D222" s="1278"/>
      <c r="E222" s="8">
        <f>(D223*E223)+(D224*E224)+(D225*E225)+(D226*E226)+(D227*E227)</f>
        <v>3</v>
      </c>
      <c r="F222" s="19"/>
      <c r="G222" s="19"/>
      <c r="H222" s="19"/>
      <c r="I222" s="19"/>
      <c r="J222" s="19"/>
      <c r="K222" s="19"/>
      <c r="L222" s="19"/>
      <c r="M222" s="19"/>
      <c r="N222" s="19"/>
      <c r="O222" s="1549" t="s">
        <v>1380</v>
      </c>
      <c r="P222" s="24">
        <f>SUM(P223:P228)</f>
        <v>3</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Choix d'école et/ou inscription (primaire et secondaire)</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Choix de club|programme sportif ou calendrier sportif</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Soins médicaux ou dentaires</v>
      </c>
      <c r="C225" s="553"/>
      <c r="D225" s="1445">
        <v>3</v>
      </c>
      <c r="E225" s="1463">
        <f>'TEST_pour PROTOTYPE'!D202</f>
        <v>1</v>
      </c>
      <c r="F225" s="19"/>
      <c r="G225" s="19"/>
      <c r="H225" s="19"/>
      <c r="I225" s="19"/>
      <c r="J225" s="19"/>
      <c r="K225" s="19"/>
      <c r="L225" s="19"/>
      <c r="M225" s="19"/>
      <c r="N225" s="19"/>
      <c r="O225" s="19"/>
      <c r="P225" s="1471">
        <f t="shared" si="59"/>
        <v>3</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Déménagement (forçant un changement majeur ou autres)</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Achat d'une valeur significative (auto, animal,…)</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Décisions engendrant des coûts significatifs sans votre consentement préalable</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Autre (spécifiez)</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Avez-vous été déchu·e (totalement ou en partie) de votre autorité parentale ?</v>
      </c>
      <c r="C231" s="100" t="s">
        <v>1310</v>
      </c>
      <c r="D231" s="1641">
        <v>1</v>
      </c>
      <c r="E231" s="37" t="str">
        <f>IF(P$231=D231,1,"x")</f>
        <v>x</v>
      </c>
      <c r="F231" s="19"/>
      <c r="G231" s="19"/>
      <c r="H231" s="19"/>
      <c r="I231" s="19"/>
      <c r="J231" s="19"/>
      <c r="K231" s="19"/>
      <c r="L231" s="19"/>
      <c r="M231" s="19"/>
      <c r="N231" s="19"/>
      <c r="O231" s="19"/>
      <c r="P231" s="1486" t="str">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1311</v>
      </c>
      <c r="D232" s="1642">
        <v>0</v>
      </c>
      <c r="E232" s="37" t="str">
        <f>IF(P$231=D232,1,"x")</f>
        <v>x</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L’autre parent incite, consciemment ou inconsciemment, votre enfant à choisir entre ses deux parents.</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t="str">
        <f>'TEST_pour PROTOTYPE'!D207</f>
        <v>4</v>
      </c>
      <c r="Q234" s="24">
        <f>P234*D234</f>
        <v>12</v>
      </c>
      <c r="R234" s="8">
        <f>IF(BIBLE!K135=0,"",BIBLE!K135)</f>
        <v>4</v>
      </c>
      <c r="S234" s="273"/>
      <c r="T234" s="273"/>
      <c r="U234" s="273"/>
      <c r="V234" s="6">
        <f>MAX(AS234:AS236)</f>
        <v>12</v>
      </c>
      <c r="W234" s="8"/>
      <c r="X234" s="6">
        <f t="shared" ref="X234:AC234" si="60">MAX(AU234:AU236)</f>
        <v>0</v>
      </c>
      <c r="Y234" s="6">
        <f t="shared" si="60"/>
        <v>3</v>
      </c>
      <c r="Z234" s="6">
        <f t="shared" si="60"/>
        <v>6</v>
      </c>
      <c r="AA234" s="6">
        <f t="shared" si="60"/>
        <v>12</v>
      </c>
      <c r="AB234" s="6">
        <f t="shared" si="60"/>
        <v>21</v>
      </c>
      <c r="AC234" s="6">
        <f t="shared" si="60"/>
        <v>30</v>
      </c>
      <c r="AE234" s="473"/>
      <c r="AF234" s="38"/>
      <c r="AG234" s="38"/>
      <c r="AH234" s="69">
        <f>IF($Q234=$V234,$Q234*BIBLE!S136,IF(Test_Bible!$Q235=Test_Bible!$V234,Test_Bible!$Q235*BIBLE!S137,Test_Bible!$Q236*BIBLE!S138))</f>
        <v>6</v>
      </c>
      <c r="AI234" s="69">
        <f>IF($Q234=$V234,$Q234*BIBLE!T136,IF(Test_Bible!$Q235=Test_Bible!$V234,Test_Bible!$Q235*BIBLE!T137,Test_Bible!$Q236*BIBLE!T138))</f>
        <v>6</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12</v>
      </c>
      <c r="AQ234" s="677">
        <f>IF($Q234=$V234,$Q234*BIBLE!AC136,IF(Test_Bible!$Q235=Test_Bible!$V234,Test_Bible!$Q235*BIBLE!AC137,Test_Bible!$Q236*BIBLE!AC138))</f>
        <v>0</v>
      </c>
      <c r="AR234" s="677">
        <f>IF($Q234=$V234,$Q234*BIBLE!AD136,IF(Test_Bible!$Q235=Test_Bible!$V234,Test_Bible!$Q235*BIBLE!AD137,Test_Bible!$Q236*BIBLE!AD138))</f>
        <v>0</v>
      </c>
      <c r="AS234" s="6">
        <f>Q234</f>
        <v>12</v>
      </c>
      <c r="AT234" s="273"/>
      <c r="AU234" s="6">
        <f t="shared" ref="AU234:AZ236" si="61">IF($Q234&gt;0,X$109*$D234,0)</f>
        <v>0</v>
      </c>
      <c r="AV234" s="6">
        <f t="shared" si="61"/>
        <v>3</v>
      </c>
      <c r="AW234" s="6">
        <f t="shared" si="61"/>
        <v>6</v>
      </c>
      <c r="AX234" s="6">
        <f t="shared" si="61"/>
        <v>12</v>
      </c>
      <c r="AY234" s="6">
        <f t="shared" si="61"/>
        <v>21</v>
      </c>
      <c r="AZ234" s="6">
        <f t="shared" si="61"/>
        <v>30</v>
      </c>
    </row>
    <row r="235" spans="1:54" s="7" customFormat="1" ht="79" customHeight="1">
      <c r="A235" s="1187" t="str">
        <f>BIBLE!E136</f>
        <v>PFA30a</v>
      </c>
      <c r="B235" s="134" t="str">
        <f>IF(P234&gt;=R234,BIBLE!F136,"")</f>
        <v>L’autre parent cherche à vous exclure de la vie de votre enfant.</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t="str">
        <f>'TEST_pour PROTOTYPE'!D208</f>
        <v>4</v>
      </c>
      <c r="Q235" s="24">
        <f>P235*D235</f>
        <v>12</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12</v>
      </c>
      <c r="AT235" s="273"/>
      <c r="AU235" s="6">
        <f t="shared" si="61"/>
        <v>0</v>
      </c>
      <c r="AV235" s="6">
        <f t="shared" si="61"/>
        <v>3</v>
      </c>
      <c r="AW235" s="6">
        <f t="shared" si="61"/>
        <v>6</v>
      </c>
      <c r="AX235" s="6">
        <f t="shared" si="61"/>
        <v>12</v>
      </c>
      <c r="AY235" s="6">
        <f t="shared" si="61"/>
        <v>21</v>
      </c>
      <c r="AZ235" s="6">
        <f t="shared" si="61"/>
        <v>30</v>
      </c>
      <c r="BB235" s="17" t="s">
        <v>1366</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Quels sont les comportements ou attitudes qui vous laissent croire que l'autre parent cherche à vous exclure de la vie de votre enfant ?</v>
      </c>
      <c r="C237" s="22"/>
      <c r="D237" s="1278"/>
      <c r="E237" s="8"/>
      <c r="F237" s="19"/>
      <c r="G237" s="19"/>
      <c r="H237" s="19"/>
      <c r="I237" s="19"/>
      <c r="J237" s="19"/>
      <c r="K237" s="19"/>
      <c r="L237" s="19"/>
      <c r="M237" s="19"/>
      <c r="N237" s="19"/>
      <c r="O237" s="1549" t="s">
        <v>1368</v>
      </c>
      <c r="P237" s="24">
        <f>SUM(P238:P241)</f>
        <v>20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Changement d'école ou d'équipe sportive (rupture d'environnement de l'enfant, problème de transport</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Changement de nom</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Éloignement physique (ex.: déménagement causant un changement d’école, perte d’amis, etc.)</v>
      </c>
      <c r="C240" s="22"/>
      <c r="D240" s="1445">
        <v>10</v>
      </c>
      <c r="E240" s="1463">
        <f>'TEST_pour PROTOTYPE'!D212</f>
        <v>1</v>
      </c>
      <c r="F240" s="19"/>
      <c r="G240" s="19"/>
      <c r="H240" s="19"/>
      <c r="I240" s="19"/>
      <c r="J240" s="19"/>
      <c r="K240" s="19"/>
      <c r="L240" s="19"/>
      <c r="M240" s="19"/>
      <c r="N240" s="19"/>
      <c r="O240" s="19"/>
      <c r="P240" s="1459">
        <f>D240*E240</f>
        <v>10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Manœuvre pour vous isoler de l’entourage de votre enfant (cercle d'influence inaccessible : professeur, entraîneur, parents des amis, etc.)</v>
      </c>
      <c r="C241" s="22"/>
      <c r="D241" s="1445">
        <v>10</v>
      </c>
      <c r="E241" s="1463">
        <f>'TEST_pour PROTOTYPE'!D213</f>
        <v>1</v>
      </c>
      <c r="F241" s="19"/>
      <c r="G241" s="19"/>
      <c r="H241" s="19"/>
      <c r="I241" s="19"/>
      <c r="J241" s="19"/>
      <c r="K241" s="19"/>
      <c r="L241" s="19"/>
      <c r="M241" s="19"/>
      <c r="N241" s="19"/>
      <c r="O241" s="19"/>
      <c r="P241" s="1459">
        <f>D241*E241</f>
        <v>10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Autre (spécifiez)</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1</v>
      </c>
      <c r="E243" s="19">
        <v>1</v>
      </c>
      <c r="F243" s="19"/>
      <c r="G243" s="19"/>
      <c r="H243" s="19"/>
      <c r="I243" s="19"/>
      <c r="J243" s="19"/>
      <c r="K243" s="19"/>
      <c r="L243" s="19"/>
      <c r="M243" s="19"/>
      <c r="N243" s="19"/>
      <c r="O243" s="19"/>
      <c r="P243" s="1547" t="str">
        <f>'TEST_pour PROTOTYPE'!D214</f>
        <v>4</v>
      </c>
      <c r="Q243" s="23">
        <f t="shared" ref="Q243:Q250" si="62">P243*D243</f>
        <v>4</v>
      </c>
      <c r="R243" s="8">
        <f>IF(BIBLE!K139=0,"",BIBLE!K139)</f>
        <v>4</v>
      </c>
      <c r="S243" s="8"/>
      <c r="T243" s="8"/>
      <c r="U243" s="8"/>
      <c r="V243" s="6">
        <f>MAX(AS243:AS245)</f>
        <v>4</v>
      </c>
      <c r="W243" s="8"/>
      <c r="X243" s="8">
        <f t="shared" ref="X243:AC243" si="63">MAX(AU243:AU245)</f>
        <v>0</v>
      </c>
      <c r="Y243" s="8">
        <f t="shared" si="63"/>
        <v>2</v>
      </c>
      <c r="Z243" s="8">
        <f t="shared" si="63"/>
        <v>4</v>
      </c>
      <c r="AA243" s="8">
        <f t="shared" si="63"/>
        <v>8</v>
      </c>
      <c r="AB243" s="8">
        <f t="shared" si="63"/>
        <v>14</v>
      </c>
      <c r="AC243" s="8">
        <f t="shared" si="63"/>
        <v>20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4</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4</v>
      </c>
      <c r="AR243" s="1225">
        <f>IF($Q243=$V243,$Q243*BIBLE!AD139,IF(Test_Bible!$Q244=Test_Bible!$V243,Test_Bible!$Q244*BIBLE!AD140,Test_Bible!$Q245*BIBLE!AD141))</f>
        <v>0</v>
      </c>
      <c r="AS243" s="6">
        <f>Q243</f>
        <v>4</v>
      </c>
      <c r="AT243" s="273"/>
      <c r="AU243" s="6">
        <f t="shared" ref="AU243:AZ245" si="64">IF($Q243&gt;0,X$109*$D243,0)</f>
        <v>0</v>
      </c>
      <c r="AV243" s="6">
        <f t="shared" si="64"/>
        <v>1</v>
      </c>
      <c r="AW243" s="6">
        <f t="shared" si="64"/>
        <v>2</v>
      </c>
      <c r="AX243" s="6">
        <f t="shared" si="64"/>
        <v>4</v>
      </c>
      <c r="AY243" s="6">
        <f t="shared" si="64"/>
        <v>7</v>
      </c>
      <c r="AZ243" s="6">
        <f t="shared" si="64"/>
        <v>10</v>
      </c>
    </row>
    <row r="244" spans="1:54" s="7" customFormat="1" ht="75" customHeight="1">
      <c r="A244" s="1187" t="str">
        <f>BIBLE!E140</f>
        <v>PFA31a</v>
      </c>
      <c r="B244" s="284" t="str">
        <f>IF(P243&gt;=R243,BIBLE!F140,"")</f>
        <v>L’autre parent confie à votre enfant sa peine concernant la séparation.</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t="str">
        <f>'TEST_pour PROTOTYPE'!D215</f>
        <v>2</v>
      </c>
      <c r="Q244" s="23">
        <f t="shared" si="62"/>
        <v>4</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4</v>
      </c>
      <c r="AT244" s="273"/>
      <c r="AU244" s="6">
        <f t="shared" si="64"/>
        <v>0</v>
      </c>
      <c r="AV244" s="6">
        <f t="shared" si="64"/>
        <v>2</v>
      </c>
      <c r="AW244" s="6">
        <f t="shared" si="64"/>
        <v>4</v>
      </c>
      <c r="AX244" s="6">
        <f t="shared" si="64"/>
        <v>8</v>
      </c>
      <c r="AY244" s="6">
        <f t="shared" si="64"/>
        <v>14</v>
      </c>
      <c r="AZ244" s="6">
        <f t="shared" si="64"/>
        <v>20</v>
      </c>
      <c r="BB244" s="17" t="s">
        <v>1366</v>
      </c>
    </row>
    <row r="245" spans="1:54" s="7" customFormat="1" ht="75" customHeight="1">
      <c r="A245" s="1187" t="str">
        <f>BIBLE!E141</f>
        <v>PFA31a1</v>
      </c>
      <c r="B245" s="284" t="str">
        <f>IF(P244&gt;=R244,BIBLE!F141,"")</f>
        <v>Dans quelle mesure diriez-vous que l'autre parent se confie à votre enfant sur des sujets qui vous sont personnels ou qui concernent votre passé (intime)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2</v>
      </c>
      <c r="E246" s="19"/>
      <c r="F246" s="19"/>
      <c r="G246" s="19"/>
      <c r="H246" s="19"/>
      <c r="I246" s="19"/>
      <c r="J246" s="19"/>
      <c r="K246" s="19">
        <v>1</v>
      </c>
      <c r="L246" s="19"/>
      <c r="M246" s="19"/>
      <c r="N246" s="19"/>
      <c r="O246" s="19"/>
      <c r="P246" s="1547" t="str">
        <f>'TEST_pour PROTOTYPE'!D217</f>
        <v>4</v>
      </c>
      <c r="Q246" s="24">
        <f t="shared" si="62"/>
        <v>8</v>
      </c>
      <c r="R246" s="8" t="str">
        <f>IF(BIBLE!K142=0,"",BIBLE!K142)</f>
        <v/>
      </c>
      <c r="S246" s="273"/>
      <c r="T246" s="273"/>
      <c r="U246" s="273"/>
      <c r="V246" s="6">
        <f>Q246</f>
        <v>8</v>
      </c>
      <c r="W246" s="273"/>
      <c r="X246" s="6">
        <f t="shared" ref="X246:AC250" si="65">IF($Q246&gt;0,X$109*$D246,0)</f>
        <v>0</v>
      </c>
      <c r="Y246" s="6">
        <f t="shared" si="65"/>
        <v>2</v>
      </c>
      <c r="Z246" s="6">
        <f t="shared" si="65"/>
        <v>4</v>
      </c>
      <c r="AA246" s="6">
        <f t="shared" si="65"/>
        <v>8</v>
      </c>
      <c r="AB246" s="6">
        <f t="shared" si="65"/>
        <v>14</v>
      </c>
      <c r="AC246" s="6">
        <f t="shared" si="65"/>
        <v>20</v>
      </c>
      <c r="AE246" s="473"/>
      <c r="AF246" s="38"/>
      <c r="AG246" s="38"/>
      <c r="AH246" s="22">
        <f>$V246*BIBLE!S142</f>
        <v>8</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8</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t="str">
        <f>'TEST_pour PROTOTYPE'!D218</f>
        <v>7</v>
      </c>
      <c r="Q247" s="24">
        <f t="shared" si="62"/>
        <v>14</v>
      </c>
      <c r="R247" s="8" t="str">
        <f>IF(BIBLE!K143=0,"",BIBLE!K143)</f>
        <v/>
      </c>
      <c r="S247" s="273"/>
      <c r="T247" s="273"/>
      <c r="U247" s="273"/>
      <c r="V247" s="6">
        <f>Q247</f>
        <v>14</v>
      </c>
      <c r="W247" s="273"/>
      <c r="X247" s="6">
        <f t="shared" si="65"/>
        <v>0</v>
      </c>
      <c r="Y247" s="6">
        <f t="shared" si="65"/>
        <v>2</v>
      </c>
      <c r="Z247" s="6">
        <f t="shared" si="65"/>
        <v>4</v>
      </c>
      <c r="AA247" s="6">
        <f t="shared" si="65"/>
        <v>8</v>
      </c>
      <c r="AB247" s="6">
        <f t="shared" si="65"/>
        <v>14</v>
      </c>
      <c r="AC247" s="6">
        <f t="shared" si="65"/>
        <v>20</v>
      </c>
      <c r="AE247" s="473"/>
      <c r="AF247" s="38"/>
      <c r="AG247" s="38"/>
      <c r="AH247" s="22">
        <f>$V247*BIBLE!S143</f>
        <v>0</v>
      </c>
      <c r="AI247" s="22">
        <f>$V247*BIBLE!T143</f>
        <v>0</v>
      </c>
      <c r="AJ247" s="22">
        <f>$V247*BIBLE!U143</f>
        <v>14</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14</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3</v>
      </c>
      <c r="E248" s="19"/>
      <c r="F248" s="19"/>
      <c r="G248" s="19"/>
      <c r="H248" s="19"/>
      <c r="I248" s="19">
        <v>1</v>
      </c>
      <c r="J248" s="19"/>
      <c r="K248" s="19"/>
      <c r="L248" s="19"/>
      <c r="M248" s="19"/>
      <c r="N248" s="19"/>
      <c r="O248" s="19"/>
      <c r="P248" s="1547" t="str">
        <f>'TEST_pour PROTOTYPE'!D219</f>
        <v>2</v>
      </c>
      <c r="Q248" s="24">
        <f t="shared" si="62"/>
        <v>6</v>
      </c>
      <c r="R248" s="8">
        <f>IF(BIBLE!K144=0,"",BIBLE!K144)</f>
        <v>2</v>
      </c>
      <c r="S248" s="273"/>
      <c r="T248" s="273"/>
      <c r="U248" s="273"/>
      <c r="V248" s="6">
        <f>Q248</f>
        <v>6</v>
      </c>
      <c r="W248" s="273"/>
      <c r="X248" s="6">
        <f t="shared" si="65"/>
        <v>0</v>
      </c>
      <c r="Y248" s="6">
        <f t="shared" si="65"/>
        <v>3</v>
      </c>
      <c r="Z248" s="6">
        <f t="shared" si="65"/>
        <v>6</v>
      </c>
      <c r="AA248" s="6">
        <f t="shared" si="65"/>
        <v>12</v>
      </c>
      <c r="AB248" s="6">
        <f t="shared" si="65"/>
        <v>21</v>
      </c>
      <c r="AC248" s="6">
        <f t="shared" si="65"/>
        <v>30</v>
      </c>
      <c r="AE248" s="473"/>
      <c r="AF248" s="38"/>
      <c r="AG248" s="38"/>
      <c r="AH248" s="22">
        <f>$V248*BIBLE!S144</f>
        <v>0</v>
      </c>
      <c r="AI248" s="22">
        <f>$V248*BIBLE!T144</f>
        <v>0</v>
      </c>
      <c r="AJ248" s="22">
        <f>$V248*BIBLE!U144</f>
        <v>6</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6</v>
      </c>
    </row>
    <row r="249" spans="1:54" s="7" customFormat="1" ht="75" customHeight="1">
      <c r="A249" s="1187" t="str">
        <f>BIBLE!E145</f>
        <v>PFA35</v>
      </c>
      <c r="B249" s="133" t="str">
        <f>IF($P$53&gt;=$R$53,BIBLE!F145,"")</f>
        <v>L’autre parent laisse à votre enfant le droit de respecter ou non l'entente de garde et votre temps (tour) de garde.</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t="str">
        <f>'TEST_pour PROTOTYPE'!D220</f>
        <v>2</v>
      </c>
      <c r="Q249" s="24">
        <f t="shared" si="62"/>
        <v>6</v>
      </c>
      <c r="R249" s="8" t="str">
        <f>IF(BIBLE!K145=0,"",BIBLE!K145)</f>
        <v/>
      </c>
      <c r="S249" s="273"/>
      <c r="T249" s="273"/>
      <c r="U249" s="273"/>
      <c r="V249" s="6">
        <f>Q249</f>
        <v>6</v>
      </c>
      <c r="W249" s="273"/>
      <c r="X249" s="6">
        <f t="shared" si="65"/>
        <v>0</v>
      </c>
      <c r="Y249" s="6">
        <f t="shared" si="65"/>
        <v>3</v>
      </c>
      <c r="Z249" s="6">
        <f t="shared" si="65"/>
        <v>6</v>
      </c>
      <c r="AA249" s="6">
        <f t="shared" si="65"/>
        <v>12</v>
      </c>
      <c r="AB249" s="6">
        <f t="shared" si="65"/>
        <v>21</v>
      </c>
      <c r="AC249" s="6">
        <f t="shared" si="65"/>
        <v>30</v>
      </c>
      <c r="AE249" s="473"/>
      <c r="AF249" s="38"/>
      <c r="AG249" s="38"/>
      <c r="AH249" s="22">
        <f>$V249*BIBLE!S145</f>
        <v>3</v>
      </c>
      <c r="AI249" s="22">
        <f>$V249*BIBLE!T145</f>
        <v>3</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6</v>
      </c>
    </row>
    <row r="250" spans="1:54" s="7" customFormat="1" ht="68" customHeight="1">
      <c r="A250" s="1187" t="str">
        <f>BIBLE!E146</f>
        <v>PFA36</v>
      </c>
      <c r="B250" s="133" t="str">
        <f>IF($P$53&gt;=$R$53,BIBLE!F146,"")</f>
        <v>L’autre parent demande à votre enfant de choisir avec quel parent il veut vivre.</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t="str">
        <f>'TEST_pour PROTOTYPE'!D221</f>
        <v>1</v>
      </c>
      <c r="Q250" s="24">
        <f t="shared" si="62"/>
        <v>3</v>
      </c>
      <c r="R250" s="8" t="str">
        <f>IF(BIBLE!K146=0,"",BIBLE!K146)</f>
        <v/>
      </c>
      <c r="S250" s="273"/>
      <c r="T250" s="273"/>
      <c r="U250" s="273"/>
      <c r="V250" s="6">
        <f>Q250</f>
        <v>3</v>
      </c>
      <c r="W250" s="273"/>
      <c r="X250" s="6">
        <f t="shared" si="65"/>
        <v>0</v>
      </c>
      <c r="Y250" s="6">
        <f t="shared" si="65"/>
        <v>3</v>
      </c>
      <c r="Z250" s="6">
        <f t="shared" si="65"/>
        <v>6</v>
      </c>
      <c r="AA250" s="6">
        <f t="shared" si="65"/>
        <v>12</v>
      </c>
      <c r="AB250" s="6">
        <f t="shared" si="65"/>
        <v>21</v>
      </c>
      <c r="AC250" s="6">
        <f t="shared" si="65"/>
        <v>30</v>
      </c>
      <c r="AE250" s="473"/>
      <c r="AF250" s="38"/>
      <c r="AG250" s="38"/>
      <c r="AH250" s="22">
        <f>$V250*BIBLE!S146</f>
        <v>0</v>
      </c>
      <c r="AI250" s="22">
        <f>$V250*BIBLE!T146</f>
        <v>1.5</v>
      </c>
      <c r="AJ250" s="22">
        <f>$V250*BIBLE!U146</f>
        <v>1.5</v>
      </c>
      <c r="AK250" s="1225">
        <f>$V250*BIBLE!W146</f>
        <v>0</v>
      </c>
      <c r="AL250" s="1225">
        <f>$V250*BIBLE!X146</f>
        <v>0</v>
      </c>
      <c r="AM250" s="1225">
        <f>$V250*BIBLE!Y146</f>
        <v>3</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Selon vous, quels sont les enjeux les plus importants pour l'autre parent au niveau de la garde des enfants ?</v>
      </c>
      <c r="C251" s="22"/>
      <c r="D251" s="1278"/>
      <c r="E251" s="8">
        <f>(D252*E252)+(D253*E253)+(D254*E254)+(D255*E255)+(D256*E256)</f>
        <v>3</v>
      </c>
      <c r="F251" s="19"/>
      <c r="G251" s="19"/>
      <c r="H251" s="19"/>
      <c r="I251" s="19"/>
      <c r="J251" s="19"/>
      <c r="K251" s="19"/>
      <c r="L251" s="19"/>
      <c r="M251" s="19"/>
      <c r="N251" s="19"/>
      <c r="O251" s="1549" t="s">
        <v>1368</v>
      </c>
      <c r="P251" s="24">
        <f>SUM(P252:P257)</f>
        <v>3</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xml:space="preserve">Pension alimentaire (enjeux financiers) </v>
      </c>
      <c r="C252" s="1279"/>
      <c r="D252" s="1445">
        <v>3</v>
      </c>
      <c r="E252" s="1463">
        <f>'TEST_pour PROTOTYPE'!D222</f>
        <v>1</v>
      </c>
      <c r="F252" s="40"/>
      <c r="G252" s="8"/>
      <c r="H252" s="8"/>
      <c r="I252" s="8"/>
      <c r="J252" s="8"/>
      <c r="N252" s="40"/>
      <c r="O252" s="40"/>
      <c r="P252" s="1459">
        <f t="shared" ref="P252:P257" si="66">D252*E252</f>
        <v>3</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Souhaite refaire sa vie / nouvelle vie et vous êtes de trop</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xml:space="preserve">Ne veut pas faire de compromis sur la logistique familiale ou le temps passé avec les enfants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xml:space="preserve">Souhaite vous blesser et se venger en vous retirant les enfants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S'approprie les enfants (désir de garde exclusive)</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Aucun</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Autre (spécifiez)</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223</v>
      </c>
      <c r="W259" s="40"/>
      <c r="X259" s="449">
        <f t="shared" ref="X259:AC259" si="67">SUM(X163:X256)</f>
        <v>0</v>
      </c>
      <c r="Y259" s="449">
        <f t="shared" si="67"/>
        <v>76</v>
      </c>
      <c r="Z259" s="449">
        <f t="shared" si="67"/>
        <v>152</v>
      </c>
      <c r="AA259" s="449">
        <f t="shared" si="67"/>
        <v>304</v>
      </c>
      <c r="AB259" s="449">
        <f t="shared" si="67"/>
        <v>532</v>
      </c>
      <c r="AC259" s="449">
        <f t="shared" si="67"/>
        <v>760</v>
      </c>
      <c r="AD259" s="499">
        <f>V259/(AC259)</f>
        <v>0.29342105263157897</v>
      </c>
      <c r="AE259" s="1236">
        <f>SUM(AE163:AE258)</f>
        <v>43</v>
      </c>
      <c r="AF259" s="1700"/>
      <c r="AG259" s="1700"/>
      <c r="AH259" s="1237">
        <f t="shared" ref="AH259:AR259" si="68">SUM(AH163:AH258)</f>
        <v>91</v>
      </c>
      <c r="AI259" s="1237">
        <f t="shared" si="68"/>
        <v>72.5</v>
      </c>
      <c r="AJ259" s="1237">
        <f t="shared" si="68"/>
        <v>42.5</v>
      </c>
      <c r="AK259" s="1238">
        <f t="shared" si="68"/>
        <v>0</v>
      </c>
      <c r="AL259" s="1238">
        <f t="shared" si="68"/>
        <v>8</v>
      </c>
      <c r="AM259" s="1238">
        <f t="shared" si="68"/>
        <v>42</v>
      </c>
      <c r="AN259" s="1238">
        <f t="shared" si="68"/>
        <v>27</v>
      </c>
      <c r="AO259" s="1238">
        <f t="shared" si="68"/>
        <v>27</v>
      </c>
      <c r="AP259" s="1238">
        <f t="shared" si="68"/>
        <v>52</v>
      </c>
      <c r="AQ259" s="1238">
        <f t="shared" si="68"/>
        <v>12</v>
      </c>
      <c r="AR259" s="1238">
        <f t="shared" si="68"/>
        <v>38</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f>AH259/SUM($AH$259:$AJ$259)</f>
        <v>0.44174757281553401</v>
      </c>
      <c r="AI260" s="1240">
        <f>AI259/SUM($AH$259:$AJ$259)</f>
        <v>0.35194174757281554</v>
      </c>
      <c r="AJ260" s="1240">
        <f>AJ259/SUM($AH$259:$AJ$259)</f>
        <v>0.20631067961165048</v>
      </c>
      <c r="AK260" s="1241">
        <f t="shared" ref="AK260:AR260" si="69">AK259/SUM($AK$259:$AR$259)</f>
        <v>0</v>
      </c>
      <c r="AL260" s="1241">
        <f t="shared" si="69"/>
        <v>3.8834951456310676E-2</v>
      </c>
      <c r="AM260" s="1241">
        <f t="shared" si="69"/>
        <v>0.20388349514563106</v>
      </c>
      <c r="AN260" s="1241">
        <f t="shared" si="69"/>
        <v>0.13106796116504854</v>
      </c>
      <c r="AO260" s="1241">
        <f t="shared" si="69"/>
        <v>0.13106796116504854</v>
      </c>
      <c r="AP260" s="1241">
        <f t="shared" si="69"/>
        <v>0.25242718446601942</v>
      </c>
      <c r="AQ260" s="1241">
        <f t="shared" si="69"/>
        <v>5.8252427184466021E-2</v>
      </c>
      <c r="AR260" s="1241">
        <f t="shared" si="69"/>
        <v>0.18446601941747573</v>
      </c>
    </row>
    <row r="261" spans="1:60" s="17" customFormat="1">
      <c r="A261" s="105"/>
      <c r="B261" s="25"/>
      <c r="C261" s="100"/>
      <c r="D261" s="1643"/>
      <c r="G261" s="135"/>
      <c r="H261" s="135"/>
      <c r="I261" s="135"/>
      <c r="J261" s="135"/>
      <c r="K261" s="7"/>
      <c r="P261" s="23"/>
      <c r="Q261" s="24"/>
      <c r="V261" s="8"/>
      <c r="X261" s="2493" t="s">
        <v>1362</v>
      </c>
      <c r="Y261" s="2503"/>
      <c r="Z261" s="2503"/>
      <c r="AA261" s="2503"/>
      <c r="AB261" s="2503"/>
      <c r="AC261" s="2503"/>
      <c r="AE261" s="473"/>
      <c r="AF261" s="38"/>
      <c r="AG261" s="38"/>
      <c r="AH261" s="460"/>
      <c r="AI261" s="460"/>
      <c r="AJ261" s="460"/>
      <c r="AK261" s="1226"/>
      <c r="AL261" s="1226"/>
      <c r="AM261" s="1226"/>
      <c r="AN261" s="1226"/>
      <c r="AO261" s="1226"/>
      <c r="AP261" s="1226"/>
      <c r="AQ261" s="1226"/>
      <c r="AR261" s="1226"/>
    </row>
    <row r="262" spans="1:60" s="17" customFormat="1" ht="37" customHeight="1" thickBot="1">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t="str">
        <f>'TEST_pour PROTOTYPE'!D242</f>
        <v>3</v>
      </c>
      <c r="Q263" s="24">
        <f>P263*D263</f>
        <v>3</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t="str">
        <f>'TEST_pour PROTOTYPE'!D243</f>
        <v>9</v>
      </c>
      <c r="Q264" s="24">
        <f>P264*D264</f>
        <v>9</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Dans quelle mesure diriez-vous que la relation entre votre enfant et l'autre parent est fusionnelle ?</v>
      </c>
      <c r="C265" s="459" t="str">
        <f>BIBLE!O153</f>
        <v>Aucune (1) à Excellente (10)</v>
      </c>
      <c r="D265" s="1278">
        <f>BIBLE!L153</f>
        <v>1</v>
      </c>
      <c r="E265" s="20"/>
      <c r="F265" s="20"/>
      <c r="G265" s="20"/>
      <c r="H265" s="20"/>
      <c r="I265" s="20"/>
      <c r="J265" s="20"/>
      <c r="K265" s="20"/>
      <c r="L265" s="20"/>
      <c r="M265" s="20"/>
      <c r="N265" s="20"/>
      <c r="O265" s="20"/>
      <c r="P265" s="1547" t="str">
        <f>'TEST_pour PROTOTYPE'!D244</f>
        <v>5</v>
      </c>
      <c r="Q265" s="24">
        <f>P265*D265</f>
        <v>5</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1</v>
      </c>
      <c r="E267" s="20"/>
      <c r="F267" s="20"/>
      <c r="G267" s="20"/>
      <c r="H267" s="20"/>
      <c r="I267" s="20">
        <v>1</v>
      </c>
      <c r="J267" s="20"/>
      <c r="K267" s="20"/>
      <c r="L267" s="20"/>
      <c r="M267" s="20"/>
      <c r="N267" s="20"/>
      <c r="O267" s="20"/>
      <c r="P267" s="1547" t="str">
        <f>'TEST_pour PROTOTYPE'!D245</f>
        <v>2</v>
      </c>
      <c r="Q267" s="24">
        <f t="shared" ref="Q267:Q272" si="71">P267*D267</f>
        <v>2</v>
      </c>
      <c r="R267" s="8">
        <f>IF(BIBLE!K154=0,"",BIBLE!K154)</f>
        <v>4</v>
      </c>
      <c r="S267" s="17"/>
      <c r="T267" s="17"/>
      <c r="U267" s="17"/>
      <c r="V267" s="6">
        <f>IF(P267&gt;=R267,IF(Q267&gt;Q268,Q267,Q268),Q267)</f>
        <v>2</v>
      </c>
      <c r="W267" s="8"/>
      <c r="X267" s="6">
        <f t="shared" ref="X267:AC267" si="72">IF(($P267&gt;=$R267),IF($Q267&gt;$Q268,X$109*$D267,X$109*$D268),X$109*$D267)</f>
        <v>0</v>
      </c>
      <c r="Y267" s="6">
        <f t="shared" si="72"/>
        <v>1</v>
      </c>
      <c r="Z267" s="6">
        <f t="shared" si="72"/>
        <v>2</v>
      </c>
      <c r="AA267" s="6">
        <f t="shared" si="72"/>
        <v>4</v>
      </c>
      <c r="AB267" s="6">
        <f t="shared" si="72"/>
        <v>7</v>
      </c>
      <c r="AC267" s="6">
        <f t="shared" si="72"/>
        <v>10</v>
      </c>
      <c r="AE267" s="473"/>
      <c r="AF267" s="38"/>
      <c r="AG267" s="38"/>
      <c r="AH267" s="22">
        <f>IF($Q267=$V267,$Q267*BIBLE!S154,$Q268*BIBLE!S155)</f>
        <v>1</v>
      </c>
      <c r="AI267" s="22">
        <f>IF($Q267=$V267,$Q267*BIBLE!T154,$Q268*BIBLE!T155)</f>
        <v>1</v>
      </c>
      <c r="AJ267" s="22">
        <f>IF($Q267=$V267,$Q267*BIBLE!U154,$Q268*BIBLE!U155)</f>
        <v>0</v>
      </c>
      <c r="AK267" s="1225">
        <f>IF($Q267=$V267,$Q267*BIBLE!W154,$Q268*BIBLE!W155)</f>
        <v>2</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Votre enfant a reçu l’ordre de ne pas vous raconter ce qui se passe chez l’autre parent.</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Votre enfant défend l'autre parent, quoi que vous fassiez, quoi que vous disiez.</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t="str">
        <f>'TEST_pour PROTOTYPE'!D247</f>
        <v>4</v>
      </c>
      <c r="Q269" s="24">
        <f t="shared" si="71"/>
        <v>8</v>
      </c>
      <c r="R269" s="8">
        <f>IF(BIBLE!K156=0,"",BIBLE!K156)</f>
        <v>4</v>
      </c>
      <c r="V269" s="6">
        <f>MAX(AS269:AS271)</f>
        <v>21</v>
      </c>
      <c r="W269" s="8"/>
      <c r="X269" s="6">
        <f t="shared" ref="X269:AC269" si="73">MAX(AU269:AU271)</f>
        <v>0</v>
      </c>
      <c r="Y269" s="6">
        <f t="shared" si="73"/>
        <v>3</v>
      </c>
      <c r="Z269" s="6">
        <f t="shared" si="73"/>
        <v>6</v>
      </c>
      <c r="AA269" s="6">
        <f t="shared" si="73"/>
        <v>12</v>
      </c>
      <c r="AB269" s="6">
        <f t="shared" si="73"/>
        <v>21</v>
      </c>
      <c r="AC269" s="6">
        <f t="shared" si="73"/>
        <v>30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21</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8</v>
      </c>
      <c r="AT269" s="273"/>
      <c r="AU269" s="6">
        <f t="shared" ref="AU269:AZ271" si="74">IF($Q269&gt;0,X$109*$D269,0)</f>
        <v>0</v>
      </c>
      <c r="AV269" s="6">
        <f t="shared" si="74"/>
        <v>2</v>
      </c>
      <c r="AW269" s="6">
        <f t="shared" si="74"/>
        <v>4</v>
      </c>
      <c r="AX269" s="6">
        <f t="shared" si="74"/>
        <v>8</v>
      </c>
      <c r="AY269" s="6">
        <f t="shared" si="74"/>
        <v>14</v>
      </c>
      <c r="AZ269" s="6">
        <f t="shared" si="74"/>
        <v>20</v>
      </c>
    </row>
    <row r="270" spans="1:60" s="7" customFormat="1" ht="77" customHeight="1">
      <c r="A270" s="1188" t="str">
        <f>BIBLE!E157</f>
        <v>E04a</v>
      </c>
      <c r="B270" s="134" t="str">
        <f>IF(P269&gt;=R269,BIBLE!F157,"")</f>
        <v>Aux yeux de votre enfant, tout ce que fait l'autre parent est bien, voire parfait, et tout ce que vous faites est mauvais ou sujet à critiques.</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t="str">
        <f>'TEST_pour PROTOTYPE'!D248</f>
        <v>7</v>
      </c>
      <c r="Q270" s="24">
        <f t="shared" si="71"/>
        <v>21</v>
      </c>
      <c r="R270" s="8">
        <f>IF(BIBLE!K157=0,"",BIBLE!K157)</f>
        <v>4</v>
      </c>
      <c r="V270" s="8"/>
      <c r="AE270" s="473"/>
      <c r="AF270" s="38"/>
      <c r="AG270" s="38"/>
      <c r="AH270" s="69"/>
      <c r="AI270" s="69"/>
      <c r="AJ270" s="69"/>
      <c r="AK270" s="677"/>
      <c r="AL270" s="677"/>
      <c r="AM270" s="677"/>
      <c r="AN270" s="677"/>
      <c r="AO270" s="677"/>
      <c r="AP270" s="677"/>
      <c r="AQ270" s="677"/>
      <c r="AR270" s="677"/>
      <c r="AS270" s="6">
        <f>Q270</f>
        <v>21</v>
      </c>
      <c r="AT270" s="273"/>
      <c r="AU270" s="6">
        <f t="shared" si="74"/>
        <v>0</v>
      </c>
      <c r="AV270" s="6">
        <f t="shared" si="74"/>
        <v>3</v>
      </c>
      <c r="AW270" s="6">
        <f t="shared" si="74"/>
        <v>6</v>
      </c>
      <c r="AX270" s="6">
        <f t="shared" si="74"/>
        <v>12</v>
      </c>
      <c r="AY270" s="6">
        <f t="shared" si="74"/>
        <v>21</v>
      </c>
      <c r="AZ270" s="6">
        <f t="shared" si="74"/>
        <v>30</v>
      </c>
      <c r="BB270" s="17" t="s">
        <v>1366</v>
      </c>
    </row>
    <row r="271" spans="1:60" s="7" customFormat="1" ht="62" customHeight="1">
      <c r="A271" s="1188" t="str">
        <f>BIBLE!E158</f>
        <v>E04a1</v>
      </c>
      <c r="B271" s="134" t="str">
        <f>IF(P270&gt;=R270,BIBLE!F158,"")</f>
        <v>Votre enfant calque les désirs et les paroles de l’autre parent.</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t="str">
        <f>'TEST_pour PROTOTYPE'!D249</f>
        <v>7</v>
      </c>
      <c r="Q271" s="24">
        <f t="shared" si="71"/>
        <v>21</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21</v>
      </c>
      <c r="AT271" s="273"/>
      <c r="AU271" s="6">
        <f t="shared" si="74"/>
        <v>0</v>
      </c>
      <c r="AV271" s="6">
        <f t="shared" si="74"/>
        <v>3</v>
      </c>
      <c r="AW271" s="6">
        <f t="shared" si="74"/>
        <v>6</v>
      </c>
      <c r="AX271" s="6">
        <f t="shared" si="74"/>
        <v>12</v>
      </c>
      <c r="AY271" s="6">
        <f t="shared" si="74"/>
        <v>21</v>
      </c>
      <c r="AZ271" s="6">
        <f t="shared" si="74"/>
        <v>30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t="str">
        <f>'TEST_pour PROTOTYPE'!D250</f>
        <v>7</v>
      </c>
      <c r="Q272" s="24">
        <f t="shared" si="71"/>
        <v>14</v>
      </c>
      <c r="R272" s="8">
        <f>IF(BIBLE!K159=0,"",BIBLE!K159)</f>
        <v>4</v>
      </c>
      <c r="S272" s="40"/>
      <c r="T272" s="40"/>
      <c r="U272" s="40"/>
      <c r="V272" s="6">
        <f>Q272</f>
        <v>14</v>
      </c>
      <c r="W272" s="273"/>
      <c r="X272" s="6">
        <f t="shared" ref="X272:AC272" si="75">IF($Q272&gt;0,X$109*$D272,0)</f>
        <v>0</v>
      </c>
      <c r="Y272" s="6">
        <f t="shared" si="75"/>
        <v>2</v>
      </c>
      <c r="Z272" s="6">
        <f t="shared" si="75"/>
        <v>4</v>
      </c>
      <c r="AA272" s="6">
        <f t="shared" si="75"/>
        <v>8</v>
      </c>
      <c r="AB272" s="6">
        <f t="shared" si="75"/>
        <v>14</v>
      </c>
      <c r="AC272" s="6">
        <f t="shared" si="75"/>
        <v>20</v>
      </c>
      <c r="AE272" s="473"/>
      <c r="AF272" s="38"/>
      <c r="AG272" s="38"/>
      <c r="AH272" s="22">
        <f>$V272*BIBLE!S159</f>
        <v>0</v>
      </c>
      <c r="AI272" s="22">
        <f>$V272*BIBLE!T159</f>
        <v>0</v>
      </c>
      <c r="AJ272" s="22">
        <f>$V272*BIBLE!U159</f>
        <v>14</v>
      </c>
      <c r="AK272" s="1225">
        <f>$V272*BIBLE!W159</f>
        <v>14</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Dans quels contextes ou à quelles occasions cela se produit-il ?</v>
      </c>
      <c r="C273" s="459"/>
      <c r="D273" s="1278"/>
      <c r="E273" s="20"/>
      <c r="F273" s="20"/>
      <c r="G273" s="20"/>
      <c r="H273" s="20"/>
      <c r="I273" s="20"/>
      <c r="J273" s="20"/>
      <c r="K273" s="52"/>
      <c r="L273" s="20"/>
      <c r="M273" s="20"/>
      <c r="N273" s="20"/>
      <c r="O273" s="1545" t="s">
        <v>1380</v>
      </c>
      <c r="P273" s="23">
        <f>SUM(P274:P277)</f>
        <v>2</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Au retour d'un séjour (garde) de l'autre parent</v>
      </c>
      <c r="C274" s="2505"/>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Lorsque l'enfant est en présence de l'autre parent</v>
      </c>
      <c r="C275" s="2480"/>
      <c r="D275" s="1445">
        <v>2</v>
      </c>
      <c r="E275" s="1463">
        <f>'TEST_pour PROTOTYPE'!D252</f>
        <v>1</v>
      </c>
      <c r="F275" s="20"/>
      <c r="G275" s="20"/>
      <c r="H275" s="20"/>
      <c r="I275" s="20"/>
      <c r="J275" s="20"/>
      <c r="K275" s="52"/>
      <c r="L275" s="20"/>
      <c r="M275" s="20"/>
      <c r="N275" s="20"/>
      <c r="O275" s="20"/>
      <c r="P275" s="1458">
        <f>D275*E275</f>
        <v>2</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xml:space="preserve">Lorsque mon enfant cherche à me convaincre de passer plus de temps chez l'autre parent </v>
      </c>
      <c r="C276" s="2480"/>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xml:space="preserve">Lorsque mon enfant me fait des reproches </v>
      </c>
      <c r="C277" s="2480"/>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2</v>
      </c>
      <c r="E278" s="20"/>
      <c r="F278" s="20"/>
      <c r="G278" s="20">
        <v>1</v>
      </c>
      <c r="H278" s="20"/>
      <c r="I278" s="20"/>
      <c r="J278" s="20"/>
      <c r="K278" s="52"/>
      <c r="L278" s="20"/>
      <c r="M278" s="20"/>
      <c r="N278" s="20"/>
      <c r="O278" s="20"/>
      <c r="P278" s="1547" t="str">
        <f>'TEST_pour PROTOTYPE'!D255</f>
        <v>4</v>
      </c>
      <c r="Q278" s="24">
        <f t="shared" ref="Q278:Q290" si="76">P278*D278</f>
        <v>8</v>
      </c>
      <c r="R278" s="8">
        <f>IF(BIBLE!K161=0,"",BIBLE!K161)</f>
        <v>4</v>
      </c>
      <c r="S278" s="40"/>
      <c r="T278" s="40"/>
      <c r="U278" s="40"/>
      <c r="V278" s="6">
        <f>MAX(AS278:AS280)</f>
        <v>12</v>
      </c>
      <c r="W278" s="8"/>
      <c r="X278" s="6">
        <f t="shared" ref="X278:AC278" si="77">MAX(AU278:AU280)</f>
        <v>0</v>
      </c>
      <c r="Y278" s="6">
        <f t="shared" si="77"/>
        <v>3</v>
      </c>
      <c r="Z278" s="6">
        <f t="shared" si="77"/>
        <v>6</v>
      </c>
      <c r="AA278" s="6">
        <f t="shared" si="77"/>
        <v>12</v>
      </c>
      <c r="AB278" s="6">
        <f t="shared" si="77"/>
        <v>21</v>
      </c>
      <c r="AC278" s="6">
        <f t="shared" si="77"/>
        <v>30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12</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12</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8</v>
      </c>
      <c r="AT278" s="273"/>
      <c r="AU278" s="6">
        <f t="shared" ref="AU278:AZ280" si="78">IF($Q278&gt;0,X$109*$D278,0)</f>
        <v>0</v>
      </c>
      <c r="AV278" s="6">
        <f t="shared" si="78"/>
        <v>2</v>
      </c>
      <c r="AW278" s="6">
        <f t="shared" si="78"/>
        <v>4</v>
      </c>
      <c r="AX278" s="6">
        <f t="shared" si="78"/>
        <v>8</v>
      </c>
      <c r="AY278" s="6">
        <f t="shared" si="78"/>
        <v>14</v>
      </c>
      <c r="AZ278" s="6">
        <f t="shared" si="78"/>
        <v>20</v>
      </c>
    </row>
    <row r="279" spans="1:60" s="7" customFormat="1" ht="63" customHeight="1">
      <c r="A279" s="1188" t="str">
        <f>BIBLE!E162</f>
        <v>E06a</v>
      </c>
      <c r="B279" s="134" t="str">
        <f>IF(OR(P278&gt;=R278),BIBLE!F162,"")</f>
        <v>Votre enfant croit que vous souffrez d’une maladie mentale ou que vous êtes instable psychologiquement.</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t="str">
        <f>'TEST_pour PROTOTYPE'!D256</f>
        <v>4</v>
      </c>
      <c r="Q279" s="24">
        <f t="shared" si="76"/>
        <v>12</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12</v>
      </c>
      <c r="AT279" s="273"/>
      <c r="AU279" s="6">
        <f t="shared" si="78"/>
        <v>0</v>
      </c>
      <c r="AV279" s="6">
        <f t="shared" si="78"/>
        <v>3</v>
      </c>
      <c r="AW279" s="6">
        <f t="shared" si="78"/>
        <v>6</v>
      </c>
      <c r="AX279" s="6">
        <f t="shared" si="78"/>
        <v>12</v>
      </c>
      <c r="AY279" s="6">
        <f t="shared" si="78"/>
        <v>21</v>
      </c>
      <c r="AZ279" s="6">
        <f t="shared" si="78"/>
        <v>30</v>
      </c>
      <c r="BB279" s="17" t="s">
        <v>1366</v>
      </c>
    </row>
    <row r="280" spans="1:60" s="7" customFormat="1" ht="63" customHeight="1">
      <c r="A280" s="1188" t="str">
        <f>BIBLE!E163</f>
        <v>E06a1</v>
      </c>
      <c r="B280" s="134" t="str">
        <f>IF(P279&gt;=R279,BIBLE!F163,"")</f>
        <v>Arrive-t-il à votre enfant de vous reprocher d'être dangereux·se ou de présenter un danger pour sa sécurité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t="str">
        <f>'TEST_pour PROTOTYPE'!D257</f>
        <v>1</v>
      </c>
      <c r="Q280" s="24">
        <f t="shared" si="76"/>
        <v>3</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3</v>
      </c>
      <c r="AT280" s="273"/>
      <c r="AU280" s="6">
        <f t="shared" si="78"/>
        <v>0</v>
      </c>
      <c r="AV280" s="6">
        <f t="shared" si="78"/>
        <v>3</v>
      </c>
      <c r="AW280" s="6">
        <f t="shared" si="78"/>
        <v>6</v>
      </c>
      <c r="AX280" s="6">
        <f t="shared" si="78"/>
        <v>12</v>
      </c>
      <c r="AY280" s="6">
        <f t="shared" si="78"/>
        <v>21</v>
      </c>
      <c r="AZ280" s="6">
        <f t="shared" si="78"/>
        <v>30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t="str">
        <f>'TEST_pour PROTOTYPE'!D258</f>
        <v>7</v>
      </c>
      <c r="Q281" s="24">
        <f t="shared" si="76"/>
        <v>7</v>
      </c>
      <c r="R281" s="8" t="str">
        <f>IF(BIBLE!K164=0,"",BIBLE!K164)</f>
        <v/>
      </c>
      <c r="S281" s="40"/>
      <c r="T281" s="40"/>
      <c r="U281" s="40"/>
      <c r="V281" s="6">
        <f>Q281</f>
        <v>7</v>
      </c>
      <c r="W281" s="273"/>
      <c r="X281" s="6">
        <f t="shared" ref="X281:AC285" si="79">IF($Q281&gt;0,X$109*$D281,0)</f>
        <v>0</v>
      </c>
      <c r="Y281" s="6">
        <f t="shared" si="79"/>
        <v>1</v>
      </c>
      <c r="Z281" s="6">
        <f t="shared" si="79"/>
        <v>2</v>
      </c>
      <c r="AA281" s="6">
        <f t="shared" si="79"/>
        <v>4</v>
      </c>
      <c r="AB281" s="6">
        <f t="shared" si="79"/>
        <v>7</v>
      </c>
      <c r="AC281" s="6">
        <f t="shared" si="79"/>
        <v>10</v>
      </c>
      <c r="AE281" s="473"/>
      <c r="AF281" s="38"/>
      <c r="AG281" s="38"/>
      <c r="AH281" s="22">
        <f>$V281*BIBLE!S164</f>
        <v>0</v>
      </c>
      <c r="AI281" s="22">
        <f>$V281*BIBLE!T164</f>
        <v>7</v>
      </c>
      <c r="AJ281" s="22">
        <f>$V281*BIBLE!U164</f>
        <v>0</v>
      </c>
      <c r="AK281" s="1225">
        <f>$V281*BIBLE!W164</f>
        <v>0</v>
      </c>
      <c r="AL281" s="1225">
        <f>$V281*BIBLE!X164</f>
        <v>0</v>
      </c>
      <c r="AM281" s="1225">
        <f>$V281*BIBLE!Y164</f>
        <v>7</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xml:space="preserve">Dans quelle mesure diriez-vous que votre enfant vous tient responsable de la peine ou de la frustration de son autre parent ?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t="str">
        <f>'TEST_pour PROTOTYPE'!D259</f>
        <v>7</v>
      </c>
      <c r="Q282" s="24">
        <f t="shared" si="76"/>
        <v>7</v>
      </c>
      <c r="R282" s="8" t="str">
        <f>IF(BIBLE!K165=0,"",BIBLE!K165)</f>
        <v/>
      </c>
      <c r="S282" s="40"/>
      <c r="T282" s="40"/>
      <c r="U282" s="40"/>
      <c r="V282" s="6">
        <f>Q282</f>
        <v>7</v>
      </c>
      <c r="W282" s="273"/>
      <c r="X282" s="6">
        <f t="shared" si="79"/>
        <v>0</v>
      </c>
      <c r="Y282" s="6">
        <f t="shared" si="79"/>
        <v>1</v>
      </c>
      <c r="Z282" s="6">
        <f t="shared" si="79"/>
        <v>2</v>
      </c>
      <c r="AA282" s="6">
        <f t="shared" si="79"/>
        <v>4</v>
      </c>
      <c r="AB282" s="6">
        <f t="shared" si="79"/>
        <v>7</v>
      </c>
      <c r="AC282" s="6">
        <f t="shared" si="79"/>
        <v>10</v>
      </c>
      <c r="AE282" s="473"/>
      <c r="AF282" s="38"/>
      <c r="AG282" s="38"/>
      <c r="AH282" s="22">
        <f>$V282*BIBLE!S165</f>
        <v>0</v>
      </c>
      <c r="AI282" s="22">
        <f>$V282*BIBLE!T165</f>
        <v>3.5</v>
      </c>
      <c r="AJ282" s="22">
        <f>$V282*BIBLE!U165</f>
        <v>3.5</v>
      </c>
      <c r="AK282" s="1225">
        <f>$V282*BIBLE!W165</f>
        <v>0</v>
      </c>
      <c r="AL282" s="1225">
        <f>$V282*BIBLE!X165</f>
        <v>0</v>
      </c>
      <c r="AM282" s="1225">
        <f>$V282*BIBLE!Y165</f>
        <v>7</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t="str">
        <f>'TEST_pour PROTOTYPE'!D260</f>
        <v>1</v>
      </c>
      <c r="Q283" s="24">
        <f t="shared" si="76"/>
        <v>2</v>
      </c>
      <c r="R283" s="8" t="str">
        <f>IF(BIBLE!K166=0,"",BIBLE!K166)</f>
        <v/>
      </c>
      <c r="S283" s="40"/>
      <c r="T283" s="40"/>
      <c r="U283" s="40"/>
      <c r="V283" s="6">
        <f>Q283</f>
        <v>2</v>
      </c>
      <c r="W283" s="273"/>
      <c r="X283" s="6">
        <f t="shared" si="79"/>
        <v>0</v>
      </c>
      <c r="Y283" s="6">
        <f t="shared" si="79"/>
        <v>2</v>
      </c>
      <c r="Z283" s="6">
        <f t="shared" si="79"/>
        <v>4</v>
      </c>
      <c r="AA283" s="6">
        <f t="shared" si="79"/>
        <v>8</v>
      </c>
      <c r="AB283" s="6">
        <f t="shared" si="79"/>
        <v>14</v>
      </c>
      <c r="AC283" s="6">
        <f t="shared" si="79"/>
        <v>20</v>
      </c>
      <c r="AE283" s="473"/>
      <c r="AF283" s="38"/>
      <c r="AG283" s="38"/>
      <c r="AH283" s="22">
        <f>$V283*BIBLE!S166</f>
        <v>0</v>
      </c>
      <c r="AI283" s="22">
        <f>$V283*BIBLE!T166</f>
        <v>1</v>
      </c>
      <c r="AJ283" s="22">
        <f>$V283*BIBLE!U166</f>
        <v>1</v>
      </c>
      <c r="AK283" s="1225">
        <f>$V283*BIBLE!W166</f>
        <v>0</v>
      </c>
      <c r="AL283" s="1225">
        <f>$V283*BIBLE!X166</f>
        <v>0</v>
      </c>
      <c r="AM283" s="1225">
        <f>$V283*BIBLE!Y166</f>
        <v>2</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2</v>
      </c>
      <c r="E284" s="20"/>
      <c r="F284" s="20"/>
      <c r="G284" s="20">
        <v>1</v>
      </c>
      <c r="H284" s="20"/>
      <c r="I284" s="20"/>
      <c r="J284" s="20"/>
      <c r="K284" s="20"/>
      <c r="L284" s="20"/>
      <c r="M284" s="20"/>
      <c r="N284" s="20"/>
      <c r="O284" s="20"/>
      <c r="P284" s="1547" t="str">
        <f>'TEST_pour PROTOTYPE'!D261</f>
        <v>4</v>
      </c>
      <c r="Q284" s="24">
        <f t="shared" si="76"/>
        <v>8</v>
      </c>
      <c r="R284" s="8" t="str">
        <f>IF(BIBLE!K167=0,"",BIBLE!K167)</f>
        <v/>
      </c>
      <c r="S284" s="40"/>
      <c r="T284" s="40"/>
      <c r="U284" s="40"/>
      <c r="V284" s="6">
        <f>Q284</f>
        <v>8</v>
      </c>
      <c r="W284" s="273"/>
      <c r="X284" s="6">
        <f t="shared" si="79"/>
        <v>0</v>
      </c>
      <c r="Y284" s="6">
        <f t="shared" si="79"/>
        <v>2</v>
      </c>
      <c r="Z284" s="6">
        <f t="shared" si="79"/>
        <v>4</v>
      </c>
      <c r="AA284" s="6">
        <f t="shared" si="79"/>
        <v>8</v>
      </c>
      <c r="AB284" s="6">
        <f t="shared" si="79"/>
        <v>14</v>
      </c>
      <c r="AC284" s="6">
        <f t="shared" si="79"/>
        <v>20</v>
      </c>
      <c r="AE284" s="473"/>
      <c r="AF284" s="38"/>
      <c r="AG284" s="38"/>
      <c r="AH284" s="22">
        <f>$V284*BIBLE!S167</f>
        <v>8</v>
      </c>
      <c r="AI284" s="22">
        <f>$V284*BIBLE!T167</f>
        <v>0</v>
      </c>
      <c r="AJ284" s="22">
        <f>$V284*BIBLE!U167</f>
        <v>0</v>
      </c>
      <c r="AK284" s="1225">
        <f>$V284*BIBLE!W167</f>
        <v>0</v>
      </c>
      <c r="AL284" s="1225">
        <f>$V284*BIBLE!X167</f>
        <v>0</v>
      </c>
      <c r="AM284" s="1225">
        <f>$V284*BIBLE!Y167</f>
        <v>8</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t="str">
        <f>'TEST_pour PROTOTYPE'!D262</f>
        <v>1</v>
      </c>
      <c r="Q285" s="24">
        <f t="shared" si="76"/>
        <v>2</v>
      </c>
      <c r="R285" s="8" t="str">
        <f>IF(BIBLE!K168=0,"",BIBLE!K168)</f>
        <v/>
      </c>
      <c r="S285" s="40"/>
      <c r="T285" s="40"/>
      <c r="U285" s="40"/>
      <c r="V285" s="6">
        <f>Q285</f>
        <v>2</v>
      </c>
      <c r="W285" s="273"/>
      <c r="X285" s="6">
        <f t="shared" si="79"/>
        <v>0</v>
      </c>
      <c r="Y285" s="6">
        <f t="shared" si="79"/>
        <v>2</v>
      </c>
      <c r="Z285" s="6">
        <f t="shared" si="79"/>
        <v>4</v>
      </c>
      <c r="AA285" s="6">
        <f t="shared" si="79"/>
        <v>8</v>
      </c>
      <c r="AB285" s="6">
        <f t="shared" si="79"/>
        <v>14</v>
      </c>
      <c r="AC285" s="6">
        <f t="shared" si="79"/>
        <v>20</v>
      </c>
      <c r="AE285" s="473"/>
      <c r="AF285" s="38"/>
      <c r="AG285" s="38"/>
      <c r="AH285" s="22">
        <f>$V285*BIBLE!S168</f>
        <v>0</v>
      </c>
      <c r="AI285" s="22">
        <f>$V285*BIBLE!T168</f>
        <v>0</v>
      </c>
      <c r="AJ285" s="22">
        <f>$V285*BIBLE!U168</f>
        <v>2</v>
      </c>
      <c r="AK285" s="1225">
        <f>$V285*BIBLE!W168</f>
        <v>0</v>
      </c>
      <c r="AL285" s="1225">
        <f>$V285*BIBLE!X168</f>
        <v>0</v>
      </c>
      <c r="AM285" s="1225">
        <f>$V285*BIBLE!Y168</f>
        <v>0</v>
      </c>
      <c r="AN285" s="1225">
        <f>$V285*BIBLE!Z168</f>
        <v>2</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t="str">
        <f>'TEST_pour PROTOTYPE'!D263</f>
        <v>1</v>
      </c>
      <c r="Q286" s="24">
        <f t="shared" si="76"/>
        <v>2</v>
      </c>
      <c r="R286" s="8">
        <f>IF(BIBLE!K169=0,"",BIBLE!K169)</f>
        <v>4</v>
      </c>
      <c r="S286" s="40"/>
      <c r="T286" s="40"/>
      <c r="U286" s="40"/>
      <c r="V286" s="6">
        <f>IF(P286&gt;=R286,IF(Q286&gt;Q287,Q286,Q287),Q286)</f>
        <v>2</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2</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2</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xml:space="preserve">Selon votre enfant, la nouvelle famille de l'autre parent (famille recomposée ou non) a plus de valeur que la vôtre.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t="str">
        <f>'TEST_pour PROTOTYPE'!D265</f>
        <v>2</v>
      </c>
      <c r="Q288" s="24">
        <f t="shared" si="76"/>
        <v>4</v>
      </c>
      <c r="R288" s="8">
        <f>IF(BIBLE!K171=0,"",BIBLE!K171)</f>
        <v>4</v>
      </c>
      <c r="S288" s="40"/>
      <c r="T288" s="40"/>
      <c r="U288" s="40"/>
      <c r="V288" s="6">
        <f>IF(P288&gt;=R288,IF(Q288&gt;Q289,Q288,Q289),Q288)</f>
        <v>4</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4</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4</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Arrive-t-il à votre enfant de vous accuser de voler de l’argent à son autre parent ou d'être responsable de son apauvrissement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t="str">
        <f>'TEST_pour PROTOTYPE'!D267</f>
        <v>7</v>
      </c>
      <c r="Q290" s="24">
        <f t="shared" si="76"/>
        <v>14</v>
      </c>
      <c r="R290" s="8">
        <f>IF(BIBLE!K173=0,"",BIBLE!K173)</f>
        <v>2</v>
      </c>
      <c r="S290" s="41"/>
      <c r="T290" s="41"/>
      <c r="U290" s="41"/>
      <c r="V290" s="6">
        <f>IF(P290&gt;=R290,IF(SUM(Q296:Q298)&gt;Q290,SUM(Q296:Q298),Q290),Q290)</f>
        <v>14</v>
      </c>
      <c r="W290" s="8"/>
      <c r="X290" s="6">
        <f>IF(Q290&gt;SUM(Q296:Q298),AU290,SUM(AU296:AU298))</f>
        <v>0</v>
      </c>
      <c r="Y290" s="6">
        <f>IF(Q290&gt;SUM(Q296:Q298),AV290,SUM(AV296:AV298))</f>
        <v>2</v>
      </c>
      <c r="Z290" s="6">
        <f>IF(Q290&gt;SUM(Q296:Q298),AW290,SUM(AW296:AW298))</f>
        <v>4</v>
      </c>
      <c r="AA290" s="6">
        <f>IF(Q290&gt;SUM(Q296:Q298),AX290,SUM(AX296:AX298))</f>
        <v>8</v>
      </c>
      <c r="AB290" s="6">
        <f>IF(Q290&gt;SUM(Q296:Q298),AY290,SUM(AY296:AY298))</f>
        <v>14</v>
      </c>
      <c r="AC290" s="6">
        <f>IF(Q290&gt;SUM(Q296:Q298),AZ290,SUM(AZ296:AZ298))</f>
        <v>20</v>
      </c>
      <c r="AE290" s="473"/>
      <c r="AF290" s="38"/>
      <c r="AG290" s="38"/>
      <c r="AH290" s="69">
        <f>IF($Q290=$V290,$Q290*BIBLE!S173,(Test_Bible!$Q296*BIBLE!S175+Test_Bible!$Q297*BIBLE!S176+$Q298*BIBLE!S177))</f>
        <v>7</v>
      </c>
      <c r="AI290" s="69">
        <f>IF($Q290=$V290,$Q290*BIBLE!T173,(Test_Bible!$Q296*BIBLE!T175+Test_Bible!$Q297*BIBLE!T176+$Q298*BIBLE!T177))</f>
        <v>0</v>
      </c>
      <c r="AJ290" s="69">
        <f>IF($Q290=$V290,$Q290*BIBLE!U173,(Test_Bible!$Q296*BIBLE!U175+Test_Bible!$Q297*BIBLE!U176+$Q298*BIBLE!U177))</f>
        <v>7</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14</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14</v>
      </c>
      <c r="AT290" s="16"/>
      <c r="AU290" s="6">
        <f t="shared" ref="AU290:AZ290" si="82">IF($Q290&gt;0,X$109*$D290,0)</f>
        <v>0</v>
      </c>
      <c r="AV290" s="6">
        <f t="shared" si="82"/>
        <v>2</v>
      </c>
      <c r="AW290" s="6">
        <f t="shared" si="82"/>
        <v>4</v>
      </c>
      <c r="AX290" s="6">
        <f t="shared" si="82"/>
        <v>8</v>
      </c>
      <c r="AY290" s="6">
        <f t="shared" si="82"/>
        <v>14</v>
      </c>
      <c r="AZ290" s="6">
        <f t="shared" si="82"/>
        <v>20</v>
      </c>
      <c r="BA290" s="8"/>
      <c r="BB290" s="6">
        <f>AS290</f>
        <v>14</v>
      </c>
      <c r="BC290" s="8"/>
      <c r="BD290" s="6">
        <f t="shared" ref="BD290:BI290" si="83">AU290</f>
        <v>0</v>
      </c>
      <c r="BE290" s="6">
        <f t="shared" si="83"/>
        <v>2</v>
      </c>
      <c r="BF290" s="6">
        <f t="shared" si="83"/>
        <v>4</v>
      </c>
      <c r="BG290" s="6">
        <f t="shared" si="83"/>
        <v>8</v>
      </c>
      <c r="BH290" s="6">
        <f t="shared" si="83"/>
        <v>14</v>
      </c>
      <c r="BI290" s="6">
        <f t="shared" si="83"/>
        <v>20</v>
      </c>
    </row>
    <row r="291" spans="1:61" s="7" customFormat="1" ht="48" customHeight="1">
      <c r="A291" s="1188" t="str">
        <f>BIBLE!E174</f>
        <v>E16a</v>
      </c>
      <c r="B291" s="1669" t="str">
        <f>IF(P290&gt;=R290,BIBLE!F174,"")</f>
        <v>Dans quel contexte votre enfant demande-t-il ou elle à changer les horaires de garde et de visite chez l'un et l'autre des parents ?</v>
      </c>
      <c r="C291" s="459"/>
      <c r="D291" s="1278"/>
      <c r="E291" s="8"/>
      <c r="F291" s="20"/>
      <c r="G291" s="20"/>
      <c r="H291" s="20"/>
      <c r="I291" s="20"/>
      <c r="J291" s="20"/>
      <c r="K291" s="20"/>
      <c r="L291" s="20"/>
      <c r="M291" s="20"/>
      <c r="N291" s="20"/>
      <c r="O291" s="20" t="s">
        <v>1381</v>
      </c>
      <c r="P291" s="24">
        <f>MAX(P292:P294)</f>
        <v>1</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1382</v>
      </c>
      <c r="D292" s="1445">
        <v>1</v>
      </c>
      <c r="E292" s="1487">
        <f>'TEST_pour PROTOTYPE'!D268</f>
        <v>1</v>
      </c>
      <c r="F292" s="20"/>
      <c r="G292" s="20"/>
      <c r="H292" s="20"/>
      <c r="I292" s="20"/>
      <c r="J292" s="20"/>
      <c r="K292" s="20"/>
      <c r="L292" s="20"/>
      <c r="M292" s="20"/>
      <c r="N292" s="20"/>
      <c r="O292" s="20"/>
      <c r="P292" s="1471">
        <f>D292*E292</f>
        <v>1</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1384</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2</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2</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t="str">
        <f>'TEST_pour PROTOTYPE'!D274</f>
        <v>7</v>
      </c>
      <c r="Q299" s="24">
        <f t="shared" si="84"/>
        <v>14</v>
      </c>
      <c r="R299" s="8" t="str">
        <f>IF(BIBLE!K178=0,"",BIBLE!K178)</f>
        <v/>
      </c>
      <c r="S299" s="41"/>
      <c r="T299" s="41"/>
      <c r="U299" s="41"/>
      <c r="V299" s="6">
        <f>Q299</f>
        <v>14</v>
      </c>
      <c r="W299" s="273"/>
      <c r="X299" s="6">
        <f t="shared" ref="X299:AC299" si="87">IF($Q299&gt;0,X$109*$D299,0)</f>
        <v>0</v>
      </c>
      <c r="Y299" s="6">
        <f t="shared" si="87"/>
        <v>2</v>
      </c>
      <c r="Z299" s="6">
        <f t="shared" si="87"/>
        <v>4</v>
      </c>
      <c r="AA299" s="6">
        <f t="shared" si="87"/>
        <v>8</v>
      </c>
      <c r="AB299" s="6">
        <f t="shared" si="87"/>
        <v>14</v>
      </c>
      <c r="AC299" s="6">
        <f t="shared" si="87"/>
        <v>20</v>
      </c>
      <c r="AE299" s="473"/>
      <c r="AF299" s="38"/>
      <c r="AG299" s="38"/>
      <c r="AH299" s="22">
        <f>$V299*BIBLE!S178</f>
        <v>14</v>
      </c>
      <c r="AI299" s="22">
        <f>$V299*BIBLE!T178</f>
        <v>0</v>
      </c>
      <c r="AJ299" s="22">
        <f>$V299*BIBLE!U178</f>
        <v>0</v>
      </c>
      <c r="AK299" s="1225">
        <f>$V299*BIBLE!W178</f>
        <v>0</v>
      </c>
      <c r="AL299" s="1225">
        <f>$V299*BIBLE!X178</f>
        <v>0</v>
      </c>
      <c r="AM299" s="1225">
        <f>$V299*BIBLE!Y178</f>
        <v>0</v>
      </c>
      <c r="AN299" s="1225">
        <f>$V299*BIBLE!Z178</f>
        <v>0</v>
      </c>
      <c r="AO299" s="1225">
        <f>$V299*BIBLE!AA178</f>
        <v>14</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t="str">
        <f>'TEST_pour PROTOTYPE'!D275</f>
        <v>7</v>
      </c>
      <c r="Q300" s="23">
        <f t="shared" si="84"/>
        <v>14</v>
      </c>
      <c r="R300" s="8">
        <f>IF(BIBLE!K179=0,"",BIBLE!K179)</f>
        <v>4</v>
      </c>
      <c r="S300" s="8"/>
      <c r="T300" s="8"/>
      <c r="U300" s="8"/>
      <c r="V300" s="8">
        <f>IF(P300&gt;=R300,IF(Q300&gt;Q301,Q300,Q301),Q300)</f>
        <v>14</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7</v>
      </c>
      <c r="AI300" s="22">
        <f>IF($Q300=$V300,$Q300*BIBLE!T179,$Q301*BIBLE!T180)</f>
        <v>7</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14</v>
      </c>
      <c r="AQ300" s="1225">
        <f>IF($Q300=$V300,$Q300*BIBLE!AC179,$Q301*BIBLE!AC180)</f>
        <v>0</v>
      </c>
      <c r="AR300" s="1225">
        <f>IF($Q300=$V300,$Q300*BIBLE!AD179,$Q301*BIBLE!AD180)</f>
        <v>0</v>
      </c>
    </row>
    <row r="301" spans="1:61" s="7" customFormat="1" ht="63" customHeight="1">
      <c r="A301" s="1188" t="s">
        <v>1001</v>
      </c>
      <c r="B301" s="134" t="str">
        <f>IF(P300&gt;=R300,BIBLE!F180,"")</f>
        <v>Dans quelle mesure la présence du nouveau ou nouvelle conjoint·e apporte-t-elle chez votre enfant une confusion au niveau des rôles parentaux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t="str">
        <f>'TEST_pour PROTOTYPE'!D276</f>
        <v>4</v>
      </c>
      <c r="Q301" s="23">
        <f t="shared" si="84"/>
        <v>12</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t="str">
        <f>'TEST_pour PROTOTYPE'!D277</f>
        <v>4</v>
      </c>
      <c r="Q302" s="23">
        <f t="shared" si="84"/>
        <v>4</v>
      </c>
      <c r="R302" s="8">
        <f>IF(BIBLE!K181=0,"",BIBLE!K181)</f>
        <v>4</v>
      </c>
      <c r="S302" s="8"/>
      <c r="T302" s="8"/>
      <c r="U302" s="8"/>
      <c r="V302" s="8">
        <f>IF(P302&gt;=R302,IF(Q302&gt;Q303,Q302,Q303),Q302)</f>
        <v>14</v>
      </c>
      <c r="W302" s="8"/>
      <c r="X302" s="8">
        <f t="shared" ref="X302:AC302" si="89">IF(($P302&gt;=$R302),IF($Q302&gt;$Q303,X$109*$D302,X$109*$D303),X$109*$D302)</f>
        <v>0</v>
      </c>
      <c r="Y302" s="8">
        <f t="shared" si="89"/>
        <v>2</v>
      </c>
      <c r="Z302" s="8">
        <f t="shared" si="89"/>
        <v>4</v>
      </c>
      <c r="AA302" s="8">
        <f t="shared" si="89"/>
        <v>8</v>
      </c>
      <c r="AB302" s="8">
        <f t="shared" si="89"/>
        <v>14</v>
      </c>
      <c r="AC302" s="8">
        <f t="shared" si="89"/>
        <v>20</v>
      </c>
      <c r="AD302" s="8"/>
      <c r="AE302" s="473"/>
      <c r="AF302" s="38"/>
      <c r="AG302" s="38"/>
      <c r="AH302" s="22">
        <f>IF($Q302=$V302,$Q302*BIBLE!S181,$Q303*BIBLE!S182)</f>
        <v>7</v>
      </c>
      <c r="AI302" s="22">
        <f>IF($Q302=$V302,$Q302*BIBLE!T181,$Q303*BIBLE!T182)</f>
        <v>7</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14</v>
      </c>
      <c r="AQ302" s="1225">
        <f>IF($Q302=$V302,$Q302*BIBLE!AC181,$Q303*BIBLE!AC182)</f>
        <v>0</v>
      </c>
      <c r="AR302" s="1225">
        <f>IF($Q302=$V302,$Q302*BIBLE!AD181,$Q303*BIBLE!AD182)</f>
        <v>0</v>
      </c>
    </row>
    <row r="303" spans="1:61" s="7" customFormat="1" ht="63" customHeight="1">
      <c r="A303" s="1188" t="str">
        <f>BIBLE!E182</f>
        <v>E21a</v>
      </c>
      <c r="B303" s="134" t="str">
        <f>IF(P302&gt;=R302,BIBLE!F182,"")</f>
        <v xml:space="preserve">Dans quelle mesure diriez-vous que l'autre parent accepte que votre enfant apporte des objets qui proviennent de votre demeure ou de votre milieu ?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t="str">
        <f>'TEST_pour PROTOTYPE'!D278</f>
        <v>7</v>
      </c>
      <c r="Q303" s="23">
        <f t="shared" si="84"/>
        <v>14</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t="str">
        <f>'TEST_pour PROTOTYPE'!D279</f>
        <v>2</v>
      </c>
      <c r="Q304" s="24">
        <f t="shared" si="84"/>
        <v>4</v>
      </c>
      <c r="R304" s="8">
        <f>IF(BIBLE!K183=0,"",BIBLE!K183)</f>
        <v>2</v>
      </c>
      <c r="S304" s="41"/>
      <c r="T304" s="41"/>
      <c r="U304" s="41"/>
      <c r="V304" s="6">
        <f>IF(P304&gt;=R304,IF(Q304&gt;Q305,Q304,Q305),Q304)</f>
        <v>6</v>
      </c>
      <c r="W304" s="8"/>
      <c r="X304" s="6">
        <f t="shared" ref="X304:AC304" si="90">IF(($P304&gt;=$R304),IF($Q304&gt;$Q305,X$109*$D304,X$109*$D305),X$109*$D304)</f>
        <v>0</v>
      </c>
      <c r="Y304" s="6">
        <f t="shared" si="90"/>
        <v>3</v>
      </c>
      <c r="Z304" s="6">
        <f t="shared" si="90"/>
        <v>6</v>
      </c>
      <c r="AA304" s="6">
        <f t="shared" si="90"/>
        <v>12</v>
      </c>
      <c r="AB304" s="6">
        <f t="shared" si="90"/>
        <v>21</v>
      </c>
      <c r="AC304" s="6">
        <f t="shared" si="90"/>
        <v>30</v>
      </c>
      <c r="AE304" s="473"/>
      <c r="AF304" s="38"/>
      <c r="AG304" s="38"/>
      <c r="AH304" s="22">
        <f>IF($Q304=$V304,$Q304*BIBLE!S183,$Q305*BIBLE!S184)</f>
        <v>0</v>
      </c>
      <c r="AI304" s="22">
        <f>IF($Q304=$V304,$Q304*BIBLE!T183,$Q305*BIBLE!T184)</f>
        <v>6</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6</v>
      </c>
      <c r="AQ304" s="1225">
        <f>IF($Q304=$V304,$Q304*BIBLE!AC183,$Q305*BIBLE!AC184)</f>
        <v>0</v>
      </c>
      <c r="AR304" s="1225">
        <f>IF($Q304=$V304,$Q304*BIBLE!AD183,$Q305*BIBLE!AD184)</f>
        <v>0</v>
      </c>
    </row>
    <row r="305" spans="1:44" s="7" customFormat="1" ht="63" customHeight="1">
      <c r="A305" s="1188" t="str">
        <f>BIBLE!E184</f>
        <v>E22a</v>
      </c>
      <c r="B305" s="134" t="str">
        <f>IF(P304&gt;=R304,BIBLE!F184,"")</f>
        <v>Dans quelle mesure les souvenirs de votre enfant vous semblent-ils être déformés ? (ex.: souvenirs de la petite enfance vus aujourd'hui différement)</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t="str">
        <f>'TEST_pour PROTOTYPE'!D280</f>
        <v>2</v>
      </c>
      <c r="Q305" s="24">
        <f t="shared" si="84"/>
        <v>6</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1</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t="str">
        <f>'TEST_pour PROTOTYPE'!D282</f>
        <v>4</v>
      </c>
      <c r="Q307" s="24">
        <f t="shared" si="84"/>
        <v>4</v>
      </c>
      <c r="R307" s="8" t="str">
        <f>IF(BIBLE!K186=0,"",BIBLE!K186)</f>
        <v/>
      </c>
      <c r="S307" s="40"/>
      <c r="T307" s="40"/>
      <c r="U307" s="40"/>
      <c r="V307" s="6">
        <f t="shared" si="91"/>
        <v>4</v>
      </c>
      <c r="W307" s="273"/>
      <c r="X307" s="6">
        <f t="shared" si="92"/>
        <v>0</v>
      </c>
      <c r="Y307" s="6">
        <f t="shared" si="92"/>
        <v>1</v>
      </c>
      <c r="Z307" s="6">
        <f t="shared" si="92"/>
        <v>2</v>
      </c>
      <c r="AA307" s="6">
        <f t="shared" si="92"/>
        <v>4</v>
      </c>
      <c r="AB307" s="6">
        <f t="shared" si="92"/>
        <v>7</v>
      </c>
      <c r="AC307" s="6">
        <f t="shared" si="92"/>
        <v>10</v>
      </c>
      <c r="AE307" s="473"/>
      <c r="AF307" s="38"/>
      <c r="AG307" s="38"/>
      <c r="AH307" s="22">
        <f>$V307*BIBLE!S186</f>
        <v>0</v>
      </c>
      <c r="AI307" s="22">
        <f>$V307*BIBLE!T186</f>
        <v>4</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4</v>
      </c>
      <c r="AR307" s="1225">
        <f>$V307*BIBLE!AD186</f>
        <v>0</v>
      </c>
    </row>
    <row r="308" spans="1:44" s="7" customFormat="1" ht="63" customHeight="1">
      <c r="A308" s="1188" t="str">
        <f>BIBLE!E187</f>
        <v>E24</v>
      </c>
      <c r="B308" s="133" t="str">
        <f>IF(OR($P$53&gt;=$R$53,P113&gt;=4,P123&gt;=4),BIBLE!F187,"")</f>
        <v>L'autre parent a informé votre enfant du contexte juridique, financier ou autre associé au conflit vous opposant.</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t="str">
        <f>'TEST_pour PROTOTYPE'!D283</f>
        <v>4</v>
      </c>
      <c r="Q308" s="24">
        <f t="shared" si="84"/>
        <v>8</v>
      </c>
      <c r="R308" s="8" t="str">
        <f>IF(BIBLE!K187=0,"",BIBLE!K187)</f>
        <v/>
      </c>
      <c r="S308" s="41"/>
      <c r="T308" s="41"/>
      <c r="U308" s="41"/>
      <c r="V308" s="6">
        <f t="shared" si="91"/>
        <v>8</v>
      </c>
      <c r="W308" s="273"/>
      <c r="X308" s="6">
        <f t="shared" si="92"/>
        <v>0</v>
      </c>
      <c r="Y308" s="6">
        <f t="shared" si="92"/>
        <v>2</v>
      </c>
      <c r="Z308" s="6">
        <f t="shared" si="92"/>
        <v>4</v>
      </c>
      <c r="AA308" s="6">
        <f t="shared" si="92"/>
        <v>8</v>
      </c>
      <c r="AB308" s="6">
        <f t="shared" si="92"/>
        <v>14</v>
      </c>
      <c r="AC308" s="6">
        <f t="shared" si="92"/>
        <v>20</v>
      </c>
      <c r="AE308" s="473"/>
      <c r="AF308" s="38"/>
      <c r="AG308" s="38"/>
      <c r="AH308" s="22">
        <f>$V308*BIBLE!S187</f>
        <v>8</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8</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t="str">
        <f>'TEST_pour PROTOTYPE'!D284</f>
        <v>2</v>
      </c>
      <c r="Q309" s="24">
        <f t="shared" si="84"/>
        <v>4</v>
      </c>
      <c r="R309" s="8" t="str">
        <f>IF(BIBLE!K188=0,"",BIBLE!K188)</f>
        <v/>
      </c>
      <c r="S309" s="40"/>
      <c r="T309" s="40"/>
      <c r="U309" s="40"/>
      <c r="V309" s="6">
        <f t="shared" si="91"/>
        <v>4</v>
      </c>
      <c r="W309" s="273"/>
      <c r="X309" s="6">
        <f t="shared" si="92"/>
        <v>0</v>
      </c>
      <c r="Y309" s="6">
        <f t="shared" si="92"/>
        <v>2</v>
      </c>
      <c r="Z309" s="6">
        <f t="shared" si="92"/>
        <v>4</v>
      </c>
      <c r="AA309" s="6">
        <f t="shared" si="92"/>
        <v>8</v>
      </c>
      <c r="AB309" s="6">
        <f t="shared" si="92"/>
        <v>14</v>
      </c>
      <c r="AC309" s="6">
        <f t="shared" si="92"/>
        <v>20</v>
      </c>
      <c r="AE309" s="473"/>
      <c r="AF309" s="38"/>
      <c r="AG309" s="38"/>
      <c r="AH309" s="22">
        <f>$V309*BIBLE!S188</f>
        <v>2</v>
      </c>
      <c r="AI309" s="22">
        <f>$V309*BIBLE!T188</f>
        <v>2</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4</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t="str">
        <f>'TEST_pour PROTOTYPE'!D285</f>
        <v>7</v>
      </c>
      <c r="Q310" s="24">
        <f t="shared" si="84"/>
        <v>14</v>
      </c>
      <c r="R310" s="8">
        <f>IF(BIBLE!K189=0,"",BIBLE!K189)</f>
        <v>2</v>
      </c>
      <c r="S310" s="41"/>
      <c r="T310" s="41"/>
      <c r="U310" s="41"/>
      <c r="V310" s="6">
        <f t="shared" si="91"/>
        <v>14</v>
      </c>
      <c r="W310" s="273"/>
      <c r="X310" s="6">
        <f t="shared" si="92"/>
        <v>0</v>
      </c>
      <c r="Y310" s="6">
        <f t="shared" si="92"/>
        <v>2</v>
      </c>
      <c r="Z310" s="6">
        <f t="shared" si="92"/>
        <v>4</v>
      </c>
      <c r="AA310" s="6">
        <f t="shared" si="92"/>
        <v>8</v>
      </c>
      <c r="AB310" s="6">
        <f t="shared" si="92"/>
        <v>14</v>
      </c>
      <c r="AC310" s="6">
        <f t="shared" si="92"/>
        <v>20</v>
      </c>
      <c r="AE310" s="473"/>
      <c r="AF310" s="38"/>
      <c r="AG310" s="38"/>
      <c r="AH310" s="22">
        <f>$V310*BIBLE!S189</f>
        <v>7</v>
      </c>
      <c r="AI310" s="22">
        <f>$V310*BIBLE!T189</f>
        <v>7</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14</v>
      </c>
    </row>
    <row r="311" spans="1:44" s="7" customFormat="1" ht="63" customHeight="1">
      <c r="A311" s="1188" t="str">
        <f>BIBLE!E190</f>
        <v>E12</v>
      </c>
      <c r="B311" s="463" t="str">
        <f>IF(AND(P59&gt;=3,P310&gt;=R310),BIBLE!F190,"")</f>
        <v xml:space="preserve">Est-il déjà arrivé que votre enfant dénigre vos compétences parentales devant l’autre parent ? </v>
      </c>
      <c r="C311" s="459" t="str">
        <f>BIBLE!O190</f>
        <v xml:space="preserve">Jamais / Rarement / Occasionnellement / Régulièrement / Souvent / Toujours / S.O. </v>
      </c>
      <c r="D311" s="1278">
        <f>IF(E40&lt;=10,BIBLE!M190,BIBLE!L190)</f>
        <v>2</v>
      </c>
      <c r="E311" s="20"/>
      <c r="F311" s="20">
        <v>1</v>
      </c>
      <c r="G311" s="20"/>
      <c r="H311" s="20"/>
      <c r="I311" s="20"/>
      <c r="J311" s="20"/>
      <c r="K311" s="20"/>
      <c r="L311" s="20"/>
      <c r="M311" s="20"/>
      <c r="N311" s="20"/>
      <c r="O311" s="20"/>
      <c r="P311" s="1547" t="str">
        <f>'TEST_pour PROTOTYPE'!D286</f>
        <v>7</v>
      </c>
      <c r="Q311" s="24">
        <f t="shared" si="84"/>
        <v>14</v>
      </c>
      <c r="R311" s="8" t="str">
        <f>IF(BIBLE!K190=0,"",BIBLE!K190)</f>
        <v/>
      </c>
      <c r="S311" s="40"/>
      <c r="T311" s="40"/>
      <c r="U311" s="40"/>
      <c r="V311" s="6">
        <f t="shared" si="91"/>
        <v>14</v>
      </c>
      <c r="W311" s="273"/>
      <c r="X311" s="6">
        <f t="shared" si="92"/>
        <v>0</v>
      </c>
      <c r="Y311" s="6">
        <f t="shared" si="92"/>
        <v>2</v>
      </c>
      <c r="Z311" s="6">
        <f t="shared" si="92"/>
        <v>4</v>
      </c>
      <c r="AA311" s="6">
        <f t="shared" si="92"/>
        <v>8</v>
      </c>
      <c r="AB311" s="6">
        <f t="shared" si="92"/>
        <v>14</v>
      </c>
      <c r="AC311" s="6">
        <f t="shared" si="92"/>
        <v>20</v>
      </c>
      <c r="AE311" s="473"/>
      <c r="AF311" s="38"/>
      <c r="AG311" s="38"/>
      <c r="AH311" s="22">
        <f>$V311*BIBLE!S190</f>
        <v>0</v>
      </c>
      <c r="AI311" s="22">
        <f>$V311*BIBLE!T190</f>
        <v>0</v>
      </c>
      <c r="AJ311" s="22">
        <f>$V311*BIBLE!U190</f>
        <v>14</v>
      </c>
      <c r="AK311" s="1225">
        <f>$V311*BIBLE!W190</f>
        <v>0</v>
      </c>
      <c r="AL311" s="1225">
        <f>$V311*BIBLE!X190</f>
        <v>0</v>
      </c>
      <c r="AM311" s="1225">
        <f>$V311*BIBLE!Y190</f>
        <v>0</v>
      </c>
      <c r="AN311" s="1225">
        <f>$V311*BIBLE!Z190</f>
        <v>14</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t="str">
        <f>'TEST_pour PROTOTYPE'!D287</f>
        <v>4</v>
      </c>
      <c r="Q312" s="24">
        <f t="shared" si="84"/>
        <v>8</v>
      </c>
      <c r="R312" s="8">
        <f>IF(BIBLE!K191=0,"",BIBLE!K191)</f>
        <v>4</v>
      </c>
      <c r="S312" s="41"/>
      <c r="T312" s="41"/>
      <c r="U312" s="41"/>
      <c r="V312" s="6">
        <f>IF(P312&gt;=R312,IF(Q312&gt;Q320,Q312,Q320),Q312)</f>
        <v>12</v>
      </c>
      <c r="W312" s="8"/>
      <c r="X312" s="6">
        <f t="shared" ref="X312:AC312" si="93">IF(($P312&gt;=$R312),IF($Q312&gt;$Q320,X$109*$D312,X$109*$D320),X$109*$D312)</f>
        <v>0</v>
      </c>
      <c r="Y312" s="6">
        <f t="shared" si="93"/>
        <v>3</v>
      </c>
      <c r="Z312" s="6">
        <f t="shared" si="93"/>
        <v>6</v>
      </c>
      <c r="AA312" s="6">
        <f t="shared" si="93"/>
        <v>12</v>
      </c>
      <c r="AB312" s="6">
        <f t="shared" si="93"/>
        <v>21</v>
      </c>
      <c r="AC312" s="6">
        <f t="shared" si="93"/>
        <v>30</v>
      </c>
      <c r="AE312" s="473"/>
      <c r="AF312" s="38"/>
      <c r="AG312" s="38"/>
      <c r="AH312" s="22">
        <f>IF($Q312=$V312,$Q312*BIBLE!S191,$Q320*BIBLE!S193)</f>
        <v>0</v>
      </c>
      <c r="AI312" s="22">
        <f>IF($Q312=$V312,$Q312*BIBLE!T191,$Q320*BIBLE!T193)</f>
        <v>6</v>
      </c>
      <c r="AJ312" s="22">
        <f>IF($Q312=$V312,$Q312*BIBLE!U191,$Q320*BIBLE!U193)</f>
        <v>6</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12</v>
      </c>
    </row>
    <row r="313" spans="1:44" s="7" customFormat="1" ht="32" customHeight="1">
      <c r="A313" s="1188" t="str">
        <f>BIBLE!E192</f>
        <v>E27a</v>
      </c>
      <c r="B313" s="134" t="str">
        <f>IF(P312&gt;=R312,BIBLE!F192,"")</f>
        <v>De manière générale, au retour d'un séjour chez l'autre parent, votre enfant vous paraît :</v>
      </c>
      <c r="C313" s="22"/>
      <c r="D313" s="1278">
        <f>BIBLE!L192</f>
        <v>0</v>
      </c>
      <c r="E313" s="20"/>
      <c r="F313" s="20"/>
      <c r="G313" s="1581"/>
      <c r="H313" s="1581"/>
      <c r="I313" s="1581"/>
      <c r="J313" s="1581"/>
      <c r="K313" s="1581"/>
      <c r="L313" s="1581"/>
      <c r="M313" s="1581"/>
      <c r="N313" s="1581"/>
      <c r="O313" s="1581"/>
      <c r="P313" s="1488" t="str">
        <f>'TEST_pour PROTOTYPE'!D288</f>
        <v>3</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Calme</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Neutre</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Enjoué.e</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Taciturne</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Anxieux</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Agressif</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Au retour d’un séjour chez l’autre parent, votre enfant vous questionne sur vos décisions présentes ou passsées ou vous accable de reproches.</v>
      </c>
      <c r="C320" s="22" t="str">
        <f>IF(BIBLE!H193=0,"",BIBLE!H193)</f>
        <v/>
      </c>
      <c r="D320" s="1278">
        <f>BIBLE!L193</f>
        <v>3</v>
      </c>
      <c r="E320" s="20"/>
      <c r="F320" s="20"/>
      <c r="G320" s="1582"/>
      <c r="H320" s="1582"/>
      <c r="I320" s="1582"/>
      <c r="J320" s="1582"/>
      <c r="K320" s="1582"/>
      <c r="L320" s="1582"/>
      <c r="M320" s="1582"/>
      <c r="N320" s="1582"/>
      <c r="O320" s="1582"/>
      <c r="P320" s="1547" t="str">
        <f>'TEST_pour PROTOTYPE'!D289</f>
        <v>4</v>
      </c>
      <c r="Q320" s="24">
        <f t="shared" ref="Q320:Q329" si="95">P320*D320</f>
        <v>12</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t="str">
        <f>'TEST_pour PROTOTYPE'!D290</f>
        <v>7</v>
      </c>
      <c r="Q321" s="24">
        <f t="shared" si="95"/>
        <v>14</v>
      </c>
      <c r="R321" s="8" t="str">
        <f>IF(BIBLE!K194=0,"",BIBLE!K194)</f>
        <v/>
      </c>
      <c r="S321" s="41"/>
      <c r="T321" s="41"/>
      <c r="U321" s="41"/>
      <c r="V321" s="6">
        <f>Q321</f>
        <v>14</v>
      </c>
      <c r="W321" s="273"/>
      <c r="X321" s="6">
        <f t="shared" ref="X321:AC321" si="96">IF($Q321&gt;0,X$109*$D321,0)</f>
        <v>0</v>
      </c>
      <c r="Y321" s="6">
        <f t="shared" si="96"/>
        <v>2</v>
      </c>
      <c r="Z321" s="6">
        <f t="shared" si="96"/>
        <v>4</v>
      </c>
      <c r="AA321" s="6">
        <f t="shared" si="96"/>
        <v>8</v>
      </c>
      <c r="AB321" s="6">
        <f t="shared" si="96"/>
        <v>14</v>
      </c>
      <c r="AC321" s="6">
        <f t="shared" si="96"/>
        <v>20</v>
      </c>
      <c r="AE321" s="473"/>
      <c r="AF321" s="38"/>
      <c r="AG321" s="38"/>
      <c r="AH321" s="22">
        <f>$V321*BIBLE!S194</f>
        <v>14</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14</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t="str">
        <f>'TEST_pour PROTOTYPE'!D291</f>
        <v>4</v>
      </c>
      <c r="Q322" s="24">
        <f t="shared" si="95"/>
        <v>8</v>
      </c>
      <c r="R322" s="8">
        <f>IF(BIBLE!K195=0,"",BIBLE!K195)</f>
        <v>4</v>
      </c>
      <c r="S322" s="41"/>
      <c r="T322" s="41"/>
      <c r="U322" s="41"/>
      <c r="V322" s="6">
        <f>IF(P322&gt;=R322,IF(Q322&gt;Q323,Q322,Q323),Q322)</f>
        <v>21</v>
      </c>
      <c r="W322" s="8"/>
      <c r="X322" s="6">
        <f t="shared" ref="X322:AC322" si="97">IF(($P322&gt;=$R322),IF($Q322&gt;$Q323,X$109*$D322,X$109*$D323),X$109*$D322)</f>
        <v>0</v>
      </c>
      <c r="Y322" s="6">
        <f t="shared" si="97"/>
        <v>3</v>
      </c>
      <c r="Z322" s="6">
        <f t="shared" si="97"/>
        <v>6</v>
      </c>
      <c r="AA322" s="6">
        <f t="shared" si="97"/>
        <v>12</v>
      </c>
      <c r="AB322" s="6">
        <f t="shared" si="97"/>
        <v>21</v>
      </c>
      <c r="AC322" s="6">
        <f t="shared" si="97"/>
        <v>30</v>
      </c>
      <c r="AE322" s="473"/>
      <c r="AF322" s="38"/>
      <c r="AG322" s="38"/>
      <c r="AH322" s="22">
        <f>IF($Q322=$V322,$Q322*BIBLE!S195,$Q323*BIBLE!S196)</f>
        <v>21</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21</v>
      </c>
    </row>
    <row r="323" spans="1:61" s="7" customFormat="1" ht="45" customHeight="1">
      <c r="A323" s="1188" t="str">
        <f>BIBLE!E196</f>
        <v>E29a</v>
      </c>
      <c r="B323" s="134" t="str">
        <f>IF(P322&gt;=R322,BIBLE!F196,"")</f>
        <v>Dans quelle mesure diriez-vous que votre enfant rejette vos valeurs et vos champs d’intérêts.</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t="str">
        <f>'TEST_pour PROTOTYPE'!D292</f>
        <v>7</v>
      </c>
      <c r="Q323" s="24">
        <f t="shared" si="95"/>
        <v>21</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Votre enfant réclame le droit de choisir les moments où il vous rend visite et la durée des visites chez vous.</v>
      </c>
      <c r="C324" s="459" t="str">
        <f>BIBLE!O197</f>
        <v xml:space="preserve">Jamais / Rarement / Occasionnellement / Régulièrement / Souvent / Toujours / S.O. </v>
      </c>
      <c r="D324" s="1278">
        <f>IF(E40&gt;=8,BIBLE!L197,BIBLE!M197)</f>
        <v>2</v>
      </c>
      <c r="E324" s="20"/>
      <c r="F324" s="20"/>
      <c r="G324" s="20"/>
      <c r="H324" s="20">
        <v>1</v>
      </c>
      <c r="I324" s="20"/>
      <c r="J324" s="20"/>
      <c r="K324" s="20"/>
      <c r="L324" s="20"/>
      <c r="M324" s="20"/>
      <c r="N324" s="20"/>
      <c r="O324" s="20"/>
      <c r="P324" s="1547" t="str">
        <f>'TEST_pour PROTOTYPE'!D293</f>
        <v>4</v>
      </c>
      <c r="Q324" s="24">
        <f t="shared" si="95"/>
        <v>8</v>
      </c>
      <c r="R324" s="8" t="str">
        <f>IF(BIBLE!K197=0,"",BIBLE!K197)</f>
        <v/>
      </c>
      <c r="S324" s="41"/>
      <c r="T324" s="41"/>
      <c r="U324" s="41"/>
      <c r="V324" s="6">
        <f>Q324</f>
        <v>8</v>
      </c>
      <c r="W324" s="273"/>
      <c r="X324" s="6">
        <f t="shared" ref="X324:AC325" si="98">IF($Q324&gt;0,X$109*$D324,0)</f>
        <v>0</v>
      </c>
      <c r="Y324" s="6">
        <f t="shared" si="98"/>
        <v>2</v>
      </c>
      <c r="Z324" s="6">
        <f t="shared" si="98"/>
        <v>4</v>
      </c>
      <c r="AA324" s="6">
        <f t="shared" si="98"/>
        <v>8</v>
      </c>
      <c r="AB324" s="6">
        <f t="shared" si="98"/>
        <v>14</v>
      </c>
      <c r="AC324" s="6">
        <f t="shared" si="98"/>
        <v>20</v>
      </c>
      <c r="AE324" s="473"/>
      <c r="AF324" s="38"/>
      <c r="AG324" s="38"/>
      <c r="AH324" s="22">
        <f>$V324*BIBLE!S197</f>
        <v>4</v>
      </c>
      <c r="AI324" s="22">
        <f>$V324*BIBLE!T197</f>
        <v>0</v>
      </c>
      <c r="AJ324" s="22">
        <f>$V324*BIBLE!U197</f>
        <v>4</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8</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t="str">
        <f>'TEST_pour PROTOTYPE'!D294</f>
        <v>4</v>
      </c>
      <c r="Q325" s="24">
        <f t="shared" si="95"/>
        <v>8</v>
      </c>
      <c r="R325" s="8" t="str">
        <f>IF(BIBLE!K198=0,"",BIBLE!K198)</f>
        <v/>
      </c>
      <c r="S325" s="41"/>
      <c r="T325" s="41"/>
      <c r="U325" s="41"/>
      <c r="V325" s="6">
        <f>Q325</f>
        <v>8</v>
      </c>
      <c r="W325" s="273"/>
      <c r="X325" s="6">
        <f t="shared" si="98"/>
        <v>0</v>
      </c>
      <c r="Y325" s="6">
        <f t="shared" si="98"/>
        <v>2</v>
      </c>
      <c r="Z325" s="6">
        <f t="shared" si="98"/>
        <v>4</v>
      </c>
      <c r="AA325" s="6">
        <f t="shared" si="98"/>
        <v>8</v>
      </c>
      <c r="AB325" s="6">
        <f t="shared" si="98"/>
        <v>14</v>
      </c>
      <c r="AC325" s="6">
        <f t="shared" si="98"/>
        <v>20</v>
      </c>
      <c r="AE325" s="473"/>
      <c r="AF325" s="38"/>
      <c r="AG325" s="38"/>
      <c r="AH325" s="22">
        <f>$V325*BIBLE!S198</f>
        <v>0</v>
      </c>
      <c r="AI325" s="22">
        <f>$V325*BIBLE!T198</f>
        <v>4</v>
      </c>
      <c r="AJ325" s="22">
        <f>$V325*BIBLE!U198</f>
        <v>4</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8</v>
      </c>
      <c r="BB325" s="17" t="s">
        <v>1385</v>
      </c>
    </row>
    <row r="326" spans="1:61" s="7" customFormat="1" ht="47" customHeight="1">
      <c r="A326" s="1188" t="str">
        <f>BIBLE!E199</f>
        <v>E33</v>
      </c>
      <c r="B326" s="133" t="str">
        <f>IF(AND(P53&gt;=R53,P68&gt;=2),BIBLE!F199,"")</f>
        <v>Votre enfant vous reproche de lui manquer de respect en ne respectant pas ses choix, besoins, désirs, rythme, etc.</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t="str">
        <f>'TEST_pour PROTOTYPE'!D295</f>
        <v>2</v>
      </c>
      <c r="Q326" s="24">
        <f t="shared" si="95"/>
        <v>6</v>
      </c>
      <c r="R326" s="8">
        <f>IF(BIBLE!K199=0,"",BIBLE!K199)</f>
        <v>4</v>
      </c>
      <c r="S326" s="41"/>
      <c r="T326" s="41"/>
      <c r="U326" s="41"/>
      <c r="V326" s="6">
        <f>IF(P326&gt;=R326,IF(SUM(Q327:Q328)&gt;Q326,SUM(Q327:Q328),Q326),Q326)</f>
        <v>6</v>
      </c>
      <c r="W326" s="8"/>
      <c r="X326" s="6">
        <f t="shared" ref="X326:AC326" si="99">IF($Q326&gt;=SUM($Q327:$Q328),AU326,SUM(AU327:AU328))</f>
        <v>0</v>
      </c>
      <c r="Y326" s="6">
        <f t="shared" si="99"/>
        <v>3</v>
      </c>
      <c r="Z326" s="6">
        <f t="shared" si="99"/>
        <v>6</v>
      </c>
      <c r="AA326" s="6">
        <f t="shared" si="99"/>
        <v>12</v>
      </c>
      <c r="AB326" s="6">
        <f t="shared" si="99"/>
        <v>21</v>
      </c>
      <c r="AC326" s="6">
        <f t="shared" si="99"/>
        <v>30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6</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6</v>
      </c>
      <c r="AS326" s="6">
        <f>Q326</f>
        <v>6</v>
      </c>
      <c r="AT326" s="273"/>
      <c r="AU326" s="6">
        <f t="shared" ref="AU326:AZ328" si="100">IF($Q326&gt;0,X$109*$D326,0)</f>
        <v>0</v>
      </c>
      <c r="AV326" s="6">
        <f t="shared" si="100"/>
        <v>3</v>
      </c>
      <c r="AW326" s="6">
        <f t="shared" si="100"/>
        <v>6</v>
      </c>
      <c r="AX326" s="6">
        <f t="shared" si="100"/>
        <v>12</v>
      </c>
      <c r="AY326" s="6">
        <f t="shared" si="100"/>
        <v>21</v>
      </c>
      <c r="AZ326" s="6">
        <f t="shared" si="100"/>
        <v>30</v>
      </c>
      <c r="BB326" s="521">
        <f>AS326</f>
        <v>6</v>
      </c>
      <c r="BD326" s="521">
        <f t="shared" ref="BD326:BI326" si="101">AU326</f>
        <v>0</v>
      </c>
      <c r="BE326" s="521">
        <f t="shared" si="101"/>
        <v>3</v>
      </c>
      <c r="BF326" s="521">
        <f t="shared" si="101"/>
        <v>6</v>
      </c>
      <c r="BG326" s="521">
        <f t="shared" si="101"/>
        <v>12</v>
      </c>
      <c r="BH326" s="521">
        <f t="shared" si="101"/>
        <v>21</v>
      </c>
      <c r="BI326" s="521">
        <f t="shared" si="101"/>
        <v>30</v>
      </c>
    </row>
    <row r="327" spans="1:61" s="7" customFormat="1" ht="60" customHeight="1">
      <c r="A327" s="1188" t="str">
        <f>BIBLE!E200</f>
        <v>E33a</v>
      </c>
      <c r="B327" s="134" t="str">
        <f>IF(P326&gt;=R326,BIBLE!F200,"")</f>
        <v>Votre enfant demande à changer les termes de la garde afin de passer plus de temps chez l’autre parent.</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xml:space="preserve">Votre enfant vous informe qu’à 12 ou 14 ans, le droit de choisir les modalités de garde lui reviendrait.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xml:space="preserve">Votre enfant bloque les communications (tél., textos, réseaux sociaux, etc.). </v>
      </c>
      <c r="C329" s="459" t="str">
        <f>BIBLE!O202</f>
        <v xml:space="preserve">Jamais / Rarement / Occasionnellement / Régulièrement / Souvent / Toujours / S.O. </v>
      </c>
      <c r="D329" s="1278">
        <f>IF(E40&gt;=12,BIBLE!L202,BIBLE!M202)</f>
        <v>2</v>
      </c>
      <c r="E329" s="20"/>
      <c r="F329" s="20"/>
      <c r="G329" s="20"/>
      <c r="H329" s="52">
        <v>1</v>
      </c>
      <c r="I329" s="52"/>
      <c r="J329" s="52"/>
      <c r="K329" s="52"/>
      <c r="L329" s="52"/>
      <c r="M329" s="52"/>
      <c r="N329" s="20"/>
      <c r="O329" s="20"/>
      <c r="P329" s="1547" t="str">
        <f>'TEST_pour PROTOTYPE'!D298</f>
        <v>2</v>
      </c>
      <c r="Q329" s="24">
        <f t="shared" si="95"/>
        <v>4</v>
      </c>
      <c r="R329" s="8" t="str">
        <f>IF(BIBLE!K202=0,"",BIBLE!K202)</f>
        <v/>
      </c>
      <c r="S329" s="41"/>
      <c r="T329" s="41"/>
      <c r="U329" s="41"/>
      <c r="V329" s="6">
        <f>Q329</f>
        <v>4</v>
      </c>
      <c r="W329" s="273"/>
      <c r="X329" s="6">
        <f t="shared" ref="X329:AC329" si="103">IF($Q329&gt;0,X$109*$D329,0)</f>
        <v>0</v>
      </c>
      <c r="Y329" s="6">
        <f t="shared" si="103"/>
        <v>2</v>
      </c>
      <c r="Z329" s="6">
        <f t="shared" si="103"/>
        <v>4</v>
      </c>
      <c r="AA329" s="6">
        <f t="shared" si="103"/>
        <v>8</v>
      </c>
      <c r="AB329" s="6">
        <f t="shared" si="103"/>
        <v>14</v>
      </c>
      <c r="AC329" s="6">
        <f t="shared" si="103"/>
        <v>20</v>
      </c>
      <c r="AE329" s="473"/>
      <c r="AF329" s="38"/>
      <c r="AG329" s="38"/>
      <c r="AH329" s="22">
        <f>$V329*BIBLE!S202</f>
        <v>4</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4</v>
      </c>
    </row>
    <row r="330" spans="1:61" s="7" customFormat="1" ht="59" customHeight="1">
      <c r="A330" s="1188" t="str">
        <f>BIBLE!E203</f>
        <v>E35</v>
      </c>
      <c r="B330" s="133" t="str">
        <f>IF(P59&gt;=3,BIBLE!F203,"")</f>
        <v>Comment qualiferiez-vous la relation entre votre enfant et votre famille élargie  (cousin.es, grands-parents, etc.) ?</v>
      </c>
      <c r="C330" s="842" t="s">
        <v>1386</v>
      </c>
      <c r="D330" s="1641">
        <v>1</v>
      </c>
      <c r="E330" s="37" t="str">
        <f t="shared" ref="E330:E335" si="104">IF(P$330=D330,1,"x")</f>
        <v>x</v>
      </c>
      <c r="F330" s="20"/>
      <c r="G330" s="20"/>
      <c r="H330" s="8"/>
      <c r="I330" s="1610"/>
      <c r="J330" s="1610"/>
      <c r="K330" s="1610"/>
      <c r="L330" s="1610"/>
      <c r="M330" s="1610"/>
      <c r="N330" s="20"/>
      <c r="O330" s="20"/>
      <c r="P330" s="1547" t="str">
        <f>'TEST_pour PROTOTYPE'!D299</f>
        <v>6</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1388</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Dans quelle mesure diriez-vous que votre enfant accepte les contacts avec votre famille élargie  (cousin.es, grands-parents, etc.)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Comment était la relation de votre enfant avec la famille élargie avant la séparation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t="str">
        <f>'TEST_pour PROTOTYPE'!D301</f>
        <v>7</v>
      </c>
      <c r="Q337" s="24">
        <f>P337*D337</f>
        <v>7</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1310</v>
      </c>
      <c r="D338" s="1641">
        <v>1</v>
      </c>
      <c r="E338" s="37" t="str">
        <f>IF(P$338=D338,1,"x")</f>
        <v>x</v>
      </c>
      <c r="F338" s="41"/>
      <c r="G338" s="47"/>
      <c r="H338" s="47"/>
      <c r="I338" s="47"/>
      <c r="J338" s="47"/>
      <c r="K338" s="19"/>
      <c r="L338" s="19"/>
      <c r="M338" s="19"/>
      <c r="N338" s="20"/>
      <c r="O338" s="20"/>
      <c r="P338" s="1547" t="str">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1311</v>
      </c>
      <c r="D339" s="1642">
        <v>0</v>
      </c>
      <c r="E339" s="37" t="str">
        <f>IF(P$338=D339,1,"x")</f>
        <v>x</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1131</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1392</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1393</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ht="17" customHeight="1">
      <c r="A344" s="1188" t="s">
        <v>1394</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c r="A345" s="1188" t="s">
        <v>1395</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1397</v>
      </c>
      <c r="B347" s="137" t="str">
        <f>IF($E$338=1,"automutilation","")</f>
        <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c r="A349" s="1188" t="s">
        <v>1398</v>
      </c>
      <c r="B349" s="137" t="str">
        <f>IF($E$338=1,"dépression","")</f>
        <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c r="A351" s="1188" t="s">
        <v>1399</v>
      </c>
      <c r="B351" s="137" t="str">
        <f>IF($E$338=1,"idéation suicidaire","")</f>
        <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c r="A354" s="1188" t="s">
        <v>1401</v>
      </c>
      <c r="B354" s="137" t="str">
        <f>IF($E$338=1,"autres (veuillez spécifier)","")</f>
        <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c r="A356" s="1580" t="s">
        <v>1140</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c r="A357" s="1580" t="s">
        <v>1402</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c r="A358" s="1580" t="s">
        <v>1403</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c r="A362" s="1580" t="s">
        <v>1406</v>
      </c>
      <c r="B362" s="137" t="str">
        <f>IF(P347&lt;&gt;0,"automutilation","")</f>
        <v/>
      </c>
      <c r="C362" s="100" t="s">
        <v>1310</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1311</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c r="A364" s="1580" t="s">
        <v>1407</v>
      </c>
      <c r="B364" s="137" t="str">
        <f>IF(P349&lt;&gt;0,"dépression","")</f>
        <v/>
      </c>
      <c r="C364" s="100" t="s">
        <v>1310</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1311</v>
      </c>
      <c r="D365" s="1642">
        <v>0</v>
      </c>
      <c r="E365" s="37" t="str">
        <f>IF(P$338=D365,1,"x")</f>
        <v>x</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c r="A366" s="1580" t="s">
        <v>1408</v>
      </c>
      <c r="B366" s="137" t="str">
        <f>IF(P351&lt;&gt;0,"idéation suicidaire","")</f>
        <v/>
      </c>
      <c r="C366" s="100" t="s">
        <v>1310</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1311</v>
      </c>
      <c r="D367" s="1642">
        <v>0</v>
      </c>
      <c r="E367" s="37" t="str">
        <f>IF(P$338=D367,1,"x")</f>
        <v>x</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c r="A369" s="1188"/>
      <c r="B369" s="1552" t="str">
        <f>IF($E$338=1,"autres (veuillez spécifier)","")</f>
        <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t="str">
        <f>'TEST_pour PROTOTYPE'!D319</f>
        <v>4</v>
      </c>
      <c r="Q371" s="24">
        <f>P371*D371</f>
        <v>8</v>
      </c>
      <c r="R371" s="8">
        <f>BIBLE!K209</f>
        <v>4</v>
      </c>
      <c r="S371" s="41"/>
      <c r="T371" s="41"/>
      <c r="U371" s="41"/>
      <c r="V371" s="6">
        <f>Q371</f>
        <v>8</v>
      </c>
      <c r="W371" s="273"/>
      <c r="X371" s="6">
        <f t="shared" ref="X371:AC371" si="105">IF($Q371&gt;0,X$109*$D371,0)</f>
        <v>0</v>
      </c>
      <c r="Y371" s="6">
        <f t="shared" si="105"/>
        <v>2</v>
      </c>
      <c r="Z371" s="6">
        <f t="shared" si="105"/>
        <v>4</v>
      </c>
      <c r="AA371" s="6">
        <f t="shared" si="105"/>
        <v>8</v>
      </c>
      <c r="AB371" s="6">
        <f t="shared" si="105"/>
        <v>14</v>
      </c>
      <c r="AC371" s="6">
        <f t="shared" si="105"/>
        <v>20</v>
      </c>
      <c r="AE371" s="473"/>
      <c r="AF371" s="38"/>
      <c r="AG371" s="38"/>
      <c r="AH371" s="22">
        <f>$V371*BIBLE!S232</f>
        <v>0</v>
      </c>
      <c r="AI371" s="22">
        <f>$V371*BIBLE!T232</f>
        <v>0</v>
      </c>
      <c r="AJ371" s="22">
        <f>$V371*BIBLE!U232</f>
        <v>8</v>
      </c>
      <c r="AK371" s="1225">
        <f>$V371*BIBLE!W232</f>
        <v>0</v>
      </c>
      <c r="AL371" s="1225">
        <f>$V371*BIBLE!X232</f>
        <v>0</v>
      </c>
      <c r="AM371" s="1225">
        <f>$V371*BIBLE!Y232</f>
        <v>0</v>
      </c>
      <c r="AN371" s="1225">
        <f>$V371*BIBLE!Z232</f>
        <v>0</v>
      </c>
      <c r="AO371" s="1225">
        <f>$V371*BIBLE!AA232</f>
        <v>0</v>
      </c>
      <c r="AP371" s="1225">
        <f>$V371*BIBLE!AB232</f>
        <v>8</v>
      </c>
      <c r="AQ371" s="1225">
        <f>$V371*BIBLE!AC232</f>
        <v>0</v>
      </c>
      <c r="AR371" s="1225">
        <f>$V371*BIBLE!AD232</f>
        <v>0</v>
      </c>
    </row>
    <row r="372" spans="1:44" s="7" customFormat="1" ht="33" customHeight="1">
      <c r="A372" s="1188" t="str">
        <f>BIBLE!E210</f>
        <v>E37a</v>
      </c>
      <c r="B372" s="134" t="str">
        <f>IF(P371&gt;=R371,BIBLE!F210,"")</f>
        <v>Au moment de retouner chez l'autre parent (changement de garde), votre enfant vous paraît :</v>
      </c>
      <c r="C372" s="22"/>
      <c r="D372" s="1278">
        <f>BIBLE!L243</f>
        <v>0</v>
      </c>
      <c r="E372" s="20"/>
      <c r="F372" s="20"/>
      <c r="G372" s="20"/>
      <c r="H372" s="20"/>
      <c r="I372" s="20"/>
      <c r="J372" s="20"/>
      <c r="K372" s="20"/>
      <c r="L372" s="20"/>
      <c r="M372" s="20"/>
      <c r="N372" s="20"/>
      <c r="O372" s="20"/>
      <c r="P372" s="1488" t="str">
        <f>'TEST_pour PROTOTYPE'!D320</f>
        <v>4</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c r="A373" s="1188"/>
      <c r="B373" s="137" t="str">
        <f>IF(P371&gt;=R371,"Calme","")</f>
        <v>Calme</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c r="A374" s="1188"/>
      <c r="B374" s="137" t="str">
        <f>IF(P371&gt;=R371,"Neutre","")</f>
        <v>Neutre</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c r="A375" s="1188"/>
      <c r="B375" s="137" t="str">
        <f>IF(P371&gt;=R371,"Enjoué.e","")</f>
        <v>Enjoué.e</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c r="A376" s="1188"/>
      <c r="B376" s="137" t="str">
        <f>IF(P371&gt;=R371,"Taciturne","")</f>
        <v>Taciturne</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c r="A377" s="1188"/>
      <c r="B377" s="137" t="str">
        <f>IF(P371&gt;=R371,"Anxieux","")</f>
        <v>Anxieux</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c r="A378" s="1188"/>
      <c r="B378" s="137" t="str">
        <f>IF(P371&gt;=R371,"Agressif","")</f>
        <v>Agressif</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268</v>
      </c>
      <c r="X380" s="448">
        <f t="shared" ref="X380:AC380" si="107">SUM(X263:X379)</f>
        <v>0</v>
      </c>
      <c r="Y380" s="448">
        <f t="shared" si="107"/>
        <v>60</v>
      </c>
      <c r="Z380" s="448">
        <f t="shared" si="107"/>
        <v>120</v>
      </c>
      <c r="AA380" s="448">
        <f t="shared" si="107"/>
        <v>240</v>
      </c>
      <c r="AB380" s="448">
        <f t="shared" si="107"/>
        <v>420</v>
      </c>
      <c r="AC380" s="448">
        <f t="shared" si="107"/>
        <v>600</v>
      </c>
      <c r="AD380" s="63">
        <f>V380/AC380</f>
        <v>0.44666666666666666</v>
      </c>
      <c r="AE380" s="1236">
        <f>SUM(AE263:AE369)</f>
        <v>0</v>
      </c>
      <c r="AF380" s="1700"/>
      <c r="AG380" s="1700"/>
      <c r="AH380" s="1237">
        <f t="shared" ref="AH380:AR380" si="108">SUM(AH263:AH369)</f>
        <v>104</v>
      </c>
      <c r="AI380" s="1237">
        <f t="shared" si="108"/>
        <v>94.5</v>
      </c>
      <c r="AJ380" s="1237">
        <f t="shared" si="108"/>
        <v>61.5</v>
      </c>
      <c r="AK380" s="1238">
        <f t="shared" si="108"/>
        <v>16</v>
      </c>
      <c r="AL380" s="1238">
        <f t="shared" si="108"/>
        <v>12</v>
      </c>
      <c r="AM380" s="1238">
        <f t="shared" si="108"/>
        <v>24</v>
      </c>
      <c r="AN380" s="1238">
        <f t="shared" si="108"/>
        <v>22</v>
      </c>
      <c r="AO380" s="1238">
        <f t="shared" si="108"/>
        <v>28</v>
      </c>
      <c r="AP380" s="1238">
        <f t="shared" si="108"/>
        <v>34</v>
      </c>
      <c r="AQ380" s="1238">
        <f t="shared" si="108"/>
        <v>16</v>
      </c>
      <c r="AR380" s="1238">
        <f t="shared" si="108"/>
        <v>87</v>
      </c>
    </row>
    <row r="381" spans="1:44" s="8" customFormat="1">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f>AH380/SUM($AH$380:$AJ$380)</f>
        <v>0.4</v>
      </c>
      <c r="AI381" s="1234">
        <f>AI380/SUM($AH$380:$AJ$380)</f>
        <v>0.36346153846153845</v>
      </c>
      <c r="AJ381" s="1234">
        <f>AJ380/SUM($AH$380:$AJ$380)</f>
        <v>0.23653846153846153</v>
      </c>
      <c r="AK381" s="1235">
        <f t="shared" ref="AK381:AR381" si="109">AK380/SUM($AK$380:$AR$380)</f>
        <v>6.6945606694560664E-2</v>
      </c>
      <c r="AL381" s="1235">
        <f t="shared" si="109"/>
        <v>5.0209205020920501E-2</v>
      </c>
      <c r="AM381" s="1235">
        <f t="shared" si="109"/>
        <v>0.100418410041841</v>
      </c>
      <c r="AN381" s="1235">
        <f t="shared" si="109"/>
        <v>9.2050209205020925E-2</v>
      </c>
      <c r="AO381" s="1235">
        <f t="shared" si="109"/>
        <v>0.11715481171548117</v>
      </c>
      <c r="AP381" s="1235">
        <f t="shared" si="109"/>
        <v>0.14225941422594143</v>
      </c>
      <c r="AQ381" s="1235">
        <f t="shared" si="109"/>
        <v>6.6945606694560664E-2</v>
      </c>
      <c r="AR381" s="1235">
        <f t="shared" si="109"/>
        <v>0.36401673640167365</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xml:space="preserve">Au retour d’un séjour chez l’autre parent : 
Votre enfant est agressif envers vous et vous accable de reproches. Comment réagissez-vous ?
</v>
      </c>
      <c r="C387" s="100"/>
      <c r="D387" s="1278"/>
      <c r="E387" s="8"/>
      <c r="F387" s="19"/>
      <c r="G387" s="19"/>
      <c r="H387" s="19"/>
      <c r="I387" s="19"/>
      <c r="J387" s="19"/>
      <c r="K387" s="19"/>
      <c r="L387" s="19"/>
      <c r="M387" s="19"/>
      <c r="N387" s="19"/>
      <c r="O387" s="19"/>
      <c r="P387" s="1448" t="str">
        <f>'TEST_pour PROTOTYPE'!D339</f>
        <v>1</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xml:space="preserve">Aucune de ces réponses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Au retour d’un séjour chez l’autre parent :
Votre enfant vous accuse de mentir ou de voler l'argent de l'autre parent. Comment réagissez-vous ?</v>
      </c>
      <c r="C394" s="100"/>
      <c r="D394" s="1278"/>
      <c r="E394" s="8"/>
      <c r="F394" s="19"/>
      <c r="G394" s="19"/>
      <c r="H394" s="19"/>
      <c r="I394" s="19"/>
      <c r="J394" s="19"/>
      <c r="K394" s="19"/>
      <c r="L394" s="19"/>
      <c r="M394" s="19"/>
      <c r="N394" s="19"/>
      <c r="O394" s="19"/>
      <c r="P394" s="1448" t="str">
        <f>'TEST_pour PROTOTYPE'!D340</f>
        <v>1</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Aucune de ces réponses</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493" t="s">
        <v>1362</v>
      </c>
      <c r="Y399" s="2480"/>
      <c r="Z399" s="2480"/>
      <c r="AA399" s="2480"/>
      <c r="AB399" s="2480"/>
      <c r="AC399" s="2480"/>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t="str">
        <f>'TEST_pour PROTOTYPE'!D361</f>
        <v>7</v>
      </c>
      <c r="Q402" s="6">
        <f>P402*D402</f>
        <v>7</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Le nouveau ou nouvelle conjoint·e joue un rôle de confident·e auprès de votre enfant.</v>
      </c>
      <c r="C404" s="459" t="str">
        <f>BIBLE!O217</f>
        <v>Nulle / Très faible / Faible / Moyenne / Élevée / Très élevée / S.O.</v>
      </c>
      <c r="D404" s="1278">
        <f>IF(P404&lt;=2,BIBLE!M217,BIBLE!L217)</f>
        <v>1</v>
      </c>
      <c r="E404" s="19"/>
      <c r="F404" s="19"/>
      <c r="G404" s="19"/>
      <c r="H404" s="19"/>
      <c r="I404" s="19">
        <v>1</v>
      </c>
      <c r="J404" s="19"/>
      <c r="K404" s="19"/>
      <c r="L404" s="19"/>
      <c r="M404" s="19"/>
      <c r="N404" s="19"/>
      <c r="O404" s="19"/>
      <c r="P404" s="1547" t="str">
        <f>'TEST_pour PROTOTYPE'!D362</f>
        <v>2</v>
      </c>
      <c r="Q404" s="24">
        <f>P404*D404</f>
        <v>2</v>
      </c>
      <c r="R404" s="494">
        <f>BIBLE!K217</f>
        <v>4</v>
      </c>
      <c r="S404" s="40"/>
      <c r="T404" s="272"/>
      <c r="U404" s="272"/>
      <c r="V404" s="6">
        <f>IF(P404&gt;=R404,IF(Q404&gt;Q405,Q404,Q405),Q404)</f>
        <v>2</v>
      </c>
      <c r="W404" s="8"/>
      <c r="X404" s="6">
        <f t="shared" ref="X404:AC404" si="111">IF(($P404&gt;=$R404),IF($Q404&gt;$Q405,X$109*$D404,X$109*$D405),X$109*$D404)</f>
        <v>0</v>
      </c>
      <c r="Y404" s="6">
        <f t="shared" si="111"/>
        <v>1</v>
      </c>
      <c r="Z404" s="6">
        <f t="shared" si="111"/>
        <v>2</v>
      </c>
      <c r="AA404" s="6">
        <f t="shared" si="111"/>
        <v>4</v>
      </c>
      <c r="AB404" s="6">
        <f t="shared" si="111"/>
        <v>7</v>
      </c>
      <c r="AC404" s="6">
        <f t="shared" si="111"/>
        <v>10</v>
      </c>
      <c r="AE404" s="473"/>
      <c r="AF404" s="38"/>
      <c r="AG404" s="38"/>
      <c r="AH404" s="22">
        <f>IF($Q404=$V404,$Q404*BIBLE!S217,$Q405*BIBLE!S218)</f>
        <v>2</v>
      </c>
      <c r="AI404" s="22">
        <f>IF($Q404=$V404,$Q404*BIBLE!T217,$Q405*BIBLE!T218)</f>
        <v>0</v>
      </c>
      <c r="AJ404" s="22">
        <f>IF($Q404=$V404,$Q404*BIBLE!U217,$Q405*BIBLE!U218)</f>
        <v>0</v>
      </c>
      <c r="AK404" s="1225">
        <f>IF($Q404=$V404,$Q404*BIBLE!W217,$Q405*BIBLE!W218)</f>
        <v>2</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Dans quelle mesure cette relation de confident·e vous apparaît être saine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Le nouveau ou nouvelle conjoint·e laisse entendre à votre enfant qu’il ou elle n’est pas en sécurité avec vous.</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t="str">
        <f>'TEST_pour PROTOTYPE'!D364</f>
        <v>4</v>
      </c>
      <c r="Q406" s="24">
        <f>P406*D406</f>
        <v>8</v>
      </c>
      <c r="R406" s="273"/>
      <c r="S406" s="40"/>
      <c r="T406" s="40"/>
      <c r="U406" s="40"/>
      <c r="V406" s="6">
        <f>Q406</f>
        <v>8</v>
      </c>
      <c r="W406" s="273"/>
      <c r="X406" s="6">
        <f t="shared" ref="X406:AC407" si="112">IF($Q406&gt;0,X$109*$D406,0)</f>
        <v>0</v>
      </c>
      <c r="Y406" s="6">
        <f t="shared" si="112"/>
        <v>2</v>
      </c>
      <c r="Z406" s="6">
        <f t="shared" si="112"/>
        <v>4</v>
      </c>
      <c r="AA406" s="6">
        <f t="shared" si="112"/>
        <v>8</v>
      </c>
      <c r="AB406" s="6">
        <f t="shared" si="112"/>
        <v>14</v>
      </c>
      <c r="AC406" s="6">
        <f t="shared" si="112"/>
        <v>20</v>
      </c>
      <c r="AE406" s="473"/>
      <c r="AF406" s="38"/>
      <c r="AG406" s="38"/>
      <c r="AH406" s="22">
        <f>$V406*BIBLE!S219</f>
        <v>4</v>
      </c>
      <c r="AI406" s="22">
        <f>$V406*BIBLE!T219</f>
        <v>0</v>
      </c>
      <c r="AJ406" s="22">
        <f>$V406*BIBLE!U219</f>
        <v>4</v>
      </c>
      <c r="AK406" s="1225">
        <f>$V406*BIBLE!W219</f>
        <v>0</v>
      </c>
      <c r="AL406" s="1225">
        <f>$V406*BIBLE!X219</f>
        <v>8</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t="str">
        <f>'TEST_pour PROTOTYPE'!D365</f>
        <v>2</v>
      </c>
      <c r="Q407" s="24">
        <f>P407*D407</f>
        <v>2</v>
      </c>
      <c r="R407" s="94"/>
      <c r="S407" s="453"/>
      <c r="T407" s="453"/>
      <c r="U407" s="453"/>
      <c r="V407" s="6">
        <f>Q407</f>
        <v>2</v>
      </c>
      <c r="W407" s="273"/>
      <c r="X407" s="6">
        <f t="shared" si="112"/>
        <v>0</v>
      </c>
      <c r="Y407" s="6">
        <f t="shared" si="112"/>
        <v>1</v>
      </c>
      <c r="Z407" s="6">
        <f t="shared" si="112"/>
        <v>2</v>
      </c>
      <c r="AA407" s="6">
        <f t="shared" si="112"/>
        <v>4</v>
      </c>
      <c r="AB407" s="6">
        <f t="shared" si="112"/>
        <v>7</v>
      </c>
      <c r="AC407" s="6">
        <f t="shared" si="112"/>
        <v>10</v>
      </c>
      <c r="AE407" s="473"/>
      <c r="AF407" s="38"/>
      <c r="AG407" s="38"/>
      <c r="AH407" s="22">
        <f>$V407*BIBLE!S220</f>
        <v>2</v>
      </c>
      <c r="AI407" s="22">
        <f>$V407*BIBLE!T220</f>
        <v>0</v>
      </c>
      <c r="AJ407" s="22">
        <f>$V407*BIBLE!U220</f>
        <v>0</v>
      </c>
      <c r="AK407" s="1225">
        <f>$V407*BIBLE!W220</f>
        <v>0</v>
      </c>
      <c r="AL407" s="1225">
        <f>$V407*BIBLE!X220</f>
        <v>0</v>
      </c>
      <c r="AM407" s="1225">
        <f>$V407*BIBLE!Y220</f>
        <v>2</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06"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t="str">
        <f>'TEST_pour PROTOTYPE'!D366</f>
        <v>4</v>
      </c>
      <c r="Q408" s="24"/>
      <c r="R408" s="94"/>
      <c r="S408" s="453"/>
      <c r="T408" s="453"/>
      <c r="U408" s="453"/>
      <c r="V408" s="6">
        <f>BL414</f>
        <v>18</v>
      </c>
      <c r="W408" s="273"/>
      <c r="X408" s="6">
        <f t="shared" ref="X408:AC408" si="113">BN414</f>
        <v>0</v>
      </c>
      <c r="Y408" s="6">
        <f t="shared" si="113"/>
        <v>6</v>
      </c>
      <c r="Z408" s="6">
        <f t="shared" si="113"/>
        <v>12</v>
      </c>
      <c r="AA408" s="6">
        <f t="shared" si="113"/>
        <v>24</v>
      </c>
      <c r="AB408" s="6">
        <f t="shared" si="113"/>
        <v>42</v>
      </c>
      <c r="AC408" s="6">
        <f t="shared" si="113"/>
        <v>60</v>
      </c>
      <c r="AE408" s="473"/>
      <c r="AF408" s="38"/>
      <c r="AG408" s="38"/>
      <c r="AH408" s="22">
        <f>$V408*BIBLE!S221</f>
        <v>0</v>
      </c>
      <c r="AI408" s="22">
        <f>$V408*BIBLE!T221</f>
        <v>0</v>
      </c>
      <c r="AJ408" s="22">
        <f>$V408*BIBLE!U221</f>
        <v>18</v>
      </c>
      <c r="AK408" s="1225">
        <f>$V408*BIBLE!W221</f>
        <v>0</v>
      </c>
      <c r="AL408" s="1225">
        <f>$V408*BIBLE!X221</f>
        <v>0</v>
      </c>
      <c r="AM408" s="1225">
        <f>$V408*BIBLE!Y221</f>
        <v>0</v>
      </c>
      <c r="AN408" s="1225">
        <f>$V408*BIBLE!Z221</f>
        <v>18</v>
      </c>
      <c r="AO408" s="1225">
        <f>$V408*BIBLE!AA221</f>
        <v>0</v>
      </c>
      <c r="AP408" s="1225">
        <f>$V408*BIBLE!AB221</f>
        <v>0</v>
      </c>
      <c r="AQ408" s="1225">
        <f>$V408*BIBLE!AC221</f>
        <v>0</v>
      </c>
      <c r="AR408" s="1225">
        <f>$V408*BIBLE!AD221</f>
        <v>0</v>
      </c>
    </row>
    <row r="409" spans="1:71" s="7" customFormat="1" ht="24" customHeight="1">
      <c r="A409" s="1189"/>
      <c r="B409" s="2507"/>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1423</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c r="A414" s="1189" t="str">
        <f>BIBLE!E222</f>
        <v>NC04a</v>
      </c>
      <c r="B414" s="133" t="str">
        <f>IF(P408&gt;=3,BIBLE!F222,"")</f>
        <v>Le nouveau ou nouvelle conjoint·e dénigre vos compétences parentales par texto, courriel ou autres?</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t="str">
        <f>'TEST_pour PROTOTYPE'!D367</f>
        <v>2</v>
      </c>
      <c r="Q414" s="24">
        <f t="shared" ref="Q414:Q426" si="114">P414*D414</f>
        <v>6</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6</v>
      </c>
      <c r="AT414" s="16"/>
      <c r="AU414" s="6">
        <f t="shared" ref="AU414:AZ416" si="115">IF($Q414&gt;0,X$109*$D414,0)</f>
        <v>0</v>
      </c>
      <c r="AV414" s="6">
        <f t="shared" si="115"/>
        <v>3</v>
      </c>
      <c r="AW414" s="6">
        <f t="shared" si="115"/>
        <v>6</v>
      </c>
      <c r="AX414" s="6">
        <f t="shared" si="115"/>
        <v>12</v>
      </c>
      <c r="AY414" s="6">
        <f t="shared" si="115"/>
        <v>21</v>
      </c>
      <c r="AZ414" s="6">
        <f t="shared" si="115"/>
        <v>30</v>
      </c>
      <c r="BB414" s="521">
        <f>MAX(AS414:AS415)</f>
        <v>12</v>
      </c>
      <c r="BD414" s="521">
        <f t="shared" ref="BD414:BI414" si="116">MAX(AU414:AU415)</f>
        <v>0</v>
      </c>
      <c r="BE414" s="521">
        <f t="shared" si="116"/>
        <v>3</v>
      </c>
      <c r="BF414" s="521">
        <f t="shared" si="116"/>
        <v>6</v>
      </c>
      <c r="BG414" s="521">
        <f t="shared" si="116"/>
        <v>12</v>
      </c>
      <c r="BH414" s="521">
        <f t="shared" si="116"/>
        <v>21</v>
      </c>
      <c r="BI414" s="521">
        <f t="shared" si="116"/>
        <v>30</v>
      </c>
      <c r="BL414" s="521">
        <f>BB414+AS416</f>
        <v>18</v>
      </c>
      <c r="BN414" s="521">
        <f t="shared" ref="BN414:BS414" si="117">BD414+AU416</f>
        <v>0</v>
      </c>
      <c r="BO414" s="521">
        <f t="shared" si="117"/>
        <v>6</v>
      </c>
      <c r="BP414" s="521">
        <f t="shared" si="117"/>
        <v>12</v>
      </c>
      <c r="BQ414" s="521">
        <f t="shared" si="117"/>
        <v>24</v>
      </c>
      <c r="BR414" s="521">
        <f t="shared" si="117"/>
        <v>42</v>
      </c>
      <c r="BS414" s="521">
        <f t="shared" si="117"/>
        <v>60</v>
      </c>
    </row>
    <row r="415" spans="1:71" s="7" customFormat="1" ht="44" customHeight="1">
      <c r="A415" s="1189" t="str">
        <f>BIBLE!E223</f>
        <v>NC04a1</v>
      </c>
      <c r="B415" s="133" t="str">
        <f>IF(P414&gt;=R414,BIBLE!F223,"")</f>
        <v>Arrive-t-il que le nouveau ou nouvelle conjoint·e vous critique ou dénigre vos compétences parentales devant votre enfant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t="str">
        <f>'TEST_pour PROTOTYPE'!D368</f>
        <v>4</v>
      </c>
      <c r="Q415" s="24">
        <f t="shared" si="114"/>
        <v>12</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12</v>
      </c>
      <c r="AT415" s="16"/>
      <c r="AU415" s="6">
        <f t="shared" si="115"/>
        <v>0</v>
      </c>
      <c r="AV415" s="6">
        <f t="shared" si="115"/>
        <v>3</v>
      </c>
      <c r="AW415" s="6">
        <f t="shared" si="115"/>
        <v>6</v>
      </c>
      <c r="AX415" s="6">
        <f t="shared" si="115"/>
        <v>12</v>
      </c>
      <c r="AY415" s="6">
        <f t="shared" si="115"/>
        <v>21</v>
      </c>
      <c r="AZ415" s="6">
        <f t="shared" si="115"/>
        <v>30</v>
      </c>
      <c r="BB415" s="521"/>
      <c r="BD415" s="521"/>
      <c r="BE415" s="521"/>
      <c r="BF415" s="521"/>
      <c r="BG415" s="521"/>
      <c r="BH415" s="521"/>
      <c r="BI415" s="521"/>
    </row>
    <row r="416" spans="1:71" s="7" customFormat="1" ht="53" customHeight="1">
      <c r="A416" s="1189" t="str">
        <f>BIBLE!E224</f>
        <v>NC04b</v>
      </c>
      <c r="B416" s="133" t="str">
        <f>IF(AND(P42&lt;&gt;1,P408&gt;=3),BIBLE!F224,"")</f>
        <v xml:space="preserve">Arrive-t-il que le nouveau ou nouvelle conjoint·e dénigre votre famille devant votre enfant ?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t="str">
        <f>'TEST_pour PROTOTYPE'!D369</f>
        <v>2</v>
      </c>
      <c r="Q416" s="24">
        <f t="shared" si="114"/>
        <v>6</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6</v>
      </c>
      <c r="AT416" s="16"/>
      <c r="AU416" s="6">
        <f t="shared" si="115"/>
        <v>0</v>
      </c>
      <c r="AV416" s="6">
        <f t="shared" si="115"/>
        <v>3</v>
      </c>
      <c r="AW416" s="6">
        <f t="shared" si="115"/>
        <v>6</v>
      </c>
      <c r="AX416" s="6">
        <f t="shared" si="115"/>
        <v>12</v>
      </c>
      <c r="AY416" s="6">
        <f t="shared" si="115"/>
        <v>21</v>
      </c>
      <c r="AZ416" s="6">
        <f t="shared" si="115"/>
        <v>30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t="str">
        <f>'TEST_pour PROTOTYPE'!D370</f>
        <v>7</v>
      </c>
      <c r="Q417" s="24">
        <f t="shared" si="114"/>
        <v>14</v>
      </c>
      <c r="R417" s="8">
        <f>BIBLE!K225</f>
        <v>4</v>
      </c>
      <c r="S417" s="41"/>
      <c r="T417" s="41"/>
      <c r="U417" s="41"/>
      <c r="V417" s="6">
        <f>IF(P417&gt;=R417,IF(Q417&gt;Q418,Q417,Q418),Q417)</f>
        <v>14</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xml:space="preserve">Arrive-t-il que le nouveau ou nouvelle conjoint·e organise des activités sur votre temps de garde ?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t="str">
        <f>'TEST_pour PROTOTYPE'!D371</f>
        <v>4</v>
      </c>
      <c r="Q418" s="24">
        <f t="shared" si="114"/>
        <v>8</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t="str">
        <f>'TEST_pour PROTOTYPE'!D372</f>
        <v>2</v>
      </c>
      <c r="Q419" s="24">
        <f t="shared" si="114"/>
        <v>4</v>
      </c>
      <c r="R419" s="273"/>
      <c r="S419" s="40"/>
      <c r="T419" s="40"/>
      <c r="U419" s="40"/>
      <c r="V419" s="6">
        <f t="shared" ref="V419:V426" si="119">Q419</f>
        <v>4</v>
      </c>
      <c r="W419" s="273"/>
      <c r="X419" s="6">
        <f t="shared" ref="X419:AC426" si="120">IF($Q419&gt;0,X$109*$D419,0)</f>
        <v>0</v>
      </c>
      <c r="Y419" s="6">
        <f t="shared" si="120"/>
        <v>2</v>
      </c>
      <c r="Z419" s="6">
        <f t="shared" si="120"/>
        <v>4</v>
      </c>
      <c r="AA419" s="6">
        <f t="shared" si="120"/>
        <v>8</v>
      </c>
      <c r="AB419" s="6">
        <f t="shared" si="120"/>
        <v>14</v>
      </c>
      <c r="AC419" s="6">
        <f t="shared" si="120"/>
        <v>20</v>
      </c>
      <c r="AE419" s="473"/>
      <c r="AF419" s="38"/>
      <c r="AG419" s="38"/>
      <c r="AH419" s="22">
        <f>$V419*BIBLE!S227</f>
        <v>4</v>
      </c>
      <c r="AI419" s="22">
        <f>$V419*BIBLE!T227</f>
        <v>0</v>
      </c>
      <c r="AJ419" s="22">
        <f>$V419*BIBLE!U227</f>
        <v>0</v>
      </c>
      <c r="AK419" s="1225">
        <f>$V419*BIBLE!W227</f>
        <v>0</v>
      </c>
      <c r="AL419" s="1225">
        <f>$V419*BIBLE!X227</f>
        <v>0</v>
      </c>
      <c r="AM419" s="1225">
        <f>$V419*BIBLE!Y227</f>
        <v>0</v>
      </c>
      <c r="AN419" s="1225">
        <f>$V419*BIBLE!Z227</f>
        <v>0</v>
      </c>
      <c r="AO419" s="1225">
        <f>$V419*BIBLE!AA227</f>
        <v>4</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t="str">
        <f>'TEST_pour PROTOTYPE'!D373</f>
        <v>4</v>
      </c>
      <c r="Q420" s="24">
        <f t="shared" si="114"/>
        <v>8</v>
      </c>
      <c r="R420" s="8"/>
      <c r="V420" s="6">
        <f t="shared" si="119"/>
        <v>8</v>
      </c>
      <c r="W420" s="273"/>
      <c r="X420" s="6">
        <f t="shared" si="120"/>
        <v>0</v>
      </c>
      <c r="Y420" s="6">
        <f t="shared" si="120"/>
        <v>2</v>
      </c>
      <c r="Z420" s="6">
        <f t="shared" si="120"/>
        <v>4</v>
      </c>
      <c r="AA420" s="6">
        <f t="shared" si="120"/>
        <v>8</v>
      </c>
      <c r="AB420" s="6">
        <f t="shared" si="120"/>
        <v>14</v>
      </c>
      <c r="AC420" s="6">
        <f t="shared" si="120"/>
        <v>20</v>
      </c>
      <c r="AE420" s="473"/>
      <c r="AF420" s="38"/>
      <c r="AG420" s="38"/>
      <c r="AH420" s="22">
        <f>$V420*BIBLE!S228</f>
        <v>8</v>
      </c>
      <c r="AI420" s="22">
        <f>$V420*BIBLE!T228</f>
        <v>0</v>
      </c>
      <c r="AJ420" s="22">
        <f>$V420*BIBLE!U228</f>
        <v>0</v>
      </c>
      <c r="AK420" s="1225">
        <f>$V420*BIBLE!W228</f>
        <v>0</v>
      </c>
      <c r="AL420" s="1225">
        <f>$V420*BIBLE!X228</f>
        <v>0</v>
      </c>
      <c r="AM420" s="1225">
        <f>$V420*BIBLE!Y228</f>
        <v>0</v>
      </c>
      <c r="AN420" s="1225">
        <f>$V420*BIBLE!Z228</f>
        <v>0</v>
      </c>
      <c r="AO420" s="1225">
        <f>$V420*BIBLE!AA228</f>
        <v>8</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t="str">
        <f>'TEST_pour PROTOTYPE'!D374</f>
        <v>4</v>
      </c>
      <c r="Q421" s="24">
        <f t="shared" si="114"/>
        <v>8</v>
      </c>
      <c r="R421" s="8"/>
      <c r="V421" s="6">
        <f t="shared" si="119"/>
        <v>8</v>
      </c>
      <c r="W421" s="273"/>
      <c r="X421" s="6">
        <f t="shared" si="120"/>
        <v>0</v>
      </c>
      <c r="Y421" s="6">
        <f t="shared" si="120"/>
        <v>2</v>
      </c>
      <c r="Z421" s="6">
        <f t="shared" si="120"/>
        <v>4</v>
      </c>
      <c r="AA421" s="6">
        <f t="shared" si="120"/>
        <v>8</v>
      </c>
      <c r="AB421" s="6">
        <f t="shared" si="120"/>
        <v>14</v>
      </c>
      <c r="AC421" s="6">
        <f t="shared" si="120"/>
        <v>20</v>
      </c>
      <c r="AE421" s="473"/>
      <c r="AF421" s="38"/>
      <c r="AG421" s="38"/>
      <c r="AH421" s="22">
        <f>$V421*BIBLE!S229</f>
        <v>8</v>
      </c>
      <c r="AI421" s="22">
        <f>$V421*BIBLE!T229</f>
        <v>0</v>
      </c>
      <c r="AJ421" s="22">
        <f>$V421*BIBLE!U229</f>
        <v>0</v>
      </c>
      <c r="AK421" s="1225">
        <f>$V421*BIBLE!W229</f>
        <v>0</v>
      </c>
      <c r="AL421" s="1225">
        <f>$V421*BIBLE!X229</f>
        <v>0</v>
      </c>
      <c r="AM421" s="1225">
        <f>$V421*BIBLE!Y229</f>
        <v>0</v>
      </c>
      <c r="AN421" s="1225">
        <f>$V421*BIBLE!Z229</f>
        <v>0</v>
      </c>
      <c r="AO421" s="1225">
        <f>$V421*BIBLE!AA229</f>
        <v>8</v>
      </c>
      <c r="AP421" s="1225">
        <f>$V421*BIBLE!AB229</f>
        <v>0</v>
      </c>
      <c r="AQ421" s="1225">
        <f>$V421*BIBLE!AC229</f>
        <v>0</v>
      </c>
      <c r="AR421" s="1225">
        <f>$V421*BIBLE!AD229</f>
        <v>0</v>
      </c>
    </row>
    <row r="422" spans="1:44" s="7" customFormat="1" ht="75" customHeight="1">
      <c r="A422" s="1189" t="str">
        <f>BIBLE!E230</f>
        <v>NC12</v>
      </c>
      <c r="B422" s="133" t="str">
        <f>IF(AND(P46&lt;&gt;1,P59&gt;=3),BIBLE!F230,"")</f>
        <v>À quelle fréquence le nouveau ou nouvelle conjoint·e communique-t-il ou elle avec votre enfant durant votre temps de garde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t="str">
        <f>'TEST_pour PROTOTYPE'!D375</f>
        <v>4</v>
      </c>
      <c r="Q422" s="24">
        <f t="shared" si="114"/>
        <v>12</v>
      </c>
      <c r="R422" s="8"/>
      <c r="V422" s="6">
        <f t="shared" si="119"/>
        <v>12</v>
      </c>
      <c r="W422" s="273"/>
      <c r="X422" s="6">
        <f t="shared" si="120"/>
        <v>0</v>
      </c>
      <c r="Y422" s="6">
        <f t="shared" si="120"/>
        <v>3</v>
      </c>
      <c r="Z422" s="6">
        <f t="shared" si="120"/>
        <v>6</v>
      </c>
      <c r="AA422" s="6">
        <f t="shared" si="120"/>
        <v>12</v>
      </c>
      <c r="AB422" s="6">
        <f t="shared" si="120"/>
        <v>21</v>
      </c>
      <c r="AC422" s="6">
        <f t="shared" si="120"/>
        <v>30</v>
      </c>
      <c r="AE422" s="473"/>
      <c r="AF422" s="38"/>
      <c r="AG422" s="38"/>
      <c r="AH422" s="22">
        <f>$V422*BIBLE!S230</f>
        <v>12</v>
      </c>
      <c r="AI422" s="22">
        <f>$V422*BIBLE!T230</f>
        <v>0</v>
      </c>
      <c r="AJ422" s="22">
        <f>$V422*BIBLE!U230</f>
        <v>0</v>
      </c>
      <c r="AK422" s="1225">
        <f>$V422*BIBLE!W230</f>
        <v>0</v>
      </c>
      <c r="AL422" s="1225">
        <f>$V422*BIBLE!X230</f>
        <v>0</v>
      </c>
      <c r="AM422" s="1225">
        <f>$V422*BIBLE!Y230</f>
        <v>0</v>
      </c>
      <c r="AN422" s="1225">
        <f>$V422*BIBLE!Z230</f>
        <v>0</v>
      </c>
      <c r="AO422" s="1225">
        <f>$V422*BIBLE!AA230</f>
        <v>12</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t="str">
        <f>'TEST_pour PROTOTYPE'!D376</f>
        <v>10</v>
      </c>
      <c r="Q423" s="24">
        <f t="shared" si="114"/>
        <v>30</v>
      </c>
      <c r="R423" s="8"/>
      <c r="V423" s="6">
        <f t="shared" si="119"/>
        <v>30</v>
      </c>
      <c r="W423" s="273"/>
      <c r="X423" s="6">
        <f t="shared" si="120"/>
        <v>0</v>
      </c>
      <c r="Y423" s="6">
        <f t="shared" si="120"/>
        <v>3</v>
      </c>
      <c r="Z423" s="6">
        <f t="shared" si="120"/>
        <v>6</v>
      </c>
      <c r="AA423" s="6">
        <f t="shared" si="120"/>
        <v>12</v>
      </c>
      <c r="AB423" s="6">
        <f t="shared" si="120"/>
        <v>21</v>
      </c>
      <c r="AC423" s="6">
        <f t="shared" si="120"/>
        <v>30</v>
      </c>
      <c r="AE423" s="473"/>
      <c r="AF423" s="38"/>
      <c r="AG423" s="38"/>
      <c r="AH423" s="22">
        <f>$V423*BIBLE!S231</f>
        <v>30</v>
      </c>
      <c r="AI423" s="22">
        <f>$V423*BIBLE!T231</f>
        <v>0</v>
      </c>
      <c r="AJ423" s="22">
        <f>$V423*BIBLE!U231</f>
        <v>0</v>
      </c>
      <c r="AK423" s="1225">
        <f>$V423*BIBLE!W231</f>
        <v>0</v>
      </c>
      <c r="AL423" s="1225">
        <f>$V423*BIBLE!X231</f>
        <v>0</v>
      </c>
      <c r="AM423" s="1225">
        <f>$V423*BIBLE!Y231</f>
        <v>0</v>
      </c>
      <c r="AN423" s="1225">
        <f>$V423*BIBLE!Z231</f>
        <v>0</v>
      </c>
      <c r="AO423" s="1225">
        <f>$V423*BIBLE!AA231</f>
        <v>30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t="str">
        <f>'TEST_pour PROTOTYPE'!D377</f>
        <v>1</v>
      </c>
      <c r="Q424" s="24">
        <f t="shared" si="114"/>
        <v>2</v>
      </c>
      <c r="R424" s="15"/>
      <c r="S424" s="454"/>
      <c r="T424" s="454"/>
      <c r="U424" s="454"/>
      <c r="V424" s="6">
        <f t="shared" si="119"/>
        <v>2</v>
      </c>
      <c r="W424" s="273"/>
      <c r="X424" s="6">
        <f t="shared" si="120"/>
        <v>0</v>
      </c>
      <c r="Y424" s="6">
        <f t="shared" si="120"/>
        <v>2</v>
      </c>
      <c r="Z424" s="6">
        <f t="shared" si="120"/>
        <v>4</v>
      </c>
      <c r="AA424" s="6">
        <f t="shared" si="120"/>
        <v>8</v>
      </c>
      <c r="AB424" s="6">
        <f t="shared" si="120"/>
        <v>14</v>
      </c>
      <c r="AC424" s="6">
        <f t="shared" si="120"/>
        <v>20</v>
      </c>
      <c r="AE424" s="473"/>
      <c r="AF424" s="38"/>
      <c r="AG424" s="38"/>
      <c r="AH424" s="22">
        <f>$V424*BIBLE!S232</f>
        <v>0</v>
      </c>
      <c r="AI424" s="22">
        <f>$V424*BIBLE!T232</f>
        <v>0</v>
      </c>
      <c r="AJ424" s="22">
        <f>$V424*BIBLE!U232</f>
        <v>2</v>
      </c>
      <c r="AK424" s="1225">
        <f>$V424*BIBLE!W232</f>
        <v>0</v>
      </c>
      <c r="AL424" s="1225">
        <f>$V424*BIBLE!X232</f>
        <v>0</v>
      </c>
      <c r="AM424" s="1225">
        <f>$V424*BIBLE!Y232</f>
        <v>0</v>
      </c>
      <c r="AN424" s="1225">
        <f>$V424*BIBLE!Z232</f>
        <v>0</v>
      </c>
      <c r="AO424" s="1225">
        <f>$V424*BIBLE!AA232</f>
        <v>0</v>
      </c>
      <c r="AP424" s="1225">
        <f>$V424*BIBLE!AB232</f>
        <v>2</v>
      </c>
      <c r="AQ424" s="1225">
        <f>$V424*BIBLE!AC232</f>
        <v>0</v>
      </c>
      <c r="AR424" s="1225">
        <f>$V424*BIBLE!AD232</f>
        <v>0</v>
      </c>
    </row>
    <row r="425" spans="1:44" s="17" customFormat="1" ht="75" customHeight="1">
      <c r="A425" s="1189" t="str">
        <f>BIBLE!E233</f>
        <v>NC15</v>
      </c>
      <c r="B425" s="133" t="str">
        <f>IF(AND(P46&lt;&gt;1,P59&gt;=3),BIBLE!F233,"")</f>
        <v>Dans quelle mesure diriez-vous que votre relation avec votre enfant est fragilisée depuis l'arrivée du nouveau ou nouvelle conjoint·e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t="str">
        <f>'TEST_pour PROTOTYPE'!D378</f>
        <v>1</v>
      </c>
      <c r="Q425" s="24">
        <f t="shared" si="114"/>
        <v>2</v>
      </c>
      <c r="R425" s="8"/>
      <c r="S425" s="7"/>
      <c r="T425" s="7"/>
      <c r="U425" s="7"/>
      <c r="V425" s="6">
        <f t="shared" si="119"/>
        <v>2</v>
      </c>
      <c r="W425" s="273"/>
      <c r="X425" s="6">
        <f t="shared" si="120"/>
        <v>0</v>
      </c>
      <c r="Y425" s="6">
        <f t="shared" si="120"/>
        <v>2</v>
      </c>
      <c r="Z425" s="6">
        <f t="shared" si="120"/>
        <v>4</v>
      </c>
      <c r="AA425" s="6">
        <f t="shared" si="120"/>
        <v>8</v>
      </c>
      <c r="AB425" s="6">
        <f t="shared" si="120"/>
        <v>14</v>
      </c>
      <c r="AC425" s="6">
        <f t="shared" si="120"/>
        <v>20</v>
      </c>
      <c r="AE425" s="473"/>
      <c r="AF425" s="38"/>
      <c r="AG425" s="38"/>
      <c r="AH425" s="22">
        <f>$V425*BIBLE!S233</f>
        <v>0</v>
      </c>
      <c r="AI425" s="22">
        <f>$V425*BIBLE!T233</f>
        <v>2</v>
      </c>
      <c r="AJ425" s="22">
        <f>$V425*BIBLE!U233</f>
        <v>0</v>
      </c>
      <c r="AK425" s="1225">
        <f>$V425*BIBLE!W233</f>
        <v>0</v>
      </c>
      <c r="AL425" s="1225">
        <f>$V425*BIBLE!X233</f>
        <v>0</v>
      </c>
      <c r="AM425" s="1225">
        <f>$V425*BIBLE!Y233</f>
        <v>0</v>
      </c>
      <c r="AN425" s="1225">
        <f>$V425*BIBLE!Z233</f>
        <v>0</v>
      </c>
      <c r="AO425" s="1225">
        <f>$V425*BIBLE!AA233</f>
        <v>0</v>
      </c>
      <c r="AP425" s="1225">
        <f>$V425*BIBLE!AB233</f>
        <v>2</v>
      </c>
      <c r="AQ425" s="1225">
        <f>$V425*BIBLE!AC233</f>
        <v>0</v>
      </c>
      <c r="AR425" s="1225">
        <f>$V425*BIBLE!AD233</f>
        <v>0</v>
      </c>
    </row>
    <row r="426" spans="1:44" s="17" customFormat="1" ht="75" customHeight="1">
      <c r="A426" s="1189" t="str">
        <f>BIBLE!E234</f>
        <v>NC16</v>
      </c>
      <c r="B426" s="133" t="str">
        <f>IF(AND(P46&lt;&gt;1,P183&gt;=R183),BIBLE!F234,"")</f>
        <v>Est-ce que le nouveau ou nouvelle conjoint·e vous demande de respecter les désirs et choix de votre enfant ?</v>
      </c>
      <c r="C426" s="459" t="str">
        <f>BIBLE!O234</f>
        <v xml:space="preserve">Jamais / Rarement / Occasionnellement / Régulièrement / Souvent / Toujours / S.O. </v>
      </c>
      <c r="D426" s="1278">
        <f>IF(E40&gt;=11,BIBLE!L234,BIBLE!M234)</f>
        <v>2</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ht="17" customHeight="1">
      <c r="A427" s="41"/>
      <c r="C427" s="41"/>
      <c r="D427" s="263"/>
      <c r="E427" s="41"/>
      <c r="F427" s="41"/>
      <c r="G427" s="41"/>
      <c r="H427" s="41"/>
      <c r="I427" s="41"/>
      <c r="J427" s="41"/>
      <c r="K427" s="41"/>
      <c r="L427" s="41"/>
      <c r="M427" s="41"/>
      <c r="N427" s="41"/>
      <c r="O427" s="41"/>
      <c r="P427" s="41"/>
      <c r="R427" s="41"/>
      <c r="S427" s="41"/>
      <c r="T427" s="41"/>
      <c r="U427" s="41"/>
      <c r="V427" s="447">
        <f>SUM(V404:V426)</f>
        <v>110</v>
      </c>
      <c r="W427" s="41"/>
      <c r="X427" s="446">
        <f t="shared" ref="X427:AC427" si="121">SUM(X404:X426)</f>
        <v>0</v>
      </c>
      <c r="Y427" s="446">
        <f t="shared" si="121"/>
        <v>28</v>
      </c>
      <c r="Z427" s="446">
        <f t="shared" si="121"/>
        <v>56</v>
      </c>
      <c r="AA427" s="446">
        <f t="shared" si="121"/>
        <v>112</v>
      </c>
      <c r="AB427" s="446">
        <f t="shared" si="121"/>
        <v>196</v>
      </c>
      <c r="AC427" s="446">
        <f t="shared" si="121"/>
        <v>280</v>
      </c>
      <c r="AD427" s="499">
        <f>V427/AC427</f>
        <v>0.39285714285714285</v>
      </c>
      <c r="AE427" s="472">
        <f>SUM(AE404:AE426)</f>
        <v>0</v>
      </c>
      <c r="AF427" s="1697"/>
      <c r="AG427" s="1697"/>
      <c r="AH427" s="1231">
        <f t="shared" ref="AH427:AR427" si="122">SUM(AH404:AH426)</f>
        <v>70</v>
      </c>
      <c r="AI427" s="1231">
        <f t="shared" si="122"/>
        <v>2</v>
      </c>
      <c r="AJ427" s="1231">
        <f t="shared" si="122"/>
        <v>24</v>
      </c>
      <c r="AK427" s="1232">
        <f t="shared" si="122"/>
        <v>2</v>
      </c>
      <c r="AL427" s="1232">
        <f t="shared" si="122"/>
        <v>8</v>
      </c>
      <c r="AM427" s="1232">
        <f t="shared" si="122"/>
        <v>2</v>
      </c>
      <c r="AN427" s="1232">
        <f t="shared" si="122"/>
        <v>18</v>
      </c>
      <c r="AO427" s="1232">
        <f t="shared" si="122"/>
        <v>62</v>
      </c>
      <c r="AP427" s="1232">
        <f t="shared" si="122"/>
        <v>4</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f>AH427/SUM($AH$427:$AJ$427)</f>
        <v>0.72916666666666663</v>
      </c>
      <c r="AI428" s="1229">
        <f>AI427/SUM($AH$427:$AJ$427)</f>
        <v>2.0833333333333332E-2</v>
      </c>
      <c r="AJ428" s="1229">
        <f>AJ427/SUM($AH$427:$AJ$427)</f>
        <v>0.25</v>
      </c>
      <c r="AK428" s="1230">
        <f t="shared" ref="AK428:AR428" si="123">AK427/SUM($AK$427:$AR$427)</f>
        <v>2.0833333333333332E-2</v>
      </c>
      <c r="AL428" s="1230">
        <f t="shared" si="123"/>
        <v>8.3333333333333329E-2</v>
      </c>
      <c r="AM428" s="1230">
        <f t="shared" si="123"/>
        <v>2.0833333333333332E-2</v>
      </c>
      <c r="AN428" s="1230">
        <f t="shared" si="123"/>
        <v>0.1875</v>
      </c>
      <c r="AO428" s="1230">
        <f t="shared" si="123"/>
        <v>0.64583333333333337</v>
      </c>
      <c r="AP428" s="1230">
        <f t="shared" si="123"/>
        <v>4.1666666666666664E-2</v>
      </c>
      <c r="AQ428" s="1230">
        <f t="shared" si="123"/>
        <v>0</v>
      </c>
      <c r="AR428" s="1230">
        <f t="shared" si="123"/>
        <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t="str">
        <f>'TEST_pour PROTOTYPE'!D398</f>
        <v>4</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0" t="s">
        <v>1431</v>
      </c>
      <c r="AI430" s="2501"/>
      <c r="AJ430" s="2501"/>
      <c r="AK430" s="2501"/>
      <c r="AL430" s="2501"/>
      <c r="AM430" s="2501"/>
      <c r="AN430" s="2501"/>
      <c r="AO430" s="2501"/>
      <c r="AP430" s="2501"/>
      <c r="AQ430" s="2501"/>
      <c r="AR430" s="2501"/>
    </row>
    <row r="431" spans="1:44" s="7" customFormat="1" ht="18" customHeight="1">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1" t="s">
        <v>1433</v>
      </c>
      <c r="AI431" s="2492"/>
      <c r="AJ431" s="2492"/>
      <c r="AK431" s="2491" t="s">
        <v>1434</v>
      </c>
      <c r="AL431" s="2492"/>
      <c r="AM431" s="2492"/>
      <c r="AN431" s="2492"/>
      <c r="AO431" s="2492"/>
      <c r="AP431" s="2492"/>
      <c r="AQ431" s="2492"/>
      <c r="AR431" s="2492"/>
    </row>
    <row r="432" spans="1:44" s="7" customFormat="1" ht="18" customHeight="1">
      <c r="A432" s="1200"/>
      <c r="B432" s="2" t="s">
        <v>1435</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205</v>
      </c>
      <c r="AI432" s="1256">
        <f t="shared" si="125"/>
        <v>79.5</v>
      </c>
      <c r="AJ432" s="1256">
        <f t="shared" si="125"/>
        <v>77.5</v>
      </c>
      <c r="AK432" s="1255">
        <f t="shared" si="125"/>
        <v>2</v>
      </c>
      <c r="AL432" s="1255">
        <f t="shared" si="125"/>
        <v>16</v>
      </c>
      <c r="AM432" s="1255">
        <f t="shared" si="125"/>
        <v>53</v>
      </c>
      <c r="AN432" s="1255">
        <f t="shared" si="125"/>
        <v>53</v>
      </c>
      <c r="AO432" s="1255">
        <f t="shared" si="125"/>
        <v>105</v>
      </c>
      <c r="AP432" s="1255">
        <f t="shared" si="125"/>
        <v>66</v>
      </c>
      <c r="AQ432" s="1255">
        <f t="shared" si="125"/>
        <v>29</v>
      </c>
      <c r="AR432" s="1255">
        <f t="shared" si="125"/>
        <v>42</v>
      </c>
    </row>
    <row r="433" spans="1:44" s="7" customFormat="1" ht="18" customHeight="1">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f>AH432/SUM($AH$432:$AJ$432)</f>
        <v>0.56629834254143652</v>
      </c>
      <c r="AI433" s="1229">
        <f>AI432/SUM($AH$432:$AJ$432)</f>
        <v>0.21961325966850828</v>
      </c>
      <c r="AJ433" s="1229">
        <f>AJ432/SUM($AH$432:$AJ$432)</f>
        <v>0.21408839779005526</v>
      </c>
      <c r="AK433" s="1230">
        <f t="shared" ref="AK433:AR433" si="126">AK432/SUM($AK$432:$AR$432)</f>
        <v>5.4644808743169399E-3</v>
      </c>
      <c r="AL433" s="1230">
        <f t="shared" si="126"/>
        <v>4.3715846994535519E-2</v>
      </c>
      <c r="AM433" s="1230">
        <f t="shared" si="126"/>
        <v>0.1448087431693989</v>
      </c>
      <c r="AN433" s="1230">
        <f t="shared" si="126"/>
        <v>0.1448087431693989</v>
      </c>
      <c r="AO433" s="1230">
        <f t="shared" si="126"/>
        <v>0.28688524590163933</v>
      </c>
      <c r="AP433" s="1230">
        <f t="shared" si="126"/>
        <v>0.18032786885245902</v>
      </c>
      <c r="AQ433" s="1230">
        <f t="shared" si="126"/>
        <v>7.9234972677595633E-2</v>
      </c>
      <c r="AR433" s="1230">
        <f t="shared" si="126"/>
        <v>0.11475409836065574</v>
      </c>
    </row>
    <row r="434" spans="1:44" s="7" customFormat="1" ht="18" customHeight="1">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t="str">
        <f>'TEST_pour PROTOTYPE'!D399</f>
        <v>4</v>
      </c>
      <c r="Q436" s="41"/>
      <c r="R436" s="41"/>
      <c r="S436" s="41"/>
      <c r="T436" s="41"/>
      <c r="U436" s="41"/>
      <c r="V436" s="494"/>
      <c r="W436" s="41"/>
      <c r="X436" s="8"/>
      <c r="Z436" s="8"/>
      <c r="AA436" s="8"/>
      <c r="AB436" s="8"/>
      <c r="AC436" s="8"/>
    </row>
    <row r="437" spans="1:44" s="7" customFormat="1">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1441</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t="str">
        <f>'TEST_pour PROTOTYPE'!D400</f>
        <v>1</v>
      </c>
      <c r="Q442" s="41"/>
      <c r="R442" s="41"/>
      <c r="S442" s="41"/>
      <c r="T442" s="41"/>
      <c r="U442" s="41"/>
      <c r="V442" s="494"/>
      <c r="W442" s="41"/>
      <c r="X442" s="8"/>
      <c r="Y442" s="8"/>
      <c r="Z442" s="8"/>
      <c r="AA442" s="8"/>
      <c r="AB442" s="8"/>
      <c r="AC442" s="8"/>
    </row>
    <row r="443" spans="1:44" s="7" customFormat="1">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1446</v>
      </c>
      <c r="D446" s="1646">
        <v>4</v>
      </c>
      <c r="E446" s="37" t="str">
        <f t="shared" si="127"/>
        <v>x</v>
      </c>
      <c r="F446" s="267"/>
      <c r="V446" s="8"/>
      <c r="X446" s="8"/>
      <c r="Y446" s="8"/>
      <c r="Z446" s="8"/>
      <c r="AA446" s="8"/>
      <c r="AB446" s="8"/>
      <c r="AC446" s="8"/>
    </row>
    <row r="447" spans="1:44" s="7" customFormat="1">
      <c r="A447" s="1191"/>
      <c r="B447" s="53" t="s">
        <v>1447</v>
      </c>
      <c r="D447" s="1646">
        <v>5</v>
      </c>
      <c r="E447" s="37" t="str">
        <f t="shared" si="127"/>
        <v>x</v>
      </c>
      <c r="F447" s="267"/>
      <c r="V447" s="8"/>
      <c r="X447" s="8"/>
      <c r="Y447" s="8"/>
      <c r="Z447" s="8"/>
      <c r="AA447" s="8"/>
      <c r="AB447" s="8"/>
      <c r="AC447" s="8"/>
    </row>
    <row r="448" spans="1:44" s="7" customFormat="1">
      <c r="A448" s="1191"/>
      <c r="B448" s="53" t="s">
        <v>1448</v>
      </c>
      <c r="D448" s="1646">
        <v>6</v>
      </c>
      <c r="E448" s="37" t="str">
        <f t="shared" si="127"/>
        <v>x</v>
      </c>
      <c r="F448" s="267"/>
      <c r="V448" s="8"/>
      <c r="X448" s="8"/>
      <c r="Y448" s="8"/>
      <c r="Z448" s="8"/>
      <c r="AA448" s="8"/>
      <c r="AB448" s="8"/>
      <c r="AC448" s="8"/>
    </row>
    <row r="449" spans="1:44" s="7" customFormat="1" ht="24" customHeight="1">
      <c r="A449" s="1191"/>
      <c r="B449" s="53" t="s">
        <v>1449</v>
      </c>
      <c r="D449" s="1646">
        <v>7</v>
      </c>
      <c r="E449" s="37" t="str">
        <f t="shared" si="127"/>
        <v>x</v>
      </c>
      <c r="F449" s="267"/>
      <c r="V449" s="8"/>
      <c r="X449" s="8"/>
      <c r="Y449" s="8"/>
      <c r="Z449" s="8"/>
      <c r="AA449" s="8"/>
      <c r="AB449" s="8"/>
      <c r="AC449" s="8"/>
      <c r="AH449" s="2500" t="s">
        <v>1450</v>
      </c>
      <c r="AI449" s="2501"/>
      <c r="AJ449" s="2501"/>
      <c r="AK449" s="2501"/>
      <c r="AL449" s="2501"/>
      <c r="AM449" s="2501"/>
      <c r="AN449" s="2501"/>
      <c r="AO449" s="2501"/>
      <c r="AP449" s="2501"/>
      <c r="AQ449" s="2501"/>
      <c r="AR449" s="2501"/>
    </row>
    <row r="450" spans="1:44" s="7" customFormat="1">
      <c r="A450" s="1191"/>
      <c r="B450" s="53" t="s">
        <v>1354</v>
      </c>
      <c r="D450" s="1646">
        <v>8</v>
      </c>
      <c r="E450" s="1542" t="s">
        <v>1285</v>
      </c>
      <c r="F450" s="267"/>
      <c r="G450" s="277" t="s">
        <v>1451</v>
      </c>
      <c r="V450" s="8"/>
      <c r="X450" s="8"/>
      <c r="Y450" s="8"/>
      <c r="Z450" s="8"/>
      <c r="AA450" s="8"/>
      <c r="AB450" s="8"/>
      <c r="AC450" s="8"/>
      <c r="AH450" s="2491" t="s">
        <v>1433</v>
      </c>
      <c r="AI450" s="2492"/>
      <c r="AJ450" s="2492"/>
      <c r="AK450" s="2491" t="s">
        <v>1434</v>
      </c>
      <c r="AL450" s="2492"/>
      <c r="AM450" s="2492"/>
      <c r="AN450" s="2492"/>
      <c r="AO450" s="2492"/>
      <c r="AP450" s="2492"/>
      <c r="AQ450" s="2492"/>
      <c r="AR450" s="2492"/>
    </row>
    <row r="451" spans="1:44" s="7" customFormat="1">
      <c r="A451" s="1191" t="str">
        <f>BIBLE!E243</f>
        <v>S03a</v>
      </c>
      <c r="B451" s="21" t="str">
        <f>IF(P442=1,BIBLE!F243," ")</f>
        <v xml:space="preserve"> </v>
      </c>
      <c r="D451" s="1646"/>
      <c r="E451" s="21"/>
      <c r="F451" s="271"/>
      <c r="G451" s="277"/>
      <c r="P451" s="1447" t="str">
        <f>'TEST_pour PROTOTYPE'!D401</f>
        <v>3</v>
      </c>
      <c r="V451" s="8"/>
      <c r="X451" s="8"/>
      <c r="Y451" s="8"/>
      <c r="Z451" s="8"/>
      <c r="AA451" s="8"/>
      <c r="AB451" s="8"/>
      <c r="AC451" s="8"/>
      <c r="AH451" s="1256">
        <f t="shared" ref="AH451:AR451" si="128">AH259+AH427</f>
        <v>161</v>
      </c>
      <c r="AI451" s="1256">
        <f t="shared" si="128"/>
        <v>74.5</v>
      </c>
      <c r="AJ451" s="1256">
        <f t="shared" si="128"/>
        <v>66.5</v>
      </c>
      <c r="AK451" s="1255">
        <f t="shared" si="128"/>
        <v>2</v>
      </c>
      <c r="AL451" s="1255">
        <f t="shared" si="128"/>
        <v>16</v>
      </c>
      <c r="AM451" s="1255">
        <f t="shared" si="128"/>
        <v>44</v>
      </c>
      <c r="AN451" s="1255">
        <f t="shared" si="128"/>
        <v>45</v>
      </c>
      <c r="AO451" s="1255">
        <f t="shared" si="128"/>
        <v>89</v>
      </c>
      <c r="AP451" s="1255">
        <f t="shared" si="128"/>
        <v>56</v>
      </c>
      <c r="AQ451" s="1255">
        <f t="shared" si="128"/>
        <v>12</v>
      </c>
      <c r="AR451" s="1255">
        <f t="shared" si="128"/>
        <v>38</v>
      </c>
    </row>
    <row r="452" spans="1:44" s="7" customFormat="1">
      <c r="A452" s="1191"/>
      <c r="B452" s="102" t="str">
        <f>IF(P$442=1,"50% / 50%","")</f>
        <v/>
      </c>
      <c r="D452" s="1646">
        <v>1</v>
      </c>
      <c r="E452" s="37" t="str">
        <f>IF(P$451=D452,1,"x")</f>
        <v>x</v>
      </c>
      <c r="F452" s="271"/>
      <c r="G452" s="277"/>
      <c r="V452" s="8"/>
      <c r="X452" s="8"/>
      <c r="Y452" s="8"/>
      <c r="Z452" s="8"/>
      <c r="AA452" s="8"/>
      <c r="AB452" s="8"/>
      <c r="AC452" s="8"/>
      <c r="AH452" s="1229">
        <f>AH451/SUM($AH$451:$AJ$451)</f>
        <v>0.5331125827814569</v>
      </c>
      <c r="AI452" s="1229">
        <f>AI451/SUM($AH$451:$AJ$451)</f>
        <v>0.24668874172185432</v>
      </c>
      <c r="AJ452" s="1229">
        <f>AJ451/SUM($AH$451:$AJ$451)</f>
        <v>0.22019867549668873</v>
      </c>
      <c r="AK452" s="1230">
        <f t="shared" ref="AK452:AR452" si="129">AK451/SUM($AK$451:$AR$451)</f>
        <v>6.6225165562913907E-3</v>
      </c>
      <c r="AL452" s="1230">
        <f t="shared" si="129"/>
        <v>5.2980132450331126E-2</v>
      </c>
      <c r="AM452" s="1230">
        <f t="shared" si="129"/>
        <v>0.14569536423841059</v>
      </c>
      <c r="AN452" s="1230">
        <f t="shared" si="129"/>
        <v>0.1490066225165563</v>
      </c>
      <c r="AO452" s="1230">
        <f t="shared" si="129"/>
        <v>0.29470198675496689</v>
      </c>
      <c r="AP452" s="1230">
        <f t="shared" si="129"/>
        <v>0.18543046357615894</v>
      </c>
      <c r="AQ452" s="1230">
        <f t="shared" si="129"/>
        <v>3.9735099337748346E-2</v>
      </c>
      <c r="AR452" s="1230">
        <f t="shared" si="129"/>
        <v>0.12582781456953643</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0" t="s">
        <v>1452</v>
      </c>
      <c r="AI455" s="2501"/>
      <c r="AJ455" s="2501"/>
      <c r="AK455" s="2501"/>
      <c r="AL455" s="2501"/>
      <c r="AM455" s="2501"/>
      <c r="AN455" s="2501"/>
      <c r="AO455" s="2501"/>
      <c r="AP455" s="2501"/>
      <c r="AQ455" s="2501"/>
      <c r="AR455" s="2501"/>
    </row>
    <row r="456" spans="1:44" s="7" customFormat="1">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491" t="s">
        <v>1433</v>
      </c>
      <c r="AI456" s="2492"/>
      <c r="AJ456" s="2492"/>
      <c r="AK456" s="2491" t="s">
        <v>1434</v>
      </c>
      <c r="AL456" s="2492"/>
      <c r="AM456" s="2492"/>
      <c r="AN456" s="2492"/>
      <c r="AO456" s="2492"/>
      <c r="AP456" s="2492"/>
      <c r="AQ456" s="2492"/>
      <c r="AR456" s="2492"/>
    </row>
    <row r="457" spans="1:44" s="7" customFormat="1" ht="51"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2</v>
      </c>
      <c r="Q457" s="41"/>
      <c r="R457" s="41"/>
      <c r="S457" s="41"/>
      <c r="T457" s="41"/>
      <c r="U457" s="41"/>
      <c r="V457" s="494"/>
      <c r="W457" s="41"/>
      <c r="X457" s="8"/>
      <c r="Y457" s="8"/>
      <c r="Z457" s="8"/>
      <c r="AA457" s="8"/>
      <c r="AB457" s="8"/>
      <c r="AC457" s="8"/>
      <c r="AH457" s="1256">
        <f t="shared" ref="AH457:AR457" si="130">AH380</f>
        <v>104</v>
      </c>
      <c r="AI457" s="1256">
        <f t="shared" si="130"/>
        <v>94.5</v>
      </c>
      <c r="AJ457" s="1256">
        <f t="shared" si="130"/>
        <v>61.5</v>
      </c>
      <c r="AK457" s="1255">
        <f t="shared" si="130"/>
        <v>16</v>
      </c>
      <c r="AL457" s="1255">
        <f t="shared" si="130"/>
        <v>12</v>
      </c>
      <c r="AM457" s="1255">
        <f t="shared" si="130"/>
        <v>24</v>
      </c>
      <c r="AN457" s="1255">
        <f t="shared" si="130"/>
        <v>22</v>
      </c>
      <c r="AO457" s="1255">
        <f t="shared" si="130"/>
        <v>28</v>
      </c>
      <c r="AP457" s="1255">
        <f t="shared" si="130"/>
        <v>34</v>
      </c>
      <c r="AQ457" s="1255">
        <f t="shared" si="130"/>
        <v>16</v>
      </c>
      <c r="AR457" s="1255">
        <f t="shared" si="130"/>
        <v>87</v>
      </c>
    </row>
    <row r="458" spans="1:44" ht="17" customHeight="1">
      <c r="A458" s="2513"/>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f>AH457/SUM($AH$457:$AJ$457)</f>
        <v>0.4</v>
      </c>
      <c r="AI458" s="1229">
        <f>AI457/SUM($AH$457:$AJ$457)</f>
        <v>0.36346153846153845</v>
      </c>
      <c r="AJ458" s="1229">
        <f>AJ457/SUM($AH$457:$AJ$457)</f>
        <v>0.23653846153846153</v>
      </c>
      <c r="AK458" s="1230">
        <f t="shared" ref="AK458:AR458" si="132">AK457/SUM($AK$457:$AR$457)</f>
        <v>6.6945606694560664E-2</v>
      </c>
      <c r="AL458" s="1230">
        <f t="shared" si="132"/>
        <v>5.0209205020920501E-2</v>
      </c>
      <c r="AM458" s="1230">
        <f t="shared" si="132"/>
        <v>0.100418410041841</v>
      </c>
      <c r="AN458" s="1230">
        <f t="shared" si="132"/>
        <v>9.2050209205020925E-2</v>
      </c>
      <c r="AO458" s="1230">
        <f t="shared" si="132"/>
        <v>0.11715481171548117</v>
      </c>
      <c r="AP458" s="1230">
        <f t="shared" si="132"/>
        <v>0.14225941422594143</v>
      </c>
      <c r="AQ458" s="1230">
        <f t="shared" si="132"/>
        <v>6.6945606694560664E-2</v>
      </c>
      <c r="AR458" s="1230">
        <f t="shared" si="132"/>
        <v>0.36401673640167365</v>
      </c>
    </row>
    <row r="459" spans="1:44" ht="17" customHeight="1">
      <c r="A459" s="2468"/>
      <c r="B459" s="54" t="s">
        <v>1454</v>
      </c>
      <c r="D459" s="1444">
        <v>1</v>
      </c>
      <c r="E459" s="1613">
        <f>'TEST_pour PROTOTYPE'!D403</f>
        <v>1</v>
      </c>
      <c r="F459" s="270"/>
      <c r="G459" s="40"/>
      <c r="H459" s="40"/>
      <c r="I459" s="40"/>
      <c r="J459" s="40"/>
      <c r="K459" s="40"/>
      <c r="L459" s="40"/>
      <c r="M459" s="40"/>
      <c r="N459" s="40"/>
      <c r="O459" s="40"/>
      <c r="P459" s="1640">
        <f t="shared" si="131"/>
        <v>1</v>
      </c>
      <c r="Q459" s="40"/>
      <c r="R459" s="40"/>
      <c r="S459" s="40"/>
      <c r="T459" s="40"/>
      <c r="U459" s="40"/>
      <c r="V459" s="273"/>
      <c r="W459" s="40"/>
    </row>
    <row r="460" spans="1:44" ht="17" customHeight="1">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c r="A462" s="1192"/>
      <c r="B462" s="54" t="s">
        <v>1457</v>
      </c>
      <c r="D462" s="1444">
        <v>1</v>
      </c>
      <c r="E462" s="1613">
        <f>'TEST_pour PROTOTYPE'!D406</f>
        <v>1</v>
      </c>
      <c r="F462" s="263"/>
      <c r="G462" s="41"/>
      <c r="H462" s="41"/>
      <c r="I462" s="41"/>
      <c r="J462" s="41"/>
      <c r="K462" s="41"/>
      <c r="L462" s="41"/>
      <c r="M462" s="41"/>
      <c r="N462" s="41"/>
      <c r="O462" s="41"/>
      <c r="P462" s="1640">
        <f t="shared" si="131"/>
        <v>1</v>
      </c>
      <c r="Q462" s="41"/>
      <c r="R462" s="41"/>
      <c r="S462" s="41"/>
      <c r="T462" s="41"/>
      <c r="U462" s="41"/>
      <c r="V462" s="494"/>
      <c r="W462" s="41"/>
    </row>
    <row r="463" spans="1:44" ht="17" customHeight="1">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c r="A466" s="2513"/>
      <c r="B466" s="54" t="s">
        <v>1461</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ht="17" customHeight="1">
      <c r="A467" s="2468"/>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AH450:AJ450"/>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5:AR455"/>
    <mergeCell ref="AK88:AR88"/>
    <mergeCell ref="X261:AC261"/>
    <mergeCell ref="AO89:AO94"/>
    <mergeCell ref="X399:AC399"/>
    <mergeCell ref="E96:K96"/>
    <mergeCell ref="AK89:AK94"/>
  </mergeCells>
  <pageMargins left="0.7" right="0.7" top="0.75" bottom="0.75" header="0.3" footer="0.3"/>
  <pageSetup orientation="portrait" horizontalDpi="0" verticalDpi="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topLeftCell="A2" zoomScale="93" zoomScaleNormal="50" workbookViewId="0">
      <selection activeCell="D15" sqref="D15"/>
    </sheetView>
  </sheetViews>
  <sheetFormatPr defaultColWidth="10.6640625" defaultRowHeight="15.5"/>
  <cols>
    <col min="1" max="1" width="16.33203125" customWidth="1"/>
    <col min="2" max="2" width="29.1640625" customWidth="1"/>
    <col min="3" max="3" width="19.1640625" customWidth="1"/>
    <col min="4" max="4" width="23" style="5" customWidth="1"/>
    <col min="5" max="5" width="31.16406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1463</v>
      </c>
      <c r="D1" s="16" t="s">
        <v>1464</v>
      </c>
      <c r="E1" s="16" t="s">
        <v>1465</v>
      </c>
      <c r="F1" s="16" t="s">
        <v>1466</v>
      </c>
      <c r="G1" s="16" t="s">
        <v>1467</v>
      </c>
      <c r="J1" s="16"/>
    </row>
    <row r="2" spans="1:13" ht="139" customHeight="1">
      <c r="A2" s="13" t="s">
        <v>1468</v>
      </c>
      <c r="B2" s="13" t="s">
        <v>1469</v>
      </c>
      <c r="G2" s="1484"/>
    </row>
    <row r="3" spans="1:13">
      <c r="C3" t="s">
        <v>1470</v>
      </c>
      <c r="D3" s="5" t="s">
        <v>1471</v>
      </c>
      <c r="E3" s="5" t="s">
        <v>1472</v>
      </c>
      <c r="F3" t="s">
        <v>1473</v>
      </c>
      <c r="G3" s="5" t="s">
        <v>1474</v>
      </c>
      <c r="H3" s="2469" t="s">
        <v>1475</v>
      </c>
      <c r="I3" s="2469"/>
      <c r="J3" s="2469"/>
      <c r="K3" s="2469"/>
      <c r="L3" s="2469"/>
      <c r="M3" s="2469"/>
    </row>
    <row r="4" spans="1:13">
      <c r="A4" t="s">
        <v>1476</v>
      </c>
      <c r="B4" t="str">
        <f>IF(Test_Bible!B3&lt;&gt;"","O","N")</f>
        <v>O</v>
      </c>
      <c r="C4" t="str">
        <f>BIBLE!E20</f>
        <v>B00</v>
      </c>
      <c r="D4">
        <v>3</v>
      </c>
      <c r="F4" s="1453"/>
      <c r="G4" s="1454"/>
      <c r="H4" s="1454"/>
      <c r="I4" s="1454"/>
      <c r="J4" s="1454"/>
      <c r="K4" s="1454"/>
      <c r="L4" s="1454"/>
      <c r="M4" s="1454"/>
    </row>
    <row r="5" spans="1:13">
      <c r="A5" t="s">
        <v>1478</v>
      </c>
      <c r="B5" s="809" t="str">
        <f>IF(Test_Bible!B11&lt;&gt;"","O","N")</f>
        <v>O</v>
      </c>
      <c r="C5" t="str">
        <f>BIBLE!E21</f>
        <v>B01</v>
      </c>
      <c r="F5" s="1453"/>
      <c r="G5" s="1454"/>
      <c r="H5" s="1454"/>
      <c r="I5" s="1454"/>
      <c r="J5" s="1454"/>
      <c r="K5" s="1454"/>
      <c r="L5" s="1454"/>
      <c r="M5" s="1454"/>
    </row>
    <row r="6" spans="1:13">
      <c r="A6" t="s">
        <v>1479</v>
      </c>
      <c r="B6" t="str">
        <f>IF(Test_Bible!B16&lt;&gt;"","O","N")</f>
        <v>O</v>
      </c>
      <c r="C6" t="str">
        <f>BIBLE!E22</f>
        <v>B02</v>
      </c>
      <c r="D6">
        <v>2</v>
      </c>
      <c r="F6" s="1453"/>
      <c r="G6" s="1454"/>
      <c r="H6" s="1454"/>
      <c r="I6" s="1454"/>
      <c r="J6" s="1454"/>
      <c r="K6" s="1454"/>
      <c r="L6" s="1454"/>
      <c r="M6" s="1454"/>
    </row>
    <row r="7" spans="1:13">
      <c r="A7" t="s">
        <v>1476</v>
      </c>
      <c r="B7" t="str">
        <f>IF(Test_Bible!B21&lt;&gt;"","O","N")</f>
        <v>O</v>
      </c>
      <c r="C7" t="str">
        <f>BIBLE!E23</f>
        <v>B03</v>
      </c>
      <c r="D7">
        <v>5</v>
      </c>
      <c r="F7" s="1453"/>
      <c r="G7" s="1454"/>
      <c r="H7" s="1454"/>
      <c r="I7" s="1454"/>
      <c r="J7" s="1454"/>
      <c r="K7" s="1454"/>
      <c r="L7" s="1454"/>
      <c r="M7" s="1454"/>
    </row>
    <row r="8" spans="1:13">
      <c r="A8" t="s">
        <v>1476</v>
      </c>
      <c r="B8" t="str">
        <f>IF(Test_Bible!B27&lt;&gt;"","O","N")</f>
        <v>O</v>
      </c>
      <c r="C8" t="str">
        <f>BIBLE!E24</f>
        <v>B04</v>
      </c>
      <c r="D8">
        <v>5</v>
      </c>
      <c r="F8" s="1453"/>
      <c r="G8" s="1454"/>
      <c r="H8" s="1454"/>
      <c r="I8" s="1454"/>
      <c r="J8" s="1454"/>
      <c r="K8" s="1454"/>
      <c r="L8" s="1454"/>
      <c r="M8" s="1454"/>
    </row>
    <row r="9" spans="1:13">
      <c r="A9" t="s">
        <v>1481</v>
      </c>
      <c r="B9" t="str">
        <f>IF(Test_Bible!B34&lt;&gt;"","O","N")</f>
        <v>O</v>
      </c>
      <c r="C9" t="str">
        <f>BIBLE!E25</f>
        <v>B05</v>
      </c>
      <c r="D9">
        <v>1</v>
      </c>
      <c r="F9" s="1453"/>
      <c r="G9" s="1454"/>
      <c r="H9" s="1454"/>
      <c r="I9" s="1454"/>
      <c r="J9" s="1454"/>
      <c r="K9" s="1454"/>
      <c r="L9" s="1454"/>
      <c r="M9" s="1454"/>
    </row>
    <row r="10" spans="1:13">
      <c r="A10" t="s">
        <v>1482</v>
      </c>
      <c r="B10" t="str">
        <f>IF(Test_Bible!B40&lt;&gt;"","O","N")</f>
        <v>O</v>
      </c>
      <c r="C10" t="str">
        <f>BIBLE!E26</f>
        <v>B06</v>
      </c>
      <c r="D10" t="s">
        <v>1483</v>
      </c>
      <c r="F10" s="1453"/>
      <c r="G10" s="1454"/>
      <c r="H10" s="1454"/>
      <c r="I10" s="1454"/>
      <c r="J10" s="1454"/>
      <c r="K10" s="1454"/>
      <c r="L10" s="1454"/>
      <c r="M10" s="1454"/>
    </row>
    <row r="11" spans="1:13">
      <c r="A11" t="s">
        <v>1478</v>
      </c>
      <c r="B11" t="str">
        <f>IF(Test_Bible!B42&lt;&gt;"","O","N")</f>
        <v>O</v>
      </c>
      <c r="C11" t="str">
        <f>BIBLE!E27</f>
        <v>B07</v>
      </c>
      <c r="D11" t="s">
        <v>1480</v>
      </c>
      <c r="F11" s="1453"/>
      <c r="G11" s="1454"/>
      <c r="H11" s="1454"/>
      <c r="I11" s="1454"/>
      <c r="J11" s="1454"/>
      <c r="K11" s="1454"/>
      <c r="L11" s="1454"/>
      <c r="M11" s="1454"/>
    </row>
    <row r="12" spans="1:13">
      <c r="A12" t="s">
        <v>1478</v>
      </c>
      <c r="B12" t="str">
        <f>IF(Test_Bible!B46&lt;&gt;"","O","N")</f>
        <v>O</v>
      </c>
      <c r="C12" t="str">
        <f>BIBLE!E28</f>
        <v>B08</v>
      </c>
      <c r="D12" t="s">
        <v>1480</v>
      </c>
      <c r="F12" s="1453"/>
      <c r="G12" s="1454"/>
      <c r="H12" s="1454"/>
      <c r="I12" s="1454"/>
      <c r="J12" s="1454"/>
      <c r="K12" s="1454"/>
      <c r="L12" s="1454"/>
      <c r="M12" s="1454"/>
    </row>
    <row r="13" spans="1:13">
      <c r="A13" t="s">
        <v>1484</v>
      </c>
      <c r="B13" t="str">
        <f>IF(Test_Bible!B53&lt;&gt;"","O","N")</f>
        <v>O</v>
      </c>
      <c r="C13" t="str">
        <f>BIBLE!E29</f>
        <v>B11</v>
      </c>
      <c r="D13" s="90" t="s">
        <v>1485</v>
      </c>
      <c r="E13" s="90">
        <f>Test_Bible!Q53</f>
        <v>12</v>
      </c>
      <c r="F13" s="1453"/>
      <c r="G13" s="1454"/>
      <c r="H13" s="1454"/>
      <c r="I13" s="1454"/>
      <c r="J13" s="1454"/>
      <c r="K13" s="1454"/>
      <c r="L13" s="1454"/>
      <c r="M13" s="1454"/>
    </row>
    <row r="14" spans="1:13">
      <c r="A14" t="s">
        <v>1486</v>
      </c>
      <c r="B14" t="str">
        <f>IF(Test_Bible!B54&lt;&gt;" ","O","N")</f>
        <v>O</v>
      </c>
      <c r="C14" t="str">
        <f>BIBLE!E30</f>
        <v>B11a</v>
      </c>
      <c r="D14" s="90" t="s">
        <v>1477</v>
      </c>
      <c r="F14" s="1453"/>
      <c r="G14" s="1454"/>
      <c r="H14" s="1454"/>
      <c r="I14" s="1454"/>
      <c r="J14" s="1454"/>
      <c r="K14" s="1454"/>
      <c r="L14" s="1454"/>
      <c r="M14" s="1454"/>
    </row>
    <row r="15" spans="1:13">
      <c r="A15" t="s">
        <v>1484</v>
      </c>
      <c r="B15" t="str">
        <f>IF(Test_Bible!B56&lt;&gt;" ","O","N")</f>
        <v>N</v>
      </c>
      <c r="C15" t="str">
        <f>BIBLE!E31</f>
        <v>B11a1</v>
      </c>
      <c r="D15" s="90" t="s">
        <v>1487</v>
      </c>
      <c r="E15" s="90">
        <f>Test_Bible!Q56</f>
        <v>14</v>
      </c>
      <c r="F15" s="1453"/>
      <c r="G15" s="1454"/>
      <c r="H15" s="1454"/>
      <c r="I15" s="1454"/>
      <c r="J15" s="1454"/>
      <c r="K15" s="1454"/>
      <c r="L15" s="1454"/>
      <c r="M15" s="1454"/>
    </row>
    <row r="16" spans="1:13">
      <c r="A16" t="s">
        <v>1484</v>
      </c>
      <c r="B16" t="str">
        <f>IF(Test_Bible!B57&lt;&gt;" ","O","N")</f>
        <v>O</v>
      </c>
      <c r="C16" t="str">
        <f>BIBLE!E32</f>
        <v>B11b</v>
      </c>
      <c r="D16" s="90" t="s">
        <v>1477</v>
      </c>
      <c r="E16" s="90">
        <f>Test_Bible!Q57</f>
        <v>2</v>
      </c>
      <c r="F16" s="1453"/>
      <c r="G16" s="1454"/>
      <c r="H16" s="1454"/>
      <c r="I16" s="1454"/>
      <c r="J16" s="1454"/>
      <c r="K16" s="1454"/>
      <c r="L16" s="1454"/>
      <c r="M16" s="1454"/>
    </row>
    <row r="17" spans="1:13">
      <c r="A17" t="s">
        <v>1486</v>
      </c>
      <c r="B17" t="str">
        <f>IF(Test_Bible!B58&lt;&gt;" ","O","N")</f>
        <v>O</v>
      </c>
      <c r="C17" s="45" t="str">
        <f>BIBLE!E33</f>
        <v>B12</v>
      </c>
      <c r="D17" s="90">
        <v>0</v>
      </c>
      <c r="E17" s="5">
        <f>Test_Bible!P59</f>
        <v>3</v>
      </c>
      <c r="F17" s="1453"/>
      <c r="G17" s="1454"/>
      <c r="H17" s="1454"/>
      <c r="I17" s="1454"/>
      <c r="J17" s="1454"/>
      <c r="K17" s="1454"/>
      <c r="L17" s="1454"/>
      <c r="M17" s="1454"/>
    </row>
    <row r="18" spans="1:13">
      <c r="A18" t="s">
        <v>1486</v>
      </c>
      <c r="B18" t="str">
        <f t="shared" ref="B18:C22" si="0">B17</f>
        <v>O</v>
      </c>
      <c r="C18" s="45" t="str">
        <f t="shared" si="0"/>
        <v>B12</v>
      </c>
      <c r="D18" s="90">
        <v>0</v>
      </c>
      <c r="F18" s="1453"/>
      <c r="G18" s="1454"/>
      <c r="H18" s="1454"/>
      <c r="I18" s="1454"/>
      <c r="J18" s="1454"/>
      <c r="K18" s="1454"/>
      <c r="L18" s="1454"/>
      <c r="M18" s="1454"/>
    </row>
    <row r="19" spans="1:13">
      <c r="A19" t="s">
        <v>1486</v>
      </c>
      <c r="B19" t="str">
        <f t="shared" si="0"/>
        <v>O</v>
      </c>
      <c r="C19" s="45" t="str">
        <f t="shared" si="0"/>
        <v>B12</v>
      </c>
      <c r="D19" s="90">
        <v>1</v>
      </c>
      <c r="F19" s="1453"/>
      <c r="G19" s="1454"/>
      <c r="H19" s="1454"/>
      <c r="I19" s="1454"/>
      <c r="J19" s="1454"/>
      <c r="K19" s="1454"/>
      <c r="L19" s="1454"/>
      <c r="M19" s="1454"/>
    </row>
    <row r="20" spans="1:13">
      <c r="A20" t="s">
        <v>1486</v>
      </c>
      <c r="B20" t="str">
        <f t="shared" si="0"/>
        <v>O</v>
      </c>
      <c r="C20" s="45" t="str">
        <f t="shared" si="0"/>
        <v>B12</v>
      </c>
      <c r="D20" s="90">
        <v>0</v>
      </c>
      <c r="F20" s="1453"/>
      <c r="G20" s="1454"/>
      <c r="H20" s="1454"/>
      <c r="I20" s="1454"/>
      <c r="J20" s="1454"/>
      <c r="K20" s="1454"/>
      <c r="L20" s="1454"/>
      <c r="M20" s="1454"/>
    </row>
    <row r="21" spans="1:13">
      <c r="A21" t="s">
        <v>1486</v>
      </c>
      <c r="B21" t="str">
        <f t="shared" si="0"/>
        <v>O</v>
      </c>
      <c r="C21" s="45" t="str">
        <f t="shared" si="0"/>
        <v>B12</v>
      </c>
      <c r="D21" s="90">
        <v>0</v>
      </c>
      <c r="F21" s="1453"/>
      <c r="G21" s="1454"/>
      <c r="H21" s="1454"/>
      <c r="I21" s="1454"/>
      <c r="J21" s="1454"/>
      <c r="K21" s="1454"/>
      <c r="L21" s="1454"/>
      <c r="M21" s="1454"/>
    </row>
    <row r="22" spans="1:13">
      <c r="A22" t="s">
        <v>1486</v>
      </c>
      <c r="B22" t="str">
        <f t="shared" si="0"/>
        <v>O</v>
      </c>
      <c r="C22" s="45" t="str">
        <f t="shared" si="0"/>
        <v>B12</v>
      </c>
      <c r="D22" s="90">
        <v>0</v>
      </c>
      <c r="F22" s="1453"/>
      <c r="G22" s="1454"/>
      <c r="H22" s="1454"/>
      <c r="I22" s="1454"/>
      <c r="J22" s="1454"/>
      <c r="K22" s="1454"/>
      <c r="L22" s="1454"/>
      <c r="M22" s="1454"/>
    </row>
    <row r="23" spans="1:13">
      <c r="A23" t="s">
        <v>1486</v>
      </c>
      <c r="B23" t="str">
        <f>IF(Test_Bible!B68&lt;&gt;" ","O","N")</f>
        <v>O</v>
      </c>
      <c r="C23" s="45" t="str">
        <f>BIBLE!E34</f>
        <v>B12a</v>
      </c>
      <c r="D23" s="90">
        <v>0</v>
      </c>
      <c r="E23" s="5">
        <f>Test_Bible!P68</f>
        <v>5</v>
      </c>
      <c r="F23" s="1453"/>
      <c r="G23" s="1454"/>
      <c r="H23" s="1454"/>
      <c r="I23" s="1454"/>
      <c r="J23" s="1454"/>
      <c r="K23" s="1454"/>
      <c r="L23" s="1454"/>
      <c r="M23" s="1454"/>
    </row>
    <row r="24" spans="1:13">
      <c r="A24" t="s">
        <v>1486</v>
      </c>
      <c r="B24" t="str">
        <f t="shared" ref="B24:C28" si="1">B23</f>
        <v>O</v>
      </c>
      <c r="C24" s="45" t="str">
        <f t="shared" si="1"/>
        <v>B12a</v>
      </c>
      <c r="D24" s="90">
        <v>0</v>
      </c>
      <c r="F24" s="1453"/>
      <c r="G24" s="1454"/>
      <c r="H24" s="1454"/>
      <c r="I24" s="1454"/>
      <c r="J24" s="1454"/>
      <c r="K24" s="1454"/>
      <c r="L24" s="1454"/>
      <c r="M24" s="1454"/>
    </row>
    <row r="25" spans="1:13">
      <c r="A25" t="s">
        <v>1486</v>
      </c>
      <c r="B25" t="str">
        <f t="shared" si="1"/>
        <v>O</v>
      </c>
      <c r="C25" s="45" t="str">
        <f t="shared" si="1"/>
        <v>B12a</v>
      </c>
      <c r="D25" s="90">
        <v>0</v>
      </c>
      <c r="F25" s="1453"/>
      <c r="G25" s="1454"/>
      <c r="H25" s="1454"/>
      <c r="I25" s="1454"/>
      <c r="J25" s="1454"/>
      <c r="K25" s="1454"/>
      <c r="L25" s="1454"/>
      <c r="M25" s="1454"/>
    </row>
    <row r="26" spans="1:13">
      <c r="A26" t="s">
        <v>1486</v>
      </c>
      <c r="B26" t="str">
        <f t="shared" si="1"/>
        <v>O</v>
      </c>
      <c r="C26" s="45" t="str">
        <f t="shared" si="1"/>
        <v>B12a</v>
      </c>
      <c r="D26" s="90">
        <v>0</v>
      </c>
      <c r="F26" s="1453"/>
      <c r="G26" s="1454"/>
      <c r="H26" s="1454"/>
      <c r="I26" s="1454"/>
      <c r="J26" s="1454"/>
      <c r="K26" s="1454"/>
      <c r="L26" s="1454"/>
      <c r="M26" s="1454"/>
    </row>
    <row r="27" spans="1:13">
      <c r="A27" t="s">
        <v>1486</v>
      </c>
      <c r="B27" t="str">
        <f t="shared" si="1"/>
        <v>O</v>
      </c>
      <c r="C27" s="45" t="str">
        <f t="shared" si="1"/>
        <v>B12a</v>
      </c>
      <c r="D27" s="90">
        <v>1</v>
      </c>
      <c r="F27" s="1453"/>
      <c r="G27" s="1454"/>
      <c r="H27" s="1454"/>
      <c r="I27" s="1454"/>
      <c r="J27" s="1454"/>
      <c r="K27" s="1454"/>
      <c r="L27" s="1454"/>
      <c r="M27" s="1454"/>
    </row>
    <row r="28" spans="1:13">
      <c r="A28" t="s">
        <v>1486</v>
      </c>
      <c r="B28" t="str">
        <f t="shared" si="1"/>
        <v>O</v>
      </c>
      <c r="C28" s="45" t="str">
        <f t="shared" si="1"/>
        <v>B12a</v>
      </c>
      <c r="D28" s="90">
        <v>0</v>
      </c>
      <c r="F28" s="1453"/>
      <c r="G28" s="1454"/>
      <c r="H28" s="1454"/>
      <c r="I28" s="1454"/>
      <c r="J28" s="1454"/>
      <c r="K28" s="1454"/>
      <c r="L28" s="1454"/>
      <c r="M28" s="1454"/>
    </row>
    <row r="29" spans="1:13">
      <c r="A29" t="s">
        <v>1476</v>
      </c>
      <c r="B29" t="str">
        <f>IF(Test_Bible!B77&lt;&gt;" ","O","N")</f>
        <v>O</v>
      </c>
      <c r="C29" t="str">
        <f>BIBLE!E35</f>
        <v>B12b</v>
      </c>
      <c r="D29" t="s">
        <v>1477</v>
      </c>
      <c r="F29" s="1453"/>
      <c r="G29" s="1454"/>
      <c r="H29" s="1454"/>
      <c r="I29" s="1454"/>
      <c r="J29" s="1454"/>
      <c r="K29" s="1454"/>
      <c r="L29" s="1454"/>
      <c r="M29" s="1454"/>
    </row>
    <row r="30" spans="1:13">
      <c r="A30" t="s">
        <v>1486</v>
      </c>
      <c r="B30" t="str">
        <f>IF(Test_Bible!B84&lt;&gt;" ","O","N")</f>
        <v>N</v>
      </c>
      <c r="C30" t="str">
        <f>BIBLE!E36</f>
        <v>B12c</v>
      </c>
      <c r="F30" s="1453"/>
      <c r="G30" s="1454"/>
      <c r="H30" s="1454"/>
      <c r="I30" s="1454"/>
      <c r="J30" s="1454"/>
      <c r="K30" s="1454"/>
      <c r="L30" s="1454"/>
      <c r="M30" s="1454"/>
    </row>
    <row r="31" spans="1:13">
      <c r="A31" t="s">
        <v>1488</v>
      </c>
      <c r="B31" t="str">
        <f>IF(Test_Bible!B87&lt;&gt;" ","O","N")</f>
        <v>N</v>
      </c>
      <c r="C31" s="45" t="str">
        <f>BIBLE!E37</f>
        <v>B12d</v>
      </c>
      <c r="E31" s="5">
        <f>Test_Bible!P87</f>
        <v>0</v>
      </c>
      <c r="F31" s="1453"/>
      <c r="G31" s="1454"/>
      <c r="H31" s="1454"/>
      <c r="I31" s="1454"/>
      <c r="J31" s="1454"/>
      <c r="K31" s="1454"/>
      <c r="L31" s="1454"/>
      <c r="M31" s="1454"/>
    </row>
    <row r="32" spans="1:13">
      <c r="A32" t="s">
        <v>1486</v>
      </c>
      <c r="B32" t="str">
        <f t="shared" ref="B32:C36" si="2">B31</f>
        <v>N</v>
      </c>
      <c r="C32" s="45" t="str">
        <f t="shared" si="2"/>
        <v>B12d</v>
      </c>
      <c r="F32" s="1453"/>
      <c r="G32" s="1454"/>
      <c r="H32" s="1454"/>
      <c r="I32" s="1454"/>
      <c r="J32" s="1454"/>
      <c r="K32" s="1454"/>
      <c r="L32" s="1454"/>
      <c r="M32" s="1454"/>
    </row>
    <row r="33" spans="1:13">
      <c r="A33" t="s">
        <v>1486</v>
      </c>
      <c r="B33" t="str">
        <f t="shared" si="2"/>
        <v>N</v>
      </c>
      <c r="C33" s="45" t="str">
        <f t="shared" si="2"/>
        <v>B12d</v>
      </c>
      <c r="F33" s="1453"/>
      <c r="G33" s="1454"/>
      <c r="H33" s="1454"/>
      <c r="I33" s="1454"/>
      <c r="J33" s="1454"/>
      <c r="K33" s="1454"/>
      <c r="L33" s="1454"/>
      <c r="M33" s="1454"/>
    </row>
    <row r="34" spans="1:13">
      <c r="A34" t="s">
        <v>1486</v>
      </c>
      <c r="B34" t="str">
        <f t="shared" si="2"/>
        <v>N</v>
      </c>
      <c r="C34" s="45" t="str">
        <f t="shared" si="2"/>
        <v>B12d</v>
      </c>
      <c r="F34" s="1453"/>
      <c r="G34" s="1454"/>
      <c r="H34" s="1454"/>
      <c r="I34" s="1454"/>
      <c r="J34" s="1454"/>
      <c r="K34" s="1454"/>
      <c r="L34" s="1454"/>
      <c r="M34" s="1454"/>
    </row>
    <row r="35" spans="1:13">
      <c r="A35" t="s">
        <v>1486</v>
      </c>
      <c r="B35" t="str">
        <f t="shared" si="2"/>
        <v>N</v>
      </c>
      <c r="C35" s="45" t="str">
        <f t="shared" si="2"/>
        <v>B12d</v>
      </c>
      <c r="F35" s="1453"/>
      <c r="G35" s="1454"/>
      <c r="H35" s="1454"/>
      <c r="I35" s="1454"/>
      <c r="J35" s="1454"/>
      <c r="K35" s="1454"/>
      <c r="L35" s="1454"/>
      <c r="M35" s="1454"/>
    </row>
    <row r="36" spans="1:13">
      <c r="A36" t="s">
        <v>1486</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1489</v>
      </c>
      <c r="G38" s="1456"/>
      <c r="H38" s="1456"/>
      <c r="I38" s="1456"/>
      <c r="J38" s="1456"/>
      <c r="K38" s="1456"/>
      <c r="L38" s="1456"/>
      <c r="M38" s="1456"/>
    </row>
    <row r="49" spans="1:13">
      <c r="A49" t="s">
        <v>397</v>
      </c>
      <c r="B49" t="str">
        <f>IF(Test_Bible!B98&lt;&gt;"","O","N")</f>
        <v>O</v>
      </c>
      <c r="C49" t="str">
        <f>BIBLE!E40</f>
        <v>H01</v>
      </c>
      <c r="D49" s="90" t="s">
        <v>1487</v>
      </c>
      <c r="E49" s="90">
        <f>Test_Bible!Q98</f>
        <v>7</v>
      </c>
      <c r="F49" s="1453"/>
      <c r="G49" s="1454"/>
      <c r="H49" s="1454"/>
      <c r="I49" s="1454"/>
      <c r="J49" s="1454"/>
      <c r="K49" s="1454"/>
      <c r="L49" s="1454"/>
      <c r="M49" s="1454"/>
    </row>
    <row r="50" spans="1:13">
      <c r="A50" t="s">
        <v>397</v>
      </c>
      <c r="B50" t="str">
        <f>IF(Test_Bible!B99&lt;&gt;"","O","N")</f>
        <v>O</v>
      </c>
      <c r="C50" t="str">
        <f>BIBLE!E41</f>
        <v>H02</v>
      </c>
      <c r="D50" s="90" t="s">
        <v>1490</v>
      </c>
      <c r="E50" s="90">
        <f>Test_Bible!Q99</f>
        <v>6</v>
      </c>
      <c r="F50" s="1453"/>
      <c r="G50" s="1454"/>
      <c r="H50" s="1454"/>
      <c r="I50" s="1454"/>
      <c r="J50" s="1454"/>
      <c r="K50" s="1454"/>
      <c r="L50" s="1454"/>
      <c r="M50" s="1454"/>
    </row>
    <row r="51" spans="1:13">
      <c r="A51" t="s">
        <v>397</v>
      </c>
      <c r="B51" t="str">
        <f>IF(Test_Bible!B100&lt;&gt;"","O","N")</f>
        <v>O</v>
      </c>
      <c r="C51" t="str">
        <f>BIBLE!E42</f>
        <v>H04</v>
      </c>
      <c r="D51" s="90" t="s">
        <v>1485</v>
      </c>
      <c r="E51" s="90">
        <f>Test_Bible!Q100</f>
        <v>4</v>
      </c>
      <c r="F51" s="1453"/>
      <c r="G51" s="1454"/>
      <c r="H51" s="1454"/>
      <c r="I51" s="1454"/>
      <c r="J51" s="1454"/>
      <c r="K51" s="1454"/>
      <c r="L51" s="1454"/>
      <c r="M51" s="1454"/>
    </row>
    <row r="52" spans="1:13">
      <c r="A52" t="s">
        <v>397</v>
      </c>
      <c r="B52" t="str">
        <f>IF(Test_Bible!B101&lt;&gt;" ","O","N")</f>
        <v>O</v>
      </c>
      <c r="C52" t="str">
        <f>BIBLE!E43</f>
        <v>H04a</v>
      </c>
      <c r="D52" s="90"/>
      <c r="E52" s="90">
        <f>Test_Bible!Q101</f>
        <v>0</v>
      </c>
      <c r="F52" s="1453"/>
      <c r="G52" s="1454"/>
      <c r="H52" s="1454"/>
      <c r="I52" s="1454"/>
      <c r="J52" s="1454"/>
      <c r="K52" s="1454"/>
      <c r="L52" s="1454"/>
      <c r="M52" s="1454"/>
    </row>
    <row r="53" spans="1:13">
      <c r="A53" t="s">
        <v>397</v>
      </c>
      <c r="B53" t="str">
        <f>IF(Test_Bible!B102&lt;&gt;" ","O","N")</f>
        <v>N</v>
      </c>
      <c r="C53" t="str">
        <f>BIBLE!E44</f>
        <v>H04a1</v>
      </c>
      <c r="D53" s="90"/>
      <c r="E53" s="90">
        <f>Test_Bible!Q102</f>
        <v>0</v>
      </c>
      <c r="F53" s="1453"/>
      <c r="G53" s="1454"/>
      <c r="H53" s="1454"/>
      <c r="I53" s="1454"/>
      <c r="J53" s="1454"/>
      <c r="K53" s="1454"/>
      <c r="L53" s="1454"/>
      <c r="M53" s="1454"/>
    </row>
    <row r="54" spans="1:13">
      <c r="A54" t="s">
        <v>1484</v>
      </c>
      <c r="B54" t="str">
        <f>IF(Test_Bible!B104&lt;&gt;"","O","N")</f>
        <v>O</v>
      </c>
      <c r="C54" t="str">
        <f>BIBLE!E45</f>
        <v>H05</v>
      </c>
      <c r="D54" s="90" t="s">
        <v>1480</v>
      </c>
      <c r="E54" s="90">
        <f>Test_Bible!Q104</f>
        <v>4</v>
      </c>
      <c r="F54" s="1453"/>
      <c r="G54" s="1454"/>
      <c r="H54" s="1454"/>
      <c r="I54" s="1454"/>
      <c r="J54" s="1454"/>
      <c r="K54" s="1454"/>
      <c r="L54" s="1454"/>
      <c r="M54" s="1454"/>
    </row>
    <row r="55" spans="1:13">
      <c r="A55" t="s">
        <v>1484</v>
      </c>
      <c r="B55" t="str">
        <f>IF(Test_Bible!B105&lt;&gt;" ","O","N")</f>
        <v>O</v>
      </c>
      <c r="C55" t="str">
        <f>BIBLE!E46</f>
        <v>H05a</v>
      </c>
      <c r="D55" s="90" t="s">
        <v>1485</v>
      </c>
      <c r="E55" s="90">
        <f>Test_Bible!Q105</f>
        <v>12</v>
      </c>
      <c r="F55" s="1453"/>
      <c r="G55" s="1454"/>
      <c r="H55" s="1454"/>
      <c r="I55" s="1454"/>
      <c r="J55" s="1454"/>
      <c r="K55" s="1454"/>
      <c r="L55" s="1454"/>
      <c r="M55" s="1454"/>
    </row>
    <row r="56" spans="1:13">
      <c r="A56" t="s">
        <v>1484</v>
      </c>
      <c r="B56" t="str">
        <f>IF(Test_Bible!B106&lt;&gt;"","O","N")</f>
        <v>O</v>
      </c>
      <c r="C56" t="str">
        <f>BIBLE!E47</f>
        <v>H06</v>
      </c>
      <c r="D56" s="90" t="s">
        <v>1485</v>
      </c>
      <c r="E56" s="90">
        <f>Test_Bible!Q106</f>
        <v>4</v>
      </c>
      <c r="F56" s="1453"/>
      <c r="G56" s="1454"/>
      <c r="H56" s="1454"/>
      <c r="I56" s="1454"/>
      <c r="J56" s="1454"/>
      <c r="K56" s="1454"/>
      <c r="L56" s="1454"/>
      <c r="M56" s="1454"/>
    </row>
    <row r="57" spans="1:13">
      <c r="A57" t="s">
        <v>1484</v>
      </c>
      <c r="B57" t="str">
        <f>IF(Test_Bible!B107&lt;&gt;" ","O","N")</f>
        <v>O</v>
      </c>
      <c r="C57" t="str">
        <f>BIBLE!E48</f>
        <v>H06a</v>
      </c>
      <c r="D57" s="90" t="s">
        <v>1487</v>
      </c>
      <c r="E57" s="90">
        <f>Test_Bible!Q107</f>
        <v>21</v>
      </c>
      <c r="F57" s="1453"/>
      <c r="G57" s="1454"/>
      <c r="H57" s="1454"/>
      <c r="I57" s="1454"/>
      <c r="J57" s="1454"/>
      <c r="K57" s="1454"/>
      <c r="L57" s="1454"/>
      <c r="M57" s="1454"/>
    </row>
    <row r="58" spans="1:13">
      <c r="F58" s="1455" t="s">
        <v>1489</v>
      </c>
      <c r="G58" s="1456"/>
      <c r="H58" s="1456"/>
      <c r="I58" s="1456"/>
      <c r="J58" s="1456"/>
      <c r="K58" s="1456"/>
      <c r="L58" s="1456"/>
      <c r="M58" s="1456"/>
    </row>
    <row r="83" spans="1:6">
      <c r="A83" t="s">
        <v>397</v>
      </c>
      <c r="B83" t="str">
        <f>IF(Test_Bible!B110&lt;&gt;"","O","N")</f>
        <v>O</v>
      </c>
      <c r="C83" t="str">
        <f>BIBLE!E50</f>
        <v>PCR00</v>
      </c>
      <c r="D83" s="90" t="s">
        <v>1491</v>
      </c>
      <c r="E83" s="90">
        <f>Test_Bible!Q110</f>
        <v>5</v>
      </c>
    </row>
    <row r="84" spans="1:6">
      <c r="A84" t="s">
        <v>1484</v>
      </c>
      <c r="B84" t="str">
        <f>IF(Test_Bible!B112&lt;&gt;" ","O","N")</f>
        <v>O</v>
      </c>
      <c r="C84" t="str">
        <f>BIBLE!E51</f>
        <v>PCR01</v>
      </c>
      <c r="D84" s="90"/>
      <c r="E84" s="90">
        <f>Test_Bible!Q112</f>
        <v>0</v>
      </c>
      <c r="F84" s="55">
        <f>Test_Bible!V112</f>
        <v>0</v>
      </c>
    </row>
    <row r="85" spans="1:6">
      <c r="A85" t="s">
        <v>1484</v>
      </c>
      <c r="B85" t="str">
        <f>IF(Test_Bible!B113&lt;&gt;" ","O","N")</f>
        <v>N</v>
      </c>
      <c r="C85" t="str">
        <f>BIBLE!E52</f>
        <v>PCR01a</v>
      </c>
      <c r="D85" s="90"/>
      <c r="E85" s="90">
        <f>Test_Bible!Q113</f>
        <v>0</v>
      </c>
    </row>
    <row r="86" spans="1:6">
      <c r="A86" t="s">
        <v>1484</v>
      </c>
      <c r="B86" t="str">
        <f>IF(Test_Bible!B114&lt;&gt;" ","O","N")</f>
        <v>N</v>
      </c>
      <c r="C86" t="str">
        <f>BIBLE!E53</f>
        <v>PCR01a1</v>
      </c>
      <c r="D86" s="90"/>
      <c r="E86" s="90">
        <f>Test_Bible!Q114</f>
        <v>0</v>
      </c>
    </row>
    <row r="87" spans="1:6">
      <c r="A87" t="s">
        <v>1486</v>
      </c>
      <c r="B87" t="str">
        <f>IF(Test_Bible!B116&lt;&gt;" ","O","N")</f>
        <v>N</v>
      </c>
      <c r="C87" s="45" t="str">
        <f>BIBLE!E54</f>
        <v>PCR01b</v>
      </c>
      <c r="D87" s="90"/>
      <c r="E87" s="90">
        <f>Test_Bible!P115</f>
        <v>0</v>
      </c>
    </row>
    <row r="88" spans="1:6">
      <c r="A88" t="s">
        <v>1486</v>
      </c>
      <c r="B88" t="str">
        <f t="shared" ref="B88:C92" si="3">B87</f>
        <v>N</v>
      </c>
      <c r="C88" s="45" t="str">
        <f t="shared" si="3"/>
        <v>PCR01b</v>
      </c>
      <c r="D88" s="90"/>
      <c r="E88" s="90"/>
    </row>
    <row r="89" spans="1:6">
      <c r="A89" t="s">
        <v>1486</v>
      </c>
      <c r="B89" t="str">
        <f t="shared" si="3"/>
        <v>N</v>
      </c>
      <c r="C89" s="45" t="str">
        <f t="shared" si="3"/>
        <v>PCR01b</v>
      </c>
      <c r="D89" s="90"/>
      <c r="E89" s="90"/>
    </row>
    <row r="90" spans="1:6">
      <c r="A90" t="s">
        <v>1486</v>
      </c>
      <c r="B90" t="str">
        <f t="shared" si="3"/>
        <v>N</v>
      </c>
      <c r="C90" s="45" t="str">
        <f t="shared" si="3"/>
        <v>PCR01b</v>
      </c>
      <c r="D90" s="90"/>
      <c r="E90" s="90"/>
    </row>
    <row r="91" spans="1:6">
      <c r="A91" t="s">
        <v>1486</v>
      </c>
      <c r="B91" t="str">
        <f t="shared" si="3"/>
        <v>N</v>
      </c>
      <c r="C91" s="45" t="str">
        <f t="shared" si="3"/>
        <v>PCR01b</v>
      </c>
      <c r="D91" s="90"/>
      <c r="E91" s="90"/>
    </row>
    <row r="92" spans="1:6">
      <c r="A92" t="s">
        <v>1486</v>
      </c>
      <c r="B92" t="str">
        <f t="shared" si="3"/>
        <v>N</v>
      </c>
      <c r="C92" s="45" t="str">
        <f t="shared" si="3"/>
        <v>PCR01b</v>
      </c>
      <c r="D92" s="90"/>
      <c r="E92" s="90"/>
    </row>
    <row r="93" spans="1:6">
      <c r="A93" t="s">
        <v>1484</v>
      </c>
      <c r="B93" t="str">
        <f>IF(Test_Bible!B123&lt;&gt;" ","O","N")</f>
        <v>N</v>
      </c>
      <c r="C93" t="str">
        <f>BIBLE!E55</f>
        <v>PCR02</v>
      </c>
      <c r="D93" s="90"/>
      <c r="E93" s="90">
        <f>Test_Bible!Q123</f>
        <v>0</v>
      </c>
      <c r="F93" s="55">
        <f>Test_Bible!V123</f>
        <v>0</v>
      </c>
    </row>
    <row r="94" spans="1:6">
      <c r="A94" t="s">
        <v>1484</v>
      </c>
      <c r="B94" t="str">
        <f>IF(Test_Bible!B124&lt;&gt;"","O","N")</f>
        <v>O</v>
      </c>
      <c r="C94" t="str">
        <f>BIBLE!E56</f>
        <v>PCR03</v>
      </c>
      <c r="D94" s="90" t="s">
        <v>1480</v>
      </c>
      <c r="E94" s="90">
        <f>Test_Bible!Q124</f>
        <v>2</v>
      </c>
      <c r="F94" s="55">
        <f>Test_Bible!V124</f>
        <v>2</v>
      </c>
    </row>
    <row r="95" spans="1:6">
      <c r="A95" t="s">
        <v>1484</v>
      </c>
      <c r="B95" t="str">
        <f>IF(Test_Bible!B125&lt;&gt;"","O","N")</f>
        <v>O</v>
      </c>
      <c r="C95" t="str">
        <f>BIBLE!E57</f>
        <v>PCR04</v>
      </c>
      <c r="D95" s="90" t="s">
        <v>1487</v>
      </c>
      <c r="E95" s="90">
        <f>Test_Bible!Q125</f>
        <v>7</v>
      </c>
      <c r="F95" s="55">
        <f>Test_Bible!V125</f>
        <v>7</v>
      </c>
    </row>
    <row r="96" spans="1:6">
      <c r="A96" t="s">
        <v>1484</v>
      </c>
      <c r="B96" t="str">
        <f>IF(Test_Bible!B126&lt;&gt;"","O","N")</f>
        <v>O</v>
      </c>
      <c r="C96" t="str">
        <f>BIBLE!E58</f>
        <v>PCR06</v>
      </c>
      <c r="D96" s="90" t="s">
        <v>1485</v>
      </c>
      <c r="E96" s="90">
        <f>Test_Bible!Q126</f>
        <v>4</v>
      </c>
      <c r="F96" s="55">
        <f>Test_Bible!V126</f>
        <v>4</v>
      </c>
    </row>
    <row r="97" spans="1:6">
      <c r="A97" t="s">
        <v>1486</v>
      </c>
      <c r="B97" t="str">
        <f>IF(Test_Bible!B128&lt;&gt;" ","O","N")</f>
        <v>O</v>
      </c>
      <c r="C97" s="45" t="str">
        <f>BIBLE!E59</f>
        <v>PCR06a</v>
      </c>
      <c r="D97" s="90"/>
      <c r="E97" s="90">
        <f>Test_Bible!P127</f>
        <v>0</v>
      </c>
    </row>
    <row r="98" spans="1:6">
      <c r="A98" t="s">
        <v>1486</v>
      </c>
      <c r="B98" t="str">
        <f t="shared" ref="B98:C101" si="4">B97</f>
        <v>O</v>
      </c>
      <c r="C98" s="45" t="str">
        <f t="shared" si="4"/>
        <v>PCR06a</v>
      </c>
      <c r="D98" s="90"/>
      <c r="E98" s="90"/>
    </row>
    <row r="99" spans="1:6">
      <c r="A99" t="s">
        <v>1486</v>
      </c>
      <c r="B99" t="str">
        <f t="shared" si="4"/>
        <v>O</v>
      </c>
      <c r="C99" s="45" t="str">
        <f t="shared" si="4"/>
        <v>PCR06a</v>
      </c>
      <c r="D99" s="90"/>
      <c r="E99" s="90"/>
    </row>
    <row r="100" spans="1:6">
      <c r="A100" t="s">
        <v>1486</v>
      </c>
      <c r="B100" t="str">
        <f t="shared" si="4"/>
        <v>O</v>
      </c>
      <c r="C100" s="45" t="str">
        <f t="shared" si="4"/>
        <v>PCR06a</v>
      </c>
      <c r="D100" s="90"/>
      <c r="E100" s="90"/>
    </row>
    <row r="101" spans="1:6">
      <c r="A101" t="s">
        <v>1486</v>
      </c>
      <c r="B101" t="str">
        <f t="shared" si="4"/>
        <v>O</v>
      </c>
      <c r="C101" s="45" t="str">
        <f t="shared" si="4"/>
        <v>PCR06a</v>
      </c>
      <c r="D101" s="90"/>
      <c r="E101" s="90"/>
    </row>
    <row r="102" spans="1:6">
      <c r="A102" t="s">
        <v>1484</v>
      </c>
      <c r="B102" t="str">
        <f>IF(Test_Bible!B134&lt;&gt;"","O","N")</f>
        <v>O</v>
      </c>
      <c r="C102" t="str">
        <f>BIBLE!E60</f>
        <v>PCR07</v>
      </c>
      <c r="D102" s="90" t="s">
        <v>1485</v>
      </c>
      <c r="E102" s="90">
        <f>Test_Bible!Q134</f>
        <v>4</v>
      </c>
      <c r="F102" s="55">
        <f>Test_Bible!V134</f>
        <v>4</v>
      </c>
    </row>
    <row r="103" spans="1:6">
      <c r="A103" t="s">
        <v>1484</v>
      </c>
      <c r="B103" t="str">
        <f>IF(Test_Bible!B135&lt;&gt;"","O","N")</f>
        <v>O</v>
      </c>
      <c r="C103" t="str">
        <f>BIBLE!E61</f>
        <v>PCR08</v>
      </c>
      <c r="D103" s="90" t="s">
        <v>1485</v>
      </c>
      <c r="E103" s="90">
        <f>Test_Bible!Q135</f>
        <v>12</v>
      </c>
      <c r="F103" s="55">
        <f>Test_Bible!V135</f>
        <v>12</v>
      </c>
    </row>
    <row r="104" spans="1:6">
      <c r="A104" t="s">
        <v>1484</v>
      </c>
      <c r="B104" t="str">
        <f>IF(Test_Bible!B136&lt;&gt;"","O","N")</f>
        <v>O</v>
      </c>
      <c r="C104" t="str">
        <f>BIBLE!E62</f>
        <v>PCR09</v>
      </c>
      <c r="D104" s="90" t="s">
        <v>1480</v>
      </c>
      <c r="E104" s="90">
        <f>Test_Bible!Q136</f>
        <v>4</v>
      </c>
      <c r="F104" s="55">
        <f>Test_Bible!V136</f>
        <v>4</v>
      </c>
    </row>
    <row r="105" spans="1:6">
      <c r="A105" t="s">
        <v>1484</v>
      </c>
      <c r="B105" t="str">
        <f>IF(Test_Bible!B137&lt;&gt;"","O","N")</f>
        <v>O</v>
      </c>
      <c r="C105" t="str">
        <f>BIBLE!E63</f>
        <v>PCR19</v>
      </c>
      <c r="D105" s="90" t="s">
        <v>1485</v>
      </c>
      <c r="E105" s="90">
        <f>Test_Bible!Q137</f>
        <v>4</v>
      </c>
      <c r="F105" s="55"/>
    </row>
    <row r="106" spans="1:6">
      <c r="A106" t="s">
        <v>1484</v>
      </c>
      <c r="B106" t="str">
        <f>IF(Test_Bible!B138&lt;&gt;"","O","N")</f>
        <v>O</v>
      </c>
      <c r="C106" t="str">
        <f>BIBLE!E64</f>
        <v>PCR10</v>
      </c>
      <c r="D106" s="90" t="s">
        <v>1485</v>
      </c>
      <c r="E106" s="90">
        <f>Test_Bible!Q138</f>
        <v>4</v>
      </c>
      <c r="F106" s="55">
        <f>Test_Bible!V138</f>
        <v>4</v>
      </c>
    </row>
    <row r="107" spans="1:6">
      <c r="A107" t="s">
        <v>1484</v>
      </c>
      <c r="B107" t="str">
        <f>IF(Test_Bible!B139&lt;&gt;"","O","N")</f>
        <v>O</v>
      </c>
      <c r="C107" t="str">
        <f>BIBLE!E65</f>
        <v>PCR11</v>
      </c>
      <c r="D107" s="90" t="s">
        <v>1477</v>
      </c>
      <c r="E107" s="90">
        <f>Test_Bible!Q139</f>
        <v>2</v>
      </c>
      <c r="F107" s="55">
        <f>Test_Bible!V139</f>
        <v>2</v>
      </c>
    </row>
    <row r="108" spans="1:6">
      <c r="A108" t="s">
        <v>1484</v>
      </c>
      <c r="B108" t="str">
        <f>IF(Test_Bible!B140&lt;&gt;"","O","N")</f>
        <v>O</v>
      </c>
      <c r="C108" t="str">
        <f>BIBLE!E66</f>
        <v>PCR12</v>
      </c>
      <c r="D108" s="90" t="s">
        <v>1480</v>
      </c>
      <c r="E108" s="90">
        <f>Test_Bible!Q140</f>
        <v>4</v>
      </c>
      <c r="F108" s="55">
        <f>Test_Bible!V140</f>
        <v>4</v>
      </c>
    </row>
    <row r="109" spans="1:6">
      <c r="A109" t="s">
        <v>1486</v>
      </c>
      <c r="B109" t="str">
        <f>IF(Test_Bible!B142&lt;&gt;"","O","N")</f>
        <v>O</v>
      </c>
      <c r="C109" s="45" t="str">
        <f>BIBLE!E67</f>
        <v>PCR12a</v>
      </c>
      <c r="D109" s="90"/>
      <c r="E109" s="90">
        <f>Test_Bible!P141</f>
        <v>0</v>
      </c>
    </row>
    <row r="110" spans="1:6">
      <c r="A110" t="s">
        <v>1486</v>
      </c>
      <c r="B110" t="str">
        <f>IF(Test_Bible!B143&lt;&gt;"","O","N")</f>
        <v>O</v>
      </c>
      <c r="C110" s="45" t="str">
        <f>C109</f>
        <v>PCR12a</v>
      </c>
      <c r="D110" s="90"/>
      <c r="E110" s="90"/>
    </row>
    <row r="111" spans="1:6">
      <c r="A111" t="s">
        <v>1486</v>
      </c>
      <c r="B111" t="str">
        <f>IF(Test_Bible!B144&lt;&gt;"","O","N")</f>
        <v>O</v>
      </c>
      <c r="C111" s="45" t="str">
        <f>C110</f>
        <v>PCR12a</v>
      </c>
      <c r="D111" s="90"/>
      <c r="E111" s="90"/>
    </row>
    <row r="112" spans="1:6">
      <c r="A112" t="s">
        <v>1486</v>
      </c>
      <c r="B112" t="str">
        <f>IF(Test_Bible!B145&lt;&gt;"","O","N")</f>
        <v>O</v>
      </c>
      <c r="C112" s="45" t="str">
        <f>C111</f>
        <v>PCR12a</v>
      </c>
      <c r="D112" s="90"/>
      <c r="E112" s="90"/>
    </row>
    <row r="113" spans="1:13">
      <c r="A113" t="s">
        <v>1486</v>
      </c>
      <c r="B113" t="str">
        <f>IF(Test_Bible!B146&lt;&gt;"","O","N")</f>
        <v>O</v>
      </c>
      <c r="C113" s="45" t="str">
        <f>C112</f>
        <v>PCR12a</v>
      </c>
      <c r="D113" s="90"/>
      <c r="E113" s="90"/>
    </row>
    <row r="114" spans="1:13">
      <c r="A114" t="s">
        <v>1486</v>
      </c>
      <c r="B114" t="str">
        <f>IF(Test_Bible!B147&lt;&gt;"","O","N")</f>
        <v>O</v>
      </c>
      <c r="C114" s="45" t="str">
        <f>C113</f>
        <v>PCR12a</v>
      </c>
      <c r="D114" s="90"/>
      <c r="E114" s="90"/>
    </row>
    <row r="115" spans="1:13">
      <c r="A115" t="s">
        <v>1484</v>
      </c>
      <c r="B115" t="str">
        <f>IF(Test_Bible!B149&lt;&gt;"","O","N")</f>
        <v>O</v>
      </c>
      <c r="C115" t="str">
        <f>BIBLE!E68</f>
        <v>PCR13</v>
      </c>
      <c r="D115" s="90" t="s">
        <v>1485</v>
      </c>
      <c r="E115" s="90">
        <f>Test_Bible!Q149</f>
        <v>8</v>
      </c>
      <c r="F115" s="55">
        <f>Test_Bible!V149</f>
        <v>8</v>
      </c>
    </row>
    <row r="116" spans="1:13">
      <c r="A116" t="s">
        <v>1484</v>
      </c>
      <c r="B116" t="str">
        <f>IF(Test_Bible!B150&lt;&gt;"","O","N")</f>
        <v>O</v>
      </c>
      <c r="C116" t="str">
        <f>BIBLE!E69</f>
        <v>PCR14</v>
      </c>
      <c r="D116" s="90" t="s">
        <v>1480</v>
      </c>
      <c r="E116" s="90">
        <f>Test_Bible!Q150</f>
        <v>4</v>
      </c>
      <c r="F116" s="55">
        <f>Test_Bible!V150</f>
        <v>4</v>
      </c>
    </row>
    <row r="117" spans="1:13">
      <c r="A117" t="s">
        <v>1484</v>
      </c>
      <c r="B117" t="str">
        <f>IF(Test_Bible!B151&lt;&gt;"","O","N")</f>
        <v>O</v>
      </c>
      <c r="C117" t="str">
        <f>BIBLE!E70</f>
        <v>PCR15</v>
      </c>
      <c r="D117" s="90" t="s">
        <v>1480</v>
      </c>
      <c r="E117" s="90">
        <f>Test_Bible!Q151</f>
        <v>4</v>
      </c>
      <c r="F117" s="55">
        <f>Test_Bible!V151</f>
        <v>4</v>
      </c>
    </row>
    <row r="118" spans="1:13">
      <c r="A118" t="s">
        <v>1486</v>
      </c>
      <c r="B118" t="str">
        <f>IF(Test_Bible!B152&lt;&gt;" ","O","N")</f>
        <v>O</v>
      </c>
      <c r="C118" t="str">
        <f>BIBLE!E71</f>
        <v>PCR15a</v>
      </c>
      <c r="D118" s="90" t="s">
        <v>1492</v>
      </c>
      <c r="E118" s="90"/>
    </row>
    <row r="119" spans="1:13">
      <c r="A119" t="s">
        <v>1484</v>
      </c>
      <c r="B119" t="str">
        <f>IF(Test_Bible!B154&lt;&gt;"","O","N")</f>
        <v>O</v>
      </c>
      <c r="C119" t="str">
        <f>BIBLE!E72</f>
        <v>PCR16</v>
      </c>
      <c r="D119" s="90" t="s">
        <v>1477</v>
      </c>
      <c r="E119" s="90">
        <f>Test_Bible!Q154</f>
        <v>1</v>
      </c>
      <c r="F119" s="55">
        <f>Test_Bible!V154</f>
        <v>1</v>
      </c>
    </row>
    <row r="120" spans="1:13">
      <c r="A120" t="s">
        <v>1484</v>
      </c>
      <c r="B120" t="str">
        <f>IF(Test_Bible!B155&lt;&gt;" ","O","N")</f>
        <v>O</v>
      </c>
      <c r="C120" t="str">
        <f>BIBLE!E73</f>
        <v>PCR16a</v>
      </c>
      <c r="D120" s="90"/>
      <c r="E120" s="90">
        <f>Test_Bible!Q155</f>
        <v>0</v>
      </c>
    </row>
    <row r="121" spans="1:13">
      <c r="A121" t="s">
        <v>1484</v>
      </c>
      <c r="B121" t="str">
        <f>IF(Test_Bible!B156&lt;&gt;"","O","N")</f>
        <v>O</v>
      </c>
      <c r="C121" t="str">
        <f>BIBLE!E74</f>
        <v>PCR17</v>
      </c>
      <c r="D121" s="90" t="s">
        <v>1477</v>
      </c>
      <c r="E121" s="90">
        <f>Test_Bible!Q156</f>
        <v>1</v>
      </c>
      <c r="F121" s="55">
        <f>Test_Bible!V156</f>
        <v>1</v>
      </c>
    </row>
    <row r="122" spans="1:13">
      <c r="A122" t="s">
        <v>1484</v>
      </c>
      <c r="B122" t="str">
        <f>IF(Test_Bible!B157&lt;&gt;"","O","N")</f>
        <v>O</v>
      </c>
      <c r="C122" t="str">
        <f>BIBLE!E75</f>
        <v>PCR18</v>
      </c>
      <c r="D122" s="90" t="s">
        <v>1480</v>
      </c>
      <c r="E122" s="90">
        <f>Test_Bible!Q157</f>
        <v>2</v>
      </c>
      <c r="F122" s="55">
        <f>Test_Bible!V157</f>
        <v>2</v>
      </c>
    </row>
    <row r="123" spans="1:13" ht="20" customHeight="1">
      <c r="C123" s="1480"/>
      <c r="D123" s="1481"/>
      <c r="E123" s="1481"/>
      <c r="F123" s="1480"/>
      <c r="G123" s="1482">
        <f>Test_Bible!V159</f>
        <v>63</v>
      </c>
      <c r="H123" s="1482">
        <f>Test_Bible!X159</f>
        <v>0</v>
      </c>
      <c r="I123" s="1482">
        <f>Test_Bible!Y159</f>
        <v>23</v>
      </c>
      <c r="J123" s="1482">
        <f>Test_Bible!Z159</f>
        <v>46</v>
      </c>
      <c r="K123" s="1482">
        <f>Test_Bible!AA159</f>
        <v>92</v>
      </c>
      <c r="L123" s="1482">
        <f>Test_Bible!AB159</f>
        <v>161</v>
      </c>
      <c r="M123" s="1482">
        <f>Test_Bible!AC159</f>
        <v>230</v>
      </c>
    </row>
    <row r="147" spans="1:6">
      <c r="A147" t="s">
        <v>1484</v>
      </c>
      <c r="B147" t="str">
        <f>IF(Test_Bible!B163&lt;&gt;"","O","N")</f>
        <v>N</v>
      </c>
      <c r="C147" t="str">
        <f>BIBLE!E80</f>
        <v>PFA00</v>
      </c>
      <c r="D147" s="90"/>
      <c r="E147" s="90">
        <f>Test_Bible!Q163</f>
        <v>0</v>
      </c>
      <c r="F147" s="55">
        <f>Test_Bible!V163</f>
        <v>0</v>
      </c>
    </row>
    <row r="148" spans="1:6">
      <c r="A148" t="s">
        <v>397</v>
      </c>
      <c r="B148" t="str">
        <f>IF(Test_Bible!B165&lt;&gt;"","O","N")</f>
        <v>O</v>
      </c>
      <c r="C148" t="str">
        <f>BIBLE!E81</f>
        <v>PFA01</v>
      </c>
      <c r="D148" s="90" t="s">
        <v>1491</v>
      </c>
      <c r="E148" s="90">
        <f>Test_Bible!Q165</f>
        <v>5</v>
      </c>
    </row>
    <row r="149" spans="1:6">
      <c r="A149" t="s">
        <v>397</v>
      </c>
      <c r="B149" t="str">
        <f>IF(Test_Bible!B166&lt;&gt;"","O","N")</f>
        <v>O</v>
      </c>
      <c r="C149" t="str">
        <f>BIBLE!E82</f>
        <v>PFA02</v>
      </c>
      <c r="D149" s="90" t="s">
        <v>1493</v>
      </c>
      <c r="E149" s="90">
        <f>Test_Bible!Q166</f>
        <v>8</v>
      </c>
    </row>
    <row r="150" spans="1:6">
      <c r="A150" t="s">
        <v>1479</v>
      </c>
      <c r="B150" t="str">
        <f>IF(Test_Bible!B167&lt;&gt;"","O","N")</f>
        <v>O</v>
      </c>
      <c r="C150" t="str">
        <f>BIBLE!E83</f>
        <v>PFA02a</v>
      </c>
      <c r="D150" t="s">
        <v>1477</v>
      </c>
      <c r="E150" s="90"/>
    </row>
    <row r="151" spans="1:6">
      <c r="A151" t="s">
        <v>1484</v>
      </c>
      <c r="B151" t="str">
        <f>IF(Test_Bible!B170&lt;&gt;"","O","N")</f>
        <v>O</v>
      </c>
      <c r="C151" t="str">
        <f>BIBLE!E84</f>
        <v>PFA03</v>
      </c>
      <c r="D151" s="90" t="s">
        <v>1485</v>
      </c>
      <c r="E151" s="90">
        <f>Test_Bible!Q170</f>
        <v>8</v>
      </c>
      <c r="F151" s="55">
        <f>Test_Bible!V170</f>
        <v>8</v>
      </c>
    </row>
    <row r="152" spans="1:6">
      <c r="A152" t="s">
        <v>1484</v>
      </c>
      <c r="B152" t="str">
        <f>IF(Test_Bible!B171&lt;&gt;"","O","N")</f>
        <v>O</v>
      </c>
      <c r="C152" t="str">
        <f>BIBLE!E85</f>
        <v>PFA04</v>
      </c>
      <c r="D152" s="90" t="s">
        <v>1480</v>
      </c>
      <c r="E152" s="90">
        <f>Test_Bible!Q171</f>
        <v>2</v>
      </c>
      <c r="F152" s="55">
        <f>Test_Bible!V171</f>
        <v>2</v>
      </c>
    </row>
    <row r="153" spans="1:6">
      <c r="A153" t="s">
        <v>1484</v>
      </c>
      <c r="B153" t="str">
        <f>IF(Test_Bible!B172&lt;&gt;"","O","N")</f>
        <v>O</v>
      </c>
      <c r="C153" t="str">
        <f>BIBLE!E86</f>
        <v>PFA04a</v>
      </c>
      <c r="D153" s="90"/>
      <c r="E153" s="90">
        <f>Test_Bible!Q172</f>
        <v>0</v>
      </c>
    </row>
    <row r="154" spans="1:6">
      <c r="A154" t="s">
        <v>1484</v>
      </c>
      <c r="B154" t="str">
        <f>IF(Test_Bible!B173&lt;&gt;"","O","N")</f>
        <v>O</v>
      </c>
      <c r="C154" t="str">
        <f>BIBLE!E87</f>
        <v>PFA05</v>
      </c>
      <c r="D154" s="90" t="s">
        <v>1480</v>
      </c>
      <c r="E154" s="90">
        <f>Test_Bible!Q173</f>
        <v>4</v>
      </c>
      <c r="F154" s="55">
        <f>Test_Bible!V173</f>
        <v>4</v>
      </c>
    </row>
    <row r="155" spans="1:6">
      <c r="A155" t="s">
        <v>1484</v>
      </c>
      <c r="B155" t="str">
        <f>IF(Test_Bible!B174&lt;&gt;"","O","N")</f>
        <v>O</v>
      </c>
      <c r="C155" t="str">
        <f>BIBLE!E88</f>
        <v>PFA05a</v>
      </c>
      <c r="D155" s="90"/>
      <c r="E155" s="90">
        <f>Test_Bible!Q174</f>
        <v>0</v>
      </c>
    </row>
    <row r="156" spans="1:6">
      <c r="A156" t="s">
        <v>1484</v>
      </c>
      <c r="B156" t="str">
        <f>IF(Test_Bible!B175&lt;&gt;"","O","N")</f>
        <v>O</v>
      </c>
      <c r="C156" t="str">
        <f>BIBLE!E89</f>
        <v>PFA06</v>
      </c>
      <c r="D156" s="90" t="s">
        <v>1477</v>
      </c>
      <c r="E156" s="90">
        <f>Test_Bible!Q175</f>
        <v>2</v>
      </c>
      <c r="F156" s="55">
        <f>Test_Bible!V175</f>
        <v>2</v>
      </c>
    </row>
    <row r="157" spans="1:6">
      <c r="A157" t="s">
        <v>1484</v>
      </c>
      <c r="B157" t="str">
        <f>IF(Test_Bible!B176&lt;&gt;"","O","N")</f>
        <v>O</v>
      </c>
      <c r="C157" t="str">
        <f>BIBLE!E90</f>
        <v>PFA06a</v>
      </c>
      <c r="D157" s="90"/>
      <c r="E157" s="90">
        <f>Test_Bible!Q176</f>
        <v>0</v>
      </c>
    </row>
    <row r="158" spans="1:6">
      <c r="A158" t="s">
        <v>1484</v>
      </c>
      <c r="B158" t="str">
        <f>IF(Test_Bible!B177&lt;&gt;"","O","N")</f>
        <v>O</v>
      </c>
      <c r="C158" t="str">
        <f>BIBLE!E91</f>
        <v>PFA07</v>
      </c>
      <c r="D158" s="90" t="s">
        <v>1487</v>
      </c>
      <c r="E158" s="90">
        <f>Test_Bible!Q177</f>
        <v>7</v>
      </c>
      <c r="F158" s="55">
        <f>Test_Bible!V177</f>
        <v>21</v>
      </c>
    </row>
    <row r="159" spans="1:6">
      <c r="A159" t="s">
        <v>1484</v>
      </c>
      <c r="B159" t="str">
        <f>IF(Test_Bible!B178&lt;&gt;"","O","N")</f>
        <v>O</v>
      </c>
      <c r="C159" t="str">
        <f>BIBLE!E92</f>
        <v>PFA07a</v>
      </c>
      <c r="D159" s="90" t="s">
        <v>1487</v>
      </c>
      <c r="E159" s="90">
        <f>Test_Bible!Q178</f>
        <v>14</v>
      </c>
    </row>
    <row r="160" spans="1:6">
      <c r="A160" t="s">
        <v>1484</v>
      </c>
      <c r="B160" t="str">
        <f>IF(Test_Bible!B179&lt;&gt;"","O","N")</f>
        <v>O</v>
      </c>
      <c r="C160" t="str">
        <f>BIBLE!E93</f>
        <v>PFA07a1</v>
      </c>
      <c r="D160" s="90" t="s">
        <v>1487</v>
      </c>
      <c r="E160" s="90">
        <f>Test_Bible!Q179</f>
        <v>21</v>
      </c>
    </row>
    <row r="161" spans="1:6">
      <c r="A161" t="s">
        <v>1484</v>
      </c>
      <c r="B161" t="str">
        <f>IF(Test_Bible!B180&lt;&gt;"","O","N")</f>
        <v>O</v>
      </c>
      <c r="C161" t="str">
        <f>BIBLE!E94</f>
        <v>PFA09</v>
      </c>
      <c r="D161" s="90" t="s">
        <v>1485</v>
      </c>
      <c r="E161" s="90">
        <f>Test_Bible!Q180</f>
        <v>4</v>
      </c>
      <c r="F161" s="55">
        <f>Test_Bible!V180</f>
        <v>6</v>
      </c>
    </row>
    <row r="162" spans="1:6">
      <c r="A162" t="s">
        <v>1484</v>
      </c>
      <c r="B162" t="str">
        <f>IF(Test_Bible!B181&lt;&gt;"","O","N")</f>
        <v>O</v>
      </c>
      <c r="C162" t="str">
        <f>BIBLE!E95</f>
        <v>PFA09a</v>
      </c>
      <c r="D162" s="90" t="s">
        <v>1480</v>
      </c>
      <c r="E162" s="90">
        <f>Test_Bible!Q181</f>
        <v>6</v>
      </c>
    </row>
    <row r="163" spans="1:6">
      <c r="A163" t="s">
        <v>1484</v>
      </c>
      <c r="B163" t="str">
        <f>IF(Test_Bible!B182&lt;&gt;"","O","N")</f>
        <v>O</v>
      </c>
      <c r="C163" t="str">
        <f>BIBLE!E96</f>
        <v>PFA10</v>
      </c>
      <c r="D163" s="90" t="s">
        <v>1485</v>
      </c>
      <c r="E163" s="90">
        <f>Test_Bible!Q182</f>
        <v>4</v>
      </c>
      <c r="F163" s="55">
        <f>Test_Bible!V182</f>
        <v>4</v>
      </c>
    </row>
    <row r="164" spans="1:6">
      <c r="A164" t="s">
        <v>1484</v>
      </c>
      <c r="B164" t="str">
        <f>IF(Test_Bible!B183&lt;&gt;"","O","N")</f>
        <v>O</v>
      </c>
      <c r="C164" t="str">
        <f>BIBLE!E97</f>
        <v>PFA11</v>
      </c>
      <c r="D164" s="90" t="s">
        <v>1480</v>
      </c>
      <c r="E164" s="90">
        <f>Test_Bible!Q183</f>
        <v>4</v>
      </c>
      <c r="F164" s="55">
        <f>Test_Bible!V183</f>
        <v>4</v>
      </c>
    </row>
    <row r="165" spans="1:6">
      <c r="A165" t="s">
        <v>1484</v>
      </c>
      <c r="B165" t="str">
        <f>IF(Test_Bible!B184&lt;&gt;"","O","N")</f>
        <v>O</v>
      </c>
      <c r="C165" t="str">
        <f>BIBLE!E98</f>
        <v>PFA11a</v>
      </c>
      <c r="D165" s="90"/>
      <c r="E165" s="90">
        <f>Test_Bible!Q184</f>
        <v>0</v>
      </c>
    </row>
    <row r="166" spans="1:6">
      <c r="A166" t="s">
        <v>1484</v>
      </c>
      <c r="B166" t="str">
        <f>IF(Test_Bible!B185&lt;&gt;"","O","N")</f>
        <v>O</v>
      </c>
      <c r="C166" t="str">
        <f>BIBLE!E99</f>
        <v>PFA12</v>
      </c>
      <c r="D166" s="90" t="s">
        <v>1485</v>
      </c>
      <c r="E166" s="90">
        <f>Test_Bible!Q185</f>
        <v>8</v>
      </c>
      <c r="F166" s="55">
        <f>Test_Bible!V185</f>
        <v>8</v>
      </c>
    </row>
    <row r="167" spans="1:6">
      <c r="A167" t="s">
        <v>1484</v>
      </c>
      <c r="B167" t="str">
        <f>IF(Test_Bible!B186&lt;&gt;"","O","N")</f>
        <v>O</v>
      </c>
      <c r="C167" t="str">
        <f>BIBLE!E100</f>
        <v>PFA13</v>
      </c>
      <c r="D167" s="90" t="s">
        <v>1483</v>
      </c>
      <c r="E167" s="90">
        <f>Test_Bible!Q186</f>
        <v>10</v>
      </c>
      <c r="F167" s="55">
        <f>Test_Bible!V186</f>
        <v>23</v>
      </c>
    </row>
    <row r="168" spans="1:6">
      <c r="A168" t="s">
        <v>1484</v>
      </c>
      <c r="B168" t="str">
        <f>IF(Test_Bible!B187&lt;&gt;"","O","N")</f>
        <v>O</v>
      </c>
      <c r="C168" t="str">
        <f>BIBLE!E101</f>
        <v>PFA13a</v>
      </c>
      <c r="D168" s="90" t="s">
        <v>1487</v>
      </c>
      <c r="E168" s="90">
        <f>Test_Bible!Q187</f>
        <v>21</v>
      </c>
    </row>
    <row r="169" spans="1:6">
      <c r="A169" t="s">
        <v>1484</v>
      </c>
      <c r="B169" t="str">
        <f>IF(Test_Bible!B188&lt;&gt;"","O","N")</f>
        <v>N</v>
      </c>
      <c r="C169" t="str">
        <f>BIBLE!E102</f>
        <v>PFA13b</v>
      </c>
      <c r="D169" s="90"/>
      <c r="E169" s="90">
        <f>Test_Bible!Q188</f>
        <v>0</v>
      </c>
    </row>
    <row r="170" spans="1:6">
      <c r="A170" t="s">
        <v>1484</v>
      </c>
      <c r="B170" t="str">
        <f>IF(Test_Bible!B189&lt;&gt;"","O","N")</f>
        <v>O</v>
      </c>
      <c r="C170" t="str">
        <f>BIBLE!E103</f>
        <v>PFA13c</v>
      </c>
      <c r="D170" s="90" t="s">
        <v>1477</v>
      </c>
      <c r="E170" s="90">
        <f>Test_Bible!Q189</f>
        <v>2</v>
      </c>
    </row>
    <row r="171" spans="1:6">
      <c r="A171" t="s">
        <v>1484</v>
      </c>
      <c r="B171" t="str">
        <f>IF(Test_Bible!B190&lt;&gt;"","O","N")</f>
        <v>O</v>
      </c>
      <c r="C171" t="str">
        <f>BIBLE!E104</f>
        <v>PFA14</v>
      </c>
      <c r="D171" s="90" t="s">
        <v>1480</v>
      </c>
      <c r="E171" s="90">
        <f>Test_Bible!Q190</f>
        <v>2</v>
      </c>
      <c r="F171" s="55">
        <f>Test_Bible!V190</f>
        <v>2</v>
      </c>
    </row>
    <row r="172" spans="1:6">
      <c r="A172" t="s">
        <v>1484</v>
      </c>
      <c r="B172" t="str">
        <f>IF(Test_Bible!B191&lt;&gt;"","O","N")</f>
        <v>O</v>
      </c>
      <c r="C172" t="str">
        <f>BIBLE!E105</f>
        <v>PFA15</v>
      </c>
      <c r="D172" s="90" t="s">
        <v>1477</v>
      </c>
      <c r="E172" s="90">
        <f>Test_Bible!Q191</f>
        <v>2</v>
      </c>
      <c r="F172" s="55">
        <f>Test_Bible!V191</f>
        <v>2</v>
      </c>
    </row>
    <row r="173" spans="1:6">
      <c r="A173" t="s">
        <v>1484</v>
      </c>
      <c r="B173" t="str">
        <f>IF(Test_Bible!B192&lt;&gt;"","O","N")</f>
        <v>O</v>
      </c>
      <c r="C173" t="str">
        <f>BIBLE!E106</f>
        <v>PFA15a</v>
      </c>
      <c r="D173" s="90"/>
      <c r="E173" s="90">
        <f>Test_Bible!Q192</f>
        <v>0</v>
      </c>
    </row>
    <row r="174" spans="1:6">
      <c r="A174" t="s">
        <v>1484</v>
      </c>
      <c r="B174" t="str">
        <f>IF(Test_Bible!B193&lt;&gt;"","O","N")</f>
        <v>O</v>
      </c>
      <c r="C174" t="str">
        <f>BIBLE!E107</f>
        <v>PFA16</v>
      </c>
      <c r="D174" s="90" t="s">
        <v>1487</v>
      </c>
      <c r="E174" s="90">
        <f>Test_Bible!Q193</f>
        <v>14</v>
      </c>
      <c r="F174" s="55">
        <f>Test_Bible!V193</f>
        <v>14</v>
      </c>
    </row>
    <row r="175" spans="1:6">
      <c r="A175" t="s">
        <v>1484</v>
      </c>
      <c r="B175" t="str">
        <f>IF(Test_Bible!B194&lt;&gt;"","O","N")</f>
        <v>O</v>
      </c>
      <c r="C175" t="str">
        <f>BIBLE!E108</f>
        <v>PFA16a</v>
      </c>
      <c r="D175" s="90" t="s">
        <v>1480</v>
      </c>
      <c r="E175" s="90">
        <f>Test_Bible!Q194</f>
        <v>4</v>
      </c>
    </row>
    <row r="176" spans="1:6">
      <c r="A176" t="s">
        <v>1484</v>
      </c>
      <c r="B176" t="str">
        <f>IF(Test_Bible!B195&lt;&gt;"","O","N")</f>
        <v>O</v>
      </c>
      <c r="C176" t="str">
        <f>BIBLE!E109</f>
        <v>PFA16b</v>
      </c>
      <c r="D176" s="90" t="s">
        <v>1485</v>
      </c>
      <c r="E176" s="90">
        <f>Test_Bible!Q195</f>
        <v>8</v>
      </c>
    </row>
    <row r="177" spans="1:6">
      <c r="A177" t="s">
        <v>1484</v>
      </c>
      <c r="B177" t="str">
        <f>IF(Test_Bible!B196&lt;&gt;"","O","N")</f>
        <v>O</v>
      </c>
      <c r="C177" t="str">
        <f>BIBLE!E110</f>
        <v>PFA16b1</v>
      </c>
      <c r="D177" s="90" t="s">
        <v>1480</v>
      </c>
      <c r="E177" s="90">
        <f>Test_Bible!Q196</f>
        <v>6</v>
      </c>
    </row>
    <row r="178" spans="1:6">
      <c r="A178" t="s">
        <v>1484</v>
      </c>
      <c r="B178" t="str">
        <f>IF(Test_Bible!B197&lt;&gt;" ","O","N")</f>
        <v>O</v>
      </c>
      <c r="C178" t="str">
        <f>BIBLE!E111</f>
        <v>PFA17</v>
      </c>
      <c r="D178" s="90" t="s">
        <v>1477</v>
      </c>
      <c r="E178" s="90">
        <f>Test_Bible!Q197</f>
        <v>1</v>
      </c>
      <c r="F178" s="55">
        <f>Test_Bible!V197</f>
        <v>1</v>
      </c>
    </row>
    <row r="179" spans="1:6">
      <c r="A179" t="s">
        <v>1484</v>
      </c>
      <c r="B179" t="str">
        <f>IF(Test_Bible!B198&lt;&gt;" ","O","N")</f>
        <v>O</v>
      </c>
      <c r="C179" t="str">
        <f>BIBLE!E112</f>
        <v>PFA18</v>
      </c>
      <c r="D179" s="90" t="s">
        <v>1480</v>
      </c>
      <c r="E179" s="90">
        <f>Test_Bible!Q198</f>
        <v>6</v>
      </c>
      <c r="F179" s="55">
        <f>Test_Bible!V198</f>
        <v>6</v>
      </c>
    </row>
    <row r="180" spans="1:6">
      <c r="A180" t="s">
        <v>1484</v>
      </c>
      <c r="B180" t="str">
        <f>IF(Test_Bible!B199&lt;&gt;" ","O","N")</f>
        <v>O</v>
      </c>
      <c r="C180" t="str">
        <f>BIBLE!E113</f>
        <v>PFA19</v>
      </c>
      <c r="D180" s="90" t="s">
        <v>1480</v>
      </c>
      <c r="E180" s="90">
        <f>Test_Bible!Q199</f>
        <v>4</v>
      </c>
      <c r="F180" s="55">
        <f>Test_Bible!V199</f>
        <v>4</v>
      </c>
    </row>
    <row r="181" spans="1:6">
      <c r="A181" t="s">
        <v>1484</v>
      </c>
      <c r="B181" t="str">
        <f>IF(Test_Bible!B200&lt;&gt;"","O","N")</f>
        <v>O</v>
      </c>
      <c r="C181" t="str">
        <f>BIBLE!E114</f>
        <v>PFA19a</v>
      </c>
      <c r="D181" s="90"/>
      <c r="E181" s="90">
        <f>Test_Bible!Q200</f>
        <v>0</v>
      </c>
    </row>
    <row r="182" spans="1:6">
      <c r="A182" t="s">
        <v>1484</v>
      </c>
      <c r="B182" t="str">
        <f>IF(Test_Bible!B201&lt;&gt;" ","O","N")</f>
        <v>O</v>
      </c>
      <c r="C182" t="str">
        <f>BIBLE!E115</f>
        <v>PFA20</v>
      </c>
      <c r="D182" s="90" t="s">
        <v>1480</v>
      </c>
      <c r="E182" s="90">
        <f>Test_Bible!Q201</f>
        <v>2</v>
      </c>
      <c r="F182" s="55">
        <f>Test_Bible!V201</f>
        <v>2</v>
      </c>
    </row>
    <row r="183" spans="1:6">
      <c r="A183" t="s">
        <v>1484</v>
      </c>
      <c r="B183" t="str">
        <f>IF(Test_Bible!B202&lt;&gt;"","O","N")</f>
        <v>O</v>
      </c>
      <c r="C183" t="str">
        <f>BIBLE!E116</f>
        <v>PFA20a</v>
      </c>
      <c r="D183" s="90"/>
      <c r="E183" s="90">
        <f>Test_Bible!Q202</f>
        <v>0</v>
      </c>
    </row>
    <row r="184" spans="1:6">
      <c r="A184" t="s">
        <v>1484</v>
      </c>
      <c r="B184" t="str">
        <f>IF(Test_Bible!B203&lt;&gt;"","O","N")</f>
        <v>N</v>
      </c>
      <c r="C184" t="str">
        <f>BIBLE!E117</f>
        <v>PFA20a1</v>
      </c>
      <c r="D184" s="90"/>
      <c r="E184" s="90">
        <f>Test_Bible!Q203</f>
        <v>0</v>
      </c>
    </row>
    <row r="185" spans="1:6">
      <c r="A185" t="s">
        <v>1484</v>
      </c>
      <c r="B185" t="str">
        <f>IF(Test_Bible!B204&lt;&gt;"","O","N")</f>
        <v>N</v>
      </c>
      <c r="C185" t="str">
        <f>BIBLE!E118</f>
        <v>PFA20a1a</v>
      </c>
      <c r="D185" s="90"/>
      <c r="E185" s="90">
        <f>Test_Bible!Q204</f>
        <v>0</v>
      </c>
    </row>
    <row r="186" spans="1:6">
      <c r="A186" t="s">
        <v>1484</v>
      </c>
      <c r="B186" t="str">
        <f>IF(Test_Bible!B205&lt;&gt;" ","O","N")</f>
        <v>O</v>
      </c>
      <c r="C186" t="str">
        <f>BIBLE!E119</f>
        <v>PFA21</v>
      </c>
      <c r="D186" s="90" t="s">
        <v>1485</v>
      </c>
      <c r="E186" s="90">
        <f>Test_Bible!Q205</f>
        <v>4</v>
      </c>
      <c r="F186" s="55">
        <f>Test_Bible!V205</f>
        <v>4</v>
      </c>
    </row>
    <row r="187" spans="1:6">
      <c r="A187" t="s">
        <v>1484</v>
      </c>
      <c r="B187" t="str">
        <f>IF(Test_Bible!B206&lt;&gt;" ","O","N")</f>
        <v>O</v>
      </c>
      <c r="C187" t="str">
        <f>BIBLE!E120</f>
        <v>PFA40</v>
      </c>
      <c r="D187" s="90" t="s">
        <v>1480</v>
      </c>
      <c r="E187" s="90">
        <f>Test_Bible!Q206</f>
        <v>4</v>
      </c>
      <c r="F187" s="55">
        <f>Test_Bible!V206</f>
        <v>4</v>
      </c>
    </row>
    <row r="188" spans="1:6">
      <c r="A188" t="s">
        <v>1484</v>
      </c>
      <c r="B188" t="str">
        <f>IF(Test_Bible!B207&lt;&gt;" ","O","N")</f>
        <v>O</v>
      </c>
      <c r="C188" t="str">
        <f>BIBLE!E121</f>
        <v>PFA22</v>
      </c>
      <c r="D188" s="90" t="s">
        <v>1485</v>
      </c>
      <c r="E188" s="90">
        <f>Test_Bible!Q207</f>
        <v>4</v>
      </c>
      <c r="F188" s="55">
        <f>Test_Bible!V207</f>
        <v>4</v>
      </c>
    </row>
    <row r="189" spans="1:6">
      <c r="A189" t="s">
        <v>1484</v>
      </c>
      <c r="B189" t="str">
        <f>IF(Test_Bible!B208&lt;&gt;" ","O","N")</f>
        <v>O</v>
      </c>
      <c r="C189" t="str">
        <f>BIBLE!E122</f>
        <v>PFA23</v>
      </c>
      <c r="D189" s="90" t="s">
        <v>1480</v>
      </c>
      <c r="E189" s="90">
        <f>Test_Bible!Q208</f>
        <v>2</v>
      </c>
      <c r="F189" s="55">
        <f>Test_Bible!V208</f>
        <v>2</v>
      </c>
    </row>
    <row r="190" spans="1:6">
      <c r="A190" t="s">
        <v>1484</v>
      </c>
      <c r="B190" t="str">
        <f>IF(Test_Bible!B209&lt;&gt;"","O","N")</f>
        <v>O</v>
      </c>
      <c r="C190" t="str">
        <f>BIBLE!E123</f>
        <v>PFA23a</v>
      </c>
      <c r="D190" s="90"/>
      <c r="E190" s="90">
        <f>Test_Bible!Q209</f>
        <v>0</v>
      </c>
    </row>
    <row r="191" spans="1:6">
      <c r="A191" t="s">
        <v>1484</v>
      </c>
      <c r="B191" t="str">
        <f>IF(Test_Bible!B210&lt;&gt;" ","O","N")</f>
        <v>O</v>
      </c>
      <c r="C191" t="str">
        <f>BIBLE!E124</f>
        <v>PFA24</v>
      </c>
      <c r="D191" s="90" t="s">
        <v>1477</v>
      </c>
      <c r="E191" s="90">
        <f>Test_Bible!Q210</f>
        <v>3</v>
      </c>
      <c r="F191" s="55">
        <f>Test_Bible!V210</f>
        <v>3</v>
      </c>
    </row>
    <row r="192" spans="1:6">
      <c r="A192" t="s">
        <v>1484</v>
      </c>
      <c r="B192" t="str">
        <f>IF(Test_Bible!B211&lt;&gt;" ","O","N")</f>
        <v>O</v>
      </c>
      <c r="C192" t="str">
        <f>BIBLE!E125</f>
        <v>PFA25</v>
      </c>
      <c r="D192" s="90" t="s">
        <v>1487</v>
      </c>
      <c r="E192" s="90">
        <f>Test_Bible!Q211</f>
        <v>7</v>
      </c>
      <c r="F192" s="55">
        <f>Test_Bible!V211</f>
        <v>7</v>
      </c>
    </row>
    <row r="193" spans="1:6">
      <c r="A193" t="s">
        <v>1479</v>
      </c>
      <c r="B193" t="str">
        <f>IF(Test_Bible!B212&lt;&gt;"","O","N")</f>
        <v>O</v>
      </c>
      <c r="C193" t="str">
        <f>BIBLE!E126</f>
        <v>PFA25a</v>
      </c>
      <c r="D193" s="90" t="s">
        <v>1477</v>
      </c>
      <c r="E193" s="90"/>
    </row>
    <row r="194" spans="1:6">
      <c r="A194" t="s">
        <v>1484</v>
      </c>
      <c r="B194" t="str">
        <f>IF(Test_Bible!B216&lt;&gt;" ","O","N")</f>
        <v>O</v>
      </c>
      <c r="C194" t="str">
        <f>BIBLE!E127</f>
        <v>PFA26</v>
      </c>
      <c r="D194" s="90" t="s">
        <v>1480</v>
      </c>
      <c r="E194" s="90">
        <f>Test_Bible!Q216</f>
        <v>4</v>
      </c>
      <c r="F194" s="55">
        <f>Test_Bible!V216</f>
        <v>4</v>
      </c>
    </row>
    <row r="195" spans="1:6">
      <c r="A195" t="s">
        <v>1484</v>
      </c>
      <c r="B195" t="str">
        <f>IF(Test_Bible!B217&lt;&gt;"","O","N")</f>
        <v>O</v>
      </c>
      <c r="C195" t="str">
        <f>BIBLE!E128</f>
        <v>PFA27</v>
      </c>
      <c r="D195" s="90" t="s">
        <v>1485</v>
      </c>
      <c r="E195" s="90">
        <f>Test_Bible!Q217</f>
        <v>8</v>
      </c>
      <c r="F195" s="55">
        <f>Test_Bible!V217</f>
        <v>8</v>
      </c>
    </row>
    <row r="196" spans="1:6">
      <c r="A196" t="s">
        <v>1484</v>
      </c>
      <c r="B196" t="str">
        <f>IF(Test_Bible!B218&lt;&gt;"","O","N")</f>
        <v>O</v>
      </c>
      <c r="C196" t="str">
        <f>BIBLE!E129</f>
        <v>PFA28</v>
      </c>
      <c r="D196" s="90" t="s">
        <v>1480</v>
      </c>
      <c r="E196" s="90">
        <f>Test_Bible!Q218</f>
        <v>4</v>
      </c>
      <c r="F196" s="55">
        <f>Test_Bible!V218</f>
        <v>4</v>
      </c>
    </row>
    <row r="197" spans="1:6">
      <c r="A197" t="s">
        <v>1484</v>
      </c>
      <c r="B197" t="str">
        <f>IF(Test_Bible!B219&lt;&gt;"","O","N")</f>
        <v>O</v>
      </c>
      <c r="C197" t="str">
        <f>BIBLE!E130</f>
        <v>PFA28a</v>
      </c>
      <c r="D197" s="90"/>
      <c r="E197" s="90">
        <f>Test_Bible!Q219</f>
        <v>0</v>
      </c>
    </row>
    <row r="198" spans="1:6">
      <c r="A198" t="s">
        <v>1484</v>
      </c>
      <c r="B198" t="str">
        <f>IF(Test_Bible!B220&lt;&gt;"","O","N")</f>
        <v>O</v>
      </c>
      <c r="C198" t="str">
        <f>BIBLE!E131</f>
        <v>PFA39</v>
      </c>
      <c r="D198" s="90" t="s">
        <v>1477</v>
      </c>
      <c r="E198" s="90">
        <f>Test_Bible!Q220</f>
        <v>3</v>
      </c>
      <c r="F198" s="55">
        <f>Test_Bible!V220</f>
        <v>3</v>
      </c>
    </row>
    <row r="199" spans="1:6">
      <c r="A199" t="s">
        <v>1484</v>
      </c>
      <c r="B199" t="str">
        <f>IF(Test_Bible!B221&lt;&gt;"","O","N")</f>
        <v>O</v>
      </c>
      <c r="C199" t="str">
        <f>BIBLE!E132</f>
        <v>PFA29</v>
      </c>
      <c r="D199" s="90" t="s">
        <v>1487</v>
      </c>
      <c r="E199" s="90">
        <f>Test_Bible!Q221</f>
        <v>14</v>
      </c>
      <c r="F199" s="55">
        <f>Test_Bible!V221</f>
        <v>14</v>
      </c>
    </row>
    <row r="200" spans="1:6">
      <c r="A200" t="s">
        <v>1486</v>
      </c>
      <c r="B200" t="str">
        <f>IF(Test_Bible!B223&lt;&gt;"","O","N")</f>
        <v>O</v>
      </c>
      <c r="C200" s="45" t="str">
        <f>BIBLE!E133</f>
        <v>PFA29a</v>
      </c>
      <c r="D200" s="90">
        <v>0</v>
      </c>
      <c r="E200" s="90">
        <f>Test_Bible!P222</f>
        <v>3</v>
      </c>
    </row>
    <row r="201" spans="1:6">
      <c r="A201" t="s">
        <v>1486</v>
      </c>
      <c r="B201" t="str">
        <f t="shared" ref="B201:C205" si="5">B200</f>
        <v>O</v>
      </c>
      <c r="C201" s="45" t="str">
        <f t="shared" si="5"/>
        <v>PFA29a</v>
      </c>
      <c r="D201" s="90">
        <v>0</v>
      </c>
      <c r="E201" s="90"/>
    </row>
    <row r="202" spans="1:6">
      <c r="A202" t="s">
        <v>1486</v>
      </c>
      <c r="B202" t="str">
        <f t="shared" si="5"/>
        <v>O</v>
      </c>
      <c r="C202" s="45" t="str">
        <f t="shared" si="5"/>
        <v>PFA29a</v>
      </c>
      <c r="D202" s="90">
        <v>1</v>
      </c>
      <c r="E202" s="90"/>
    </row>
    <row r="203" spans="1:6">
      <c r="A203" t="s">
        <v>1486</v>
      </c>
      <c r="B203" t="str">
        <f t="shared" si="5"/>
        <v>O</v>
      </c>
      <c r="C203" s="45" t="str">
        <f t="shared" si="5"/>
        <v>PFA29a</v>
      </c>
      <c r="D203" s="90">
        <v>0</v>
      </c>
      <c r="E203" s="90"/>
    </row>
    <row r="204" spans="1:6">
      <c r="A204" t="s">
        <v>1486</v>
      </c>
      <c r="B204" t="str">
        <f t="shared" si="5"/>
        <v>O</v>
      </c>
      <c r="C204" s="45" t="str">
        <f t="shared" si="5"/>
        <v>PFA29a</v>
      </c>
      <c r="D204" s="90">
        <v>0</v>
      </c>
      <c r="E204" s="90"/>
    </row>
    <row r="205" spans="1:6">
      <c r="A205" t="s">
        <v>1486</v>
      </c>
      <c r="B205" t="str">
        <f t="shared" si="5"/>
        <v>O</v>
      </c>
      <c r="C205" s="45" t="str">
        <f t="shared" si="5"/>
        <v>PFA29a</v>
      </c>
      <c r="D205" s="90">
        <v>0</v>
      </c>
      <c r="E205" s="90"/>
    </row>
    <row r="206" spans="1:6">
      <c r="A206" t="s">
        <v>1486</v>
      </c>
      <c r="B206" t="str">
        <f>IF(Test_Bible!B231&lt;&gt;"","O","N")</f>
        <v>O</v>
      </c>
      <c r="C206" t="str">
        <f>BIBLE!E134</f>
        <v>PFA29b</v>
      </c>
      <c r="D206" s="90" t="s">
        <v>1492</v>
      </c>
      <c r="E206" s="90"/>
    </row>
    <row r="207" spans="1:6">
      <c r="A207" t="s">
        <v>1484</v>
      </c>
      <c r="B207" t="str">
        <f>IF(Test_Bible!B234&lt;&gt;"","O","N")</f>
        <v>O</v>
      </c>
      <c r="C207" t="str">
        <f>BIBLE!E135</f>
        <v>PFA30</v>
      </c>
      <c r="D207" s="90" t="s">
        <v>1485</v>
      </c>
      <c r="E207" s="90">
        <f>Test_Bible!Q234</f>
        <v>12</v>
      </c>
      <c r="F207" s="55">
        <f>Test_Bible!V234</f>
        <v>12</v>
      </c>
    </row>
    <row r="208" spans="1:6">
      <c r="A208" t="s">
        <v>1484</v>
      </c>
      <c r="B208" t="str">
        <f>IF(Test_Bible!B235&lt;&gt;"","O","N")</f>
        <v>O</v>
      </c>
      <c r="C208" t="str">
        <f>BIBLE!E136</f>
        <v>PFA30a</v>
      </c>
      <c r="D208" s="90" t="s">
        <v>1485</v>
      </c>
      <c r="E208" s="90">
        <f>Test_Bible!Q235</f>
        <v>12</v>
      </c>
    </row>
    <row r="209" spans="1:6">
      <c r="A209" t="s">
        <v>1484</v>
      </c>
      <c r="B209" t="str">
        <f>IF(Test_Bible!B236&lt;&gt;"","O","N")</f>
        <v>N</v>
      </c>
      <c r="C209" t="str">
        <f>BIBLE!E137</f>
        <v>PFA30a1</v>
      </c>
      <c r="D209" s="90"/>
      <c r="E209" s="90">
        <f>Test_Bible!Q236</f>
        <v>0</v>
      </c>
    </row>
    <row r="210" spans="1:6">
      <c r="A210" t="s">
        <v>1486</v>
      </c>
      <c r="B210" t="str">
        <f>IF(Test_Bible!B238&lt;&gt;"","O","N")</f>
        <v>O</v>
      </c>
      <c r="C210" s="45" t="str">
        <f>BIBLE!E138</f>
        <v>PFA30a2</v>
      </c>
      <c r="D210" s="90">
        <v>0</v>
      </c>
      <c r="E210" s="90">
        <f>Test_Bible!P237</f>
        <v>20</v>
      </c>
    </row>
    <row r="211" spans="1:6">
      <c r="A211" t="s">
        <v>1486</v>
      </c>
      <c r="B211" t="str">
        <f t="shared" ref="B211:C213" si="6">B210</f>
        <v>O</v>
      </c>
      <c r="C211" s="45" t="str">
        <f t="shared" si="6"/>
        <v>PFA30a2</v>
      </c>
      <c r="D211" s="90">
        <v>0</v>
      </c>
      <c r="E211" s="90"/>
    </row>
    <row r="212" spans="1:6">
      <c r="A212" t="s">
        <v>1486</v>
      </c>
      <c r="B212" t="str">
        <f t="shared" si="6"/>
        <v>O</v>
      </c>
      <c r="C212" s="45" t="str">
        <f t="shared" si="6"/>
        <v>PFA30a2</v>
      </c>
      <c r="D212" s="90">
        <v>1</v>
      </c>
      <c r="E212" s="90"/>
    </row>
    <row r="213" spans="1:6">
      <c r="A213" t="s">
        <v>1486</v>
      </c>
      <c r="B213" t="str">
        <f t="shared" si="6"/>
        <v>O</v>
      </c>
      <c r="C213" s="45" t="str">
        <f t="shared" si="6"/>
        <v>PFA30a2</v>
      </c>
      <c r="D213" s="90">
        <v>1</v>
      </c>
      <c r="E213" s="90"/>
    </row>
    <row r="214" spans="1:6">
      <c r="A214" t="s">
        <v>1484</v>
      </c>
      <c r="B214" t="str">
        <f>IF(Test_Bible!B243&lt;&gt;"","O","N")</f>
        <v>O</v>
      </c>
      <c r="C214" t="str">
        <f>BIBLE!E139</f>
        <v>PFA31</v>
      </c>
      <c r="D214" s="90" t="s">
        <v>1485</v>
      </c>
      <c r="E214" s="90">
        <f>Test_Bible!Q243</f>
        <v>4</v>
      </c>
      <c r="F214" s="55">
        <f>Test_Bible!V243</f>
        <v>4</v>
      </c>
    </row>
    <row r="215" spans="1:6">
      <c r="A215" t="s">
        <v>1484</v>
      </c>
      <c r="B215" t="str">
        <f>IF(Test_Bible!B244&lt;&gt;"","O","N")</f>
        <v>O</v>
      </c>
      <c r="C215" t="str">
        <f>BIBLE!E140</f>
        <v>PFA31a</v>
      </c>
      <c r="D215" s="90" t="s">
        <v>1480</v>
      </c>
      <c r="E215" s="90">
        <f>Test_Bible!Q244</f>
        <v>4</v>
      </c>
    </row>
    <row r="216" spans="1:6">
      <c r="A216" t="s">
        <v>1484</v>
      </c>
      <c r="B216" t="str">
        <f>IF(Test_Bible!B245&lt;&gt;"","O","N")</f>
        <v>O</v>
      </c>
      <c r="C216" t="str">
        <f>BIBLE!E141</f>
        <v>PFA31a1</v>
      </c>
      <c r="D216" s="90"/>
      <c r="E216" s="90">
        <f>Test_Bible!Q245</f>
        <v>0</v>
      </c>
    </row>
    <row r="217" spans="1:6">
      <c r="A217" t="s">
        <v>1484</v>
      </c>
      <c r="B217" t="str">
        <f>IF(Test_Bible!B246&lt;&gt;"","O","N")</f>
        <v>O</v>
      </c>
      <c r="C217" t="str">
        <f>BIBLE!E142</f>
        <v>PFA32</v>
      </c>
      <c r="D217" s="90" t="s">
        <v>1485</v>
      </c>
      <c r="E217" s="90">
        <f>Test_Bible!Q246</f>
        <v>8</v>
      </c>
      <c r="F217" s="55">
        <f>Test_Bible!V246</f>
        <v>8</v>
      </c>
    </row>
    <row r="218" spans="1:6">
      <c r="A218" t="s">
        <v>1484</v>
      </c>
      <c r="B218" t="str">
        <f>IF(Test_Bible!B247&lt;&gt;"","O","N")</f>
        <v>O</v>
      </c>
      <c r="C218" t="str">
        <f>BIBLE!E143</f>
        <v>PFA33</v>
      </c>
      <c r="D218" s="90" t="s">
        <v>1487</v>
      </c>
      <c r="E218" s="90">
        <f>Test_Bible!Q247</f>
        <v>14</v>
      </c>
      <c r="F218" s="55">
        <f>Test_Bible!V247</f>
        <v>14</v>
      </c>
    </row>
    <row r="219" spans="1:6">
      <c r="A219" t="s">
        <v>1484</v>
      </c>
      <c r="B219" t="str">
        <f>IF(Test_Bible!B248&lt;&gt;"","O","N")</f>
        <v>O</v>
      </c>
      <c r="C219" t="str">
        <f>BIBLE!E144</f>
        <v>PFA34</v>
      </c>
      <c r="D219" s="90" t="s">
        <v>1480</v>
      </c>
      <c r="E219" s="90">
        <f>Test_Bible!Q248</f>
        <v>6</v>
      </c>
      <c r="F219" s="55">
        <f>Test_Bible!V248</f>
        <v>6</v>
      </c>
    </row>
    <row r="220" spans="1:6">
      <c r="A220" t="s">
        <v>1484</v>
      </c>
      <c r="B220" t="str">
        <f>IF(Test_Bible!B249&lt;&gt;"","O","N")</f>
        <v>O</v>
      </c>
      <c r="C220" t="str">
        <f>BIBLE!E145</f>
        <v>PFA35</v>
      </c>
      <c r="D220" s="90" t="s">
        <v>1480</v>
      </c>
      <c r="E220" s="90">
        <f>Test_Bible!Q249</f>
        <v>6</v>
      </c>
      <c r="F220" s="55">
        <f>Test_Bible!V249</f>
        <v>6</v>
      </c>
    </row>
    <row r="221" spans="1:6">
      <c r="A221" t="s">
        <v>1484</v>
      </c>
      <c r="B221" t="str">
        <f>IF(Test_Bible!B250&lt;&gt;"","O","N")</f>
        <v>O</v>
      </c>
      <c r="C221" t="str">
        <f>BIBLE!E146</f>
        <v>PFA36</v>
      </c>
      <c r="D221" s="90" t="s">
        <v>1477</v>
      </c>
      <c r="E221" s="90">
        <f>Test_Bible!Q250</f>
        <v>3</v>
      </c>
      <c r="F221" s="55">
        <f>Test_Bible!V250</f>
        <v>3</v>
      </c>
    </row>
    <row r="222" spans="1:6">
      <c r="A222" t="s">
        <v>1486</v>
      </c>
      <c r="B222" t="str">
        <f>IF(Test_Bible!B252&lt;&gt;"","O","N")</f>
        <v>O</v>
      </c>
      <c r="C222" s="45" t="str">
        <f>BIBLE!E147</f>
        <v>PFA38</v>
      </c>
      <c r="D222" s="90">
        <v>1</v>
      </c>
      <c r="E222" s="90">
        <f>Test_Bible!P251</f>
        <v>3</v>
      </c>
      <c r="F222" s="55"/>
    </row>
    <row r="223" spans="1:6">
      <c r="A223" t="s">
        <v>1486</v>
      </c>
      <c r="B223" t="str">
        <f t="shared" ref="B223:C227" si="7">B222</f>
        <v>O</v>
      </c>
      <c r="C223" s="45" t="str">
        <f t="shared" si="7"/>
        <v>PFA38</v>
      </c>
      <c r="D223" s="90">
        <v>0</v>
      </c>
    </row>
    <row r="224" spans="1:6">
      <c r="A224" t="s">
        <v>1486</v>
      </c>
      <c r="B224" t="str">
        <f t="shared" si="7"/>
        <v>O</v>
      </c>
      <c r="C224" s="45" t="str">
        <f t="shared" si="7"/>
        <v>PFA38</v>
      </c>
      <c r="D224" s="90">
        <v>0</v>
      </c>
    </row>
    <row r="225" spans="1:13">
      <c r="A225" t="s">
        <v>1486</v>
      </c>
      <c r="B225" t="str">
        <f t="shared" si="7"/>
        <v>O</v>
      </c>
      <c r="C225" s="45" t="str">
        <f t="shared" si="7"/>
        <v>PFA38</v>
      </c>
      <c r="D225" s="90">
        <v>0</v>
      </c>
    </row>
    <row r="226" spans="1:13">
      <c r="A226" t="s">
        <v>1486</v>
      </c>
      <c r="B226" t="str">
        <f t="shared" si="7"/>
        <v>O</v>
      </c>
      <c r="C226" s="45" t="str">
        <f t="shared" si="7"/>
        <v>PFA38</v>
      </c>
      <c r="D226" s="90">
        <v>0</v>
      </c>
    </row>
    <row r="227" spans="1:13">
      <c r="A227" t="s">
        <v>1486</v>
      </c>
      <c r="B227" t="str">
        <f t="shared" si="7"/>
        <v>O</v>
      </c>
      <c r="C227" s="45" t="str">
        <f t="shared" si="7"/>
        <v>PFA38</v>
      </c>
      <c r="D227" s="90">
        <v>0</v>
      </c>
    </row>
    <row r="228" spans="1:13">
      <c r="C228" s="1477"/>
      <c r="D228" s="1478"/>
      <c r="E228" s="1478"/>
      <c r="F228" s="1477"/>
      <c r="G228" s="1479">
        <f>Test_Bible!V259</f>
        <v>223</v>
      </c>
      <c r="H228" s="1479">
        <f>Test_Bible!X259</f>
        <v>0</v>
      </c>
      <c r="I228" s="1479">
        <f>Test_Bible!Y259</f>
        <v>76</v>
      </c>
      <c r="J228" s="1479">
        <f>Test_Bible!Z259</f>
        <v>152</v>
      </c>
      <c r="K228" s="1479">
        <f>Test_Bible!AA259</f>
        <v>304</v>
      </c>
      <c r="L228" s="1479">
        <f>Test_Bible!AB259</f>
        <v>532</v>
      </c>
      <c r="M228" s="1479">
        <f>Test_Bible!AC259</f>
        <v>760</v>
      </c>
    </row>
    <row r="242" spans="1:6">
      <c r="A242" t="s">
        <v>397</v>
      </c>
      <c r="B242" t="str">
        <f>IF(Test_Bible!B263&lt;&gt;"","O","N")</f>
        <v>O</v>
      </c>
      <c r="C242" t="str">
        <f>BIBLE!E151</f>
        <v>E01</v>
      </c>
      <c r="D242" s="90" t="s">
        <v>1494</v>
      </c>
      <c r="E242" s="90">
        <f>Test_Bible!Q263</f>
        <v>3</v>
      </c>
    </row>
    <row r="243" spans="1:6">
      <c r="A243" t="s">
        <v>397</v>
      </c>
      <c r="B243" t="str">
        <f>IF(Test_Bible!B264&lt;&gt;"","O","N")</f>
        <v>O</v>
      </c>
      <c r="C243" t="str">
        <f>BIBLE!E152</f>
        <v>E02</v>
      </c>
      <c r="D243" s="90" t="s">
        <v>1495</v>
      </c>
      <c r="E243" s="90">
        <f>Test_Bible!Q264</f>
        <v>9</v>
      </c>
    </row>
    <row r="244" spans="1:6">
      <c r="A244" t="s">
        <v>397</v>
      </c>
      <c r="B244" t="str">
        <f>IF(Test_Bible!B265&lt;&gt;"","O","N")</f>
        <v>O</v>
      </c>
      <c r="C244" t="str">
        <f>BIBLE!E153</f>
        <v>E02a</v>
      </c>
      <c r="D244" s="90" t="s">
        <v>1491</v>
      </c>
      <c r="E244" s="90">
        <f>Test_Bible!Q265</f>
        <v>5</v>
      </c>
    </row>
    <row r="245" spans="1:6">
      <c r="A245" t="s">
        <v>1484</v>
      </c>
      <c r="B245" t="str">
        <f>IF(Test_Bible!B267&lt;&gt;"","O","N")</f>
        <v>O</v>
      </c>
      <c r="C245" t="str">
        <f>BIBLE!E154</f>
        <v>E03</v>
      </c>
      <c r="D245" s="90" t="s">
        <v>1480</v>
      </c>
      <c r="E245" s="90">
        <f>Test_Bible!Q267</f>
        <v>2</v>
      </c>
      <c r="F245" s="55">
        <f>Test_Bible!V267</f>
        <v>2</v>
      </c>
    </row>
    <row r="246" spans="1:6">
      <c r="A246" t="s">
        <v>1484</v>
      </c>
      <c r="B246" t="str">
        <f>IF(Test_Bible!B268&lt;&gt;"","O","N")</f>
        <v>O</v>
      </c>
      <c r="C246" t="str">
        <f>BIBLE!E155</f>
        <v>E03a</v>
      </c>
      <c r="D246" s="90"/>
      <c r="E246" s="90">
        <f>Test_Bible!Q268</f>
        <v>0</v>
      </c>
    </row>
    <row r="247" spans="1:6">
      <c r="A247" t="s">
        <v>1484</v>
      </c>
      <c r="B247" t="str">
        <f>IF(Test_Bible!B269&lt;&gt;"","O","N")</f>
        <v>O</v>
      </c>
      <c r="C247" t="str">
        <f>BIBLE!E156</f>
        <v>E04</v>
      </c>
      <c r="D247" s="90" t="s">
        <v>1485</v>
      </c>
      <c r="E247" s="90">
        <f>Test_Bible!Q269</f>
        <v>8</v>
      </c>
      <c r="F247" s="55">
        <f>Test_Bible!V269</f>
        <v>21</v>
      </c>
    </row>
    <row r="248" spans="1:6">
      <c r="A248" t="s">
        <v>1484</v>
      </c>
      <c r="B248" t="str">
        <f>IF(Test_Bible!B270&lt;&gt;"","O","N")</f>
        <v>O</v>
      </c>
      <c r="C248" t="str">
        <f>BIBLE!E157</f>
        <v>E04a</v>
      </c>
      <c r="D248" s="90" t="s">
        <v>1487</v>
      </c>
      <c r="E248" s="90">
        <f>Test_Bible!Q270</f>
        <v>21</v>
      </c>
    </row>
    <row r="249" spans="1:6">
      <c r="A249" t="s">
        <v>1484</v>
      </c>
      <c r="B249" t="str">
        <f>IF(Test_Bible!B271&lt;&gt;"","O","N")</f>
        <v>O</v>
      </c>
      <c r="C249" t="str">
        <f>BIBLE!E158</f>
        <v>E04a1</v>
      </c>
      <c r="D249" s="90" t="s">
        <v>1487</v>
      </c>
      <c r="E249" s="90">
        <f>Test_Bible!Q271</f>
        <v>21</v>
      </c>
    </row>
    <row r="250" spans="1:6">
      <c r="A250" t="s">
        <v>1484</v>
      </c>
      <c r="B250" t="str">
        <f>IF(Test_Bible!B272&lt;&gt;"","O","N")</f>
        <v>O</v>
      </c>
      <c r="C250" t="str">
        <f>BIBLE!E159</f>
        <v>E05</v>
      </c>
      <c r="D250" s="90" t="s">
        <v>1487</v>
      </c>
      <c r="E250" s="90">
        <f>Test_Bible!Q272</f>
        <v>14</v>
      </c>
      <c r="F250" s="55">
        <f>Test_Bible!V272</f>
        <v>14</v>
      </c>
    </row>
    <row r="251" spans="1:6">
      <c r="A251" t="s">
        <v>1486</v>
      </c>
      <c r="B251" t="str">
        <f>IF(Test_Bible!B274&lt;&gt;"","O","N")</f>
        <v>O</v>
      </c>
      <c r="C251" s="45" t="str">
        <f>BIBLE!E160</f>
        <v>E05a</v>
      </c>
      <c r="D251" s="90">
        <v>0</v>
      </c>
      <c r="E251" s="90">
        <f>Test_Bible!P273</f>
        <v>2</v>
      </c>
    </row>
    <row r="252" spans="1:6">
      <c r="A252" t="s">
        <v>1486</v>
      </c>
      <c r="B252" t="str">
        <f t="shared" ref="B252:C254" si="8">B251</f>
        <v>O</v>
      </c>
      <c r="C252" s="45" t="str">
        <f t="shared" si="8"/>
        <v>E05a</v>
      </c>
      <c r="D252" s="90">
        <v>1</v>
      </c>
      <c r="E252" s="90"/>
    </row>
    <row r="253" spans="1:6">
      <c r="A253" t="s">
        <v>1486</v>
      </c>
      <c r="B253" t="str">
        <f t="shared" si="8"/>
        <v>O</v>
      </c>
      <c r="C253" s="45" t="str">
        <f t="shared" si="8"/>
        <v>E05a</v>
      </c>
      <c r="D253" s="90">
        <v>0</v>
      </c>
      <c r="E253" s="90"/>
    </row>
    <row r="254" spans="1:6">
      <c r="A254" t="s">
        <v>1486</v>
      </c>
      <c r="B254" t="str">
        <f t="shared" si="8"/>
        <v>O</v>
      </c>
      <c r="C254" s="45" t="str">
        <f t="shared" si="8"/>
        <v>E05a</v>
      </c>
      <c r="D254" s="90">
        <v>0</v>
      </c>
      <c r="E254" s="90"/>
    </row>
    <row r="255" spans="1:6">
      <c r="A255" t="s">
        <v>1484</v>
      </c>
      <c r="B255" t="str">
        <f>IF(Test_Bible!B278&lt;&gt;"","O","N")</f>
        <v>O</v>
      </c>
      <c r="C255" t="str">
        <f>BIBLE!E161</f>
        <v>E06</v>
      </c>
      <c r="D255" s="90" t="s">
        <v>1485</v>
      </c>
      <c r="E255" s="90">
        <f>Test_Bible!Q278</f>
        <v>8</v>
      </c>
      <c r="F255" s="55">
        <f>Test_Bible!V278</f>
        <v>12</v>
      </c>
    </row>
    <row r="256" spans="1:6">
      <c r="A256" t="s">
        <v>1484</v>
      </c>
      <c r="B256" t="str">
        <f>IF(Test_Bible!B279&lt;&gt;"","O","N")</f>
        <v>O</v>
      </c>
      <c r="C256" t="str">
        <f>BIBLE!E162</f>
        <v>E06a</v>
      </c>
      <c r="D256" s="90" t="s">
        <v>1485</v>
      </c>
      <c r="E256" s="90">
        <f>Test_Bible!Q279</f>
        <v>12</v>
      </c>
    </row>
    <row r="257" spans="1:6">
      <c r="A257" t="s">
        <v>1484</v>
      </c>
      <c r="B257" t="str">
        <f>IF(Test_Bible!B280&lt;&gt;"","O","N")</f>
        <v>O</v>
      </c>
      <c r="C257" t="str">
        <f>BIBLE!E163</f>
        <v>E06a1</v>
      </c>
      <c r="D257" s="90" t="s">
        <v>1477</v>
      </c>
      <c r="E257" s="90">
        <f>Test_Bible!Q280</f>
        <v>3</v>
      </c>
    </row>
    <row r="258" spans="1:6">
      <c r="A258" t="s">
        <v>1484</v>
      </c>
      <c r="B258" t="str">
        <f>IF(Test_Bible!B281&lt;&gt;"","O","N")</f>
        <v>O</v>
      </c>
      <c r="C258" t="str">
        <f>BIBLE!E164</f>
        <v>E07</v>
      </c>
      <c r="D258" s="90" t="s">
        <v>1487</v>
      </c>
      <c r="E258" s="90">
        <f>Test_Bible!Q281</f>
        <v>7</v>
      </c>
      <c r="F258" s="55">
        <f>Test_Bible!V281</f>
        <v>7</v>
      </c>
    </row>
    <row r="259" spans="1:6">
      <c r="A259" t="s">
        <v>1484</v>
      </c>
      <c r="B259" t="str">
        <f>IF(Test_Bible!B282&lt;&gt;"","O","N")</f>
        <v>O</v>
      </c>
      <c r="C259" t="str">
        <f>BIBLE!E165</f>
        <v>E09</v>
      </c>
      <c r="D259" s="90" t="s">
        <v>1487</v>
      </c>
      <c r="E259" s="90">
        <f>Test_Bible!Q282</f>
        <v>7</v>
      </c>
      <c r="F259" s="55">
        <f>Test_Bible!V282</f>
        <v>7</v>
      </c>
    </row>
    <row r="260" spans="1:6">
      <c r="A260" t="s">
        <v>1484</v>
      </c>
      <c r="B260" t="str">
        <f>IF(Test_Bible!B283&lt;&gt;"","O","N")</f>
        <v>O</v>
      </c>
      <c r="C260" t="str">
        <f>BIBLE!E166</f>
        <v>E10</v>
      </c>
      <c r="D260" s="90" t="s">
        <v>1477</v>
      </c>
      <c r="E260" s="90">
        <f>Test_Bible!Q283</f>
        <v>2</v>
      </c>
      <c r="F260" s="55">
        <f>Test_Bible!V283</f>
        <v>2</v>
      </c>
    </row>
    <row r="261" spans="1:6">
      <c r="A261" t="s">
        <v>1484</v>
      </c>
      <c r="B261" t="str">
        <f>IF(Test_Bible!B284&lt;&gt;"","O","N")</f>
        <v>O</v>
      </c>
      <c r="C261" t="str">
        <f>BIBLE!E167</f>
        <v>E11</v>
      </c>
      <c r="D261" s="90" t="s">
        <v>1485</v>
      </c>
      <c r="E261" s="90">
        <f>Test_Bible!Q284</f>
        <v>8</v>
      </c>
      <c r="F261" s="55">
        <f>Test_Bible!V284</f>
        <v>8</v>
      </c>
    </row>
    <row r="262" spans="1:6">
      <c r="A262" t="s">
        <v>1484</v>
      </c>
      <c r="B262" t="str">
        <f>IF(Test_Bible!B285&lt;&gt;"","O","N")</f>
        <v>O</v>
      </c>
      <c r="C262" t="str">
        <f>BIBLE!E168</f>
        <v>E13</v>
      </c>
      <c r="D262" s="90" t="s">
        <v>1477</v>
      </c>
      <c r="E262" s="90">
        <f>Test_Bible!Q285</f>
        <v>2</v>
      </c>
      <c r="F262" s="55">
        <f>Test_Bible!V285</f>
        <v>2</v>
      </c>
    </row>
    <row r="263" spans="1:6">
      <c r="A263" t="s">
        <v>1484</v>
      </c>
      <c r="B263" t="str">
        <f>IF(Test_Bible!B286&lt;&gt;"","O","N")</f>
        <v>O</v>
      </c>
      <c r="C263" t="str">
        <f>BIBLE!E169</f>
        <v>E14</v>
      </c>
      <c r="D263" s="90" t="s">
        <v>1477</v>
      </c>
      <c r="E263" s="90">
        <f>Test_Bible!Q286</f>
        <v>2</v>
      </c>
      <c r="F263" s="55">
        <f>Test_Bible!V286</f>
        <v>2</v>
      </c>
    </row>
    <row r="264" spans="1:6">
      <c r="A264" t="s">
        <v>1484</v>
      </c>
      <c r="B264" t="str">
        <f>IF(Test_Bible!B287&lt;&gt;"","O","N")</f>
        <v>O</v>
      </c>
      <c r="C264" t="str">
        <f>BIBLE!E170</f>
        <v>E14a</v>
      </c>
      <c r="D264" s="90"/>
      <c r="E264" s="90">
        <f>Test_Bible!Q287</f>
        <v>0</v>
      </c>
    </row>
    <row r="265" spans="1:6">
      <c r="A265" t="s">
        <v>1484</v>
      </c>
      <c r="B265" t="str">
        <f>IF(Test_Bible!B288&lt;&gt;"","O","N")</f>
        <v>O</v>
      </c>
      <c r="C265" t="str">
        <f>BIBLE!E171</f>
        <v>E15</v>
      </c>
      <c r="D265" s="90" t="s">
        <v>1480</v>
      </c>
      <c r="E265" s="90">
        <f>Test_Bible!Q288</f>
        <v>4</v>
      </c>
      <c r="F265" s="55">
        <f>Test_Bible!V288</f>
        <v>4</v>
      </c>
    </row>
    <row r="266" spans="1:6">
      <c r="A266" t="s">
        <v>1484</v>
      </c>
      <c r="B266" t="str">
        <f>IF(Test_Bible!B289&lt;&gt;"","O","N")</f>
        <v>O</v>
      </c>
      <c r="C266" t="str">
        <f>BIBLE!E172</f>
        <v>E15a</v>
      </c>
      <c r="D266" s="90"/>
      <c r="E266" s="90">
        <f>Test_Bible!Q289</f>
        <v>0</v>
      </c>
    </row>
    <row r="267" spans="1:6">
      <c r="A267" t="s">
        <v>1484</v>
      </c>
      <c r="B267" t="str">
        <f>IF(Test_Bible!B290&lt;&gt;"","O","N")</f>
        <v>O</v>
      </c>
      <c r="C267" t="str">
        <f>BIBLE!E173</f>
        <v>E16</v>
      </c>
      <c r="D267" s="90" t="s">
        <v>1487</v>
      </c>
      <c r="E267" s="90">
        <f>Test_Bible!Q290</f>
        <v>14</v>
      </c>
      <c r="F267" s="55">
        <f>Test_Bible!V290</f>
        <v>14</v>
      </c>
    </row>
    <row r="268" spans="1:6">
      <c r="A268" t="s">
        <v>1486</v>
      </c>
      <c r="B268" t="str">
        <f>IF(Test_Bible!B291&lt;&gt;"","O","N")</f>
        <v>O</v>
      </c>
      <c r="C268" s="45" t="str">
        <f>BIBLE!E174</f>
        <v>E16a</v>
      </c>
      <c r="D268" s="90">
        <v>1</v>
      </c>
      <c r="E268" s="90">
        <f>Test_Bible!P291</f>
        <v>1</v>
      </c>
    </row>
    <row r="269" spans="1:6">
      <c r="A269" t="s">
        <v>1486</v>
      </c>
      <c r="B269" t="str">
        <f>B268</f>
        <v>O</v>
      </c>
      <c r="C269" s="45" t="str">
        <f>C268</f>
        <v>E16a</v>
      </c>
      <c r="D269" s="90">
        <v>0</v>
      </c>
      <c r="E269" s="90"/>
    </row>
    <row r="270" spans="1:6">
      <c r="A270" t="s">
        <v>1486</v>
      </c>
      <c r="B270" t="str">
        <f>B269</f>
        <v>O</v>
      </c>
      <c r="C270" s="45" t="str">
        <f>C269</f>
        <v>E16a</v>
      </c>
      <c r="D270" s="90">
        <v>0</v>
      </c>
      <c r="E270" s="90"/>
    </row>
    <row r="271" spans="1:6">
      <c r="A271" t="s">
        <v>1484</v>
      </c>
      <c r="B271" t="str">
        <f>IF(Test_Bible!B296&lt;&gt;"","O","N")</f>
        <v>N</v>
      </c>
      <c r="C271" t="str">
        <f>BIBLE!E175</f>
        <v>E16a1</v>
      </c>
      <c r="D271" s="90"/>
      <c r="E271" s="90">
        <f>Test_Bible!Q296</f>
        <v>0</v>
      </c>
    </row>
    <row r="272" spans="1:6">
      <c r="A272" t="s">
        <v>1484</v>
      </c>
      <c r="B272" t="str">
        <f>IF(Test_Bible!B297&lt;&gt;"","O","N")</f>
        <v>N</v>
      </c>
      <c r="C272" t="str">
        <f>BIBLE!E176</f>
        <v>E16a2</v>
      </c>
      <c r="D272" s="90"/>
      <c r="E272" s="90">
        <f>Test_Bible!Q297</f>
        <v>0</v>
      </c>
    </row>
    <row r="273" spans="1:6">
      <c r="A273" t="s">
        <v>1484</v>
      </c>
      <c r="B273" t="str">
        <f>IF(Test_Bible!B298&lt;&gt;"","O","N")</f>
        <v>N</v>
      </c>
      <c r="C273" t="str">
        <f>BIBLE!E177</f>
        <v>E16a3</v>
      </c>
      <c r="D273" s="90"/>
      <c r="E273" s="90">
        <f>Test_Bible!Q298</f>
        <v>0</v>
      </c>
    </row>
    <row r="274" spans="1:6">
      <c r="A274" t="s">
        <v>1484</v>
      </c>
      <c r="B274" t="str">
        <f>IF(Test_Bible!B299&lt;&gt;"","O","N")</f>
        <v>O</v>
      </c>
      <c r="C274" t="str">
        <f>BIBLE!E178</f>
        <v>E18</v>
      </c>
      <c r="D274" s="90" t="s">
        <v>1487</v>
      </c>
      <c r="E274" s="90">
        <f>Test_Bible!Q299</f>
        <v>14</v>
      </c>
      <c r="F274" s="55">
        <f>Test_Bible!V299</f>
        <v>14</v>
      </c>
    </row>
    <row r="275" spans="1:6">
      <c r="A275" t="s">
        <v>1484</v>
      </c>
      <c r="B275" t="str">
        <f>IF(Test_Bible!B300&lt;&gt;"","O","N")</f>
        <v>O</v>
      </c>
      <c r="C275" t="str">
        <f>BIBLE!E179</f>
        <v>E20</v>
      </c>
      <c r="D275" s="90" t="s">
        <v>1487</v>
      </c>
      <c r="E275" s="90">
        <f>Test_Bible!Q300</f>
        <v>14</v>
      </c>
      <c r="F275" s="55">
        <f>Test_Bible!V300</f>
        <v>14</v>
      </c>
    </row>
    <row r="276" spans="1:6">
      <c r="A276" t="s">
        <v>1484</v>
      </c>
      <c r="B276" t="str">
        <f>IF(Test_Bible!B301&lt;&gt;"","O","N")</f>
        <v>O</v>
      </c>
      <c r="C276" t="str">
        <f>BIBLE!E180</f>
        <v>E20a</v>
      </c>
      <c r="D276" s="90" t="s">
        <v>1485</v>
      </c>
      <c r="E276" s="90">
        <f>Test_Bible!Q301</f>
        <v>12</v>
      </c>
    </row>
    <row r="277" spans="1:6">
      <c r="A277" t="s">
        <v>1484</v>
      </c>
      <c r="B277" t="str">
        <f>IF(Test_Bible!B302&lt;&gt;"","O","N")</f>
        <v>O</v>
      </c>
      <c r="C277" t="str">
        <f>BIBLE!E181</f>
        <v>E21</v>
      </c>
      <c r="D277" s="90" t="s">
        <v>1485</v>
      </c>
      <c r="E277" s="90">
        <f>Test_Bible!Q302</f>
        <v>4</v>
      </c>
      <c r="F277">
        <f>Test_Bible!V302</f>
        <v>14</v>
      </c>
    </row>
    <row r="278" spans="1:6">
      <c r="A278" t="s">
        <v>1484</v>
      </c>
      <c r="B278" t="str">
        <f>IF(Test_Bible!B303&lt;&gt;"","O","N")</f>
        <v>O</v>
      </c>
      <c r="C278" t="str">
        <f>BIBLE!E182</f>
        <v>E21a</v>
      </c>
      <c r="D278" s="90" t="s">
        <v>1487</v>
      </c>
      <c r="E278" s="90">
        <f>Test_Bible!Q303</f>
        <v>14</v>
      </c>
    </row>
    <row r="279" spans="1:6">
      <c r="A279" t="s">
        <v>1484</v>
      </c>
      <c r="B279" t="str">
        <f>IF(Test_Bible!B304&lt;&gt;"","O","N")</f>
        <v>O</v>
      </c>
      <c r="C279" t="str">
        <f>BIBLE!E183</f>
        <v>E22</v>
      </c>
      <c r="D279" s="90" t="s">
        <v>1480</v>
      </c>
      <c r="E279" s="90">
        <f>Test_Bible!Q304</f>
        <v>4</v>
      </c>
      <c r="F279" s="55">
        <f>Test_Bible!V304</f>
        <v>6</v>
      </c>
    </row>
    <row r="280" spans="1:6">
      <c r="A280" t="s">
        <v>1484</v>
      </c>
      <c r="B280" t="str">
        <f>IF(Test_Bible!B305&lt;&gt;"","O","N")</f>
        <v>O</v>
      </c>
      <c r="C280" t="str">
        <f>BIBLE!E184</f>
        <v>E22a</v>
      </c>
      <c r="D280" s="90" t="s">
        <v>1480</v>
      </c>
      <c r="E280" s="90">
        <f>Test_Bible!Q305</f>
        <v>6</v>
      </c>
    </row>
    <row r="281" spans="1:6">
      <c r="A281" t="s">
        <v>1484</v>
      </c>
      <c r="B281" t="str">
        <f>IF(Test_Bible!B306&lt;&gt;"","O","N")</f>
        <v>O</v>
      </c>
      <c r="C281" t="str">
        <f>BIBLE!E185</f>
        <v>E17</v>
      </c>
      <c r="D281" s="90"/>
      <c r="E281" s="90">
        <f>Test_Bible!Q306</f>
        <v>0</v>
      </c>
      <c r="F281" s="55">
        <f>Test_Bible!V306</f>
        <v>0</v>
      </c>
    </row>
    <row r="282" spans="1:6">
      <c r="A282" t="s">
        <v>1484</v>
      </c>
      <c r="B282" t="str">
        <f>IF(Test_Bible!B307&lt;&gt;"","O","N")</f>
        <v>O</v>
      </c>
      <c r="C282" t="str">
        <f>BIBLE!E186</f>
        <v>E23</v>
      </c>
      <c r="D282" s="90" t="s">
        <v>1485</v>
      </c>
      <c r="E282" s="90">
        <f>Test_Bible!Q307</f>
        <v>4</v>
      </c>
      <c r="F282" s="55">
        <f>Test_Bible!V307</f>
        <v>4</v>
      </c>
    </row>
    <row r="283" spans="1:6">
      <c r="A283" t="s">
        <v>1484</v>
      </c>
      <c r="B283" t="str">
        <f>IF(Test_Bible!B308&lt;&gt;"","O","N")</f>
        <v>O</v>
      </c>
      <c r="C283" t="str">
        <f>BIBLE!E187</f>
        <v>E24</v>
      </c>
      <c r="D283" s="90" t="s">
        <v>1485</v>
      </c>
      <c r="E283" s="90">
        <f>Test_Bible!Q308</f>
        <v>8</v>
      </c>
      <c r="F283" s="55">
        <f>Test_Bible!V308</f>
        <v>8</v>
      </c>
    </row>
    <row r="284" spans="1:6">
      <c r="A284" t="s">
        <v>1484</v>
      </c>
      <c r="B284" t="str">
        <f>IF(Test_Bible!B309&lt;&gt;"","O","N")</f>
        <v>O</v>
      </c>
      <c r="C284" t="str">
        <f>BIBLE!E188</f>
        <v>E25</v>
      </c>
      <c r="D284" s="90" t="s">
        <v>1480</v>
      </c>
      <c r="E284" s="90">
        <f>Test_Bible!Q309</f>
        <v>4</v>
      </c>
      <c r="F284" s="55">
        <f>Test_Bible!V309</f>
        <v>4</v>
      </c>
    </row>
    <row r="285" spans="1:6">
      <c r="A285" t="s">
        <v>1484</v>
      </c>
      <c r="B285" t="str">
        <f>IF(Test_Bible!B310&lt;&gt;"","O","N")</f>
        <v>O</v>
      </c>
      <c r="C285" t="str">
        <f>BIBLE!E189</f>
        <v>E26</v>
      </c>
      <c r="D285" s="90" t="s">
        <v>1487</v>
      </c>
      <c r="E285" s="90">
        <f>Test_Bible!Q310</f>
        <v>14</v>
      </c>
      <c r="F285" s="55">
        <f>Test_Bible!V310</f>
        <v>14</v>
      </c>
    </row>
    <row r="286" spans="1:6">
      <c r="A286" t="s">
        <v>1484</v>
      </c>
      <c r="B286" t="str">
        <f>IF(Test_Bible!B311&lt;&gt;"","O","N")</f>
        <v>O</v>
      </c>
      <c r="C286" t="str">
        <f>BIBLE!E190</f>
        <v>E12</v>
      </c>
      <c r="D286" s="90" t="s">
        <v>1487</v>
      </c>
      <c r="E286" s="90">
        <f>Test_Bible!Q311</f>
        <v>14</v>
      </c>
      <c r="F286" s="55">
        <f>Test_Bible!V311</f>
        <v>14</v>
      </c>
    </row>
    <row r="287" spans="1:6">
      <c r="A287" t="s">
        <v>1484</v>
      </c>
      <c r="B287" t="str">
        <f>IF(Test_Bible!B312&lt;&gt;"","O","N")</f>
        <v>O</v>
      </c>
      <c r="C287" t="str">
        <f>BIBLE!E191</f>
        <v>E27</v>
      </c>
      <c r="D287" s="90" t="s">
        <v>1485</v>
      </c>
      <c r="E287" s="90">
        <f>Test_Bible!Q312</f>
        <v>8</v>
      </c>
      <c r="F287" s="55">
        <f>Test_Bible!V312</f>
        <v>12</v>
      </c>
    </row>
    <row r="288" spans="1:6">
      <c r="A288" t="s">
        <v>1496</v>
      </c>
      <c r="B288" t="str">
        <f>IF(Test_Bible!B313&lt;&gt;"","O","N")</f>
        <v>O</v>
      </c>
      <c r="C288" t="str">
        <f>BIBLE!E192</f>
        <v>E27a</v>
      </c>
      <c r="D288" s="90" t="s">
        <v>1494</v>
      </c>
      <c r="E288" s="90"/>
    </row>
    <row r="289" spans="1:6">
      <c r="A289" t="s">
        <v>1484</v>
      </c>
      <c r="B289" t="str">
        <f>IF(Test_Bible!B320&lt;&gt;"","O","N")</f>
        <v>O</v>
      </c>
      <c r="C289" t="str">
        <f>BIBLE!E193</f>
        <v>E27a1</v>
      </c>
      <c r="D289" s="90" t="s">
        <v>1485</v>
      </c>
      <c r="E289" s="90">
        <f>Test_Bible!Q320</f>
        <v>12</v>
      </c>
    </row>
    <row r="290" spans="1:6">
      <c r="A290" t="s">
        <v>1484</v>
      </c>
      <c r="B290" t="str">
        <f>IF(Test_Bible!B321&lt;&gt;"","O","N")</f>
        <v>O</v>
      </c>
      <c r="C290" t="str">
        <f>BIBLE!E194</f>
        <v>E28</v>
      </c>
      <c r="D290" s="90" t="s">
        <v>1487</v>
      </c>
      <c r="E290" s="90">
        <f>Test_Bible!Q321</f>
        <v>14</v>
      </c>
      <c r="F290" s="55">
        <f>Test_Bible!V321</f>
        <v>14</v>
      </c>
    </row>
    <row r="291" spans="1:6">
      <c r="A291" t="s">
        <v>1484</v>
      </c>
      <c r="B291" t="str">
        <f>IF(Test_Bible!B322&lt;&gt;"","O","N")</f>
        <v>O</v>
      </c>
      <c r="C291" t="str">
        <f>BIBLE!E195</f>
        <v>E29</v>
      </c>
      <c r="D291" s="90" t="s">
        <v>1485</v>
      </c>
      <c r="E291" s="90">
        <f>Test_Bible!Q322</f>
        <v>8</v>
      </c>
      <c r="F291" s="55">
        <f>Test_Bible!V322</f>
        <v>21</v>
      </c>
    </row>
    <row r="292" spans="1:6">
      <c r="A292" t="s">
        <v>1484</v>
      </c>
      <c r="B292" t="str">
        <f>IF(Test_Bible!B323&lt;&gt;"","O","N")</f>
        <v>O</v>
      </c>
      <c r="C292" t="str">
        <f>BIBLE!E196</f>
        <v>E29a</v>
      </c>
      <c r="D292" s="90" t="s">
        <v>1487</v>
      </c>
      <c r="E292" s="90">
        <f>Test_Bible!Q323</f>
        <v>21</v>
      </c>
    </row>
    <row r="293" spans="1:6">
      <c r="A293" t="s">
        <v>1484</v>
      </c>
      <c r="B293" t="str">
        <f>IF(Test_Bible!B324&lt;&gt;"","O","N")</f>
        <v>O</v>
      </c>
      <c r="C293" t="str">
        <f>BIBLE!E197</f>
        <v>E30</v>
      </c>
      <c r="D293" s="90" t="s">
        <v>1485</v>
      </c>
      <c r="E293" s="90">
        <f>Test_Bible!Q324</f>
        <v>8</v>
      </c>
      <c r="F293" s="55">
        <f>Test_Bible!V324</f>
        <v>8</v>
      </c>
    </row>
    <row r="294" spans="1:6">
      <c r="A294" t="s">
        <v>1484</v>
      </c>
      <c r="B294" t="str">
        <f>IF(Test_Bible!B325&lt;&gt;"","O","N")</f>
        <v>N</v>
      </c>
      <c r="C294" t="str">
        <f>BIBLE!E198</f>
        <v>E32</v>
      </c>
      <c r="D294" s="90" t="s">
        <v>1485</v>
      </c>
      <c r="E294" s="90">
        <f>Test_Bible!Q325</f>
        <v>8</v>
      </c>
      <c r="F294" s="55">
        <f>Test_Bible!V325</f>
        <v>8</v>
      </c>
    </row>
    <row r="295" spans="1:6">
      <c r="A295" t="s">
        <v>1484</v>
      </c>
      <c r="B295" t="str">
        <f>IF(Test_Bible!B326&lt;&gt;"","O","N")</f>
        <v>O</v>
      </c>
      <c r="C295" t="str">
        <f>BIBLE!E199</f>
        <v>E33</v>
      </c>
      <c r="D295" s="90" t="s">
        <v>1480</v>
      </c>
      <c r="E295" s="90">
        <f>Test_Bible!Q326</f>
        <v>6</v>
      </c>
      <c r="F295" s="55">
        <f>Test_Bible!V326</f>
        <v>6</v>
      </c>
    </row>
    <row r="296" spans="1:6">
      <c r="A296" t="s">
        <v>1484</v>
      </c>
      <c r="B296" t="str">
        <f>IF(Test_Bible!B327&lt;&gt;"","O","N")</f>
        <v>O</v>
      </c>
      <c r="C296" t="str">
        <f>BIBLE!E200</f>
        <v>E33a</v>
      </c>
      <c r="D296" s="90"/>
      <c r="E296" s="90">
        <f>Test_Bible!Q327</f>
        <v>0</v>
      </c>
    </row>
    <row r="297" spans="1:6">
      <c r="A297" t="s">
        <v>1484</v>
      </c>
      <c r="B297" t="str">
        <f>IF(Test_Bible!B328&lt;&gt;"","O","N")</f>
        <v>O</v>
      </c>
      <c r="C297" t="str">
        <f>BIBLE!E201</f>
        <v>E33b</v>
      </c>
      <c r="D297" s="90"/>
      <c r="E297" s="90">
        <f>Test_Bible!Q328</f>
        <v>0</v>
      </c>
    </row>
    <row r="298" spans="1:6">
      <c r="A298" t="s">
        <v>1484</v>
      </c>
      <c r="B298" t="str">
        <f>IF(Test_Bible!B329&lt;&gt;"","O","N")</f>
        <v>O</v>
      </c>
      <c r="C298" t="str">
        <f>BIBLE!E202</f>
        <v>E34</v>
      </c>
      <c r="D298" s="90" t="s">
        <v>1480</v>
      </c>
      <c r="E298" s="90">
        <f>Test_Bible!Q329</f>
        <v>4</v>
      </c>
      <c r="F298" s="55">
        <f>Test_Bible!V329</f>
        <v>4</v>
      </c>
    </row>
    <row r="299" spans="1:6">
      <c r="A299" t="s">
        <v>1496</v>
      </c>
      <c r="B299" t="str">
        <f>IF(Test_Bible!B330&lt;&gt;"","O","N")</f>
        <v>O</v>
      </c>
      <c r="C299" t="str">
        <f>BIBLE!E203</f>
        <v>E35</v>
      </c>
      <c r="D299" s="90" t="s">
        <v>1490</v>
      </c>
      <c r="E299" s="90"/>
    </row>
    <row r="300" spans="1:6">
      <c r="A300" t="s">
        <v>1484</v>
      </c>
      <c r="B300" t="str">
        <f>IF(Test_Bible!B336&lt;&gt;"","O","N")</f>
        <v>O</v>
      </c>
      <c r="C300" t="str">
        <f>BIBLE!E204</f>
        <v>E35a</v>
      </c>
      <c r="D300" s="90"/>
      <c r="E300" s="90">
        <f>Test_Bible!Q336</f>
        <v>0</v>
      </c>
    </row>
    <row r="301" spans="1:6">
      <c r="A301" t="s">
        <v>1484</v>
      </c>
      <c r="B301" t="str">
        <f>IF(Test_Bible!B337&lt;&gt;"","O","N")</f>
        <v>O</v>
      </c>
      <c r="C301" t="str">
        <f>BIBLE!E205</f>
        <v>E35b</v>
      </c>
      <c r="D301" s="90" t="s">
        <v>1487</v>
      </c>
      <c r="E301" s="90">
        <f>Test_Bible!Q337</f>
        <v>7</v>
      </c>
    </row>
    <row r="302" spans="1:6">
      <c r="A302" t="s">
        <v>1486</v>
      </c>
      <c r="B302" t="str">
        <f>IF(Test_Bible!B338&lt;&gt;"","O","N")</f>
        <v>O</v>
      </c>
      <c r="C302" t="str">
        <f>BIBLE!E206</f>
        <v>E36</v>
      </c>
      <c r="D302" s="90" t="s">
        <v>1492</v>
      </c>
      <c r="E302" s="90"/>
    </row>
    <row r="303" spans="1:6">
      <c r="A303" t="s">
        <v>1484</v>
      </c>
      <c r="B303" t="str">
        <f>IF(Test_Bible!B341&lt;&gt;"","O","N")</f>
        <v>N</v>
      </c>
      <c r="C303" t="str">
        <f>BIBLE!E207</f>
        <v>E36a</v>
      </c>
      <c r="D303" s="90"/>
      <c r="E303" s="90">
        <f>Test_Bible!Q341</f>
        <v>0</v>
      </c>
    </row>
    <row r="304" spans="1:6">
      <c r="A304" t="s">
        <v>1484</v>
      </c>
      <c r="B304" t="str">
        <f>IF(Test_Bible!B342&lt;&gt;"","O","N")</f>
        <v>N</v>
      </c>
      <c r="C304" t="str">
        <f t="shared" ref="C304:C310" si="9">C303</f>
        <v>E36a</v>
      </c>
      <c r="D304" s="90"/>
      <c r="E304" s="90">
        <f>Test_Bible!Q342</f>
        <v>0</v>
      </c>
    </row>
    <row r="305" spans="1:6">
      <c r="A305" t="s">
        <v>1484</v>
      </c>
      <c r="B305" t="str">
        <f>IF(Test_Bible!B343&lt;&gt;"","O","N")</f>
        <v>N</v>
      </c>
      <c r="C305" t="str">
        <f t="shared" si="9"/>
        <v>E36a</v>
      </c>
      <c r="D305" s="90"/>
      <c r="E305" s="90">
        <f>Test_Bible!Q343</f>
        <v>0</v>
      </c>
    </row>
    <row r="306" spans="1:6">
      <c r="A306" t="s">
        <v>1484</v>
      </c>
      <c r="B306" t="str">
        <f>IF(Test_Bible!B344&lt;&gt;"","O","N")</f>
        <v>N</v>
      </c>
      <c r="C306" t="str">
        <f t="shared" si="9"/>
        <v>E36a</v>
      </c>
      <c r="D306" s="90"/>
      <c r="E306" s="90">
        <f>Test_Bible!Q344</f>
        <v>0</v>
      </c>
    </row>
    <row r="307" spans="1:6">
      <c r="A307" t="s">
        <v>1484</v>
      </c>
      <c r="B307" t="str">
        <f>IF(Test_Bible!B345&lt;&gt;"","O","N")</f>
        <v>N</v>
      </c>
      <c r="C307" t="str">
        <f t="shared" si="9"/>
        <v>E36a</v>
      </c>
      <c r="D307" s="90"/>
      <c r="E307" s="90">
        <f>Test_Bible!Q345</f>
        <v>0</v>
      </c>
    </row>
    <row r="308" spans="1:6">
      <c r="A308" t="s">
        <v>1486</v>
      </c>
      <c r="B308" t="str">
        <f>IF(Test_Bible!B347&lt;&gt;"","O","N")</f>
        <v>N</v>
      </c>
      <c r="C308" t="str">
        <f t="shared" si="9"/>
        <v>E36a</v>
      </c>
      <c r="D308" s="90"/>
      <c r="E308" s="90">
        <f>Test_Bible!Q347</f>
        <v>0</v>
      </c>
    </row>
    <row r="309" spans="1:6">
      <c r="A309" t="s">
        <v>1486</v>
      </c>
      <c r="B309" t="str">
        <f>IF(Test_Bible!B349&lt;&gt;"","O","N")</f>
        <v>N</v>
      </c>
      <c r="C309" t="str">
        <f t="shared" si="9"/>
        <v>E36a</v>
      </c>
      <c r="D309" s="90"/>
      <c r="E309" s="90">
        <f>Test_Bible!Q349</f>
        <v>0</v>
      </c>
    </row>
    <row r="310" spans="1:6">
      <c r="A310" t="s">
        <v>1486</v>
      </c>
      <c r="B310" t="str">
        <f>IF(Test_Bible!B351&lt;&gt;"","O","N")</f>
        <v>N</v>
      </c>
      <c r="C310" t="str">
        <f t="shared" si="9"/>
        <v>E36a</v>
      </c>
      <c r="D310" s="90"/>
      <c r="E310" s="90">
        <f>Test_Bible!Q351</f>
        <v>0</v>
      </c>
    </row>
    <row r="311" spans="1:6">
      <c r="A311" t="s">
        <v>1484</v>
      </c>
      <c r="B311" t="str">
        <f>IF(Test_Bible!B356&lt;&gt;"","O","N")</f>
        <v>N</v>
      </c>
      <c r="C311" t="str">
        <f>BIBLE!E208</f>
        <v>E36a1</v>
      </c>
      <c r="D311" s="90"/>
      <c r="E311" s="90">
        <f>Test_Bible!Q356</f>
        <v>0</v>
      </c>
    </row>
    <row r="312" spans="1:6">
      <c r="A312" t="s">
        <v>1484</v>
      </c>
      <c r="B312" t="str">
        <f>IF(Test_Bible!B357&lt;&gt;"","O","N")</f>
        <v>N</v>
      </c>
      <c r="C312" t="str">
        <f t="shared" ref="C312:C318" si="10">C311</f>
        <v>E36a1</v>
      </c>
      <c r="D312" s="90"/>
      <c r="E312" s="90">
        <f>Test_Bible!Q357</f>
        <v>0</v>
      </c>
    </row>
    <row r="313" spans="1:6">
      <c r="A313" t="s">
        <v>1484</v>
      </c>
      <c r="B313" t="str">
        <f>IF(Test_Bible!B358&lt;&gt;"","O","N")</f>
        <v>N</v>
      </c>
      <c r="C313" t="str">
        <f t="shared" si="10"/>
        <v>E36a1</v>
      </c>
      <c r="D313" s="90"/>
      <c r="E313" s="90">
        <f>Test_Bible!Q358</f>
        <v>0</v>
      </c>
    </row>
    <row r="314" spans="1:6">
      <c r="A314" t="s">
        <v>1484</v>
      </c>
      <c r="B314" t="str">
        <f>IF(Test_Bible!B359&lt;&gt;"","O","N")</f>
        <v>N</v>
      </c>
      <c r="C314" t="str">
        <f t="shared" si="10"/>
        <v>E36a1</v>
      </c>
      <c r="D314" s="90"/>
      <c r="E314" s="90">
        <f>Test_Bible!Q359</f>
        <v>0</v>
      </c>
    </row>
    <row r="315" spans="1:6">
      <c r="A315" t="s">
        <v>1484</v>
      </c>
      <c r="B315" t="str">
        <f>IF(Test_Bible!B360&lt;&gt;"","O","N")</f>
        <v>N</v>
      </c>
      <c r="C315" t="str">
        <f t="shared" si="10"/>
        <v>E36a1</v>
      </c>
      <c r="D315" s="90"/>
      <c r="E315" s="90">
        <f>Test_Bible!Q360</f>
        <v>0</v>
      </c>
    </row>
    <row r="316" spans="1:6">
      <c r="A316" t="s">
        <v>1486</v>
      </c>
      <c r="B316" t="str">
        <f>IF(Test_Bible!B362&lt;&gt;"","O","N")</f>
        <v>N</v>
      </c>
      <c r="C316" t="str">
        <f t="shared" si="10"/>
        <v>E36a1</v>
      </c>
      <c r="D316" s="90"/>
      <c r="E316" s="90">
        <f>Test_Bible!Q362</f>
        <v>0</v>
      </c>
    </row>
    <row r="317" spans="1:6">
      <c r="A317" t="s">
        <v>1486</v>
      </c>
      <c r="B317" t="str">
        <f>IF(Test_Bible!B364&lt;&gt;"","O","N")</f>
        <v>N</v>
      </c>
      <c r="C317" t="str">
        <f t="shared" si="10"/>
        <v>E36a1</v>
      </c>
      <c r="D317" s="90"/>
      <c r="E317" s="90">
        <f>Test_Bible!Q364</f>
        <v>0</v>
      </c>
    </row>
    <row r="318" spans="1:6">
      <c r="A318" t="s">
        <v>1486</v>
      </c>
      <c r="B318" t="str">
        <f>IF(Test_Bible!B366&lt;&gt;"","O","N")</f>
        <v>N</v>
      </c>
      <c r="C318" t="str">
        <f t="shared" si="10"/>
        <v>E36a1</v>
      </c>
      <c r="D318" s="90"/>
      <c r="E318" s="90">
        <f>Test_Bible!Q366</f>
        <v>0</v>
      </c>
    </row>
    <row r="319" spans="1:6">
      <c r="A319" t="s">
        <v>1484</v>
      </c>
      <c r="B319" t="str">
        <f>IF(Test_Bible!B371&lt;&gt;"","O","N")</f>
        <v>O</v>
      </c>
      <c r="C319" t="str">
        <f>BIBLE!E209</f>
        <v>E37</v>
      </c>
      <c r="D319" s="90" t="s">
        <v>1485</v>
      </c>
      <c r="E319" s="90">
        <f>Test_Bible!Q371</f>
        <v>8</v>
      </c>
      <c r="F319" s="55">
        <f>Test_Bible!V371</f>
        <v>8</v>
      </c>
    </row>
    <row r="320" spans="1:6">
      <c r="A320" t="s">
        <v>1496</v>
      </c>
      <c r="B320" t="str">
        <f>IF(Test_Bible!B372&lt;&gt;"","O","N")</f>
        <v>O</v>
      </c>
      <c r="C320" t="str">
        <f>BIBLE!E210</f>
        <v>E37a</v>
      </c>
      <c r="D320" s="90" t="s">
        <v>1485</v>
      </c>
      <c r="E320" s="90"/>
    </row>
    <row r="321" spans="3:13">
      <c r="C321" s="1475"/>
      <c r="D321" s="1476"/>
      <c r="E321" s="1476"/>
      <c r="F321" s="1475"/>
      <c r="G321" s="1483">
        <f>Test_Bible!V380</f>
        <v>268</v>
      </c>
      <c r="H321" s="1483">
        <f>Test_Bible!X380</f>
        <v>0</v>
      </c>
      <c r="I321" s="1483">
        <f>Test_Bible!Y380</f>
        <v>60</v>
      </c>
      <c r="J321" s="1483">
        <f>Test_Bible!Z380</f>
        <v>120</v>
      </c>
      <c r="K321" s="1483">
        <f>Test_Bible!AA380</f>
        <v>240</v>
      </c>
      <c r="L321" s="1483">
        <f>Test_Bible!AB380</f>
        <v>420</v>
      </c>
      <c r="M321" s="1483">
        <f>Test_Bible!AC380</f>
        <v>600</v>
      </c>
    </row>
    <row r="339" spans="1:13">
      <c r="A339" t="s">
        <v>1476</v>
      </c>
      <c r="B339" t="str">
        <f>IF(Test_Bible!B387&lt;&gt;"","O","N")</f>
        <v>O</v>
      </c>
      <c r="C339" t="str">
        <f>BIBLE!E213</f>
        <v>PCR20</v>
      </c>
      <c r="D339" t="s">
        <v>1477</v>
      </c>
      <c r="F339" s="1453"/>
      <c r="G339" s="1454"/>
      <c r="H339" s="1454"/>
      <c r="I339" s="1454"/>
      <c r="J339" s="1454"/>
      <c r="K339" s="1454"/>
      <c r="L339" s="1454"/>
      <c r="M339" s="1454"/>
    </row>
    <row r="340" spans="1:13">
      <c r="A340" t="s">
        <v>1481</v>
      </c>
      <c r="B340" t="str">
        <f>IF(Test_Bible!B394&lt;&gt;"","O","N")</f>
        <v>O</v>
      </c>
      <c r="C340" t="str">
        <f>BIBLE!E214</f>
        <v>PCR21</v>
      </c>
      <c r="D340" t="s">
        <v>1477</v>
      </c>
      <c r="F340" s="1453"/>
      <c r="G340" s="1454"/>
      <c r="H340" s="1454"/>
      <c r="I340" s="1454"/>
      <c r="J340" s="1454"/>
      <c r="K340" s="1454"/>
      <c r="L340" s="1454"/>
      <c r="M340" s="1454"/>
    </row>
    <row r="341" spans="1:13">
      <c r="C341" s="1480"/>
      <c r="D341" s="1481"/>
      <c r="E341" s="1481"/>
      <c r="F341" s="1480" t="s">
        <v>1489</v>
      </c>
      <c r="G341" s="1481"/>
      <c r="H341" s="1481"/>
      <c r="I341" s="1481"/>
      <c r="J341" s="1481"/>
      <c r="K341" s="1481"/>
      <c r="L341" s="1481"/>
      <c r="M341" s="1481"/>
    </row>
    <row r="361" spans="1:6">
      <c r="A361" t="s">
        <v>397</v>
      </c>
      <c r="B361" t="str">
        <f>IF(Test_Bible!B402&lt;&gt;"","O","N")</f>
        <v>O</v>
      </c>
      <c r="C361" t="str">
        <f>BIBLE!E216</f>
        <v>NC00</v>
      </c>
      <c r="D361" t="s">
        <v>1487</v>
      </c>
      <c r="E361" s="90">
        <f>Test_Bible!Q402</f>
        <v>7</v>
      </c>
    </row>
    <row r="362" spans="1:6">
      <c r="A362" t="s">
        <v>1484</v>
      </c>
      <c r="B362" t="str">
        <f>IF(Test_Bible!B404&lt;&gt;"","O","N")</f>
        <v>O</v>
      </c>
      <c r="C362" t="str">
        <f>BIBLE!E217</f>
        <v>NC01</v>
      </c>
      <c r="D362" s="90" t="s">
        <v>1480</v>
      </c>
      <c r="E362" s="90">
        <f>Test_Bible!Q404</f>
        <v>2</v>
      </c>
      <c r="F362" s="55">
        <f>Test_Bible!V404</f>
        <v>2</v>
      </c>
    </row>
    <row r="363" spans="1:6">
      <c r="A363" t="s">
        <v>1484</v>
      </c>
      <c r="B363" t="str">
        <f>IF(Test_Bible!B405&lt;&gt;"","O","N")</f>
        <v>O</v>
      </c>
      <c r="C363" t="str">
        <f>BIBLE!E218</f>
        <v>NC01a</v>
      </c>
      <c r="D363" s="90"/>
      <c r="E363" s="90">
        <f>Test_Bible!Q405</f>
        <v>0</v>
      </c>
    </row>
    <row r="364" spans="1:6">
      <c r="A364" t="s">
        <v>1484</v>
      </c>
      <c r="B364" t="str">
        <f>IF(Test_Bible!B406&lt;&gt;"","O","N")</f>
        <v>O</v>
      </c>
      <c r="C364" t="str">
        <f>BIBLE!E219</f>
        <v>NC02</v>
      </c>
      <c r="D364" s="90" t="s">
        <v>1485</v>
      </c>
      <c r="E364" s="90">
        <f>Test_Bible!Q406</f>
        <v>8</v>
      </c>
      <c r="F364" s="55">
        <f>Test_Bible!V406</f>
        <v>8</v>
      </c>
    </row>
    <row r="365" spans="1:6">
      <c r="A365" t="s">
        <v>1484</v>
      </c>
      <c r="B365" t="str">
        <f>IF(Test_Bible!B407&lt;&gt;"","O","N")</f>
        <v>O</v>
      </c>
      <c r="C365" t="str">
        <f>BIBLE!E220</f>
        <v>NC03</v>
      </c>
      <c r="D365" s="90" t="s">
        <v>1480</v>
      </c>
      <c r="E365" s="90">
        <f>Test_Bible!Q407</f>
        <v>2</v>
      </c>
      <c r="F365" s="55">
        <f>Test_Bible!V407</f>
        <v>2</v>
      </c>
    </row>
    <row r="366" spans="1:6">
      <c r="A366" t="s">
        <v>1476</v>
      </c>
      <c r="B366" t="str">
        <f>IF(Test_Bible!B408&lt;&gt;"","O","N")</f>
        <v>O</v>
      </c>
      <c r="C366" t="str">
        <f>BIBLE!E221</f>
        <v>NC04</v>
      </c>
      <c r="D366" s="90" t="s">
        <v>1485</v>
      </c>
      <c r="E366" s="90"/>
      <c r="F366" s="55">
        <f>Test_Bible!V408</f>
        <v>18</v>
      </c>
    </row>
    <row r="367" spans="1:6">
      <c r="A367" t="s">
        <v>1484</v>
      </c>
      <c r="B367" t="str">
        <f>IF(Test_Bible!B414&lt;&gt;"","O","N")</f>
        <v>O</v>
      </c>
      <c r="C367" t="str">
        <f>BIBLE!E222</f>
        <v>NC04a</v>
      </c>
      <c r="D367" s="90" t="s">
        <v>1480</v>
      </c>
      <c r="E367" s="90">
        <f>Test_Bible!Q414</f>
        <v>6</v>
      </c>
    </row>
    <row r="368" spans="1:6">
      <c r="A368" t="s">
        <v>1484</v>
      </c>
      <c r="B368" t="str">
        <f>IF(Test_Bible!B415&lt;&gt;"","O","N")</f>
        <v>O</v>
      </c>
      <c r="C368" t="str">
        <f>BIBLE!E223</f>
        <v>NC04a1</v>
      </c>
      <c r="D368" s="90" t="s">
        <v>1485</v>
      </c>
      <c r="E368" s="90">
        <f>Test_Bible!Q415</f>
        <v>12</v>
      </c>
    </row>
    <row r="369" spans="1:13">
      <c r="A369" t="s">
        <v>1484</v>
      </c>
      <c r="B369" t="str">
        <f>IF(Test_Bible!B416&lt;&gt;"","O","N")</f>
        <v>O</v>
      </c>
      <c r="C369" t="str">
        <f>BIBLE!E224</f>
        <v>NC04b</v>
      </c>
      <c r="D369" s="90" t="s">
        <v>1480</v>
      </c>
      <c r="E369" s="90">
        <f>Test_Bible!Q416</f>
        <v>6</v>
      </c>
    </row>
    <row r="370" spans="1:13">
      <c r="A370" t="s">
        <v>1484</v>
      </c>
      <c r="B370" t="str">
        <f>IF(Test_Bible!B417&lt;&gt;"","O","N")</f>
        <v>O</v>
      </c>
      <c r="C370" t="str">
        <f>BIBLE!E225</f>
        <v>NC07</v>
      </c>
      <c r="D370" s="90" t="s">
        <v>1487</v>
      </c>
      <c r="E370" s="90">
        <f>Test_Bible!Q417</f>
        <v>14</v>
      </c>
      <c r="F370" s="55">
        <f>Test_Bible!V417</f>
        <v>14</v>
      </c>
    </row>
    <row r="371" spans="1:13">
      <c r="A371" t="s">
        <v>1484</v>
      </c>
      <c r="B371" t="str">
        <f>IF(Test_Bible!B418&lt;&gt;"","O","N")</f>
        <v>O</v>
      </c>
      <c r="C371" t="str">
        <f>BIBLE!E226</f>
        <v>NC07a</v>
      </c>
      <c r="D371" s="90" t="s">
        <v>1485</v>
      </c>
      <c r="E371" s="90">
        <f>Test_Bible!Q418</f>
        <v>8</v>
      </c>
    </row>
    <row r="372" spans="1:13">
      <c r="A372" t="s">
        <v>1484</v>
      </c>
      <c r="B372" t="str">
        <f>IF(Test_Bible!B419&lt;&gt;"","O","N")</f>
        <v>O</v>
      </c>
      <c r="C372" t="str">
        <f>BIBLE!E227</f>
        <v>NC09</v>
      </c>
      <c r="D372" s="90" t="s">
        <v>1480</v>
      </c>
      <c r="E372" s="90">
        <f>Test_Bible!Q419</f>
        <v>4</v>
      </c>
      <c r="F372" s="55">
        <f>Test_Bible!V419</f>
        <v>4</v>
      </c>
    </row>
    <row r="373" spans="1:13">
      <c r="A373" t="s">
        <v>1484</v>
      </c>
      <c r="B373" t="str">
        <f>IF(Test_Bible!B420&lt;&gt;"","O","N")</f>
        <v>O</v>
      </c>
      <c r="C373" t="str">
        <f>BIBLE!E228</f>
        <v>NC10</v>
      </c>
      <c r="D373" s="90" t="s">
        <v>1485</v>
      </c>
      <c r="E373" s="90">
        <f>Test_Bible!Q420</f>
        <v>8</v>
      </c>
      <c r="F373" s="55">
        <f>Test_Bible!V420</f>
        <v>8</v>
      </c>
    </row>
    <row r="374" spans="1:13">
      <c r="A374" t="s">
        <v>1484</v>
      </c>
      <c r="B374" t="str">
        <f>IF(Test_Bible!B421&lt;&gt;"","O","N")</f>
        <v>O</v>
      </c>
      <c r="C374" t="str">
        <f>BIBLE!E229</f>
        <v>NC11</v>
      </c>
      <c r="D374" s="90" t="s">
        <v>1485</v>
      </c>
      <c r="E374" s="90">
        <f>Test_Bible!Q421</f>
        <v>8</v>
      </c>
      <c r="F374" s="55">
        <f>Test_Bible!V421</f>
        <v>8</v>
      </c>
    </row>
    <row r="375" spans="1:13">
      <c r="A375" t="s">
        <v>1484</v>
      </c>
      <c r="B375" t="str">
        <f>IF(Test_Bible!B422&lt;&gt;"","O","N")</f>
        <v>O</v>
      </c>
      <c r="C375" t="str">
        <f>BIBLE!E230</f>
        <v>NC12</v>
      </c>
      <c r="D375" s="90" t="s">
        <v>1485</v>
      </c>
      <c r="E375" s="90">
        <f>Test_Bible!Q422</f>
        <v>12</v>
      </c>
      <c r="F375" s="55">
        <f>Test_Bible!V422</f>
        <v>12</v>
      </c>
    </row>
    <row r="376" spans="1:13">
      <c r="A376" t="s">
        <v>1484</v>
      </c>
      <c r="B376" t="str">
        <f>IF(Test_Bible!B423&lt;&gt;"","O","N")</f>
        <v>O</v>
      </c>
      <c r="C376" t="str">
        <f>BIBLE!E231</f>
        <v>NC13</v>
      </c>
      <c r="D376" s="90" t="s">
        <v>1483</v>
      </c>
      <c r="E376" s="90">
        <f>Test_Bible!Q423</f>
        <v>30</v>
      </c>
      <c r="F376" s="55">
        <f>Test_Bible!V423</f>
        <v>30</v>
      </c>
    </row>
    <row r="377" spans="1:13">
      <c r="A377" t="s">
        <v>1484</v>
      </c>
      <c r="B377" t="str">
        <f>IF(Test_Bible!B424&lt;&gt;"","O","N")</f>
        <v>O</v>
      </c>
      <c r="C377" t="str">
        <f>BIBLE!E232</f>
        <v>NC14</v>
      </c>
      <c r="D377" s="90" t="s">
        <v>1477</v>
      </c>
      <c r="E377" s="90">
        <f>Test_Bible!Q424</f>
        <v>2</v>
      </c>
      <c r="F377" s="55">
        <f>Test_Bible!V424</f>
        <v>2</v>
      </c>
    </row>
    <row r="378" spans="1:13">
      <c r="A378" t="s">
        <v>1484</v>
      </c>
      <c r="B378" t="str">
        <f>IF(Test_Bible!B425&lt;&gt;"","O","N")</f>
        <v>O</v>
      </c>
      <c r="C378" t="str">
        <f>BIBLE!E233</f>
        <v>NC15</v>
      </c>
      <c r="D378" s="90" t="s">
        <v>1477</v>
      </c>
      <c r="E378" s="90">
        <f>Test_Bible!Q425</f>
        <v>2</v>
      </c>
      <c r="F378" s="55">
        <f>Test_Bible!V425</f>
        <v>2</v>
      </c>
    </row>
    <row r="379" spans="1:13">
      <c r="A379" t="s">
        <v>1484</v>
      </c>
      <c r="B379" t="str">
        <f>IF(Test_Bible!B426&lt;&gt;"","O","N")</f>
        <v>O</v>
      </c>
      <c r="C379" t="str">
        <f>BIBLE!E234</f>
        <v>NC16</v>
      </c>
      <c r="D379" s="90"/>
      <c r="E379" s="90">
        <f>Test_Bible!Q426</f>
        <v>0</v>
      </c>
      <c r="F379" s="55">
        <f>Test_Bible!V426</f>
        <v>0</v>
      </c>
    </row>
    <row r="380" spans="1:13">
      <c r="C380" s="1472"/>
      <c r="D380" s="1473"/>
      <c r="E380" s="1473"/>
      <c r="F380" s="1472"/>
      <c r="G380" s="1474">
        <f>Test_Bible!V427</f>
        <v>110</v>
      </c>
      <c r="H380" s="1474">
        <f>Test_Bible!X427</f>
        <v>0</v>
      </c>
      <c r="I380" s="1474">
        <f>Test_Bible!Y427</f>
        <v>28</v>
      </c>
      <c r="J380" s="1474">
        <f>Test_Bible!Z427</f>
        <v>56</v>
      </c>
      <c r="K380" s="1474">
        <f>Test_Bible!AA427</f>
        <v>112</v>
      </c>
      <c r="L380" s="1474">
        <f>Test_Bible!AB427</f>
        <v>196</v>
      </c>
      <c r="M380" s="1474">
        <f>Test_Bible!AC427</f>
        <v>280</v>
      </c>
    </row>
    <row r="398" spans="1:4">
      <c r="A398" t="s">
        <v>1496</v>
      </c>
      <c r="B398" t="str">
        <f>IF(Test_Bible!B429&lt;&gt;"","O","N")</f>
        <v>O</v>
      </c>
      <c r="C398" t="str">
        <f>BIBLE!E240</f>
        <v>S01</v>
      </c>
      <c r="D398" t="s">
        <v>1485</v>
      </c>
    </row>
    <row r="399" spans="1:4">
      <c r="A399" t="s">
        <v>1481</v>
      </c>
      <c r="B399" t="str">
        <f>IF(Test_Bible!B446&lt;&gt;"","O","N")</f>
        <v>O</v>
      </c>
      <c r="C399" t="str">
        <f>BIBLE!E241</f>
        <v>S02</v>
      </c>
      <c r="D399" t="s">
        <v>1485</v>
      </c>
    </row>
    <row r="400" spans="1:4">
      <c r="A400" t="s">
        <v>1497</v>
      </c>
      <c r="B400" t="str">
        <f>IF(Test_Bible!B447&lt;&gt;"","O","N")</f>
        <v>O</v>
      </c>
      <c r="C400" t="str">
        <f>BIBLE!E242</f>
        <v>S03</v>
      </c>
      <c r="D400" t="s">
        <v>1477</v>
      </c>
    </row>
    <row r="401" spans="1:30">
      <c r="A401" t="s">
        <v>1481</v>
      </c>
      <c r="B401" t="str">
        <f>IF(Test_Bible!B451&lt;&gt;" ","O","N")</f>
        <v>N</v>
      </c>
      <c r="C401" t="str">
        <f>BIBLE!E243</f>
        <v>S03a</v>
      </c>
      <c r="D401" t="s">
        <v>1494</v>
      </c>
    </row>
    <row r="402" spans="1:30">
      <c r="A402" t="s">
        <v>1486</v>
      </c>
      <c r="B402" t="str">
        <f>IF(Test_Bible!B458&lt;&gt;"","O","N")</f>
        <v>O</v>
      </c>
      <c r="C402" t="str">
        <f>BIBLE!E244</f>
        <v>S04</v>
      </c>
      <c r="D402">
        <v>0</v>
      </c>
      <c r="E402" s="5">
        <f>Test_Bible!P457</f>
        <v>2</v>
      </c>
    </row>
    <row r="403" spans="1:30">
      <c r="A403" t="s">
        <v>1486</v>
      </c>
      <c r="B403" t="str">
        <f>IF(Test_Bible!B459&lt;&gt;"","O","N")</f>
        <v>O</v>
      </c>
      <c r="C403" t="str">
        <f t="shared" ref="C403:C410" si="11">C402</f>
        <v>S04</v>
      </c>
      <c r="D403">
        <v>1</v>
      </c>
    </row>
    <row r="404" spans="1:30">
      <c r="A404" t="s">
        <v>1486</v>
      </c>
      <c r="B404" t="str">
        <f>IF(Test_Bible!B460&lt;&gt;"","O","N")</f>
        <v>O</v>
      </c>
      <c r="C404" t="str">
        <f t="shared" si="11"/>
        <v>S04</v>
      </c>
      <c r="D404">
        <v>0</v>
      </c>
    </row>
    <row r="405" spans="1:30">
      <c r="A405" t="s">
        <v>1486</v>
      </c>
      <c r="B405" t="str">
        <f>IF(Test_Bible!B461&lt;&gt;"","O","N")</f>
        <v>O</v>
      </c>
      <c r="C405" t="str">
        <f t="shared" si="11"/>
        <v>S04</v>
      </c>
      <c r="D405">
        <v>0</v>
      </c>
    </row>
    <row r="406" spans="1:30">
      <c r="A406" t="s">
        <v>1486</v>
      </c>
      <c r="B406" t="str">
        <f>IF(Test_Bible!B462&lt;&gt;"","O","N")</f>
        <v>O</v>
      </c>
      <c r="C406" t="str">
        <f t="shared" si="11"/>
        <v>S04</v>
      </c>
      <c r="D406">
        <v>1</v>
      </c>
    </row>
    <row r="407" spans="1:30">
      <c r="A407" t="s">
        <v>1486</v>
      </c>
      <c r="B407" t="str">
        <f>IF(Test_Bible!B463&lt;&gt;"","O","N")</f>
        <v>O</v>
      </c>
      <c r="C407" t="str">
        <f t="shared" si="11"/>
        <v>S04</v>
      </c>
      <c r="D407">
        <v>0</v>
      </c>
    </row>
    <row r="408" spans="1:30">
      <c r="A408" t="s">
        <v>1486</v>
      </c>
      <c r="B408" t="str">
        <f>IF(Test_Bible!B464&lt;&gt;"","O","N")</f>
        <v>O</v>
      </c>
      <c r="C408" t="str">
        <f t="shared" si="11"/>
        <v>S04</v>
      </c>
      <c r="D408">
        <v>0</v>
      </c>
    </row>
    <row r="409" spans="1:30">
      <c r="A409" t="s">
        <v>1486</v>
      </c>
      <c r="B409" t="str">
        <f>IF(Test_Bible!B465&lt;&gt;"","O","N")</f>
        <v>O</v>
      </c>
      <c r="C409" t="str">
        <f t="shared" si="11"/>
        <v>S04</v>
      </c>
      <c r="D409">
        <v>0</v>
      </c>
    </row>
    <row r="410" spans="1:30">
      <c r="A410" t="s">
        <v>1486</v>
      </c>
      <c r="B410" t="str">
        <f>IF(Test_Bible!B466&lt;&gt;"","O","N")</f>
        <v>O</v>
      </c>
      <c r="C410" t="str">
        <f t="shared" si="11"/>
        <v>S04</v>
      </c>
      <c r="D410">
        <v>0</v>
      </c>
    </row>
    <row r="416" spans="1:30" ht="26" customHeight="1">
      <c r="B416" s="731" t="s">
        <v>1498</v>
      </c>
      <c r="C416" s="88"/>
      <c r="D416" s="587"/>
      <c r="E416" s="587"/>
      <c r="F416" s="88"/>
      <c r="G416" s="1670" t="s">
        <v>1499</v>
      </c>
      <c r="H416" s="587"/>
      <c r="I416" s="587"/>
      <c r="J416" s="587"/>
      <c r="K416" s="587"/>
      <c r="L416" s="587"/>
      <c r="M416" s="587"/>
      <c r="N416" s="587"/>
      <c r="O416" s="2539" t="s">
        <v>1500</v>
      </c>
      <c r="P416" s="2468"/>
      <c r="Q416" s="2468"/>
      <c r="R416" s="2468"/>
      <c r="S416" s="2468"/>
      <c r="T416" s="2468"/>
      <c r="U416" s="2468"/>
      <c r="V416" s="2468"/>
      <c r="W416" s="2468"/>
      <c r="X416" s="2468"/>
      <c r="Y416" s="2468"/>
      <c r="Z416" s="2468"/>
      <c r="AA416" s="2468"/>
      <c r="AB416" s="2468"/>
      <c r="AC416" s="2468"/>
      <c r="AD416" s="2468"/>
    </row>
    <row r="417" spans="2:46" ht="22" customHeight="1">
      <c r="B417" s="2543" t="s">
        <v>1501</v>
      </c>
      <c r="C417" s="2468"/>
      <c r="D417" s="2469"/>
      <c r="E417" s="2469"/>
      <c r="F417" s="2468"/>
      <c r="G417" s="2469"/>
      <c r="H417" s="2469"/>
      <c r="I417" s="2147"/>
      <c r="J417" s="2147"/>
      <c r="K417" s="2541" t="s">
        <v>1502</v>
      </c>
      <c r="L417" s="2469"/>
      <c r="M417" s="2469"/>
      <c r="N417" s="2468"/>
      <c r="O417" s="2468"/>
      <c r="P417" s="2468"/>
      <c r="Q417" s="2468"/>
      <c r="R417" s="5"/>
      <c r="S417" s="5"/>
      <c r="T417" s="5"/>
      <c r="U417" s="5"/>
      <c r="V417" s="5"/>
      <c r="W417" s="5"/>
      <c r="X417" s="5"/>
      <c r="Y417" s="5"/>
      <c r="Z417" s="5"/>
      <c r="AA417" s="5"/>
    </row>
    <row r="418" spans="2:46" ht="44" customHeight="1">
      <c r="B418" s="1748" t="s">
        <v>1503</v>
      </c>
      <c r="G418" s="1721"/>
      <c r="O418" s="5"/>
      <c r="P418" s="5"/>
      <c r="Q418" s="5"/>
      <c r="R418" s="5"/>
      <c r="S418" s="5"/>
      <c r="T418" s="5"/>
      <c r="U418" s="5"/>
      <c r="V418" s="5"/>
      <c r="W418" s="5"/>
      <c r="X418" s="5"/>
      <c r="Y418" s="5"/>
      <c r="Z418" s="5"/>
      <c r="AA418" s="5"/>
    </row>
    <row r="419" spans="2:46" ht="22" customHeight="1">
      <c r="B419" s="407" t="s">
        <v>1504</v>
      </c>
      <c r="F419" s="1680" t="s">
        <v>1505</v>
      </c>
      <c r="O419" s="5"/>
      <c r="P419" s="5"/>
      <c r="Q419" s="5"/>
      <c r="R419" s="5"/>
      <c r="S419" s="5"/>
      <c r="T419" s="5"/>
      <c r="U419" s="5"/>
      <c r="V419" s="5"/>
      <c r="W419" s="5"/>
      <c r="X419" s="5"/>
      <c r="Y419" s="5"/>
      <c r="Z419" s="5"/>
      <c r="AA419" s="5"/>
    </row>
    <row r="420" spans="2:46" ht="22" customHeight="1">
      <c r="B420" t="s">
        <v>1506</v>
      </c>
      <c r="G420" s="1680"/>
      <c r="J420" s="291" t="s">
        <v>1507</v>
      </c>
      <c r="O420" s="5"/>
      <c r="P420" s="5"/>
      <c r="Q420" s="5"/>
      <c r="R420" s="5"/>
      <c r="S420" s="5"/>
      <c r="T420" s="5"/>
      <c r="U420" s="5"/>
      <c r="V420" s="5"/>
      <c r="W420" s="5"/>
      <c r="X420" s="5"/>
      <c r="Y420" s="5"/>
      <c r="Z420" s="5"/>
      <c r="AA420" s="5"/>
    </row>
    <row r="421" spans="2:46" ht="22" customHeight="1">
      <c r="G421" s="1680"/>
      <c r="O421" s="5"/>
      <c r="P421" s="5"/>
      <c r="Q421" s="5"/>
      <c r="R421" s="1799" t="s">
        <v>1508</v>
      </c>
      <c r="S421" s="5"/>
      <c r="T421" s="5"/>
      <c r="U421" s="5"/>
      <c r="V421" s="5"/>
      <c r="W421" s="5"/>
      <c r="X421" s="5"/>
      <c r="Y421" s="5"/>
      <c r="Z421" s="5"/>
      <c r="AA421" s="5"/>
    </row>
    <row r="423" spans="2:46" ht="29" customHeight="1">
      <c r="B423" s="5"/>
      <c r="C423" s="5"/>
      <c r="E423" s="2540" t="s">
        <v>250</v>
      </c>
      <c r="F423" s="2468"/>
      <c r="G423" s="2469"/>
      <c r="O423" s="5"/>
      <c r="P423" s="5"/>
      <c r="Q423" s="5"/>
      <c r="R423" s="5"/>
      <c r="S423" s="5"/>
      <c r="T423" s="2544" t="s">
        <v>1509</v>
      </c>
      <c r="U423" s="2468"/>
      <c r="V423" s="2468"/>
      <c r="W423" s="2468"/>
      <c r="X423" s="2468"/>
      <c r="Y423" s="1772"/>
      <c r="Z423" s="2545" t="s">
        <v>1510</v>
      </c>
      <c r="AA423" s="2468"/>
      <c r="AB423" s="2468"/>
      <c r="AC423" s="2468"/>
      <c r="AD423" s="246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2</v>
      </c>
      <c r="E425" s="700" t="s">
        <v>1511</v>
      </c>
      <c r="F425" s="700" t="s">
        <v>1512</v>
      </c>
      <c r="I425" s="700" t="s">
        <v>1513</v>
      </c>
      <c r="N425" s="5"/>
      <c r="O425" s="5"/>
      <c r="P425" s="5"/>
      <c r="Q425" s="5"/>
      <c r="R425" s="5"/>
      <c r="S425" s="5"/>
      <c r="T425" s="1" t="s">
        <v>1514</v>
      </c>
      <c r="U425" s="1" t="s">
        <v>102</v>
      </c>
      <c r="V425" s="1" t="s">
        <v>103</v>
      </c>
      <c r="W425" s="1" t="s">
        <v>104</v>
      </c>
      <c r="X425" s="1" t="s">
        <v>1515</v>
      </c>
      <c r="Y425" s="1"/>
      <c r="Z425" s="1" t="s">
        <v>1516</v>
      </c>
      <c r="AA425" s="1" t="s">
        <v>102</v>
      </c>
      <c r="AB425" s="1" t="s">
        <v>103</v>
      </c>
      <c r="AC425" s="1" t="s">
        <v>104</v>
      </c>
      <c r="AD425" s="1" t="s">
        <v>1515</v>
      </c>
    </row>
    <row r="426" spans="2:46" ht="20" customHeight="1">
      <c r="C426" s="5"/>
      <c r="D426" s="824"/>
      <c r="E426" s="700" t="s">
        <v>1517</v>
      </c>
      <c r="F426" s="700" t="s">
        <v>1518</v>
      </c>
      <c r="G426" s="5" t="s">
        <v>1519</v>
      </c>
      <c r="H426" s="5" t="s">
        <v>1520</v>
      </c>
      <c r="I426" s="700"/>
      <c r="N426" s="5"/>
      <c r="O426" s="5"/>
      <c r="P426" s="5"/>
      <c r="Q426" s="5"/>
      <c r="R426" s="5"/>
      <c r="S426" s="5"/>
      <c r="T426" s="1"/>
      <c r="U426" s="1"/>
      <c r="V426" s="1"/>
      <c r="W426" s="1"/>
      <c r="X426" s="1"/>
      <c r="Y426" s="1"/>
      <c r="Z426" s="1"/>
      <c r="AA426" s="1"/>
      <c r="AB426" s="1"/>
      <c r="AC426" s="1"/>
      <c r="AD426" s="1"/>
    </row>
    <row r="427" spans="2:46" ht="73" customHeight="1">
      <c r="C427" s="2" t="s">
        <v>1521</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1521</v>
      </c>
      <c r="T427" s="700" t="s">
        <v>1522</v>
      </c>
      <c r="U427" s="700" t="s">
        <v>1523</v>
      </c>
      <c r="V427" s="700"/>
      <c r="W427" s="700"/>
      <c r="X427" s="700"/>
      <c r="Y427" s="5"/>
      <c r="Z427" s="90">
        <v>0</v>
      </c>
      <c r="AA427" s="90">
        <f>$F427</f>
        <v>4</v>
      </c>
      <c r="AB427" s="90">
        <f>AA427+AA$424*($I427-$F427)</f>
        <v>6.5</v>
      </c>
      <c r="AC427" s="90">
        <f>$AB427+AB$424*($I427-$F427)</f>
        <v>10.3</v>
      </c>
      <c r="AD427" s="1757" t="s">
        <v>1524</v>
      </c>
    </row>
    <row r="428" spans="2:46" ht="60" customHeight="1">
      <c r="C428" s="2" t="s">
        <v>1525</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1525</v>
      </c>
      <c r="T428" s="700"/>
      <c r="U428" s="700"/>
      <c r="V428" s="700"/>
      <c r="W428" s="700"/>
      <c r="X428" s="700"/>
      <c r="Y428" s="5"/>
      <c r="Z428" s="90">
        <v>0</v>
      </c>
      <c r="AA428" s="90">
        <f>$F428</f>
        <v>0</v>
      </c>
      <c r="AB428" s="90">
        <f>AA428+AA$424*($I428-$F428)</f>
        <v>0</v>
      </c>
      <c r="AC428" s="90">
        <f>$AB428+AB$424*($I428-$F428)</f>
        <v>0</v>
      </c>
      <c r="AD428" s="1757" t="s">
        <v>1524</v>
      </c>
    </row>
    <row r="429" spans="2:46" ht="60" customHeight="1">
      <c r="C429" s="2" t="s">
        <v>1526</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1526</v>
      </c>
      <c r="T429" s="700"/>
      <c r="U429" s="700"/>
      <c r="V429" s="5"/>
      <c r="W429" s="5"/>
      <c r="X429" s="5"/>
      <c r="Y429" s="5"/>
      <c r="Z429" s="90">
        <v>0</v>
      </c>
      <c r="AA429" s="90">
        <f>$F429</f>
        <v>14</v>
      </c>
      <c r="AB429" s="90">
        <f>AA429+AA$424*($I429-$F429)</f>
        <v>15.5</v>
      </c>
      <c r="AC429" s="90">
        <f>$AB429+AB$424*($I429-$F429)</f>
        <v>17.78</v>
      </c>
      <c r="AD429" s="1757" t="s">
        <v>1524</v>
      </c>
    </row>
    <row r="430" spans="2:46" ht="35" customHeight="1">
      <c r="C430" s="2"/>
      <c r="D430" s="90"/>
      <c r="F430" s="5"/>
      <c r="G430" s="90"/>
      <c r="H430" s="90"/>
      <c r="N430" s="5"/>
      <c r="O430" s="5"/>
      <c r="P430" s="5"/>
      <c r="Q430" s="5"/>
      <c r="R430" s="5"/>
      <c r="S430" s="2135">
        <f>'Indice VC'!I30</f>
        <v>0</v>
      </c>
      <c r="T430" s="291" t="str">
        <f>'Indice VC'!J30</f>
        <v/>
      </c>
      <c r="U430" s="5"/>
      <c r="V430" s="5"/>
      <c r="W430" s="5"/>
      <c r="X430" s="5"/>
      <c r="Y430" s="5"/>
      <c r="Z430" s="90"/>
      <c r="AA430" s="90"/>
      <c r="AB430" s="90"/>
      <c r="AC430" s="90"/>
    </row>
    <row r="431" spans="2:46" ht="22" customHeight="1">
      <c r="B431" s="600"/>
      <c r="D431" s="1" t="s">
        <v>1515</v>
      </c>
      <c r="G431" s="1723"/>
      <c r="N431" s="5"/>
      <c r="O431" s="5"/>
      <c r="P431" s="5"/>
      <c r="Q431" s="5"/>
      <c r="R431" s="5"/>
      <c r="S431" s="2135">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1524</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82"/>
      <c r="B434" s="34" t="str">
        <f>'Contexte | CSS'!D1</f>
        <v>Votre contexte familial présente-t-il un risque de conflit parental ?</v>
      </c>
      <c r="I434" s="1680" t="s">
        <v>1527</v>
      </c>
      <c r="M434" s="3"/>
      <c r="O434" s="5"/>
      <c r="P434" s="5"/>
      <c r="Q434" s="5"/>
      <c r="R434" s="5"/>
      <c r="S434" s="5"/>
      <c r="T434" s="5"/>
      <c r="U434" s="5"/>
      <c r="V434" s="5"/>
      <c r="W434" s="5"/>
      <c r="X434" s="5"/>
      <c r="Y434" s="5"/>
      <c r="Z434" s="5"/>
      <c r="AA434" s="5"/>
    </row>
    <row r="435" spans="1:32" ht="21" customHeight="1">
      <c r="A435" s="2468"/>
      <c r="B435" s="1745"/>
      <c r="E435" s="1758"/>
      <c r="O435" s="5"/>
      <c r="P435" s="5"/>
      <c r="Q435" s="5"/>
      <c r="R435" s="5"/>
      <c r="S435" s="5"/>
      <c r="T435" s="5"/>
      <c r="U435" s="2538"/>
      <c r="V435" s="2468"/>
      <c r="W435" s="2468"/>
      <c r="X435" s="2468"/>
      <c r="Y435" s="2468"/>
      <c r="Z435" s="1928"/>
      <c r="AA435" s="2469"/>
      <c r="AB435" s="2468"/>
      <c r="AC435" s="2468"/>
      <c r="AD435" s="2468"/>
      <c r="AE435" s="2468"/>
    </row>
    <row r="436" spans="1:32" ht="17" customHeight="1">
      <c r="A436" s="2468"/>
      <c r="B436" s="2536"/>
      <c r="C436" s="2468"/>
      <c r="D436" s="3"/>
      <c r="E436" s="3"/>
      <c r="F436" s="3"/>
      <c r="G436" s="3"/>
      <c r="J436" s="1759" t="s">
        <v>1528</v>
      </c>
      <c r="O436" s="5"/>
      <c r="P436" s="5"/>
      <c r="Q436" s="5"/>
      <c r="R436" s="5"/>
      <c r="S436" s="5"/>
      <c r="T436" s="5"/>
      <c r="U436" s="1928"/>
      <c r="V436" s="1928"/>
      <c r="W436" s="1928"/>
      <c r="X436" s="1928"/>
      <c r="Y436" s="1928"/>
      <c r="Z436" s="1928"/>
      <c r="AA436" s="5"/>
      <c r="AB436" s="66"/>
      <c r="AC436" s="66"/>
      <c r="AD436" s="66"/>
      <c r="AE436" s="5"/>
      <c r="AF436" s="5"/>
    </row>
    <row r="437" spans="1:32">
      <c r="A437" s="2468"/>
      <c r="B437" s="5"/>
      <c r="C437" s="824" t="s">
        <v>2</v>
      </c>
      <c r="D437" s="1757" t="s">
        <v>1529</v>
      </c>
      <c r="G437" s="4" t="s">
        <v>1530</v>
      </c>
      <c r="H437" s="4" t="s">
        <v>1531</v>
      </c>
      <c r="I437" s="4" t="s">
        <v>1532</v>
      </c>
      <c r="N437" s="5"/>
      <c r="O437" s="5"/>
      <c r="P437" s="5"/>
      <c r="Q437" s="5"/>
      <c r="U437" s="1"/>
      <c r="V437" s="1"/>
      <c r="W437" s="1"/>
      <c r="X437" s="1"/>
      <c r="Y437" s="1"/>
      <c r="Z437" s="1"/>
      <c r="AA437" s="1"/>
      <c r="AB437" s="1"/>
      <c r="AC437" s="1"/>
      <c r="AD437" s="1"/>
      <c r="AE437" s="1"/>
      <c r="AF437" s="1"/>
    </row>
    <row r="438" spans="1:32">
      <c r="B438" s="2" t="s">
        <v>1533</v>
      </c>
      <c r="C438" s="1747">
        <f>'Contexte | CSS'!H37</f>
        <v>0</v>
      </c>
      <c r="D438" s="1359"/>
      <c r="G438" s="5" t="s">
        <v>1534</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c r="C439" s="4" t="str">
        <f>'Contexte | CSS'!H38</f>
        <v>Risque absent</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c r="D440" s="1" t="s">
        <v>1535</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1536</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71" t="s">
        <v>1537</v>
      </c>
      <c r="H448" s="252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9"/>
      <c r="J448" s="2469"/>
      <c r="K448" s="2469"/>
      <c r="L448" s="2469"/>
      <c r="M448" s="2469"/>
      <c r="N448" s="2468"/>
      <c r="AA448" s="5"/>
      <c r="AB448" s="5"/>
      <c r="AC448" s="5"/>
      <c r="AD448" s="5"/>
      <c r="AE448" s="5"/>
      <c r="AF448" s="5"/>
    </row>
    <row r="449" spans="1:46" ht="22" customHeight="1">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c r="A450" s="2534"/>
      <c r="B450" s="2272" t="str">
        <f>'Cpts miroirs des parents'!D5</f>
        <v>Est-ce que les coparents tendent vers une saine coparentalité ?</v>
      </c>
      <c r="C450" s="5"/>
      <c r="G450" s="1680" t="s">
        <v>1538</v>
      </c>
      <c r="L450" s="1742"/>
      <c r="M450" s="291"/>
      <c r="Q450" s="5"/>
      <c r="R450" s="5"/>
      <c r="T450" s="5"/>
      <c r="U450" s="5"/>
      <c r="V450" s="5"/>
      <c r="W450" s="5"/>
      <c r="X450" s="5"/>
      <c r="Y450" s="5"/>
      <c r="Z450" s="5"/>
      <c r="AA450" s="5"/>
      <c r="AO450" s="2148"/>
      <c r="AP450" s="2148"/>
      <c r="AQ450" s="2148"/>
      <c r="AR450" s="2148"/>
      <c r="AS450" s="2148"/>
      <c r="AT450" s="2148"/>
    </row>
    <row r="451" spans="1:46" ht="21" customHeight="1">
      <c r="A451" s="2468"/>
      <c r="C451" s="5"/>
      <c r="F451" s="1680"/>
      <c r="H451" s="1769" t="s">
        <v>1539</v>
      </c>
      <c r="L451" s="291"/>
      <c r="Q451" s="5"/>
      <c r="S451" s="5"/>
      <c r="T451" s="49"/>
      <c r="U451" s="49"/>
      <c r="V451" s="49"/>
      <c r="W451" s="49"/>
      <c r="X451" s="49"/>
      <c r="Y451" s="49"/>
      <c r="Z451" s="2469"/>
      <c r="AA451" s="2468"/>
      <c r="AB451" s="2468"/>
      <c r="AC451" s="2468"/>
      <c r="AD451" s="2468"/>
      <c r="AE451" s="2468"/>
      <c r="AO451" s="2148"/>
      <c r="AP451" s="2148"/>
      <c r="AQ451" s="2148"/>
      <c r="AR451" s="2148"/>
      <c r="AS451" s="2148"/>
      <c r="AT451" s="2148"/>
    </row>
    <row r="452" spans="1:46" ht="21" customHeight="1">
      <c r="A452" s="2468"/>
      <c r="C452" s="5"/>
      <c r="F452" s="1359"/>
      <c r="P452" s="2526"/>
      <c r="Q452" s="2468"/>
      <c r="R452" s="2468"/>
      <c r="S452" s="13"/>
      <c r="T452" s="3"/>
      <c r="U452" s="2529"/>
      <c r="V452" s="2468"/>
      <c r="X452" s="3"/>
      <c r="Y452" s="3"/>
      <c r="Z452" s="2529"/>
      <c r="AA452" s="2468"/>
      <c r="AB452" s="2529"/>
      <c r="AC452" s="2468"/>
      <c r="AD452" s="2529"/>
      <c r="AE452" s="2468"/>
      <c r="AJ452" s="291" t="s">
        <v>1540</v>
      </c>
    </row>
    <row r="453" spans="1:46" ht="17" customHeight="1">
      <c r="A453" s="2468"/>
      <c r="C453" s="587"/>
      <c r="D453" s="1253" t="s">
        <v>1541</v>
      </c>
      <c r="E453" s="1682" t="s">
        <v>88</v>
      </c>
      <c r="F453" s="5"/>
      <c r="H453" s="1771"/>
      <c r="I453" s="1770"/>
      <c r="P453" s="2468"/>
      <c r="Q453" s="2468"/>
      <c r="R453" s="2468"/>
      <c r="S453" s="700"/>
      <c r="T453" s="730"/>
      <c r="U453" s="2537"/>
      <c r="V453" s="2537"/>
      <c r="X453" s="2148"/>
      <c r="Y453" s="2148"/>
      <c r="Z453" s="5"/>
      <c r="AA453" s="5"/>
      <c r="AB453" s="5"/>
      <c r="AC453" s="2366"/>
      <c r="AD453" s="5"/>
      <c r="AE453" s="2366"/>
    </row>
    <row r="454" spans="1:46" ht="17" customHeight="1">
      <c r="A454" s="2301"/>
      <c r="C454" s="587"/>
      <c r="D454" s="1253"/>
      <c r="E454" s="1682"/>
      <c r="F454" s="5"/>
      <c r="H454" s="1771"/>
      <c r="I454" s="1770"/>
      <c r="Q454" s="5"/>
      <c r="R454" s="2149"/>
      <c r="S454" s="13"/>
      <c r="T454" s="700"/>
      <c r="U454" s="2468"/>
      <c r="V454" s="2468"/>
      <c r="X454" s="2148"/>
      <c r="Y454" s="2148"/>
      <c r="Z454" s="5"/>
      <c r="AA454" s="5"/>
      <c r="AB454" s="5"/>
      <c r="AC454" s="2366"/>
      <c r="AD454" s="5"/>
      <c r="AE454" s="2366"/>
    </row>
    <row r="455" spans="1:46" ht="27" customHeight="1">
      <c r="A455" s="2525" t="str">
        <f>'Cpts miroirs des parents'!C4</f>
        <v>Le désir de coparentalité, engagement à faire équipe, et respect de la valeur parentale du coparent</v>
      </c>
      <c r="C455" s="2" t="str">
        <f>IF(OR('Cpts miroirs des parents'!AC19="",'Cpts miroirs des parents'!AD19=""),"",'Cpts miroirs des parents'!AB19)</f>
        <v>Est serein·e face à la séparation</v>
      </c>
      <c r="D455" s="1671">
        <f>'Cpts miroirs des parents'!AC19</f>
        <v>4</v>
      </c>
      <c r="E455" s="1671">
        <f>'Cpts miroirs des parents'!AD19</f>
        <v>1</v>
      </c>
      <c r="F455" s="291" t="s">
        <v>1542</v>
      </c>
      <c r="H455" s="1374"/>
      <c r="Q455" s="5"/>
      <c r="R455" s="2"/>
      <c r="T455" s="5"/>
      <c r="U455" s="5"/>
      <c r="V455" s="5"/>
      <c r="X455" s="5"/>
      <c r="Y455" s="5"/>
      <c r="Z455" s="291"/>
      <c r="AB455" s="90"/>
      <c r="AC455" s="90"/>
      <c r="AD455" s="1757"/>
      <c r="AE455" s="1757"/>
    </row>
    <row r="456" spans="1:46" ht="27" customHeight="1">
      <c r="A456" s="2468"/>
      <c r="C456" s="2" t="str">
        <f>IF(OR('Cpts miroirs des parents'!AC20="",'Cpts miroirs des parents'!AD20=""),"",'Cpts miroirs des parents'!AB20)</f>
        <v xml:space="preserve">Accepte les exigences de la coparentalité </v>
      </c>
      <c r="D456" s="1671">
        <f>IF(C456="","",'Cpts miroirs des parents'!AC20)</f>
        <v>4</v>
      </c>
      <c r="E456" s="1671">
        <f>IF(C456="","",'Cpts miroirs des parents'!AD20)</f>
        <v>4</v>
      </c>
      <c r="F456" s="291"/>
      <c r="H456" s="1374"/>
      <c r="Q456" s="5"/>
      <c r="R456" s="2"/>
      <c r="U456" s="5"/>
      <c r="V456" s="5"/>
      <c r="X456" s="5"/>
      <c r="Y456" s="5"/>
      <c r="AA456" s="90"/>
      <c r="AB456" s="90"/>
      <c r="AC456" s="90"/>
      <c r="AD456" s="1757"/>
      <c r="AE456" s="90"/>
    </row>
    <row r="457" spans="1:46" ht="27" customHeight="1">
      <c r="A457" s="2468"/>
      <c r="C457" s="2" t="str">
        <f>IF(OR('Cpts miroirs des parents'!AC21="",'Cpts miroirs des parents'!AD21=""),"",'Cpts miroirs des parents'!AB21)</f>
        <v/>
      </c>
      <c r="D457" s="1671" t="str">
        <f>IF(C457="","",'Cpts miroirs des parents'!AC21)</f>
        <v/>
      </c>
      <c r="E457" s="1671" t="str">
        <f>IF(C457="","",'Cpts miroirs des parents'!AD21)</f>
        <v/>
      </c>
      <c r="F457" s="291"/>
      <c r="H457" s="1374"/>
      <c r="Q457" s="5"/>
      <c r="R457" s="2"/>
      <c r="T457" s="5"/>
      <c r="U457" s="5"/>
      <c r="V457" s="5"/>
      <c r="X457" s="5"/>
      <c r="Y457" s="5"/>
      <c r="AB457" s="90"/>
      <c r="AC457" s="90"/>
      <c r="AD457" s="1757"/>
    </row>
    <row r="458" spans="1:46" ht="27" customHeight="1">
      <c r="A458" s="2468"/>
      <c r="C458" s="2" t="str">
        <f>IF(OR('Cpts miroirs des parents'!AC22="",'Cpts miroirs des parents'!AD22=""),"",'Cpts miroirs des parents'!AB22)</f>
        <v xml:space="preserve">Respecte la valeur parentale du coparent </v>
      </c>
      <c r="D458" s="1671">
        <f>IF(C458="","",'Cpts miroirs des parents'!AC22)</f>
        <v>4</v>
      </c>
      <c r="E458" s="1671">
        <f>IF(C458="","",'Cpts miroirs des parents'!AD22)</f>
        <v>4</v>
      </c>
      <c r="F458" s="291"/>
      <c r="Q458" s="5"/>
      <c r="R458" s="2"/>
      <c r="T458" s="5"/>
      <c r="U458" s="5"/>
      <c r="V458" s="5"/>
      <c r="X458" s="5"/>
      <c r="Y458" s="5"/>
      <c r="AA458" s="1757"/>
    </row>
    <row r="459" spans="1:46" ht="27" customHeight="1">
      <c r="A459" s="2468"/>
      <c r="C459" s="2" t="str">
        <f>IF(OR('Cpts miroirs des parents'!AC23="",'Cpts miroirs des parents'!AD23=""),"",'Cpts miroirs des parents'!AB23)</f>
        <v>Salue l’autre parent lorsqu’il ou elle le croise</v>
      </c>
      <c r="D459" s="1671">
        <f>IF(C459="","",'Cpts miroirs des parents'!AC23)</f>
        <v>4</v>
      </c>
      <c r="E459" s="1671">
        <f>IF(C459="","",'Cpts miroirs des parents'!AD23)</f>
        <v>2</v>
      </c>
      <c r="F459" s="291"/>
      <c r="Q459" s="5"/>
      <c r="R459" s="2"/>
      <c r="T459" s="5"/>
      <c r="U459" s="5"/>
      <c r="V459" s="5"/>
      <c r="X459" s="5"/>
      <c r="Y459" s="5"/>
    </row>
    <row r="460" spans="1:46" ht="27" customHeight="1">
      <c r="A460" s="2468"/>
      <c r="C460" s="2" t="str">
        <f>IF(OR('Cpts miroirs des parents'!AC24="",'Cpts miroirs des parents'!AD24=""),"",'Cpts miroirs des parents'!AB24)</f>
        <v xml:space="preserve">Consulte l’autre parent pour les décisions concernant l’enfant </v>
      </c>
      <c r="D460" s="1671">
        <f>IF(C460="","",'Cpts miroirs des parents'!AC24)</f>
        <v>14</v>
      </c>
      <c r="E460" s="1671">
        <f>IF(C460="","",'Cpts miroirs des parents'!AD24)</f>
        <v>4</v>
      </c>
      <c r="F460" s="291"/>
      <c r="Q460" s="5"/>
      <c r="R460" s="2"/>
      <c r="T460" s="5"/>
      <c r="U460" s="5"/>
      <c r="V460" s="5"/>
      <c r="X460" s="5"/>
      <c r="Y460" s="5"/>
      <c r="Z460" s="3"/>
    </row>
    <row r="461" spans="1:46" ht="27" customHeight="1">
      <c r="A461" s="2468"/>
      <c r="C461" s="2" t="str">
        <f>IF(OR('Cpts miroirs des parents'!AC25="",'Cpts miroirs des parents'!AD25=""),"",'Cpts miroirs des parents'!AB25)</f>
        <v xml:space="preserve">Respecte l’autorité parentale du coparent </v>
      </c>
      <c r="D461" s="1671">
        <f>IF(C461="","",'Cpts miroirs des parents'!AC25)</f>
        <v>4</v>
      </c>
      <c r="E461" s="1671">
        <f>IF(C461="","",'Cpts miroirs des parents'!AD25)</f>
        <v>4</v>
      </c>
      <c r="F461" s="291"/>
      <c r="Q461" s="5"/>
      <c r="R461" s="2"/>
      <c r="T461" s="5"/>
      <c r="U461" s="5"/>
      <c r="V461" s="5"/>
      <c r="X461" s="5"/>
      <c r="Y461" s="5"/>
      <c r="Z461" s="3"/>
    </row>
    <row r="462" spans="1:46" ht="27" customHeight="1">
      <c r="A462" s="2468"/>
      <c r="C462" s="2" t="str">
        <f>IF(OR('Cpts miroirs des parents'!AC26="",'Cpts miroirs des parents'!AD26=""),"",'Cpts miroirs des parents'!AB26)</f>
        <v xml:space="preserve">Évite de faire des reproches au coparent </v>
      </c>
      <c r="D462" s="1671">
        <f>IF(C462="","",'Cpts miroirs des parents'!AC26)</f>
        <v>10</v>
      </c>
      <c r="E462" s="1671">
        <f>IF(C462="","",'Cpts miroirs des parents'!AD26)</f>
        <v>4</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71" t="s">
        <v>1537</v>
      </c>
      <c r="H463" s="2525"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9"/>
      <c r="J463" s="2469"/>
      <c r="K463" s="2469"/>
      <c r="L463" s="2469"/>
      <c r="M463" s="2469"/>
      <c r="Q463" s="5"/>
      <c r="R463" s="2149"/>
      <c r="S463" s="5"/>
      <c r="T463" s="5"/>
      <c r="U463" s="5"/>
      <c r="V463" s="5"/>
      <c r="X463" s="5"/>
      <c r="Y463" s="5"/>
    </row>
    <row r="464" spans="1:46" ht="27" customHeight="1">
      <c r="A464" s="2525">
        <f>'Cpts miroirs des parents'!C10</f>
        <v>0</v>
      </c>
      <c r="C464" s="2" t="str">
        <f>IF(OR('Cpts miroirs des parents'!AC32="",'Cpts miroirs des parents'!AD32=""),"",'Cpts miroirs des parents'!AB32)</f>
        <v>Accepte que les objets voyagent d’une maison à l’autre</v>
      </c>
      <c r="D464" s="1671">
        <f>IF(C464="","",'Cpts miroirs des parents'!AC32)</f>
        <v>4</v>
      </c>
      <c r="E464" s="1671">
        <f>IF(C464="","",'Cpts miroirs des parents'!AD32)</f>
        <v>2</v>
      </c>
      <c r="F464" s="291" t="s">
        <v>1542</v>
      </c>
      <c r="K464" s="90"/>
      <c r="Q464" s="5"/>
      <c r="R464" s="2"/>
      <c r="T464" s="5"/>
      <c r="U464" s="5"/>
      <c r="V464" s="5"/>
      <c r="X464" s="5"/>
      <c r="Y464" s="5"/>
      <c r="AA464" s="5"/>
    </row>
    <row r="465" spans="1:42" ht="27" customHeight="1">
      <c r="A465" s="2468"/>
      <c r="C465" s="2" t="str">
        <f>IF(OR('Cpts miroirs des parents'!AC33="",'Cpts miroirs des parents'!AD33=""),"",'Cpts miroirs des parents'!AB33)</f>
        <v xml:space="preserve">Protège l'enfant du rôle de messager </v>
      </c>
      <c r="D465" s="1671">
        <f>IF(C465="","",'Cpts miroirs des parents'!AC33)</f>
        <v>6</v>
      </c>
      <c r="E465" s="1671">
        <f>IF(C465="","",'Cpts miroirs des parents'!AD33)</f>
        <v>8</v>
      </c>
      <c r="F465" s="291"/>
      <c r="Q465" s="5"/>
      <c r="R465" s="2"/>
      <c r="T465" s="5"/>
      <c r="U465" s="5"/>
      <c r="V465" s="5"/>
      <c r="X465" s="5"/>
      <c r="Y465" s="5"/>
      <c r="AA465" s="2366"/>
    </row>
    <row r="466" spans="1:42" ht="27" customHeight="1">
      <c r="A466" s="2468"/>
      <c r="C466" s="2" t="str">
        <f>IF(OR('Cpts miroirs des parents'!AC34="",'Cpts miroirs des parents'!AD34=""),"",'Cpts miroirs des parents'!AB34)</f>
        <v xml:space="preserve">Protège l'enfant des enjeux de séparation </v>
      </c>
      <c r="D466" s="1671">
        <f>IF(C466="","",'Cpts miroirs des parents'!AC34)</f>
        <v>8</v>
      </c>
      <c r="E466" s="1671">
        <f>IF(C466="","",'Cpts miroirs des parents'!AD34)</f>
        <v>4</v>
      </c>
      <c r="F466" s="291"/>
      <c r="Q466" s="5"/>
      <c r="R466" s="2"/>
      <c r="T466" s="5"/>
      <c r="U466" s="5"/>
      <c r="V466" s="5"/>
      <c r="X466" s="5"/>
      <c r="Y466" s="5"/>
      <c r="Z466" s="5"/>
      <c r="AA466" s="5"/>
    </row>
    <row r="467" spans="1:42" ht="27" customHeight="1">
      <c r="A467" s="2468"/>
      <c r="C467" s="2" t="str">
        <f>IF(OR('Cpts miroirs des parents'!AC35="",'Cpts miroirs des parents'!AD35=""),"",'Cpts miroirs des parents'!AB35)</f>
        <v xml:space="preserve">Évite de questionner l’enfant à son retour de garde  </v>
      </c>
      <c r="D467" s="1671">
        <f>IF(C467="","",'Cpts miroirs des parents'!AC35)</f>
        <v>8</v>
      </c>
      <c r="E467" s="1671">
        <f>IF(C467="","",'Cpts miroirs des parents'!AD35)</f>
        <v>7</v>
      </c>
      <c r="F467" s="291"/>
      <c r="Q467" s="5"/>
      <c r="R467" s="2"/>
      <c r="T467" s="5"/>
      <c r="U467" s="5"/>
      <c r="V467" s="5"/>
      <c r="X467" s="5"/>
      <c r="Y467" s="5"/>
      <c r="Z467" s="5"/>
      <c r="AA467" s="5"/>
    </row>
    <row r="468" spans="1:42" ht="27" customHeight="1">
      <c r="A468" s="2468"/>
      <c r="C468" s="2" t="str">
        <f>IF(OR('Cpts miroirs des parents'!AC36="",'Cpts miroirs des parents'!AD36=""),"",'Cpts miroirs des parents'!AB36)</f>
        <v xml:space="preserve">Favorise et protège le temps parental du coparent  </v>
      </c>
      <c r="D468" s="1671">
        <f>IF(C468="","",'Cpts miroirs des parents'!AC36)</f>
        <v>6</v>
      </c>
      <c r="E468" s="1671">
        <f>IF(C468="","",'Cpts miroirs des parents'!AD36)</f>
        <v>4</v>
      </c>
      <c r="F468" s="291"/>
      <c r="G468" s="1723"/>
      <c r="N468" s="5"/>
      <c r="P468" s="5"/>
      <c r="Q468" s="5"/>
      <c r="R468" s="2"/>
      <c r="T468" s="5"/>
      <c r="U468" s="5"/>
      <c r="V468" s="5"/>
      <c r="X468" s="5"/>
      <c r="Y468" s="5"/>
      <c r="Z468" s="5"/>
      <c r="AA468" s="5"/>
    </row>
    <row r="469" spans="1:42" ht="27" customHeight="1">
      <c r="A469" s="2468"/>
      <c r="C469" s="2" t="str">
        <f>IF(OR('Cpts miroirs des parents'!AC37="",'Cpts miroirs des parents'!AD37=""),"",'Cpts miroirs des parents'!AB37)</f>
        <v>Ne donne pas à l'enfant la responsabilité de choisir</v>
      </c>
      <c r="D469" s="1671">
        <f>IF(C469="","",'Cpts miroirs des parents'!AC37)</f>
        <v>4</v>
      </c>
      <c r="E469" s="1671">
        <f>IF(C469="","",'Cpts miroirs des parents'!AD37)</f>
        <v>4</v>
      </c>
      <c r="F469" s="291"/>
      <c r="G469" s="1723"/>
      <c r="N469" s="5"/>
      <c r="O469" s="5"/>
      <c r="P469" s="5"/>
      <c r="Q469" s="5"/>
      <c r="R469" s="2"/>
      <c r="T469" s="5"/>
      <c r="U469" s="5"/>
      <c r="V469" s="5"/>
      <c r="X469" s="5"/>
      <c r="Y469" s="5"/>
      <c r="Z469" s="5"/>
      <c r="AA469" s="5"/>
      <c r="AK469" s="2279" t="s">
        <v>1543</v>
      </c>
    </row>
    <row r="470" spans="1:42" ht="27" customHeight="1">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2</v>
      </c>
      <c r="AM470" s="55" t="str">
        <f>'Cpts préjudiciables parents'!H9</f>
        <v/>
      </c>
      <c r="AN470" s="802" t="s">
        <v>577</v>
      </c>
      <c r="AO470" s="802">
        <v>21</v>
      </c>
      <c r="AP470" s="90" t="str">
        <f t="shared" ref="AP470:AP475" si="13">IF(AO470="","",IF(OR(AO470&gt;$AL$476,AO470&gt;20),"à inclure",""))</f>
        <v>à inclure</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f>'Cpts préjudiciables parents'!G10</f>
        <v>0</v>
      </c>
      <c r="AM471" s="55" t="str">
        <f>'Cpts préjudiciables parents'!H10</f>
        <v/>
      </c>
      <c r="AN471" s="802" t="s">
        <v>566</v>
      </c>
      <c r="AO471" s="802">
        <v>20</v>
      </c>
      <c r="AP471" s="90" t="str">
        <f t="shared" si="13"/>
        <v>à inclure</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8</v>
      </c>
      <c r="AM472" s="55" t="str">
        <f>'Cpts préjudiciables parents'!H11</f>
        <v>à inclure</v>
      </c>
      <c r="AN472" s="802" t="s">
        <v>560</v>
      </c>
      <c r="AO472" s="802">
        <v>14</v>
      </c>
      <c r="AP472" s="90" t="str">
        <f t="shared" si="13"/>
        <v>à inclure</v>
      </c>
    </row>
    <row r="473" spans="1:42" ht="48" customHeight="1">
      <c r="C473" s="2"/>
      <c r="D473" s="90"/>
      <c r="E473" s="90"/>
      <c r="F473" s="291"/>
      <c r="G473" s="2271" t="s">
        <v>1537</v>
      </c>
      <c r="H473" s="25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9"/>
      <c r="J473" s="2469"/>
      <c r="K473" s="2469"/>
      <c r="L473" s="2469"/>
      <c r="M473" s="2469"/>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f>'Cpts préjudiciables parents'!G12</f>
        <v>0</v>
      </c>
      <c r="AM473" s="55" t="str">
        <f>'Cpts préjudiciables parents'!H12</f>
        <v/>
      </c>
      <c r="AN473" s="802" t="s">
        <v>571</v>
      </c>
      <c r="AO473" s="802">
        <v>14</v>
      </c>
      <c r="AP473" s="90" t="str">
        <f t="shared" si="13"/>
        <v>à inclure</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2</v>
      </c>
      <c r="AM474" s="55" t="str">
        <f>'Cpts préjudiciables parents'!H13</f>
        <v/>
      </c>
      <c r="AN474" s="802" t="s">
        <v>556</v>
      </c>
      <c r="AO474" s="802">
        <v>8</v>
      </c>
      <c r="AP474" s="90" t="str">
        <f t="shared" si="13"/>
        <v>à inclure</v>
      </c>
    </row>
    <row r="475" spans="1:42">
      <c r="A475" s="2525"/>
      <c r="AJ475" t="str">
        <f>'Cpts préjudiciables parents'!B14</f>
        <v>Altération ou dévoiement de la réalité</v>
      </c>
      <c r="AK475" t="str">
        <f>'Cpts préjudiciables parents'!C14</f>
        <v>Déforme les souvenirs de l'enfant</v>
      </c>
      <c r="AL475" s="90">
        <f>'Cpts préjudiciables parents'!G14</f>
        <v>0</v>
      </c>
      <c r="AM475" s="55" t="str">
        <f>'Cpts préjudiciables parents'!H14</f>
        <v/>
      </c>
      <c r="AN475" s="802" t="s">
        <v>550</v>
      </c>
      <c r="AO475" s="802">
        <v>7</v>
      </c>
      <c r="AP475" s="90" t="str">
        <f t="shared" si="13"/>
        <v>à inclure</v>
      </c>
    </row>
    <row r="476" spans="1:42">
      <c r="A476" s="2468"/>
      <c r="AL476" s="2280">
        <f>'Cpts préjudiciables parents'!G15</f>
        <v>2</v>
      </c>
      <c r="AM476" s="55"/>
      <c r="AN476" s="802"/>
      <c r="AO476" s="802"/>
    </row>
    <row r="477" spans="1:42" ht="21" customHeight="1">
      <c r="A477" s="246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6</v>
      </c>
      <c r="AM477" s="55" t="str">
        <f>'Cpts préjudiciables parents'!H16</f>
        <v/>
      </c>
      <c r="AN477" s="802" t="s">
        <v>844</v>
      </c>
      <c r="AO477" s="802"/>
      <c r="AP477" s="90" t="str">
        <f t="shared" ref="AP477:AP482" si="14">IF(AO477="","",IF(OR(AO477&gt;$AL$483,AO477&gt;20),"à inclure",""))</f>
        <v/>
      </c>
    </row>
    <row r="478" spans="1:42" ht="16" customHeight="1">
      <c r="A478" s="2468"/>
      <c r="F478" s="1761"/>
      <c r="AJ478" t="str">
        <f>'Cpts préjudiciables parents'!B17</f>
        <v>Chantage affectif, manipulation</v>
      </c>
      <c r="AK478" t="str">
        <f>'Cpts préjudiciables parents'!C17</f>
        <v>Questionne l'enfant à son retour de garde</v>
      </c>
      <c r="AL478" s="90">
        <f>'Cpts préjudiciables parents'!G17</f>
        <v>15</v>
      </c>
      <c r="AM478" s="55" t="str">
        <f>'Cpts préjudiciables parents'!H17</f>
        <v>à inclure</v>
      </c>
      <c r="AN478" s="802" t="s">
        <v>433</v>
      </c>
      <c r="AO478" s="802">
        <v>14</v>
      </c>
      <c r="AP478" s="90" t="str">
        <f t="shared" si="14"/>
        <v>à inclure</v>
      </c>
    </row>
    <row r="479" spans="1:42">
      <c r="G479" s="1680"/>
      <c r="AJ479" t="str">
        <f>'Cpts préjudiciables parents'!B18</f>
        <v>Chantage affectif, manipulation</v>
      </c>
      <c r="AK479" t="str">
        <f>'Cpts préjudiciables parents'!C18</f>
        <v>Culpabilise l'enfant de son amour pour l'autre parent</v>
      </c>
      <c r="AL479" s="90">
        <f>'Cpts préjudiciables parents'!G18</f>
        <v>7</v>
      </c>
      <c r="AM479" s="55" t="str">
        <f>'Cpts préjudiciables parents'!H18</f>
        <v/>
      </c>
      <c r="AN479" s="802" t="s">
        <v>429</v>
      </c>
      <c r="AO479" s="802">
        <v>8</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f>'Cpts préjudiciables parents'!G19</f>
        <v>14</v>
      </c>
      <c r="AM480" s="55" t="str">
        <f>'Cpts préjudiciables parents'!H19</f>
        <v>à inclure</v>
      </c>
      <c r="AN480" s="802" t="s">
        <v>581</v>
      </c>
      <c r="AO480" s="802">
        <v>7</v>
      </c>
      <c r="AP480" s="90" t="str">
        <f t="shared" si="14"/>
        <v/>
      </c>
    </row>
    <row r="481" spans="3:42">
      <c r="C481" s="2151"/>
      <c r="D481" s="1752"/>
      <c r="E481" s="1752"/>
      <c r="AJ481" t="str">
        <f>'Cpts préjudiciables parents'!B20</f>
        <v>Chantage affectif, manipulation</v>
      </c>
      <c r="AK481" t="str">
        <f>'Cpts préjudiciables parents'!C20</f>
        <v>Se fâche si l'enfant exprime de l'amour pour l'autre parent</v>
      </c>
      <c r="AL481" s="90">
        <f>'Cpts préjudiciables parents'!G20</f>
        <v>21</v>
      </c>
      <c r="AM481" s="55" t="str">
        <f>'Cpts préjudiciables parents'!H20</f>
        <v>à inclure</v>
      </c>
      <c r="AN481" s="802" t="s">
        <v>593</v>
      </c>
      <c r="AO481" s="802">
        <v>6</v>
      </c>
      <c r="AP481" s="90" t="str">
        <f t="shared" si="14"/>
        <v/>
      </c>
    </row>
    <row r="482" spans="3:42" ht="34" customHeight="1">
      <c r="C482" s="1752" t="s">
        <v>1544</v>
      </c>
      <c r="D482" s="1752"/>
      <c r="E482" s="1752"/>
      <c r="AJ482" t="str">
        <f>'Cpts préjudiciables parents'!B21</f>
        <v>Chantage affectif, manipulation</v>
      </c>
      <c r="AK482" t="str">
        <f>'Cpts préjudiciables parents'!C21</f>
        <v>Demande à l'enfant à choisir avec qui il veut vivre</v>
      </c>
      <c r="AL482" s="90">
        <f>'Cpts préjudiciables parents'!G21</f>
        <v>3</v>
      </c>
      <c r="AM482" s="55" t="str">
        <f>'Cpts préjudiciables parents'!H21</f>
        <v/>
      </c>
      <c r="AN482" s="802" t="s">
        <v>587</v>
      </c>
      <c r="AO482" s="802">
        <v>4</v>
      </c>
      <c r="AP482" s="90" t="str">
        <f t="shared" si="14"/>
        <v/>
      </c>
    </row>
    <row r="483" spans="3:42" ht="21" customHeight="1">
      <c r="C483" s="1683" t="s">
        <v>1434</v>
      </c>
      <c r="D483" s="2358" t="s">
        <v>1545</v>
      </c>
      <c r="E483" s="4"/>
      <c r="F483" s="5"/>
      <c r="N483" t="s">
        <v>1546</v>
      </c>
      <c r="T483" s="2538"/>
      <c r="U483" s="2468"/>
      <c r="V483" s="2468"/>
      <c r="W483" s="2468"/>
      <c r="X483" s="2468"/>
      <c r="Y483" s="1928"/>
      <c r="AL483" s="2280">
        <f>'Cpts préjudiciables parents'!G22</f>
        <v>11</v>
      </c>
      <c r="AM483" s="55"/>
      <c r="AN483" s="802"/>
      <c r="AO483" s="802"/>
    </row>
    <row r="484" spans="3:42" ht="21" customHeight="1">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16</v>
      </c>
      <c r="AM484" s="55" t="str">
        <f>'Cpts préjudiciables parents'!H23</f>
        <v>à inclure</v>
      </c>
      <c r="AN484" s="802" t="s">
        <v>646</v>
      </c>
      <c r="AO484" s="802"/>
      <c r="AP484" s="90" t="str">
        <f>IF(AO484="","",IF(OR(AO484&gt;$AL$488,AO484&gt;20),"à inclure",""))</f>
        <v/>
      </c>
    </row>
    <row r="485" spans="3:42">
      <c r="C485" s="2532" t="str">
        <f>'Cpts préjudiciables parents'!B9</f>
        <v>Altération ou dévoiement de la réalité</v>
      </c>
      <c r="D485" s="291"/>
      <c r="E485" s="2"/>
      <c r="F485" s="5"/>
      <c r="N485" s="55" t="str">
        <f>'Cpts préjudiciables parents'!R19</f>
        <v>Altération ou dévoiement de la réalité</v>
      </c>
      <c r="O485" s="55">
        <f>'Cpts préjudiciables parents'!S19</f>
        <v>2</v>
      </c>
      <c r="AJ485" t="str">
        <f>'Cpts préjudiciables parents'!B24</f>
        <v>Dénigrement</v>
      </c>
      <c r="AK485" t="str">
        <f>'Cpts préjudiciables parents'!C24</f>
        <v>Dénigre la nouvelle famille</v>
      </c>
      <c r="AL485" s="90">
        <f>'Cpts préjudiciables parents'!G24</f>
        <v>6</v>
      </c>
      <c r="AM485" s="55" t="str">
        <f>'Cpts préjudiciables parents'!H24</f>
        <v/>
      </c>
      <c r="AN485" s="802" t="s">
        <v>658</v>
      </c>
      <c r="AO485" s="802"/>
      <c r="AP485" s="90" t="str">
        <f>IF(AO485="","",IF(OR(AO485&gt;$AL$488,AO485&gt;20),"à inclure",""))</f>
        <v/>
      </c>
    </row>
    <row r="486" spans="3:42">
      <c r="C486" s="2468"/>
      <c r="D486" s="1757" t="str">
        <f>IF(AP470="à inclure",AN470,"")</f>
        <v>Déforme les souvenirs de l'enfant</v>
      </c>
      <c r="E486" s="2"/>
      <c r="F486" s="5"/>
      <c r="N486" s="55" t="str">
        <f>'Cpts préjudiciables parents'!R20</f>
        <v>Chantage affectif, manipulation</v>
      </c>
      <c r="O486" s="55">
        <f>'Cpts préjudiciables parents'!S20</f>
        <v>11</v>
      </c>
      <c r="AJ486" t="str">
        <f>'Cpts préjudiciables parents'!B25</f>
        <v>Dénigrement</v>
      </c>
      <c r="AK486" t="str">
        <f>'Cpts préjudiciables parents'!C25</f>
        <v>Présente la nouvelle famille comme étant la "vraie" famille</v>
      </c>
      <c r="AL486" s="90">
        <f>'Cpts préjudiciables parents'!G25</f>
        <v>2</v>
      </c>
      <c r="AM486" s="55" t="str">
        <f>'Cpts préjudiciables parents'!H25</f>
        <v/>
      </c>
      <c r="AN486" s="802" t="s">
        <v>448</v>
      </c>
      <c r="AO486" s="802">
        <v>6</v>
      </c>
      <c r="AP486" s="90" t="str">
        <f>IF(AO486="","",IF(OR(AO486&gt;$AL$488,AO486&gt;20),"à inclure",""))</f>
        <v/>
      </c>
    </row>
    <row r="487" spans="3:42">
      <c r="C487" s="2468"/>
      <c r="D487" s="1757" t="str">
        <f>IF(AP471="à inclure",AN471,"")</f>
        <v>Laisse entendre à une instabilité psychologique chez l'autre parent</v>
      </c>
      <c r="E487" s="1743"/>
      <c r="F487" s="1715"/>
      <c r="N487" s="55" t="str">
        <f>'Cpts préjudiciables parents'!R21</f>
        <v>Dénigrement</v>
      </c>
      <c r="O487" s="55">
        <f>'Cpts préjudiciables parents'!S21</f>
        <v>6</v>
      </c>
      <c r="AJ487" t="str">
        <f>'Cpts préjudiciables parents'!B26</f>
        <v>Dénigrement</v>
      </c>
      <c r="AK487" t="str">
        <f>'Cpts préjudiciables parents'!C26</f>
        <v>Demande qu'on appelle le nouveau ou nvlle conjoint·e "maman" ou "papa"</v>
      </c>
      <c r="AL487" s="90">
        <f>'Cpts préjudiciables parents'!G26</f>
        <v>0</v>
      </c>
      <c r="AM487" s="55" t="str">
        <f>'Cpts préjudiciables parents'!H26</f>
        <v/>
      </c>
      <c r="AN487" s="802" t="s">
        <v>653</v>
      </c>
      <c r="AO487" s="802">
        <v>4</v>
      </c>
      <c r="AP487" s="90" t="str">
        <f>IF(AO487="","",IF(OR(AO487&gt;$AL$488,AO487&gt;20),"à inclure",""))</f>
        <v/>
      </c>
    </row>
    <row r="488" spans="3:42">
      <c r="C488" s="2278"/>
      <c r="D488" s="1757" t="str">
        <f>IF(AP472="à inclure",AN472,"")</f>
        <v>Laisse entendre à l'enfant qu'il n'est pas en sécurité avec l'autre parent</v>
      </c>
      <c r="E488" s="90"/>
      <c r="N488" s="55" t="str">
        <f>'Cpts préjudiciables parents'!R22</f>
        <v>Interférence temps et/ou communication</v>
      </c>
      <c r="O488" s="55">
        <f>'Cpts préjudiciables parents'!S22</f>
        <v>11.555555555555555</v>
      </c>
      <c r="AL488" s="2280">
        <f>'Cpts préjudiciables parents'!G27</f>
        <v>6</v>
      </c>
      <c r="AM488" s="55"/>
      <c r="AN488" s="802"/>
      <c r="AO488" s="802"/>
    </row>
    <row r="489" spans="3:42">
      <c r="C489" s="2535" t="str">
        <f>'Cpts préjudiciables parents'!B16</f>
        <v>Chantage affectif, manipulation</v>
      </c>
      <c r="D489" s="2359"/>
      <c r="F489" s="5"/>
      <c r="M489" s="13"/>
      <c r="N489" s="55" t="str">
        <f>'Cpts préjudiciables parents'!R23</f>
        <v>Interférence lien affectif ou symbolique</v>
      </c>
      <c r="O489" s="55">
        <f>'Cpts préjudiciables parents'!S23</f>
        <v>5.2</v>
      </c>
      <c r="P489" s="13"/>
      <c r="AJ489" t="str">
        <f>'Cpts préjudiciables parents'!B28</f>
        <v>Interférence temps et/ou communication</v>
      </c>
      <c r="AK489" t="str">
        <f>'Cpts préjudiciables parents'!C28</f>
        <v>Communique fréquemment avec l'enfant lorsqu'il est chez l'autre</v>
      </c>
      <c r="AL489" s="90">
        <f>'Cpts préjudiciables parents'!G28</f>
        <v>24</v>
      </c>
      <c r="AM489" s="55" t="str">
        <f>'Cpts préjudiciables parents'!H28</f>
        <v>à inclure</v>
      </c>
      <c r="AN489" s="802" t="s">
        <v>455</v>
      </c>
      <c r="AO489" s="802">
        <v>33</v>
      </c>
      <c r="AP489" s="90" t="str">
        <f t="shared" ref="AP489:AP497" si="15">IF(AO489="","",IF(OR(AO489&gt;$AL$498,AO489&gt;20),"à inclure",""))</f>
        <v>à inclure</v>
      </c>
    </row>
    <row r="490" spans="3:42">
      <c r="C490" s="2468"/>
      <c r="D490" s="1757" t="str">
        <f>IF(AP477="à inclure",AN477,"")</f>
        <v/>
      </c>
      <c r="E490" s="1743"/>
      <c r="F490" s="5"/>
      <c r="M490" s="13"/>
      <c r="N490" s="55" t="str">
        <f>'Cpts préjudiciables parents'!R24</f>
        <v>Parentification</v>
      </c>
      <c r="O490" s="55">
        <f>'Cpts préjudiciables parents'!S24</f>
        <v>4</v>
      </c>
      <c r="P490" s="13"/>
      <c r="AJ490" t="str">
        <f>'Cpts préjudiciables parents'!B29</f>
        <v>Interférence temps et/ou communication</v>
      </c>
      <c r="AK490" t="str">
        <f>'Cpts préjudiciables parents'!C29</f>
        <v>Donne à l'enfant la responsabilité de choisir</v>
      </c>
      <c r="AL490" s="90">
        <f>'Cpts préjudiciables parents'!G29</f>
        <v>4</v>
      </c>
      <c r="AM490" s="55" t="str">
        <f>'Cpts préjudiciables parents'!H29</f>
        <v/>
      </c>
      <c r="AN490" s="802" t="s">
        <v>677</v>
      </c>
      <c r="AO490" s="802">
        <v>21</v>
      </c>
      <c r="AP490" s="90" t="str">
        <f t="shared" si="15"/>
        <v>à inclure</v>
      </c>
    </row>
    <row r="491" spans="3:42">
      <c r="C491" s="2468"/>
      <c r="D491" s="1757" t="str">
        <f>IF(AP478="à inclure",AN478,"")</f>
        <v>Questionne l'enfant à son retour de garde</v>
      </c>
      <c r="F491" s="5"/>
      <c r="N491" s="55" t="str">
        <f>'Cpts préjudiciables parents'!R25</f>
        <v>Rôle actif de l'enfant</v>
      </c>
      <c r="O491" s="55">
        <f>'Cpts préjudiciables parents'!S25</f>
        <v>10.5</v>
      </c>
      <c r="AJ491" t="str">
        <f>'Cpts préjudiciables parents'!B30</f>
        <v>Interférence temps et/ou communication</v>
      </c>
      <c r="AK491" t="str">
        <f>'Cpts préjudiciables parents'!C30</f>
        <v>Change les horaires sans consulter l'autre parent</v>
      </c>
      <c r="AL491" s="90">
        <f>'Cpts préjudiciables parents'!G30</f>
        <v>14</v>
      </c>
      <c r="AM491" s="55" t="str">
        <f>'Cpts préjudiciables parents'!H30</f>
        <v>à inclure</v>
      </c>
      <c r="AN491" s="802" t="s">
        <v>695</v>
      </c>
      <c r="AO491" s="802">
        <v>21</v>
      </c>
      <c r="AP491" s="90" t="str">
        <f t="shared" si="15"/>
        <v>à inclure</v>
      </c>
    </row>
    <row r="492" spans="3:42">
      <c r="C492" s="2468"/>
      <c r="D492" s="1757" t="str">
        <f>IF(AP479="à inclure",AN479,"")</f>
        <v/>
      </c>
      <c r="F492" s="5"/>
      <c r="AJ492" t="str">
        <f>'Cpts préjudiciables parents'!B31</f>
        <v>Interférence temps et/ou communication</v>
      </c>
      <c r="AK492" t="str">
        <f>'Cpts préjudiciables parents'!C31</f>
        <v>Ne respecte pas l'heure des changements de garde</v>
      </c>
      <c r="AL492" s="90">
        <f>'Cpts préjudiciables parents'!G31</f>
        <v>4</v>
      </c>
      <c r="AM492" s="55" t="str">
        <f>'Cpts préjudiciables parents'!H31</f>
        <v/>
      </c>
      <c r="AN492" s="802" t="s">
        <v>663</v>
      </c>
      <c r="AO492" s="802">
        <v>14</v>
      </c>
      <c r="AP492" s="90" t="str">
        <f t="shared" si="15"/>
        <v>à inclure</v>
      </c>
    </row>
    <row r="493" spans="3:42">
      <c r="C493" s="2528"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f>'Cpts préjudiciables parents'!G32</f>
        <v>8</v>
      </c>
      <c r="AM493" s="55" t="str">
        <f>'Cpts préjudiciables parents'!H32</f>
        <v/>
      </c>
      <c r="AN493" s="802" t="s">
        <v>672</v>
      </c>
      <c r="AO493" s="802">
        <v>14</v>
      </c>
      <c r="AP493" s="90" t="str">
        <f t="shared" si="15"/>
        <v>à inclure</v>
      </c>
    </row>
    <row r="494" spans="3:42">
      <c r="C494" s="246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f>'Cpts préjudiciables parents'!G33</f>
        <v>8</v>
      </c>
      <c r="AM494" s="55" t="str">
        <f>'Cpts préjudiciables parents'!H33</f>
        <v/>
      </c>
      <c r="AN494" s="802" t="s">
        <v>705</v>
      </c>
      <c r="AO494" s="802">
        <v>14</v>
      </c>
      <c r="AP494" s="90" t="str">
        <f t="shared" si="15"/>
        <v>à inclure</v>
      </c>
    </row>
    <row r="495" spans="3:42">
      <c r="C495" s="246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4</v>
      </c>
      <c r="AM495" s="55" t="str">
        <f>'Cpts préjudiciables parents'!H34</f>
        <v/>
      </c>
      <c r="AN495" s="802" t="s">
        <v>668</v>
      </c>
      <c r="AO495" s="802">
        <v>8</v>
      </c>
      <c r="AP495" s="90" t="str">
        <f t="shared" si="15"/>
        <v/>
      </c>
    </row>
    <row r="496" spans="3:42">
      <c r="C496" s="246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30</v>
      </c>
      <c r="AM496" s="55" t="str">
        <f>'Cpts préjudiciables parents'!H35</f>
        <v>à inclure</v>
      </c>
      <c r="AN496" s="802" t="s">
        <v>461</v>
      </c>
      <c r="AO496" s="802">
        <v>6</v>
      </c>
      <c r="AP496" s="90" t="str">
        <f t="shared" si="15"/>
        <v/>
      </c>
    </row>
    <row r="497" spans="3:42">
      <c r="C497" s="2542"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8</v>
      </c>
      <c r="AM497" s="55" t="str">
        <f>'Cpts préjudiciables parents'!H36</f>
        <v/>
      </c>
      <c r="AN497" s="802" t="s">
        <v>681</v>
      </c>
      <c r="AO497" s="802">
        <v>4</v>
      </c>
      <c r="AP497" s="90" t="str">
        <f t="shared" si="15"/>
        <v/>
      </c>
    </row>
    <row r="498" spans="3:42">
      <c r="C498" s="2468"/>
      <c r="D498" s="1757" t="str">
        <f>IF(AP489="à inclure",AN489,"")</f>
        <v>Communique fréquemment avec l'enfant lorsqu'il est chez l'autre</v>
      </c>
      <c r="F498" s="5"/>
      <c r="AL498" s="2280">
        <f>'Cpts préjudiciables parents'!G37</f>
        <v>11.555555555555555</v>
      </c>
      <c r="AM498" s="55"/>
      <c r="AN498" s="802"/>
      <c r="AO498" s="802"/>
    </row>
    <row r="499" spans="3:42">
      <c r="C499" s="2468"/>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4</v>
      </c>
      <c r="AM499" s="55" t="str">
        <f>'Cpts préjudiciables parents'!H38</f>
        <v/>
      </c>
      <c r="AN499" s="802" t="s">
        <v>764</v>
      </c>
      <c r="AO499" s="802"/>
      <c r="AP499" s="90" t="str">
        <f>IF(AO499="","",IF(OR(AO499&gt;$AL$504,AO499&gt;20),"à inclure",""))</f>
        <v/>
      </c>
    </row>
    <row r="500" spans="3:42">
      <c r="C500" s="2468"/>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f>'Cpts préjudiciables parents'!G39</f>
        <v>8</v>
      </c>
      <c r="AM500" s="55" t="str">
        <f>'Cpts préjudiciables parents'!H39</f>
        <v>à inclure</v>
      </c>
      <c r="AN500" s="802" t="s">
        <v>795</v>
      </c>
      <c r="AO500" s="802">
        <v>21</v>
      </c>
      <c r="AP500" s="90" t="str">
        <f>IF(AO500="","",IF(OR(AO500&gt;$AL$504,AO500&gt;20),"à inclure",""))</f>
        <v>à inclure</v>
      </c>
    </row>
    <row r="501" spans="3:42">
      <c r="C501" s="2523"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f>'Cpts préjudiciables parents'!G40</f>
        <v>0</v>
      </c>
      <c r="AM501" s="55" t="str">
        <f>'Cpts préjudiciables parents'!H40</f>
        <v/>
      </c>
      <c r="AN501" s="802" t="s">
        <v>725</v>
      </c>
      <c r="AO501" s="802">
        <v>14</v>
      </c>
      <c r="AP501" s="90" t="str">
        <f>IF(AO501="","",IF(OR(AO501&gt;$AL$504,AO501&gt;20),"à inclure",""))</f>
        <v>à inclure</v>
      </c>
    </row>
    <row r="502" spans="3:42">
      <c r="C502" s="246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f>'Cpts préjudiciables parents'!G41</f>
        <v>12</v>
      </c>
      <c r="AM502" s="55" t="str">
        <f>'Cpts préjudiciables parents'!H41</f>
        <v>à inclure</v>
      </c>
      <c r="AN502" s="802" t="s">
        <v>773</v>
      </c>
      <c r="AO502" s="802">
        <v>12</v>
      </c>
      <c r="AP502" s="90" t="str">
        <f>IF(AO502="","",IF(OR(AO502&gt;$AL$504,AO502&gt;20),"à inclure",""))</f>
        <v>à inclure</v>
      </c>
    </row>
    <row r="503" spans="3:42">
      <c r="C503" s="2468"/>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2</v>
      </c>
      <c r="AM503" s="55" t="str">
        <f>'Cpts préjudiciables parents'!H42</f>
        <v/>
      </c>
      <c r="AN503" s="802" t="s">
        <v>1243</v>
      </c>
      <c r="AO503" s="802">
        <v>4</v>
      </c>
      <c r="AP503" s="90" t="str">
        <f>IF(AO503="","",IF(OR(AO503&gt;$AL$504,AO503&gt;20),"à inclure",""))</f>
        <v/>
      </c>
    </row>
    <row r="504" spans="3:42">
      <c r="C504" s="2468"/>
      <c r="D504" s="1757" t="str">
        <f>IF(AP501="à inclure",AN501,"")</f>
        <v>Est en compétition avec l'autre parent pour l'amour de l'enfant</v>
      </c>
      <c r="E504" s="2"/>
      <c r="F504" s="5"/>
      <c r="AL504" s="2280">
        <f>'Cpts préjudiciables parents'!G43</f>
        <v>5.2</v>
      </c>
      <c r="AM504" s="55"/>
      <c r="AN504" s="802"/>
      <c r="AO504" s="802"/>
    </row>
    <row r="505" spans="3:4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4</v>
      </c>
      <c r="AM505" s="55" t="str">
        <f>'Cpts préjudiciables parents'!H44</f>
        <v/>
      </c>
      <c r="AN505" s="802" t="s">
        <v>513</v>
      </c>
      <c r="AO505" s="802">
        <v>16</v>
      </c>
      <c r="AP505" s="90" t="str">
        <f>IF(AO505="","",IF(OR(AO505&gt;$AL$509,AO505&gt;20),"à inclure",""))</f>
        <v>à inclure</v>
      </c>
    </row>
    <row r="506" spans="3:4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4</v>
      </c>
      <c r="AM506" s="55" t="str">
        <f>'Cpts préjudiciables parents'!H45</f>
        <v/>
      </c>
      <c r="AN506" s="802" t="s">
        <v>499</v>
      </c>
      <c r="AO506" s="802">
        <v>12</v>
      </c>
      <c r="AP506" s="90" t="str">
        <f>IF(AO506="","",IF(OR(AO506&gt;$AL$509,AO506&gt;20),"à inclure",""))</f>
        <v>à inclure</v>
      </c>
    </row>
    <row r="507" spans="3:42">
      <c r="C507" s="2363"/>
      <c r="D507" s="1757" t="str">
        <f>IF(AP506="à inclure",AN506,"")</f>
        <v>Informe l'enfant des enjeux l'opposant à l'autre parent</v>
      </c>
      <c r="E507" s="2"/>
      <c r="F507" s="5"/>
      <c r="AJ507" t="str">
        <f>'Cpts préjudiciables parents'!B46</f>
        <v>Parentification</v>
      </c>
      <c r="AK507" t="str">
        <f>'Cpts préjudiciables parents'!C46</f>
        <v>Confie à l'enfant des informations délicates sur l'autre</v>
      </c>
      <c r="AL507" s="90">
        <f>'Cpts préjudiciables parents'!G46</f>
        <v>0</v>
      </c>
      <c r="AM507" s="55" t="str">
        <f>'Cpts préjudiciables parents'!H46</f>
        <v/>
      </c>
      <c r="AN507" s="802" t="s">
        <v>829</v>
      </c>
      <c r="AO507" s="802">
        <v>12</v>
      </c>
      <c r="AP507" s="90" t="str">
        <f>IF(AO507="","",IF(OR(AO507&gt;$AL$509,AO507&gt;20),"à inclure",""))</f>
        <v>à inclure</v>
      </c>
    </row>
    <row r="508" spans="3:42">
      <c r="C508" s="2357"/>
      <c r="D508" s="1757" t="str">
        <f>IF(AP507="à inclure",AN507,"")</f>
        <v>Fait lire à l'enfant des communications de l'autre parent</v>
      </c>
      <c r="E508" s="2"/>
      <c r="F508" s="5"/>
      <c r="AJ508" t="str">
        <f>'Cpts préjudiciables parents'!B47</f>
        <v>Parentification</v>
      </c>
      <c r="AK508" t="str">
        <f>'Cpts préjudiciables parents'!C47</f>
        <v>Fait lire à l'enfant des communications de l'autre parent</v>
      </c>
      <c r="AL508" s="90">
        <f>'Cpts préjudiciables parents'!G47</f>
        <v>8</v>
      </c>
      <c r="AM508" s="55" t="str">
        <f>'Cpts préjudiciables parents'!H47</f>
        <v>à inclure</v>
      </c>
      <c r="AN508" s="802" t="s">
        <v>825</v>
      </c>
      <c r="AO508" s="802">
        <v>8</v>
      </c>
      <c r="AP508" s="90" t="str">
        <f>IF(AO508="","",IF(OR(AO508&gt;$AL$509,AO508&gt;20),"à inclure",""))</f>
        <v>à inclure</v>
      </c>
    </row>
    <row r="509" spans="3:42">
      <c r="C509" s="2527" t="str">
        <f>'Cpts préjudiciables parents'!B49</f>
        <v>Rôle actif de l'enfant</v>
      </c>
      <c r="D509" s="2360"/>
      <c r="E509" s="2"/>
      <c r="F509" s="5"/>
      <c r="AL509" s="2280">
        <f>'Cpts préjudiciables parents'!G48</f>
        <v>4</v>
      </c>
      <c r="AM509" s="55"/>
      <c r="AN509" s="802"/>
      <c r="AO509" s="802"/>
    </row>
    <row r="510" spans="3:42" ht="15" customHeight="1">
      <c r="C510" s="246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8</v>
      </c>
      <c r="AM510" s="55" t="str">
        <f>'Cpts préjudiciables parents'!H49</f>
        <v/>
      </c>
      <c r="AN510" s="802" t="s">
        <v>833</v>
      </c>
      <c r="AO510" s="802"/>
      <c r="AP510" s="90" t="str">
        <f>IF(AO510="","",IF(OR(AO510&gt;$AL$514,AO510&gt;20),"à inclure",""))</f>
        <v/>
      </c>
    </row>
    <row r="511" spans="3:42">
      <c r="C511" s="246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14</v>
      </c>
      <c r="AM511" s="55" t="str">
        <f>'Cpts préjudiciables parents'!H50</f>
        <v>à inclure</v>
      </c>
      <c r="AN511" s="802" t="s">
        <v>840</v>
      </c>
      <c r="AO511" s="802"/>
      <c r="AP511" s="90" t="str">
        <f>IF(AO511="","",IF(OR(AO511&gt;$AL$514,AO511&gt;20),"à inclure",""))</f>
        <v/>
      </c>
    </row>
    <row r="512" spans="3:42">
      <c r="C512" s="2468"/>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14</v>
      </c>
      <c r="AM512" s="55" t="str">
        <f>'Cpts préjudiciables parents'!H51</f>
        <v>à inclure</v>
      </c>
      <c r="AN512" s="802" t="s">
        <v>488</v>
      </c>
      <c r="AO512" s="802">
        <v>29</v>
      </c>
      <c r="AP512" s="90" t="str">
        <f>IF(AO512="","",IF(OR(AO512&gt;$AL$514,AO512&gt;20),"à inclure",""))</f>
        <v>à inclure</v>
      </c>
    </row>
    <row r="513" spans="1:42">
      <c r="C513" s="2468"/>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f>'Cpts préjudiciables parents'!G52</f>
        <v>6</v>
      </c>
      <c r="AM513" s="55" t="str">
        <f>'Cpts préjudiciables parents'!H52</f>
        <v/>
      </c>
      <c r="AN513" s="802" t="s">
        <v>543</v>
      </c>
      <c r="AO513" s="802">
        <v>21</v>
      </c>
      <c r="AP513" s="90" t="str">
        <f>IF(AO513="","",IF(OR(AO513&gt;$AL$514,AO513&gt;20),"à inclure",""))</f>
        <v>à inclure</v>
      </c>
    </row>
    <row r="514" spans="1:42">
      <c r="C514" s="291"/>
      <c r="D514" s="1757"/>
      <c r="E514" s="2"/>
      <c r="F514" s="5"/>
      <c r="AL514" s="2280">
        <f>'Cpts préjudiciables parents'!G53</f>
        <v>10.5</v>
      </c>
    </row>
    <row r="515" spans="1:42" ht="20" customHeight="1">
      <c r="B515" s="2271" t="s">
        <v>1537</v>
      </c>
      <c r="C515" s="252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9"/>
      <c r="E515" s="2469"/>
      <c r="F515" s="2468"/>
      <c r="G515" s="2469"/>
      <c r="H515" s="2469"/>
      <c r="I515" s="2469"/>
      <c r="J515" s="2469"/>
      <c r="K515" s="2469"/>
      <c r="L515" s="2469"/>
    </row>
    <row r="516" spans="1:42" ht="20" customHeight="1">
      <c r="E516" s="2"/>
      <c r="F516" s="5"/>
    </row>
    <row r="517" spans="1:42" ht="20" customHeight="1">
      <c r="E517" s="2"/>
      <c r="F517" s="5"/>
    </row>
    <row r="518" spans="1:42" ht="20" customHeight="1">
      <c r="C518" s="291"/>
      <c r="D518" s="2"/>
      <c r="E518" s="2"/>
      <c r="F518" s="5"/>
    </row>
    <row r="519" spans="1:42" ht="20" customHeight="1">
      <c r="A519" s="2482"/>
      <c r="B519" s="2273" t="s">
        <v>1547</v>
      </c>
      <c r="G519" s="1680"/>
      <c r="H519" s="2"/>
      <c r="R519" s="5"/>
      <c r="S519" s="5"/>
      <c r="T519" s="5"/>
      <c r="U519" s="2538"/>
      <c r="V519" s="2468"/>
      <c r="W519" s="2468"/>
      <c r="X519" s="2468"/>
      <c r="Y519" s="2468"/>
      <c r="Z519" s="1928"/>
      <c r="AA519" s="2469"/>
      <c r="AB519" s="2468"/>
      <c r="AC519" s="2468"/>
      <c r="AD519" s="2468"/>
      <c r="AE519" s="2468"/>
    </row>
    <row r="520" spans="1:42" ht="20" customHeight="1">
      <c r="A520" s="2468"/>
      <c r="B520" s="1745"/>
      <c r="G520" s="1680"/>
      <c r="R520" s="5"/>
      <c r="S520" s="5"/>
      <c r="T520" s="5"/>
      <c r="U520" s="1928"/>
      <c r="V520" s="1928"/>
      <c r="W520" s="1928"/>
      <c r="X520" s="1928"/>
      <c r="Y520" s="1928"/>
      <c r="Z520" s="1928"/>
      <c r="AA520" s="5"/>
      <c r="AB520" s="66"/>
      <c r="AC520" s="66"/>
      <c r="AD520" s="66"/>
      <c r="AE520" s="5"/>
      <c r="AF520" s="5"/>
    </row>
    <row r="521" spans="1:42" ht="20" customHeight="1">
      <c r="A521" s="2468"/>
      <c r="B521" s="1745"/>
      <c r="F521" s="1759"/>
      <c r="G521" s="1680" t="s">
        <v>1527</v>
      </c>
      <c r="H521" s="1758"/>
      <c r="I521" s="1723"/>
      <c r="U521" s="1"/>
      <c r="V521" s="1"/>
      <c r="W521" s="1"/>
      <c r="X521" s="1"/>
      <c r="Y521" s="1"/>
      <c r="Z521" s="1"/>
      <c r="AA521" s="1"/>
      <c r="AB521" s="1"/>
      <c r="AC521" s="1"/>
      <c r="AD521" s="1"/>
      <c r="AE521" s="1"/>
      <c r="AF521" s="1"/>
    </row>
    <row r="522" spans="1:42" ht="20" customHeight="1">
      <c r="A522" s="2468"/>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c r="C524" s="1747">
        <f>'Indice D''exclusion'!H37</f>
        <v>0</v>
      </c>
      <c r="F524" s="4" t="s">
        <v>1530</v>
      </c>
      <c r="G524" s="4" t="s">
        <v>1531</v>
      </c>
      <c r="H524" s="4" t="s">
        <v>1532</v>
      </c>
      <c r="L524" s="1"/>
      <c r="O524" s="5"/>
      <c r="P524" s="5"/>
      <c r="S524" s="5"/>
      <c r="T524" s="2"/>
      <c r="U524" s="700"/>
      <c r="V524" s="5"/>
      <c r="W524" s="5"/>
      <c r="X524" s="5"/>
      <c r="Y524" s="5"/>
      <c r="Z524" s="5"/>
      <c r="AA524" s="90"/>
      <c r="AB524" s="90"/>
      <c r="AC524" s="90"/>
      <c r="AD524" s="90"/>
      <c r="AE524" s="90"/>
      <c r="AF524" s="90"/>
    </row>
    <row r="525" spans="1:42" ht="20" customHeight="1">
      <c r="C525" s="57" t="str">
        <f>'Indice D''exclusion'!H38</f>
        <v>Aucun signe</v>
      </c>
      <c r="F525" s="5" t="str">
        <f>'Indice D''exclusion'!I10</f>
        <v>Aucune</v>
      </c>
      <c r="G525" s="5">
        <f>'Indice D''exclusion'!AG14</f>
        <v>0</v>
      </c>
      <c r="H525" s="5">
        <f>'Indice D''exclusion'!AH14</f>
        <v>27</v>
      </c>
    </row>
    <row r="526" spans="1:42" ht="20" customHeight="1">
      <c r="F526" s="5" t="str">
        <f>'Indice D''exclusion'!J10</f>
        <v>Faible</v>
      </c>
      <c r="G526" s="5">
        <f>'Indice D''exclusion'!AG15</f>
        <v>28</v>
      </c>
      <c r="H526" s="5">
        <f>'Indice D''exclusion'!AH15</f>
        <v>63</v>
      </c>
    </row>
    <row r="527" spans="1:42" ht="20" customHeight="1">
      <c r="F527" s="5" t="str">
        <f>'Indice D''exclusion'!K10</f>
        <v>Possible</v>
      </c>
      <c r="G527" s="5">
        <f>'Indice D''exclusion'!AG16</f>
        <v>64</v>
      </c>
      <c r="H527" s="5">
        <f>'Indice D''exclusion'!AH16</f>
        <v>122</v>
      </c>
    </row>
    <row r="528" spans="1:42" ht="20" customHeight="1">
      <c r="D528" s="64" t="s">
        <v>1548</v>
      </c>
      <c r="F528" s="5" t="str">
        <f>'Indice D''exclusion'!L10</f>
        <v>Probable</v>
      </c>
      <c r="G528" s="5">
        <f>'Indice D''exclusion'!AG17</f>
        <v>123</v>
      </c>
      <c r="H528" s="5">
        <f>'Indice D''exclusion'!AH17</f>
        <v>180</v>
      </c>
    </row>
    <row r="529" spans="1:31" ht="20" customHeight="1">
      <c r="C529" s="5" t="str">
        <f>'Indice D''exclusion'!I10</f>
        <v>Aucune</v>
      </c>
      <c r="D529" s="5" t="str">
        <f>'Indice D''exclusion'!I38</f>
        <v>0 - 27</v>
      </c>
    </row>
    <row r="530" spans="1:31" ht="20" customHeight="1">
      <c r="C530" s="5" t="str">
        <f>'Indice D''exclusion'!J10</f>
        <v>Faible</v>
      </c>
      <c r="D530" s="5" t="str">
        <f>'Indice D''exclusion'!J38</f>
        <v>28 - 63</v>
      </c>
    </row>
    <row r="531" spans="1:31" ht="20" customHeight="1">
      <c r="C531" s="5" t="str">
        <f>'Indice D''exclusion'!K10</f>
        <v>Possible</v>
      </c>
      <c r="D531" s="5" t="str">
        <f>'Indice D''exclusion'!K38</f>
        <v>64 - 122</v>
      </c>
    </row>
    <row r="532" spans="1:31" ht="20" customHeight="1">
      <c r="C532" s="5" t="str">
        <f>'Indice D''exclusion'!L10</f>
        <v>Probable</v>
      </c>
      <c r="D532" s="5" t="str">
        <f>'Indice D''exclusion'!L38</f>
        <v>123 - 180</v>
      </c>
    </row>
    <row r="533" spans="1:31" ht="20" customHeight="1"/>
    <row r="534" spans="1:31" ht="20" customHeight="1"/>
    <row r="535" spans="1:31" ht="20" customHeight="1"/>
    <row r="536" spans="1:31" ht="20" customHeight="1"/>
    <row r="537" spans="1:31" ht="20" customHeight="1">
      <c r="G537" s="1680"/>
    </row>
    <row r="538" spans="1:31" ht="42" customHeight="1">
      <c r="C538" s="2"/>
      <c r="E538" s="2271" t="s">
        <v>1537</v>
      </c>
      <c r="F538" s="2533"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9"/>
      <c r="H538" s="2469"/>
      <c r="I538" s="2469"/>
      <c r="J538" s="2469"/>
      <c r="K538" s="2469"/>
      <c r="N538" s="5"/>
      <c r="O538" s="5"/>
      <c r="P538" s="5"/>
      <c r="Q538" s="5"/>
      <c r="R538" s="5"/>
      <c r="S538" s="2"/>
      <c r="T538" s="5"/>
      <c r="U538" s="5"/>
      <c r="V538" s="5"/>
      <c r="W538" s="5"/>
      <c r="X538" s="5"/>
      <c r="Y538" s="2266"/>
      <c r="Z538" s="5"/>
      <c r="AA538" s="5"/>
    </row>
    <row r="539" spans="1:31" ht="30" customHeight="1">
      <c r="G539" s="291"/>
      <c r="S539" s="2"/>
    </row>
    <row r="540" spans="1:31" ht="21" customHeight="1">
      <c r="A540" s="2534"/>
      <c r="B540" s="2300" t="s">
        <v>1549</v>
      </c>
    </row>
    <row r="541" spans="1:31" ht="23" customHeight="1">
      <c r="A541" s="2468"/>
      <c r="B541" s="1745"/>
      <c r="G541" s="1680"/>
      <c r="I541" s="1680" t="s">
        <v>1550</v>
      </c>
      <c r="J541" s="1759"/>
    </row>
    <row r="542" spans="1:31" ht="24" customHeight="1">
      <c r="A542" s="2468"/>
      <c r="C542" s="589" t="s">
        <v>2</v>
      </c>
      <c r="D542" s="2529" t="s">
        <v>1551</v>
      </c>
      <c r="E542" s="2469"/>
      <c r="F542" s="2468"/>
      <c r="G542" s="2469"/>
      <c r="H542" s="2469"/>
      <c r="I542" s="2469"/>
      <c r="J542" s="1754"/>
      <c r="T542" s="5"/>
      <c r="U542" s="2538"/>
      <c r="V542" s="2468"/>
      <c r="W542" s="2468"/>
      <c r="X542" s="2468"/>
      <c r="Y542" s="2468"/>
      <c r="Z542" s="1928"/>
      <c r="AA542" s="2469"/>
      <c r="AB542" s="2468"/>
      <c r="AC542" s="2468"/>
      <c r="AD542" s="2468"/>
      <c r="AE542" s="2468"/>
    </row>
    <row r="543" spans="1:31" ht="29" customHeight="1">
      <c r="A543" s="2468"/>
      <c r="C543" s="589"/>
      <c r="D543" s="700" t="s">
        <v>1511</v>
      </c>
      <c r="E543" s="700" t="s">
        <v>1512</v>
      </c>
      <c r="F543" s="5"/>
      <c r="H543" s="5" t="s">
        <v>1313</v>
      </c>
      <c r="J543" s="11"/>
      <c r="T543" s="5"/>
      <c r="U543" s="1928"/>
      <c r="V543" s="1928"/>
      <c r="W543" s="1928"/>
      <c r="X543" s="1928"/>
      <c r="Y543" s="1928"/>
      <c r="Z543" s="1928"/>
      <c r="AA543" s="5"/>
      <c r="AB543" s="66"/>
      <c r="AC543" s="66"/>
      <c r="AD543" s="66"/>
      <c r="AE543" s="5"/>
    </row>
    <row r="544" spans="1:31" ht="24" customHeight="1">
      <c r="C544" s="1672"/>
      <c r="D544" s="700" t="s">
        <v>1517</v>
      </c>
      <c r="E544" s="700" t="s">
        <v>1518</v>
      </c>
      <c r="F544" s="5" t="s">
        <v>1519</v>
      </c>
      <c r="G544" s="5" t="s">
        <v>1520</v>
      </c>
      <c r="H544" s="90"/>
      <c r="I544" s="90"/>
      <c r="T544" s="5"/>
      <c r="U544" s="1"/>
      <c r="V544" s="1"/>
      <c r="W544" s="1"/>
      <c r="X544" s="1"/>
      <c r="Y544" s="1"/>
      <c r="Z544" s="1"/>
      <c r="AB544" s="1"/>
      <c r="AC544" s="1"/>
      <c r="AD544" s="1"/>
      <c r="AE544" s="1"/>
    </row>
    <row r="545" spans="1:30" ht="22" customHeight="1">
      <c r="A545" s="2531"/>
      <c r="B545" t="s">
        <v>1552</v>
      </c>
      <c r="C545" s="1672">
        <f>'Contribution NC'!C8</f>
        <v>110</v>
      </c>
      <c r="D545" s="90">
        <f>'Contribution NC'!D8</f>
        <v>0</v>
      </c>
      <c r="E545" s="90">
        <f>'Contribution NC'!E8</f>
        <v>125</v>
      </c>
      <c r="F545" s="90">
        <f>'Modèle Calcul A-R + Sommaire'!AJ40</f>
        <v>161.25</v>
      </c>
      <c r="G545" s="90">
        <f>'Modèle Calcul A-R + Sommaire'!AK40</f>
        <v>202.57499999999999</v>
      </c>
      <c r="H545" s="90">
        <f>'Contribution NC'!H8</f>
        <v>270</v>
      </c>
      <c r="I545" s="90"/>
      <c r="T545" s="2"/>
      <c r="U545" s="5"/>
      <c r="V545" s="5"/>
      <c r="W545" s="5"/>
      <c r="X545" s="5"/>
      <c r="Y545" s="5"/>
      <c r="Z545" s="5"/>
      <c r="AB545" s="90"/>
      <c r="AC545" s="90"/>
      <c r="AD545" s="90"/>
    </row>
    <row r="546" spans="1:30" ht="27" customHeight="1">
      <c r="A546" s="2468"/>
      <c r="B546" s="407"/>
    </row>
    <row r="547" spans="1:30" ht="72" customHeight="1">
      <c r="G547" s="1680"/>
      <c r="J547" s="25"/>
      <c r="K547" s="25"/>
    </row>
    <row r="548" spans="1:30" ht="39" customHeight="1">
      <c r="G548" s="1680"/>
      <c r="J548" s="25"/>
      <c r="K548" s="25"/>
    </row>
    <row r="549" spans="1:30" ht="39" customHeight="1">
      <c r="E549" s="2271" t="s">
        <v>1537</v>
      </c>
      <c r="F549" s="2548" t="str">
        <f>'Contribution NC'!C10</f>
        <v>Ce baromètre indique si le nouveau ou la nouvelle conjointe du coparent prend un rôle qui a un impact sur la dynamique et conséquement sur l'enfant.</v>
      </c>
      <c r="G549" s="2469"/>
      <c r="H549" s="2469"/>
      <c r="I549" s="2469"/>
      <c r="J549" s="2469"/>
      <c r="K549" s="25"/>
    </row>
    <row r="550" spans="1:30" ht="28" customHeight="1">
      <c r="G550" s="1680"/>
    </row>
    <row r="552" spans="1:30" ht="24" customHeight="1">
      <c r="B552" s="1748" t="s">
        <v>1553</v>
      </c>
      <c r="T552" s="2538"/>
      <c r="U552" s="2468"/>
      <c r="V552" s="2468"/>
      <c r="W552" s="2468"/>
      <c r="X552" s="2468"/>
    </row>
    <row r="553" spans="1:30" ht="21" customHeight="1">
      <c r="B553" s="1716"/>
      <c r="G553" s="291"/>
    </row>
    <row r="554" spans="1:30" ht="19" customHeight="1">
      <c r="B554" s="1744" t="s">
        <v>1554</v>
      </c>
      <c r="F554" s="1680" t="s">
        <v>1555</v>
      </c>
      <c r="G554" s="1680"/>
    </row>
    <row r="555" spans="1:30" ht="31" customHeight="1">
      <c r="E555" s="1758"/>
      <c r="F555" s="1759" t="s">
        <v>1556</v>
      </c>
      <c r="G555" s="1760"/>
      <c r="H555" s="1758"/>
      <c r="I555" s="1758"/>
    </row>
    <row r="556" spans="1:30" ht="31" customHeight="1">
      <c r="G556" s="1680"/>
    </row>
    <row r="557" spans="1:30" ht="31" customHeight="1">
      <c r="C557" s="1681" t="s">
        <v>2</v>
      </c>
      <c r="D557" s="2529" t="s">
        <v>1551</v>
      </c>
      <c r="E557" s="2469"/>
      <c r="F557" s="2468"/>
      <c r="G557" s="2469"/>
      <c r="H557" s="2469"/>
      <c r="I557" s="2469"/>
    </row>
    <row r="558" spans="1:30" ht="31" customHeight="1">
      <c r="C558" s="587"/>
      <c r="D558" s="700" t="s">
        <v>1511</v>
      </c>
      <c r="E558" s="700" t="s">
        <v>1512</v>
      </c>
      <c r="F558" s="5"/>
      <c r="H558" s="5" t="s">
        <v>1313</v>
      </c>
    </row>
    <row r="559" spans="1:30" ht="31" customHeight="1">
      <c r="C559" s="587"/>
      <c r="D559" s="700" t="s">
        <v>1517</v>
      </c>
      <c r="E559" s="700" t="s">
        <v>1518</v>
      </c>
      <c r="F559" s="5" t="s">
        <v>1519</v>
      </c>
      <c r="G559" s="5" t="s">
        <v>1520</v>
      </c>
    </row>
    <row r="560" spans="1:30" ht="31" customHeight="1">
      <c r="B560" t="s">
        <v>1557</v>
      </c>
      <c r="C560" s="1672">
        <f>'Modèle Calcul A-R + Sommaire'!AG17</f>
        <v>0</v>
      </c>
      <c r="D560" s="90">
        <f>Test_Bible!X380</f>
        <v>0</v>
      </c>
      <c r="E560" s="90">
        <f>'Modèle Calcul A-R + Sommaire'!AJ17</f>
        <v>26</v>
      </c>
      <c r="F560" s="90">
        <f>'Modèle Calcul A-R + Sommaire'!AJ34</f>
        <v>32</v>
      </c>
      <c r="G560" s="90">
        <f>'Modèle Calcul A-R + Sommaire'!AK34</f>
        <v>38.840000000000003</v>
      </c>
      <c r="H560" s="90">
        <f>'Modèle Calcul A-R + Sommaire'!AK17</f>
        <v>50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9" customHeight="1">
      <c r="E565" s="2271" t="s">
        <v>1537</v>
      </c>
      <c r="F565" s="2299" t="s">
        <v>1558</v>
      </c>
      <c r="G565" s="1765"/>
    </row>
    <row r="566" spans="2:40" ht="65" customHeight="1">
      <c r="B566" s="407" t="s">
        <v>1559</v>
      </c>
      <c r="J566" s="1680" t="s">
        <v>1560</v>
      </c>
      <c r="T566" s="1928"/>
      <c r="U566" s="1928"/>
      <c r="V566" s="1928"/>
      <c r="W566" s="1928"/>
    </row>
    <row r="567" spans="2:40">
      <c r="B567" s="1745"/>
      <c r="G567" s="1680"/>
    </row>
    <row r="568" spans="2:40">
      <c r="G568" s="1753"/>
    </row>
    <row r="569" spans="2:40" ht="21" customHeight="1">
      <c r="AI569" s="1772"/>
      <c r="AJ569" s="2441" t="str">
        <f>'Modèle Calcul A-R + Sommaire'!BC8</f>
        <v>Devant les comportements aliénants du PF, l'enfant répond :</v>
      </c>
      <c r="AK569" t="s">
        <v>1561</v>
      </c>
      <c r="AL569" s="5" t="s">
        <v>1562</v>
      </c>
      <c r="AM569" t="s">
        <v>1563</v>
      </c>
      <c r="AN569" t="s">
        <v>1564</v>
      </c>
    </row>
    <row r="570" spans="2:40">
      <c r="C570" s="5"/>
      <c r="D570" s="465"/>
      <c r="E570" s="465" t="s">
        <v>1565</v>
      </c>
      <c r="F570" s="802" t="s">
        <v>1561</v>
      </c>
      <c r="G570" s="2455"/>
      <c r="H570" s="465" t="s">
        <v>1563</v>
      </c>
      <c r="I570" s="465" t="s">
        <v>1564</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456" t="s">
        <v>1566</v>
      </c>
      <c r="E571" s="465">
        <v>21</v>
      </c>
      <c r="F571" s="802" t="s">
        <v>1567</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2457" t="s">
        <v>1568</v>
      </c>
      <c r="E572" s="1379">
        <v>26</v>
      </c>
      <c r="F572" s="1801" t="s">
        <v>1569</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c r="D573" s="2456" t="s">
        <v>1570</v>
      </c>
      <c r="E573" s="465">
        <v>27</v>
      </c>
      <c r="F573" s="802" t="s">
        <v>1571</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456" t="s">
        <v>1572</v>
      </c>
      <c r="E574" s="465">
        <v>32</v>
      </c>
      <c r="F574" s="802" t="s">
        <v>1573</v>
      </c>
      <c r="G574" s="2460">
        <v>0</v>
      </c>
      <c r="H574" s="465">
        <v>0</v>
      </c>
      <c r="I574" s="465">
        <v>0</v>
      </c>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456" t="s">
        <v>1574</v>
      </c>
      <c r="E575" s="465">
        <v>50</v>
      </c>
      <c r="F575" s="802" t="s">
        <v>1575</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456" t="s">
        <v>1576</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456" t="s">
        <v>1577</v>
      </c>
      <c r="E577" s="465"/>
      <c r="F577" s="802"/>
      <c r="G577" s="2460"/>
      <c r="H577" s="465"/>
      <c r="I577" s="465"/>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456" t="s">
        <v>1578</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456" t="s">
        <v>1579</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456" t="s">
        <v>1580</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456" t="s">
        <v>1581</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456" t="s">
        <v>1582</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456" t="s">
        <v>646</v>
      </c>
      <c r="E583" s="465"/>
      <c r="F583" s="802"/>
      <c r="G583" s="2460"/>
      <c r="H583" s="465"/>
      <c r="I583" s="465"/>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456" t="s">
        <v>1583</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456" t="s">
        <v>1584</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456" t="s">
        <v>1585</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456" t="s">
        <v>1586</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456" t="s">
        <v>1587</v>
      </c>
      <c r="E588" s="465"/>
      <c r="F588" s="802"/>
      <c r="G588" s="2460"/>
      <c r="H588" s="465"/>
      <c r="I588" s="465"/>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9" customHeight="1">
      <c r="D589" s="2456" t="s">
        <v>1588</v>
      </c>
      <c r="E589" s="465"/>
      <c r="F589" s="802"/>
      <c r="G589" s="2460"/>
      <c r="H589" s="465"/>
      <c r="I589" s="465"/>
      <c r="L589" s="2271" t="s">
        <v>1537</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456" t="s">
        <v>1589</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456" t="s">
        <v>1590</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456" t="s">
        <v>1591</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456" t="s">
        <v>1592</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456" t="s">
        <v>1593</v>
      </c>
      <c r="E594" s="465"/>
      <c r="F594" s="802"/>
      <c r="G594" s="465"/>
      <c r="H594" s="465"/>
      <c r="I594" s="465"/>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456" t="s">
        <v>1594</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456" t="s">
        <v>1595</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456" t="s">
        <v>1596</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c r="C598" s="5"/>
      <c r="D598" s="2456" t="s">
        <v>1597</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c r="C599" s="5"/>
      <c r="D599" s="2456" t="s">
        <v>1598</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c r="C600" s="5"/>
      <c r="D600" s="2456" t="s">
        <v>1599</v>
      </c>
      <c r="E600" s="465"/>
      <c r="F600" s="802">
        <v>0</v>
      </c>
      <c r="G600" s="465">
        <v>0</v>
      </c>
      <c r="H600" s="465">
        <v>0</v>
      </c>
      <c r="I600" s="465">
        <v>0</v>
      </c>
      <c r="S600" s="2"/>
      <c r="AI600" s="291"/>
      <c r="AJ600" s="5"/>
    </row>
    <row r="601" spans="2:40">
      <c r="C601" s="5"/>
      <c r="D601" s="2"/>
      <c r="S601" s="2"/>
      <c r="AI601" s="291"/>
      <c r="AJ601" s="90">
        <f>'Modèle Calcul A-R + Sommaire'!AY41</f>
        <v>10.933333333333334</v>
      </c>
    </row>
    <row r="602" spans="2:40" ht="34" customHeight="1">
      <c r="C602" s="2530" t="s">
        <v>1600</v>
      </c>
      <c r="D602" s="2469"/>
      <c r="E602" s="2469"/>
      <c r="L602" s="726"/>
      <c r="M602" s="726" t="s">
        <v>1601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1602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73" t="s">
        <v>1603</v>
      </c>
      <c r="F604" s="1680" t="s">
        <v>1604</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c r="B605" s="1744"/>
      <c r="F605" s="1761" t="s">
        <v>1605</v>
      </c>
    </row>
    <row r="606" spans="2:40" ht="19" customHeight="1">
      <c r="B606" s="1744"/>
      <c r="F606" s="1680"/>
    </row>
    <row r="607" spans="2:40" ht="19" customHeight="1">
      <c r="B607" s="1744"/>
      <c r="G607" s="1758"/>
      <c r="H607" s="1758"/>
      <c r="I607" s="5" t="s">
        <v>1606</v>
      </c>
      <c r="J607" s="1758"/>
    </row>
    <row r="608" spans="2:40" ht="26" customHeight="1">
      <c r="G608" s="291"/>
    </row>
    <row r="609" spans="2:18" ht="27" customHeight="1">
      <c r="G609" s="291"/>
    </row>
    <row r="610" spans="2:18" ht="24" customHeight="1">
      <c r="C610" s="5"/>
      <c r="D610" s="1253" t="s">
        <v>1607</v>
      </c>
      <c r="E610" s="1253" t="s">
        <v>1608</v>
      </c>
      <c r="F610" s="1253" t="s">
        <v>1609</v>
      </c>
    </row>
    <row r="611" spans="2:18" ht="24" customHeight="1">
      <c r="C611" s="2" t="s">
        <v>1610</v>
      </c>
      <c r="D611" s="1671">
        <f>Diff!J63</f>
        <v>0</v>
      </c>
      <c r="E611" s="1671" t="str">
        <f>Diff!K63</f>
        <v>Ne peut statuer</v>
      </c>
      <c r="F611" s="1679" t="str">
        <f>Diff!AJ54</f>
        <v>Il n'est pas possible de statuer puisque l'historique est absent</v>
      </c>
    </row>
    <row r="612" spans="2:18" ht="24" customHeight="1">
      <c r="C612" s="2" t="s">
        <v>1611</v>
      </c>
      <c r="D612" s="1671">
        <f>Diff!J40</f>
        <v>0</v>
      </c>
      <c r="E612" s="1671" t="str">
        <f>Diff!AI56</f>
        <v>Ne peut statuer</v>
      </c>
      <c r="F612" s="1679" t="str">
        <f>Diff!AJ56</f>
        <v>Il n'est pas possible de statuer puisque l'historique est absent</v>
      </c>
    </row>
    <row r="613" spans="2:18" ht="24" customHeight="1">
      <c r="C613" s="2" t="s">
        <v>1612</v>
      </c>
      <c r="D613" s="1671">
        <f>Diff!J19</f>
        <v>0</v>
      </c>
      <c r="E613" s="1671" t="str">
        <f>Diff!K19</f>
        <v>Ne peut statuer</v>
      </c>
      <c r="F613" s="1679" t="str">
        <f>Diff!AJ57</f>
        <v>Il n'est pas possible de statuer puisque l'historique est absent</v>
      </c>
    </row>
    <row r="614" spans="2:18" ht="24" customHeight="1">
      <c r="C614" s="2" t="s">
        <v>1613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1614</v>
      </c>
    </row>
    <row r="620" spans="2:18">
      <c r="C620" s="291"/>
      <c r="D620" s="2"/>
      <c r="E620" s="2"/>
      <c r="F620" s="5"/>
    </row>
    <row r="621" spans="2:18">
      <c r="C621" s="291"/>
      <c r="D621" s="2"/>
      <c r="E621" s="2"/>
      <c r="F621" s="5"/>
    </row>
    <row r="622" spans="2:18" ht="19" customHeight="1">
      <c r="C622" s="291"/>
      <c r="D622" s="2271" t="s">
        <v>1537</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1615</v>
      </c>
      <c r="G624" s="291"/>
      <c r="M624" s="3"/>
      <c r="N624" s="3"/>
      <c r="O624" s="3"/>
      <c r="P624" s="3"/>
      <c r="Q624" s="3"/>
      <c r="R624" s="3"/>
    </row>
    <row r="625" spans="2:18" ht="24" customHeight="1">
      <c r="B625" s="288"/>
      <c r="G625" s="291"/>
      <c r="M625" s="3"/>
      <c r="N625" s="3"/>
      <c r="O625" s="3"/>
      <c r="P625" s="3"/>
      <c r="Q625" s="3"/>
      <c r="R625" s="3"/>
    </row>
    <row r="626" spans="2:18" ht="19" customHeight="1">
      <c r="B626" s="1744" t="s">
        <v>1616</v>
      </c>
      <c r="C626" s="5"/>
      <c r="F626" s="1680"/>
      <c r="G626" s="1680"/>
    </row>
    <row r="627" spans="2:18">
      <c r="B627" s="1750"/>
      <c r="C627" s="5"/>
      <c r="F627" s="1680" t="s">
        <v>1617</v>
      </c>
      <c r="G627" s="1680"/>
    </row>
    <row r="628" spans="2:18" ht="33" customHeight="1">
      <c r="B628" s="5"/>
      <c r="C628" s="730" t="s">
        <v>1618</v>
      </c>
      <c r="D628" s="1253" t="s">
        <v>1608</v>
      </c>
      <c r="E628" s="1253"/>
      <c r="F628" s="82" t="s">
        <v>202</v>
      </c>
      <c r="G628" s="1680"/>
      <c r="L628" s="291" t="s">
        <v>1619</v>
      </c>
    </row>
    <row r="629" spans="2:18" ht="20" customHeight="1">
      <c r="B629" s="2" t="str">
        <f>'Santé et Attitude de l''enfant'!C14</f>
        <v/>
      </c>
      <c r="C629" s="90">
        <f>'Santé et Attitude de l''enfant'!D14</f>
        <v>0</v>
      </c>
      <c r="D629" s="90">
        <f>'Santé et Attitude de l''enfant'!F14</f>
        <v>0</v>
      </c>
      <c r="E629" s="1767">
        <v>0</v>
      </c>
      <c r="F629" t="s">
        <v>1620</v>
      </c>
      <c r="G629" s="1680"/>
    </row>
    <row r="630" spans="2:18" ht="20" customHeight="1">
      <c r="B630" s="2" t="str">
        <f>'Santé et Attitude de l''enfant'!C15</f>
        <v/>
      </c>
      <c r="C630" s="90">
        <f>'Santé et Attitude de l''enfant'!D15</f>
        <v>0</v>
      </c>
      <c r="D630" s="90">
        <f>'Santé et Attitude de l''enfant'!F15</f>
        <v>0</v>
      </c>
      <c r="E630" s="1767">
        <v>1</v>
      </c>
      <c r="F630" t="s">
        <v>1621</v>
      </c>
      <c r="G630" s="291"/>
      <c r="K630" s="2" t="s">
        <v>1622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1623</v>
      </c>
      <c r="G631" s="291"/>
      <c r="K631" s="2"/>
    </row>
    <row r="632" spans="2:18" ht="20" customHeight="1">
      <c r="B632" s="2" t="str">
        <f>'Santé et Attitude de l''enfant'!C17</f>
        <v/>
      </c>
      <c r="C632" s="90">
        <f>'Santé et Attitude de l''enfant'!D17</f>
        <v>0</v>
      </c>
      <c r="D632" s="90">
        <f>'Santé et Attitude de l''enfant'!F17</f>
        <v>0</v>
      </c>
      <c r="E632" s="1767">
        <v>4</v>
      </c>
      <c r="F632" t="s">
        <v>1624</v>
      </c>
      <c r="G632" s="1680"/>
      <c r="K632" s="2" t="s">
        <v>1625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1626</v>
      </c>
      <c r="G633" s="1680"/>
      <c r="K633" s="2"/>
    </row>
    <row r="634" spans="2:18" ht="20" customHeight="1">
      <c r="B634" s="2524" t="s">
        <v>1627</v>
      </c>
      <c r="C634" s="2468"/>
      <c r="D634" s="2469"/>
      <c r="E634" s="1768">
        <v>10</v>
      </c>
      <c r="F634" t="s">
        <v>1628</v>
      </c>
      <c r="G634" s="291"/>
      <c r="K634" s="2" t="s">
        <v>1629</v>
      </c>
      <c r="L634" s="1766" t="str">
        <f>IF(OR('Santé et Attitude de l''enfant'!D23=1,'Santé et Attitude de l''enfant'!E23=1),1,"")</f>
        <v/>
      </c>
    </row>
    <row r="635" spans="2:18" ht="20" customHeight="1">
      <c r="B635" s="2468"/>
      <c r="C635" s="2468"/>
      <c r="D635" s="2469"/>
      <c r="G635" s="291"/>
    </row>
    <row r="636" spans="2:18" ht="20" customHeight="1">
      <c r="B636" s="2468"/>
      <c r="C636" s="2468"/>
      <c r="D636" s="2469"/>
      <c r="G636" s="291"/>
    </row>
    <row r="637" spans="2:18">
      <c r="B637" s="2468"/>
      <c r="C637" s="2468"/>
      <c r="D637" s="2469"/>
      <c r="G637" s="291"/>
    </row>
    <row r="638" spans="2:18">
      <c r="G638" s="291"/>
    </row>
    <row r="639" spans="2:18">
      <c r="F639" s="2547" t="s">
        <v>1630</v>
      </c>
      <c r="G639" s="2469"/>
      <c r="H639" s="2469"/>
      <c r="I639" s="2469"/>
      <c r="J639" s="2469"/>
      <c r="K639" s="2469"/>
      <c r="L639" s="2469"/>
    </row>
    <row r="640" spans="2:18" ht="30" customHeight="1">
      <c r="D640" s="2271" t="s">
        <v>1537</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c r="F641" s="1927"/>
      <c r="G641" s="1927"/>
      <c r="H641" s="1927"/>
      <c r="I641" s="1927"/>
      <c r="J641" s="1927"/>
      <c r="K641" s="1927"/>
      <c r="L641" s="1927"/>
    </row>
    <row r="642" spans="1:27" ht="24" customHeight="1">
      <c r="B642" s="288"/>
      <c r="G642" s="291"/>
      <c r="M642" s="3"/>
      <c r="N642" s="3"/>
      <c r="O642" s="3"/>
      <c r="P642" s="3"/>
      <c r="Q642" s="3"/>
      <c r="R642" s="3"/>
      <c r="T642" s="49"/>
      <c r="U642" s="49"/>
      <c r="V642" s="49"/>
      <c r="W642" s="49"/>
      <c r="X642" s="49"/>
      <c r="Y642" s="1928"/>
    </row>
    <row r="643" spans="1:27" ht="38" customHeight="1">
      <c r="B643" s="407" t="s">
        <v>1631</v>
      </c>
      <c r="C643" s="5"/>
      <c r="F643" s="1680"/>
      <c r="P643" s="5"/>
      <c r="Q643" s="5"/>
      <c r="T643" s="1928"/>
      <c r="U643" s="1928"/>
      <c r="V643" s="1928"/>
      <c r="W643" s="1928"/>
      <c r="X643" s="1928"/>
      <c r="Y643" s="1928"/>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1632</v>
      </c>
      <c r="I646" s="2" t="s">
        <v>1633</v>
      </c>
      <c r="R646" s="25"/>
      <c r="S646" s="8"/>
      <c r="T646" s="7"/>
      <c r="U646" s="7"/>
      <c r="V646" s="7"/>
      <c r="W646" s="826"/>
      <c r="X646" s="826"/>
      <c r="Y646" s="826"/>
    </row>
    <row r="647" spans="1:27" ht="22" customHeight="1">
      <c r="A647" s="2"/>
      <c r="B647" s="2"/>
      <c r="C647" s="8"/>
      <c r="F647" t="s">
        <v>1634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90"/>
      <c r="R649" s="25"/>
      <c r="S649" s="8"/>
      <c r="T649" s="826"/>
      <c r="U649" s="826"/>
      <c r="V649" s="13"/>
      <c r="W649" s="13"/>
      <c r="X649" s="13"/>
      <c r="Y649" s="13"/>
    </row>
    <row r="650" spans="1:27" ht="22" customHeight="1">
      <c r="F650" t="s">
        <v>1635</v>
      </c>
      <c r="G650" t="e">
        <f>'Santé et Attitude de l''enfant'!G34</f>
        <v>#N/A</v>
      </c>
      <c r="S650" s="7"/>
    </row>
    <row r="651" spans="1:27" ht="22" customHeight="1">
      <c r="S651" s="7"/>
    </row>
    <row r="652" spans="1:27" ht="22" customHeight="1">
      <c r="S652" s="7"/>
    </row>
    <row r="653" spans="1:27" ht="22" customHeight="1">
      <c r="S653" s="7"/>
    </row>
    <row r="654" spans="1:27" ht="22" customHeight="1">
      <c r="S654" s="7"/>
    </row>
    <row r="655" spans="1:27" ht="22" customHeight="1">
      <c r="D655" s="2271" t="s">
        <v>1537</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1557</v>
      </c>
      <c r="G661" s="1680"/>
    </row>
    <row r="662" spans="2:10" ht="19" customHeight="1">
      <c r="B662" s="407" t="s">
        <v>1636</v>
      </c>
      <c r="F662" s="1680" t="s">
        <v>1637</v>
      </c>
    </row>
    <row r="663" spans="2:10">
      <c r="B663" s="1745"/>
      <c r="G663" s="1680"/>
    </row>
    <row r="664" spans="2:10">
      <c r="B664" s="1745"/>
      <c r="E664" s="1758"/>
      <c r="F664" s="1759" t="s">
        <v>1638</v>
      </c>
      <c r="G664" s="1760"/>
      <c r="H664" s="1758"/>
      <c r="I664" s="1758"/>
    </row>
    <row r="666" spans="2:10">
      <c r="C666" s="5"/>
      <c r="D666" s="1751"/>
      <c r="F666" s="5" t="s">
        <v>1639</v>
      </c>
      <c r="J666" s="5" t="s">
        <v>1640</v>
      </c>
    </row>
    <row r="667" spans="2:10" ht="22" customHeight="1">
      <c r="C667" s="1755"/>
      <c r="D667" s="587" t="s">
        <v>1641</v>
      </c>
      <c r="F667" t="s">
        <v>1642</v>
      </c>
    </row>
    <row r="668" spans="2:10" ht="21" customHeight="1">
      <c r="B668" t="s">
        <v>1639</v>
      </c>
      <c r="C668" s="1756" t="s">
        <v>1340</v>
      </c>
      <c r="D668" s="2298">
        <f>'Analyse Catégories_CEV'!B11</f>
        <v>0.56629834254143652</v>
      </c>
      <c r="G668" s="1680"/>
    </row>
    <row r="669" spans="2:10" ht="21" customHeight="1">
      <c r="C669" s="1756" t="s">
        <v>1643</v>
      </c>
      <c r="D669" s="2298">
        <f>'Analyse Catégories_CEV'!B12</f>
        <v>0.21961325966850828</v>
      </c>
      <c r="G669" s="291"/>
    </row>
    <row r="670" spans="2:10" ht="21" customHeight="1">
      <c r="C670" s="1756" t="s">
        <v>1342</v>
      </c>
      <c r="D670" s="2298">
        <f>'Analyse Catégories_CEV'!B13</f>
        <v>0.21408839779005526</v>
      </c>
      <c r="G670" s="291"/>
    </row>
    <row r="671" spans="2:10" ht="21" customHeight="1">
      <c r="C671" s="291"/>
      <c r="G671" s="291"/>
    </row>
    <row r="672" spans="2:10" ht="21" customHeight="1">
      <c r="C672" s="291"/>
      <c r="G672" s="291"/>
    </row>
    <row r="673" spans="2:10" ht="21" customHeight="1">
      <c r="C673" s="5"/>
      <c r="G673" s="291"/>
    </row>
    <row r="674" spans="2:10" ht="21" customHeight="1">
      <c r="B674" t="s">
        <v>1640</v>
      </c>
      <c r="C674" s="1755"/>
      <c r="D674" s="587" t="s">
        <v>1641</v>
      </c>
      <c r="G674" s="291"/>
    </row>
    <row r="675" spans="2:10" ht="21" customHeight="1">
      <c r="C675" s="1756" t="s">
        <v>1340</v>
      </c>
      <c r="D675" s="2298">
        <f>'Analyse Catégories_CEV'!C11</f>
        <v>0.4</v>
      </c>
      <c r="G675" s="291"/>
    </row>
    <row r="676" spans="2:10" ht="21" customHeight="1">
      <c r="C676" s="1756" t="s">
        <v>1643</v>
      </c>
      <c r="D676" s="2298">
        <f>'Analyse Catégories_CEV'!C12</f>
        <v>0.36346153846153845</v>
      </c>
      <c r="G676" s="291"/>
    </row>
    <row r="677" spans="2:10" ht="21" customHeight="1">
      <c r="C677" s="1756" t="s">
        <v>1342</v>
      </c>
      <c r="D677" s="2298">
        <f>'Analyse Catégories_CEV'!C13</f>
        <v>0.23653846153846153</v>
      </c>
      <c r="G677" s="291"/>
    </row>
    <row r="678" spans="2:10">
      <c r="G678" s="291"/>
    </row>
    <row r="682" spans="2:10" ht="51" customHeight="1">
      <c r="D682" s="2271" t="s">
        <v>1537</v>
      </c>
      <c r="E682" s="2546"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8"/>
      <c r="G682" s="2469"/>
      <c r="H682" s="2469"/>
      <c r="I682" s="2469"/>
      <c r="J682" s="2469"/>
    </row>
    <row r="686" spans="2:10">
      <c r="D686" s="2"/>
      <c r="F686" s="5"/>
    </row>
    <row r="696" spans="7:7">
      <c r="G696" s="1680"/>
    </row>
  </sheetData>
  <mergeCells count="50">
    <mergeCell ref="E682:J682"/>
    <mergeCell ref="Z452:AA452"/>
    <mergeCell ref="F639:L639"/>
    <mergeCell ref="AB452:AC452"/>
    <mergeCell ref="V453:V454"/>
    <mergeCell ref="T552:X552"/>
    <mergeCell ref="F549:J549"/>
    <mergeCell ref="U452:V452"/>
    <mergeCell ref="U542:Y542"/>
    <mergeCell ref="U519:Y519"/>
    <mergeCell ref="AA542:AE542"/>
    <mergeCell ref="AA519:AE519"/>
    <mergeCell ref="AD452:AE452"/>
    <mergeCell ref="K417:Q417"/>
    <mergeCell ref="C497:C500"/>
    <mergeCell ref="B417:H417"/>
    <mergeCell ref="T423:X423"/>
    <mergeCell ref="Z423:AD423"/>
    <mergeCell ref="A540:A543"/>
    <mergeCell ref="C489:C492"/>
    <mergeCell ref="H3:M3"/>
    <mergeCell ref="B436:C436"/>
    <mergeCell ref="U453:U454"/>
    <mergeCell ref="T483:X483"/>
    <mergeCell ref="A434:A437"/>
    <mergeCell ref="H448:N448"/>
    <mergeCell ref="A464:A469"/>
    <mergeCell ref="A450:A453"/>
    <mergeCell ref="A475:A478"/>
    <mergeCell ref="O416:AD416"/>
    <mergeCell ref="Z451:AE451"/>
    <mergeCell ref="U435:Y435"/>
    <mergeCell ref="AA435:AE435"/>
    <mergeCell ref="E423:G423"/>
    <mergeCell ref="A519:A522"/>
    <mergeCell ref="C501:C504"/>
    <mergeCell ref="B634:D637"/>
    <mergeCell ref="A455:A462"/>
    <mergeCell ref="P452:R453"/>
    <mergeCell ref="C509:C513"/>
    <mergeCell ref="C493:C496"/>
    <mergeCell ref="C515:L515"/>
    <mergeCell ref="D542:I542"/>
    <mergeCell ref="C602:E602"/>
    <mergeCell ref="A545:A546"/>
    <mergeCell ref="C485:C487"/>
    <mergeCell ref="D557:I557"/>
    <mergeCell ref="H473:M473"/>
    <mergeCell ref="F538:K538"/>
    <mergeCell ref="H463:M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topLeftCell="A111" zoomScale="83" zoomScaleNormal="96" workbookViewId="0">
      <selection activeCell="B123" sqref="B123"/>
    </sheetView>
  </sheetViews>
  <sheetFormatPr defaultColWidth="10.6640625" defaultRowHeight="15.5"/>
  <cols>
    <col min="1" max="1" width="36.1640625" customWidth="1"/>
    <col min="2" max="2" width="104.5" style="13" customWidth="1"/>
    <col min="3" max="3" width="9.83203125" style="13" customWidth="1"/>
    <col min="4" max="4" width="43" style="2452" customWidth="1"/>
    <col min="5" max="5" width="10.83203125" style="291" customWidth="1"/>
  </cols>
  <sheetData>
    <row r="1" spans="1:5">
      <c r="A1" t="s">
        <v>1644</v>
      </c>
      <c r="E1" s="291">
        <f t="shared" ref="E1:E6" si="0">B1</f>
        <v>0</v>
      </c>
    </row>
    <row r="2" spans="1:5">
      <c r="E2" s="291">
        <f t="shared" si="0"/>
        <v>0</v>
      </c>
    </row>
    <row r="3" spans="1:5" ht="22" customHeight="1">
      <c r="B3" s="2418" t="s">
        <v>1645</v>
      </c>
      <c r="C3" s="2418"/>
      <c r="D3" s="2452" t="s">
        <v>1646</v>
      </c>
      <c r="E3" s="291" t="str">
        <f t="shared" si="0"/>
        <v>Quel est le contexte de coparentalité de la famille?</v>
      </c>
    </row>
    <row r="4" spans="1:5" ht="23" customHeight="1">
      <c r="A4" s="407"/>
      <c r="E4" s="291">
        <f t="shared" si="0"/>
        <v>0</v>
      </c>
    </row>
    <row r="5" spans="1:5" ht="44" customHeight="1">
      <c r="A5" s="2382" t="s">
        <v>1647</v>
      </c>
      <c r="B5" s="2233" t="str">
        <f>'Contexte | CSS'!D1</f>
        <v>Votre contexte familial présente-t-il un risque de conflit parental ?</v>
      </c>
      <c r="C5" s="2233"/>
      <c r="D5" s="2452" t="s">
        <v>1648</v>
      </c>
      <c r="E5" s="291" t="str">
        <f t="shared" si="0"/>
        <v>Votre contexte familial présente-t-il un risque de conflit parental ?</v>
      </c>
    </row>
    <row r="6" spans="1:5" ht="75" customHeight="1">
      <c r="A6" s="2309" t="s">
        <v>1649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1650</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c r="D7" s="2452" t="s">
        <v>1651</v>
      </c>
      <c r="E7" s="291" t="s">
        <v>1652</v>
      </c>
    </row>
    <row r="8" spans="1:5" ht="66" customHeight="1">
      <c r="A8" s="826" t="s">
        <v>1653</v>
      </c>
      <c r="B8" s="826" t="str">
        <f>HLOOKUP(1,'Contexte | CSS'!S10:X41,3)</f>
        <v>L’analyse des réponses obtenues aux questionnaires révèle un &lt;strong&gt; risque élevé &lt;/strong&gt; de conflit entre vous et votre coparent.</v>
      </c>
      <c r="C8" s="826"/>
      <c r="D8" s="2452" t="s">
        <v>1654</v>
      </c>
      <c r="E8" s="291" t="str">
        <f t="shared" ref="E8:E39" si="1">B8</f>
        <v>L’analyse des réponses obtenues aux questionnaires révèle un &lt;strong&gt; risque élevé &lt;/strong&gt; de conflit entre vous et votre coparent.</v>
      </c>
    </row>
    <row r="9" spans="1:5" ht="26" customHeight="1">
      <c r="A9" s="68" t="s">
        <v>1655</v>
      </c>
      <c r="B9" s="826"/>
      <c r="C9" s="826"/>
      <c r="E9" s="291">
        <f t="shared" si="1"/>
        <v>0</v>
      </c>
    </row>
    <row r="10" spans="1:5" ht="16" customHeight="1">
      <c r="A10" s="88" t="s">
        <v>1656</v>
      </c>
      <c r="B10" s="13" t="str">
        <f>IF('Contexte | CSS'!P20&lt;&gt;"",'Contexte | CSS'!P20,"")</f>
        <v/>
      </c>
      <c r="D10" s="2452" t="s">
        <v>1657</v>
      </c>
      <c r="E10" s="291" t="str">
        <f t="shared" si="1"/>
        <v/>
      </c>
    </row>
    <row r="11" spans="1:5" ht="27" customHeight="1">
      <c r="A11" s="765" t="s">
        <v>1658</v>
      </c>
      <c r="B11" s="13" t="str">
        <f>IF('Contexte | CSS'!P26&lt;&gt;"",'Contexte | CSS'!P26,"")</f>
        <v>L'analyse révèle un non-respect de la valeur parentale et du temps parental de l'un ou les deux parents.</v>
      </c>
      <c r="D11" s="2452" t="s">
        <v>1657</v>
      </c>
      <c r="E11" s="291" t="str">
        <f t="shared" si="1"/>
        <v>L'analyse révèle un non-respect de la valeur parentale et du temps parental de l'un ou les deux parents.</v>
      </c>
    </row>
    <row r="12" spans="1:5" ht="32" customHeight="1">
      <c r="A12" s="765" t="s">
        <v>1659</v>
      </c>
      <c r="B12" s="13" t="str">
        <f>IF('Contexte | CSS'!P32&lt;&gt;"",'Contexte | CSS'!P32,"")</f>
        <v/>
      </c>
      <c r="D12" s="2452" t="s">
        <v>1657</v>
      </c>
      <c r="E12" s="291" t="str">
        <f t="shared" si="1"/>
        <v/>
      </c>
    </row>
    <row r="13" spans="1:5" ht="86" customHeight="1">
      <c r="A13" s="765" t="s">
        <v>1660</v>
      </c>
      <c r="B13" s="25" t="str">
        <f>IF('Contexte | CSS'!P35&lt;&gt;"",'Contexte | CSS'!P35,"")</f>
        <v/>
      </c>
      <c r="C13" s="25"/>
      <c r="D13" s="2452" t="s">
        <v>1657</v>
      </c>
      <c r="E13" s="291" t="str">
        <f t="shared" si="1"/>
        <v/>
      </c>
    </row>
    <row r="14" spans="1:5" ht="71" customHeight="1">
      <c r="A14" s="765" t="s">
        <v>1661</v>
      </c>
      <c r="B14" s="25" t="str">
        <f>IF('Contexte | CSS'!P40&lt;&gt;"",'Contexte | CSS'!P40,"")</f>
        <v/>
      </c>
      <c r="C14" s="25"/>
      <c r="D14" s="2452" t="s">
        <v>1657</v>
      </c>
      <c r="E14" s="291" t="str">
        <f t="shared" si="1"/>
        <v/>
      </c>
    </row>
    <row r="15" spans="1:5" ht="51" customHeight="1">
      <c r="A15" s="36" t="s">
        <v>1662</v>
      </c>
      <c r="B15" s="13" t="str">
        <f>'Contexte | CSS'!Y12</f>
        <v>Les comportements suivants méritent une attention particulière, car ils sont susceptibles d'affecter le développement et le bien-être psychologique de l'enfant :</v>
      </c>
      <c r="D15" s="2452" t="s">
        <v>1663</v>
      </c>
      <c r="E15" s="291" t="str">
        <f t="shared" si="1"/>
        <v>Les comportements suivants méritent une attention particulière, car ils sont susceptibles d'affecter le développement et le bien-être psychologique de l'enfant :</v>
      </c>
    </row>
    <row r="16" spans="1:5" ht="23" customHeight="1">
      <c r="A16" s="36"/>
      <c r="B16" s="13" t="s">
        <v>1664</v>
      </c>
      <c r="E16" s="291" t="str">
        <f t="shared" si="1"/>
        <v>Drapeaux jaunes 🟡</v>
      </c>
    </row>
    <row r="17" spans="1:5" ht="23" customHeight="1">
      <c r="A17" s="45" t="s">
        <v>1665</v>
      </c>
      <c r="B17" s="2419"/>
      <c r="C17" s="2419"/>
      <c r="E17" s="291">
        <f t="shared" si="1"/>
        <v>0</v>
      </c>
    </row>
    <row r="18" spans="1:5" ht="120" customHeight="1">
      <c r="A18" s="274" t="s">
        <v>1666</v>
      </c>
      <c r="B18" s="13" t="str">
        <f>IF('Contexte | CSS'!Q20&lt;&gt;"",'Contexte | CSS'!Q20,"")</f>
        <v/>
      </c>
      <c r="D18" s="2453" t="s">
        <v>1667</v>
      </c>
      <c r="E18" s="291" t="str">
        <f t="shared" si="1"/>
        <v/>
      </c>
    </row>
    <row r="19" spans="1:5" ht="17" customHeight="1">
      <c r="A19" s="2380" t="s">
        <v>1668</v>
      </c>
      <c r="B19" s="13" t="str">
        <f>IF('Contexte | CSS'!Q13&lt;&gt;"",'Contexte | CSS'!Q13,"")</f>
        <v xml:space="preserve"> </v>
      </c>
      <c r="D19" s="2453" t="s">
        <v>1667</v>
      </c>
      <c r="E19" s="291" t="str">
        <f t="shared" si="1"/>
        <v xml:space="preserve"> </v>
      </c>
    </row>
    <row r="20" spans="1:5" ht="17" customHeight="1">
      <c r="A20" s="2380" t="s">
        <v>1668</v>
      </c>
      <c r="B20" s="13" t="str">
        <f>IF('Contexte | CSS'!Q14&lt;&gt;"",'Contexte | CSS'!Q14,"")</f>
        <v xml:space="preserve"> </v>
      </c>
      <c r="D20" s="2453" t="s">
        <v>1667</v>
      </c>
      <c r="E20" s="291" t="str">
        <f t="shared" si="1"/>
        <v xml:space="preserve"> </v>
      </c>
    </row>
    <row r="21" spans="1:5" ht="17" customHeight="1">
      <c r="A21" s="45" t="s">
        <v>1668</v>
      </c>
      <c r="B21" s="13" t="str">
        <f>IF('Contexte | CSS'!Q15&lt;&gt;"",'Contexte | CSS'!Q15,"")</f>
        <v xml:space="preserve"> </v>
      </c>
      <c r="D21" s="2453" t="s">
        <v>1667</v>
      </c>
      <c r="E21" s="291" t="str">
        <f t="shared" si="1"/>
        <v xml:space="preserve"> </v>
      </c>
    </row>
    <row r="22" spans="1:5" ht="17" customHeight="1">
      <c r="A22" s="45" t="s">
        <v>1668</v>
      </c>
      <c r="B22" s="13" t="str">
        <f>IF('Contexte | CSS'!Q16&lt;&gt;"",'Contexte | CSS'!Q16,"")</f>
        <v xml:space="preserve"> </v>
      </c>
      <c r="D22" s="2453" t="s">
        <v>1667</v>
      </c>
      <c r="E22" s="291" t="str">
        <f t="shared" si="1"/>
        <v xml:space="preserve"> </v>
      </c>
    </row>
    <row r="23" spans="1:5" ht="17" customHeight="1">
      <c r="A23" s="45" t="s">
        <v>1668</v>
      </c>
      <c r="B23" s="13" t="str">
        <f>IF('Contexte | CSS'!Q17&lt;&gt;"",'Contexte | CSS'!Q17,"")</f>
        <v xml:space="preserve"> </v>
      </c>
      <c r="D23" s="2453" t="s">
        <v>1667</v>
      </c>
      <c r="E23" s="291" t="str">
        <f t="shared" si="1"/>
        <v xml:space="preserve"> </v>
      </c>
    </row>
    <row r="24" spans="1:5" ht="34" customHeight="1">
      <c r="A24" s="45" t="s">
        <v>1668</v>
      </c>
      <c r="B24" s="13" t="str">
        <f>IF('Contexte | CSS'!Q18&lt;&gt;"",'Contexte | CSS'!Q18,"")</f>
        <v xml:space="preserve"> </v>
      </c>
      <c r="D24" s="2453" t="s">
        <v>1667</v>
      </c>
      <c r="E24" s="291" t="str">
        <f t="shared" si="1"/>
        <v xml:space="preserve"> </v>
      </c>
    </row>
    <row r="25" spans="1:5" ht="17" customHeight="1">
      <c r="A25" s="45" t="s">
        <v>1668</v>
      </c>
      <c r="B25" s="13" t="str">
        <f>IF('Contexte | CSS'!Q19&lt;&gt;"",'Contexte | CSS'!Q19,"")</f>
        <v xml:space="preserve"> </v>
      </c>
      <c r="D25" s="2453" t="s">
        <v>1667</v>
      </c>
      <c r="E25" s="291" t="str">
        <f t="shared" si="1"/>
        <v xml:space="preserve"> </v>
      </c>
    </row>
    <row r="26" spans="1:5" ht="17" customHeight="1">
      <c r="A26" s="45" t="s">
        <v>1658</v>
      </c>
      <c r="B26" s="13">
        <f>IF('Contexte | CSS'!Q26&lt;&gt;"",'Contexte | CSS'!Q26,"")</f>
        <v>0</v>
      </c>
      <c r="D26" s="2453" t="s">
        <v>1667</v>
      </c>
      <c r="E26" s="291">
        <f t="shared" si="1"/>
        <v>0</v>
      </c>
    </row>
    <row r="27" spans="1:5" ht="17" customHeight="1">
      <c r="A27" s="2380" t="s">
        <v>1669</v>
      </c>
      <c r="B27" s="13" t="str">
        <f>IF('Contexte | CSS'!Q21&lt;&gt;"",'Contexte | CSS'!Q21,"")</f>
        <v xml:space="preserve"> </v>
      </c>
      <c r="D27" s="2453" t="s">
        <v>1667</v>
      </c>
      <c r="E27" s="291" t="str">
        <f t="shared" si="1"/>
        <v xml:space="preserve"> </v>
      </c>
    </row>
    <row r="28" spans="1:5" ht="17" customHeight="1">
      <c r="A28" s="2380" t="s">
        <v>1669</v>
      </c>
      <c r="B28" s="13" t="str">
        <f>IF('Contexte | CSS'!Q22&lt;&gt;"",'Contexte | CSS'!Q22,"")</f>
        <v xml:space="preserve"> </v>
      </c>
      <c r="D28" s="2453" t="s">
        <v>1667</v>
      </c>
      <c r="E28" s="291" t="str">
        <f t="shared" si="1"/>
        <v xml:space="preserve"> </v>
      </c>
    </row>
    <row r="29" spans="1:5" ht="17" customHeight="1">
      <c r="A29" s="45" t="s">
        <v>1669</v>
      </c>
      <c r="B29" s="13" t="str">
        <f>IF('Contexte | CSS'!Q23&lt;&gt;"",'Contexte | CSS'!Q23,"")</f>
        <v xml:space="preserve"> </v>
      </c>
      <c r="D29" s="2453" t="s">
        <v>1667</v>
      </c>
      <c r="E29" s="291" t="str">
        <f t="shared" si="1"/>
        <v xml:space="preserve"> </v>
      </c>
    </row>
    <row r="30" spans="1:5" ht="17" customHeight="1">
      <c r="A30" s="45" t="s">
        <v>1669</v>
      </c>
      <c r="B30" s="13" t="str">
        <f>IF('Contexte | CSS'!Q24&lt;&gt;"",'Contexte | CSS'!Q24,"")</f>
        <v xml:space="preserve"> </v>
      </c>
      <c r="D30" s="2453" t="s">
        <v>1667</v>
      </c>
      <c r="E30" s="291" t="str">
        <f t="shared" si="1"/>
        <v xml:space="preserve"> </v>
      </c>
    </row>
    <row r="31" spans="1:5" ht="17" customHeight="1">
      <c r="A31" s="45" t="s">
        <v>1669</v>
      </c>
      <c r="B31" s="13" t="str">
        <f>IF('Contexte | CSS'!Q25&lt;&gt;"",'Contexte | CSS'!Q25,"")</f>
        <v xml:space="preserve"> </v>
      </c>
      <c r="D31" s="2453" t="s">
        <v>1667</v>
      </c>
      <c r="E31" s="291" t="str">
        <f t="shared" si="1"/>
        <v xml:space="preserve"> </v>
      </c>
    </row>
    <row r="32" spans="1:5" ht="17" customHeight="1">
      <c r="A32" s="45" t="s">
        <v>1659</v>
      </c>
      <c r="B32" s="13" t="str">
        <f>IF('Contexte | CSS'!Q32&lt;&gt;"",'Contexte | CSS'!Q32,"")</f>
        <v/>
      </c>
      <c r="D32" s="2453" t="s">
        <v>1667</v>
      </c>
      <c r="E32" s="291" t="str">
        <f t="shared" si="1"/>
        <v/>
      </c>
    </row>
    <row r="33" spans="1:5" ht="17" customHeight="1">
      <c r="A33" s="2375" t="s">
        <v>1670</v>
      </c>
      <c r="B33" s="13" t="str">
        <f>IF('Contexte | CSS'!Q28&lt;&gt;"",'Contexte | CSS'!Q28,"")</f>
        <v xml:space="preserve"> </v>
      </c>
      <c r="D33" s="2453" t="s">
        <v>1667</v>
      </c>
      <c r="E33" s="291" t="str">
        <f t="shared" si="1"/>
        <v xml:space="preserve"> </v>
      </c>
    </row>
    <row r="34" spans="1:5" ht="17" customHeight="1">
      <c r="A34" s="45" t="s">
        <v>1670</v>
      </c>
      <c r="B34" s="13" t="str">
        <f>IF('Contexte | CSS'!Q29&lt;&gt;"",'Contexte | CSS'!Q29,"")</f>
        <v xml:space="preserve"> </v>
      </c>
      <c r="D34" s="2453" t="s">
        <v>1667</v>
      </c>
      <c r="E34" s="291" t="str">
        <f t="shared" si="1"/>
        <v xml:space="preserve"> </v>
      </c>
    </row>
    <row r="35" spans="1:5" ht="17" customHeight="1">
      <c r="A35" s="45" t="s">
        <v>1670</v>
      </c>
      <c r="B35" s="13" t="str">
        <f>IF('Contexte | CSS'!Q30&lt;&gt;"",'Contexte | CSS'!Q30,"")</f>
        <v xml:space="preserve"> </v>
      </c>
      <c r="D35" s="2453" t="s">
        <v>1667</v>
      </c>
      <c r="E35" s="291" t="str">
        <f t="shared" si="1"/>
        <v xml:space="preserve"> </v>
      </c>
    </row>
    <row r="36" spans="1:5" ht="17" customHeight="1">
      <c r="A36" s="45" t="s">
        <v>1670</v>
      </c>
      <c r="B36" s="13" t="str">
        <f>IF('Contexte | CSS'!Q31&lt;&gt;"",'Contexte | CSS'!Q31,"")</f>
        <v xml:space="preserve"> </v>
      </c>
      <c r="D36" s="2453" t="s">
        <v>1667</v>
      </c>
      <c r="E36" s="291" t="str">
        <f t="shared" si="1"/>
        <v xml:space="preserve"> </v>
      </c>
    </row>
    <row r="37" spans="1:5" ht="34" customHeight="1">
      <c r="A37" s="2201" t="s">
        <v>1671</v>
      </c>
      <c r="B37" s="13" t="str">
        <f>IF('Contexte | CSS'!Q33&lt;&gt;"",'Contexte | CSS'!Q33,"")</f>
        <v>Appeler le nouveau ou la nouvelle conjoint·e &lt;i&gt; papa &lt;/i&gt; ou &lt;i&gt; maman &lt;/i&gt; peut semer de la confusion chez l'enfant ou affecter la valeur symbolique de l’autre parent.</v>
      </c>
      <c r="D37" s="2453" t="s">
        <v>1667</v>
      </c>
      <c r="E37" s="291" t="str">
        <f t="shared" si="1"/>
        <v>Appeler le nouveau ou la nouvelle conjoint·e &lt;i&gt; papa &lt;/i&gt; ou &lt;i&gt; maman &lt;/i&gt; peut semer de la confusion chez l'enfant ou affecter la valeur symbolique de l’autre parent.</v>
      </c>
    </row>
    <row r="38" spans="1:5" ht="17" customHeight="1">
      <c r="A38" s="45" t="s">
        <v>1672</v>
      </c>
      <c r="B38" s="13" t="str">
        <f>IF('Contexte | CSS'!Q34&lt;&gt;"",'Contexte | CSS'!Q34,"")</f>
        <v/>
      </c>
      <c r="D38" s="2453" t="s">
        <v>1667</v>
      </c>
      <c r="E38" s="291" t="str">
        <f t="shared" si="1"/>
        <v/>
      </c>
    </row>
    <row r="39" spans="1:5" s="36" customFormat="1" ht="24" customHeight="1">
      <c r="A39" s="1222" t="s">
        <v>1665</v>
      </c>
      <c r="B39" s="13" t="s">
        <v>1673</v>
      </c>
      <c r="C39" s="13"/>
      <c r="D39" s="2454"/>
      <c r="E39" s="291" t="str">
        <f t="shared" si="1"/>
        <v>Drapeaux rouges 🔴</v>
      </c>
    </row>
    <row r="40" spans="1:5">
      <c r="A40" s="1222"/>
      <c r="B40" s="2419"/>
      <c r="C40" s="2419"/>
      <c r="E40" s="291">
        <f t="shared" ref="E40:E65" si="2">B40</f>
        <v>0</v>
      </c>
    </row>
    <row r="41" spans="1:5" ht="17" customHeight="1">
      <c r="A41" s="2376" t="s">
        <v>1666</v>
      </c>
      <c r="B41" s="13" t="str">
        <f>IF('Contexte | CSS'!R20&lt;&gt;"",'Contexte | CSS'!R20,"")</f>
        <v/>
      </c>
      <c r="D41" s="2453" t="s">
        <v>1674</v>
      </c>
      <c r="E41" s="291" t="str">
        <f t="shared" si="2"/>
        <v/>
      </c>
    </row>
    <row r="42" spans="1:5" ht="17" customHeight="1">
      <c r="A42" s="2379" t="s">
        <v>1668</v>
      </c>
      <c r="B42" s="13" t="str">
        <f>IF('Contexte | CSS'!R13&lt;&gt;"",'Contexte | CSS'!R13,"")</f>
        <v xml:space="preserve"> </v>
      </c>
      <c r="D42" s="2453" t="s">
        <v>1674</v>
      </c>
      <c r="E42" s="291" t="str">
        <f t="shared" si="2"/>
        <v xml:space="preserve"> </v>
      </c>
    </row>
    <row r="43" spans="1:5" ht="17" customHeight="1">
      <c r="A43" s="2379" t="s">
        <v>1668</v>
      </c>
      <c r="B43" s="13" t="str">
        <f>IF('Contexte | CSS'!R14&lt;&gt;"",'Contexte | CSS'!R14,"")</f>
        <v xml:space="preserve"> </v>
      </c>
      <c r="D43" s="2453" t="s">
        <v>1674</v>
      </c>
      <c r="E43" s="291" t="str">
        <f t="shared" si="2"/>
        <v xml:space="preserve"> </v>
      </c>
    </row>
    <row r="44" spans="1:5" ht="17" customHeight="1">
      <c r="A44" s="2379" t="s">
        <v>1668</v>
      </c>
      <c r="B44" s="13" t="str">
        <f>IF('Contexte | CSS'!R15&lt;&gt;"",'Contexte | CSS'!R15,"")</f>
        <v xml:space="preserve"> </v>
      </c>
      <c r="D44" s="2453" t="s">
        <v>1674</v>
      </c>
      <c r="E44" s="291" t="str">
        <f t="shared" si="2"/>
        <v xml:space="preserve"> </v>
      </c>
    </row>
    <row r="45" spans="1:5" ht="17" customHeight="1">
      <c r="A45" s="2379" t="s">
        <v>1668</v>
      </c>
      <c r="B45" s="13" t="str">
        <f>IF('Contexte | CSS'!R16&lt;&gt;"",'Contexte | CSS'!R16,"")</f>
        <v xml:space="preserve"> </v>
      </c>
      <c r="D45" s="2453" t="s">
        <v>1674</v>
      </c>
      <c r="E45" s="291" t="str">
        <f t="shared" si="2"/>
        <v xml:space="preserve"> </v>
      </c>
    </row>
    <row r="46" spans="1:5" ht="17" customHeight="1">
      <c r="A46" s="2379" t="s">
        <v>1668</v>
      </c>
      <c r="B46" s="13" t="str">
        <f>IF('Contexte | CSS'!R17&lt;&gt;"",'Contexte | CSS'!R17,"")</f>
        <v xml:space="preserve"> </v>
      </c>
      <c r="D46" s="2453" t="s">
        <v>1674</v>
      </c>
      <c r="E46" s="291" t="str">
        <f t="shared" si="2"/>
        <v xml:space="preserve"> </v>
      </c>
    </row>
    <row r="47" spans="1:5" ht="17" customHeight="1">
      <c r="A47" s="2379" t="s">
        <v>1668</v>
      </c>
      <c r="B47" s="13" t="str">
        <f>IF('Contexte | CSS'!R18&lt;&gt;"",'Contexte | CSS'!R18,"")</f>
        <v xml:space="preserve"> </v>
      </c>
      <c r="D47" s="2453" t="s">
        <v>1674</v>
      </c>
      <c r="E47" s="291" t="str">
        <f t="shared" si="2"/>
        <v xml:space="preserve"> </v>
      </c>
    </row>
    <row r="48" spans="1:5" ht="17" customHeight="1">
      <c r="A48" s="2379" t="s">
        <v>1668</v>
      </c>
      <c r="B48" s="13" t="str">
        <f>IF('Contexte | CSS'!R19&lt;&gt;"",'Contexte | CSS'!R19,"")</f>
        <v xml:space="preserve"> </v>
      </c>
      <c r="D48" s="2453" t="s">
        <v>1674</v>
      </c>
      <c r="E48" s="291" t="str">
        <f t="shared" si="2"/>
        <v xml:space="preserve"> </v>
      </c>
    </row>
    <row r="49" spans="1:5" ht="17" customHeight="1">
      <c r="A49" s="1222" t="s">
        <v>1658</v>
      </c>
      <c r="B49" s="13">
        <f>IF('Contexte | CSS'!R26&lt;&gt;"",'Contexte | CSS'!R26,"")</f>
        <v>0</v>
      </c>
      <c r="D49" s="2453" t="s">
        <v>1674</v>
      </c>
      <c r="E49" s="291">
        <f t="shared" si="2"/>
        <v>0</v>
      </c>
    </row>
    <row r="50" spans="1:5" ht="17" customHeight="1">
      <c r="A50" s="2379" t="s">
        <v>1669</v>
      </c>
      <c r="B50" s="13" t="str">
        <f>IF('Contexte | CSS'!R21&lt;&gt;"",'Contexte | CSS'!R21,"")</f>
        <v xml:space="preserve"> </v>
      </c>
      <c r="D50" s="2453" t="s">
        <v>1674</v>
      </c>
      <c r="E50" s="291" t="str">
        <f t="shared" si="2"/>
        <v xml:space="preserve"> </v>
      </c>
    </row>
    <row r="51" spans="1:5" ht="17" customHeight="1">
      <c r="A51" s="2379" t="s">
        <v>1669</v>
      </c>
      <c r="B51" s="13" t="str">
        <f>IF('Contexte | CSS'!R22&lt;&gt;"",'Contexte | CSS'!R22,"")</f>
        <v xml:space="preserve"> </v>
      </c>
      <c r="D51" s="2453" t="s">
        <v>1674</v>
      </c>
      <c r="E51" s="291" t="str">
        <f t="shared" si="2"/>
        <v xml:space="preserve"> </v>
      </c>
    </row>
    <row r="52" spans="1:5" ht="17" customHeight="1">
      <c r="A52" s="2379" t="s">
        <v>1669</v>
      </c>
      <c r="B52" s="13" t="str">
        <f>IF('Contexte | CSS'!R23&lt;&gt;"",'Contexte | CSS'!R23,"")</f>
        <v xml:space="preserve"> </v>
      </c>
      <c r="D52" s="2453" t="s">
        <v>1674</v>
      </c>
      <c r="E52" s="291" t="str">
        <f t="shared" si="2"/>
        <v xml:space="preserve"> </v>
      </c>
    </row>
    <row r="53" spans="1:5" ht="17" customHeight="1">
      <c r="A53" s="2379" t="s">
        <v>1669</v>
      </c>
      <c r="B53" s="13" t="str">
        <f>IF('Contexte | CSS'!R24&lt;&gt;"",'Contexte | CSS'!R24,"")</f>
        <v xml:space="preserve"> </v>
      </c>
      <c r="D53" s="2453" t="s">
        <v>1674</v>
      </c>
      <c r="E53" s="291" t="str">
        <f t="shared" si="2"/>
        <v xml:space="preserve"> </v>
      </c>
    </row>
    <row r="54" spans="1:5" ht="17" customHeight="1">
      <c r="A54" s="2379" t="s">
        <v>1669</v>
      </c>
      <c r="B54" s="13" t="str">
        <f>IF('Contexte | CSS'!R25&lt;&gt;"",'Contexte | CSS'!R25,"")</f>
        <v xml:space="preserve"> </v>
      </c>
      <c r="D54" s="2453" t="s">
        <v>1674</v>
      </c>
      <c r="E54" s="291" t="str">
        <f t="shared" si="2"/>
        <v xml:space="preserve"> </v>
      </c>
    </row>
    <row r="55" spans="1:5" ht="17" customHeight="1">
      <c r="A55" s="1222" t="s">
        <v>1659</v>
      </c>
      <c r="B55" s="13" t="str">
        <f>IF('Contexte | CSS'!R32&lt;&gt;"",'Contexte | CSS'!R32,"")</f>
        <v/>
      </c>
      <c r="D55" s="2453" t="s">
        <v>1674</v>
      </c>
      <c r="E55" s="291" t="str">
        <f t="shared" si="2"/>
        <v/>
      </c>
    </row>
    <row r="56" spans="1:5" ht="17" customHeight="1">
      <c r="A56" s="2379" t="s">
        <v>1670</v>
      </c>
      <c r="B56" s="13" t="str">
        <f>IF('Contexte | CSS'!R28&lt;&gt;"",'Contexte | CSS'!R28,"")</f>
        <v xml:space="preserve"> </v>
      </c>
      <c r="D56" s="2453" t="s">
        <v>1674</v>
      </c>
      <c r="E56" s="291" t="str">
        <f t="shared" si="2"/>
        <v xml:space="preserve"> </v>
      </c>
    </row>
    <row r="57" spans="1:5" ht="17" customHeight="1">
      <c r="A57" s="2379" t="s">
        <v>1670</v>
      </c>
      <c r="B57" s="13" t="str">
        <f>IF('Contexte | CSS'!R29&lt;&gt;"",'Contexte | CSS'!R29,"")</f>
        <v xml:space="preserve"> </v>
      </c>
      <c r="D57" s="2453" t="s">
        <v>1674</v>
      </c>
      <c r="E57" s="291" t="str">
        <f t="shared" si="2"/>
        <v xml:space="preserve"> </v>
      </c>
    </row>
    <row r="58" spans="1:5" ht="17" customHeight="1">
      <c r="A58" s="2379" t="s">
        <v>1670</v>
      </c>
      <c r="B58" s="13" t="str">
        <f>IF('Contexte | CSS'!R30&lt;&gt;"",'Contexte | CSS'!R30,"")</f>
        <v xml:space="preserve"> </v>
      </c>
      <c r="D58" s="2453" t="s">
        <v>1674</v>
      </c>
      <c r="E58" s="291" t="str">
        <f t="shared" si="2"/>
        <v xml:space="preserve"> </v>
      </c>
    </row>
    <row r="59" spans="1:5" ht="17" customHeight="1">
      <c r="A59" s="2379" t="s">
        <v>1670</v>
      </c>
      <c r="B59" s="13" t="str">
        <f>IF('Contexte | CSS'!R31&lt;&gt;"",'Contexte | CSS'!R31,"")</f>
        <v xml:space="preserve"> </v>
      </c>
      <c r="D59" s="2453" t="s">
        <v>1674</v>
      </c>
      <c r="E59" s="291" t="str">
        <f t="shared" si="2"/>
        <v xml:space="preserve"> </v>
      </c>
    </row>
    <row r="60" spans="1:5" ht="17" customHeight="1">
      <c r="A60" s="2377" t="s">
        <v>1671</v>
      </c>
      <c r="B60" s="13">
        <f>IF('Contexte | CSS'!R33&lt;&gt;"",'Contexte | CSS'!R33,"")</f>
        <v>0</v>
      </c>
      <c r="D60" s="2453" t="s">
        <v>1674</v>
      </c>
      <c r="E60" s="291">
        <f t="shared" si="2"/>
        <v>0</v>
      </c>
    </row>
    <row r="61" spans="1:5" ht="17" customHeight="1">
      <c r="A61" s="2377" t="s">
        <v>1672</v>
      </c>
      <c r="B61" s="13" t="str">
        <f>IF('Contexte | CSS'!R34&lt;&gt;"",'Contexte | CSS'!R34,"")</f>
        <v/>
      </c>
      <c r="D61" s="2453" t="s">
        <v>1674</v>
      </c>
      <c r="E61" s="291" t="str">
        <f t="shared" si="2"/>
        <v/>
      </c>
    </row>
    <row r="62" spans="1:5" ht="48" customHeight="1">
      <c r="A62" t="s">
        <v>1675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s="541"/>
      <c r="D62" s="2453" t="s">
        <v>1676</v>
      </c>
      <c r="E62" s="291"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15" customHeight="1">
      <c r="E63" s="291">
        <f t="shared" si="2"/>
        <v>0</v>
      </c>
    </row>
    <row r="64" spans="1:5" ht="29" customHeight="1">
      <c r="A64" s="2382" t="s">
        <v>1677</v>
      </c>
      <c r="B64" s="2233" t="str">
        <f>'Cpts miroirs des parents'!D5</f>
        <v>Est-ce que les coparents tendent vers une saine coparentalité ?</v>
      </c>
      <c r="C64" s="2233"/>
      <c r="D64" s="2453" t="s">
        <v>1648</v>
      </c>
      <c r="E64" s="291" t="str">
        <f t="shared" si="2"/>
        <v>Est-ce que les coparents tendent vers une saine coparentalité ?</v>
      </c>
    </row>
    <row r="65" spans="1:5" ht="102" customHeight="1">
      <c r="A65" s="2309" t="s">
        <v>1649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1650</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c r="D66" s="2453" t="s">
        <v>1651</v>
      </c>
      <c r="E66" s="291" t="s">
        <v>1678</v>
      </c>
    </row>
    <row r="67" spans="1:5" ht="98" customHeight="1">
      <c r="A67" s="25" t="s">
        <v>1653</v>
      </c>
      <c r="B67" s="826" t="str">
        <f>HLOOKUP(1,'Cpts miroirs des parents'!V14:W18,5)</f>
        <v>Les réponses obtenues aux différents questionnaires indiquent que la coparentalité est exercée de manière égalitaire et harmonieuse.</v>
      </c>
      <c r="C67" s="826"/>
      <c r="D67" s="2453" t="s">
        <v>1654</v>
      </c>
      <c r="E67" s="291" t="str">
        <f t="shared" ref="E67:E87" si="3">B67</f>
        <v>Les réponses obtenues aux différents questionnaires indiquent que la coparentalité est exercée de manière égalitaire et harmonieuse.</v>
      </c>
    </row>
    <row r="68" spans="1:5" ht="19" customHeight="1">
      <c r="A68" s="2374" t="s">
        <v>1679</v>
      </c>
      <c r="B68" s="25"/>
      <c r="C68" s="25"/>
      <c r="E68" s="291">
        <f t="shared" si="3"/>
        <v>0</v>
      </c>
    </row>
    <row r="69" spans="1:5" ht="17" customHeight="1">
      <c r="A69" s="88" t="s">
        <v>1656</v>
      </c>
      <c r="B69" s="13" t="str">
        <f>IF('Cpts miroirs des parents'!S19&lt;&gt;"",'Cpts miroirs des parents'!S19,"")</f>
        <v/>
      </c>
      <c r="D69" s="2453" t="s">
        <v>1657</v>
      </c>
      <c r="E69" s="291" t="str">
        <f t="shared" si="3"/>
        <v/>
      </c>
    </row>
    <row r="70" spans="1:5" ht="17" customHeight="1">
      <c r="A70" s="765" t="s">
        <v>1658</v>
      </c>
      <c r="B70" s="13" t="str">
        <f>IF('Cpts miroirs des parents'!S20&lt;&gt;"",'Cpts miroirs des parents'!S20,"")</f>
        <v/>
      </c>
      <c r="D70" s="2453" t="s">
        <v>1657</v>
      </c>
      <c r="E70" s="291" t="str">
        <f t="shared" si="3"/>
        <v/>
      </c>
    </row>
    <row r="71" spans="1:5" ht="34" customHeight="1">
      <c r="A71" s="765" t="s">
        <v>1659</v>
      </c>
      <c r="B71" s="13" t="str">
        <f>IF('Cpts miroirs des parents'!S21&lt;&gt;"",'Cpts miroirs des parents'!S21,"")</f>
        <v/>
      </c>
      <c r="D71" s="2453" t="s">
        <v>1657</v>
      </c>
      <c r="E71" s="291" t="str">
        <f t="shared" si="3"/>
        <v/>
      </c>
    </row>
    <row r="72" spans="1:5" ht="17" customHeight="1">
      <c r="A72" s="765" t="s">
        <v>1680</v>
      </c>
      <c r="B72" s="13" t="str">
        <f>IF('Cpts miroirs des parents'!S22&lt;&gt;"",'Cpts miroirs des parents'!S22,"")</f>
        <v/>
      </c>
      <c r="D72" s="2453" t="s">
        <v>1657</v>
      </c>
      <c r="E72" s="291" t="str">
        <f t="shared" si="3"/>
        <v/>
      </c>
    </row>
    <row r="73" spans="1:5" ht="17" customHeight="1">
      <c r="A73" s="765" t="s">
        <v>1681</v>
      </c>
      <c r="B73" s="13" t="str">
        <f>IF('Cpts miroirs des parents'!S23&lt;&gt;"",'Cpts miroirs des parents'!S23,"")</f>
        <v/>
      </c>
      <c r="D73" s="2453" t="s">
        <v>1657</v>
      </c>
      <c r="E73" s="291" t="str">
        <f t="shared" si="3"/>
        <v/>
      </c>
    </row>
    <row r="74" spans="1:5" ht="17" customHeight="1">
      <c r="A74" s="765" t="s">
        <v>1682</v>
      </c>
      <c r="B74" s="13">
        <f>IF('Cpts miroirs des parents'!S24&lt;&gt;"",'Cpts miroirs des parents'!S24,"")</f>
        <v>0</v>
      </c>
      <c r="D74" s="2453" t="s">
        <v>1657</v>
      </c>
      <c r="E74" s="291">
        <f t="shared" si="3"/>
        <v>0</v>
      </c>
    </row>
    <row r="75" spans="1:5" ht="17" customHeight="1">
      <c r="A75" s="765" t="s">
        <v>1683</v>
      </c>
      <c r="B75" s="13" t="str">
        <f>IF('Cpts miroirs des parents'!S25&lt;&gt;"",'Cpts miroirs des parents'!S25,"")</f>
        <v/>
      </c>
      <c r="D75" s="2453" t="s">
        <v>1657</v>
      </c>
      <c r="E75" s="291" t="str">
        <f t="shared" si="3"/>
        <v/>
      </c>
    </row>
    <row r="76" spans="1:5" ht="17" customHeight="1">
      <c r="A76" s="765" t="s">
        <v>1684</v>
      </c>
      <c r="B76" s="13">
        <f>IF('Cpts miroirs des parents'!S26&lt;&gt;"",'Cpts miroirs des parents'!S26,"")</f>
        <v>0</v>
      </c>
      <c r="D76" s="2453" t="s">
        <v>1657</v>
      </c>
      <c r="E76" s="291">
        <f t="shared" si="3"/>
        <v>0</v>
      </c>
    </row>
    <row r="77" spans="1:5" ht="41" customHeight="1">
      <c r="A77" s="765" t="s">
        <v>1661</v>
      </c>
      <c r="B77" s="13" t="str">
        <f>IF('Cpts miroirs des parents'!S27&lt;&gt;"",'Cpts miroirs des parents'!S27,"")</f>
        <v/>
      </c>
      <c r="D77" s="2453" t="s">
        <v>1657</v>
      </c>
      <c r="E77" s="291" t="str">
        <f t="shared" si="3"/>
        <v/>
      </c>
    </row>
    <row r="78" spans="1:5" ht="24" customHeight="1">
      <c r="A78" s="36" t="s">
        <v>1662</v>
      </c>
      <c r="B78" s="13">
        <f>'Cpts miroirs des parents'!X18</f>
        <v>0</v>
      </c>
      <c r="D78" s="2453" t="s">
        <v>1663</v>
      </c>
      <c r="E78" s="291">
        <f t="shared" si="3"/>
        <v>0</v>
      </c>
    </row>
    <row r="79" spans="1:5" ht="17" customHeight="1">
      <c r="A79" s="45" t="s">
        <v>1665</v>
      </c>
      <c r="B79" s="13" t="s">
        <v>1664</v>
      </c>
      <c r="E79" s="291" t="str">
        <f t="shared" si="3"/>
        <v>Drapeaux jaunes 🟡</v>
      </c>
    </row>
    <row r="80" spans="1:5" ht="17" customHeight="1">
      <c r="A80" s="45" t="s">
        <v>1685</v>
      </c>
      <c r="B80" s="13" t="str">
        <f>IF('Cpts miroirs des parents'!T27&lt;&gt;"",'Cpts miroirs des parents'!T27,"")</f>
        <v/>
      </c>
      <c r="D80" s="2453" t="s">
        <v>1667</v>
      </c>
      <c r="E80" s="291" t="str">
        <f t="shared" si="3"/>
        <v/>
      </c>
    </row>
    <row r="81" spans="1:5" ht="17" customHeight="1">
      <c r="A81" s="1222" t="s">
        <v>1665</v>
      </c>
      <c r="B81" s="13" t="s">
        <v>1673</v>
      </c>
      <c r="E81" s="291" t="str">
        <f t="shared" si="3"/>
        <v>Drapeaux rouges 🔴</v>
      </c>
    </row>
    <row r="82" spans="1:5" ht="17" customHeight="1">
      <c r="A82" s="1222" t="s">
        <v>1685</v>
      </c>
      <c r="B82" s="13" t="str">
        <f>IF('Cpts miroirs des parents'!U27&lt;&gt;"",'Cpts miroirs des parents'!U27,"")</f>
        <v/>
      </c>
      <c r="D82" s="2453" t="s">
        <v>1674</v>
      </c>
      <c r="E82" s="291" t="str">
        <f t="shared" si="3"/>
        <v/>
      </c>
    </row>
    <row r="83" spans="1:5">
      <c r="E83" s="291">
        <f t="shared" si="3"/>
        <v>0</v>
      </c>
    </row>
    <row r="84" spans="1:5" ht="68" customHeight="1">
      <c r="A84" t="s">
        <v>1675</v>
      </c>
      <c r="B84" s="13">
        <f>HLOOKUP(1,'Cpts miroirs des parents'!V14:W28,15)</f>
        <v>0</v>
      </c>
      <c r="D84" s="2452" t="s">
        <v>1676</v>
      </c>
      <c r="E84" s="291">
        <f t="shared" si="3"/>
        <v>0</v>
      </c>
    </row>
    <row r="85" spans="1:5">
      <c r="E85" s="291">
        <f t="shared" si="3"/>
        <v>0</v>
      </c>
    </row>
    <row r="86" spans="1:5" ht="28" customHeight="1">
      <c r="A86" s="2382" t="s">
        <v>1686</v>
      </c>
      <c r="B86" s="2233" t="str">
        <f>'Cpts miroirs des parents'!D11</f>
        <v>Est-ce que votre contexte de coparentalité tend à sécuriser ou à insécuriser votre enfant ?</v>
      </c>
      <c r="C86" s="2233"/>
      <c r="D86" s="2452" t="s">
        <v>1648</v>
      </c>
      <c r="E86" s="291" t="str">
        <f t="shared" si="3"/>
        <v>Est-ce que votre contexte de coparentalité tend à sécuriser ou à insécuriser votre enfant ?</v>
      </c>
    </row>
    <row r="87" spans="1:5" s="7" customFormat="1" ht="102" customHeight="1">
      <c r="A87" s="2271" t="s">
        <v>1649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1650</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c r="D88" s="2452" t="s">
        <v>1651</v>
      </c>
      <c r="E88" s="291" t="s">
        <v>1687</v>
      </c>
    </row>
    <row r="89" spans="1:5" ht="57" customHeight="1">
      <c r="A89" s="25" t="s">
        <v>1653</v>
      </c>
      <c r="B89" s="25" t="str">
        <f>HLOOKUP(1,'Cpts miroirs des parents'!V30:W31,2)</f>
        <v xml:space="preserve">Les réponses obtenues aux différents questionnaires indiquent que votre enfant évolue dans une dynamique de coparentalité saine et favorable à son développement. </v>
      </c>
      <c r="C89" s="25"/>
      <c r="D89" s="2452" t="s">
        <v>1654</v>
      </c>
      <c r="E89" s="17" t="str">
        <f t="shared" ref="E89:E109" si="4">B89</f>
        <v xml:space="preserve">Les réponses obtenues aux différents questionnaires indiquent que votre enfant évolue dans une dynamique de coparentalité saine et favorable à son développement. </v>
      </c>
    </row>
    <row r="90" spans="1:5" ht="19" customHeight="1">
      <c r="A90" s="2374" t="s">
        <v>1679</v>
      </c>
      <c r="B90" s="25"/>
      <c r="C90" s="25"/>
      <c r="E90" s="17">
        <f t="shared" si="4"/>
        <v>0</v>
      </c>
    </row>
    <row r="91" spans="1:5" ht="17" customHeight="1">
      <c r="A91" s="88" t="s">
        <v>1656</v>
      </c>
      <c r="B91" s="13" t="str">
        <f>IF('Cpts miroirs des parents'!S32&lt;&gt;"",'Cpts miroirs des parents'!S32,"")</f>
        <v/>
      </c>
      <c r="D91" s="2452" t="s">
        <v>1657</v>
      </c>
      <c r="E91" s="17" t="str">
        <f t="shared" si="4"/>
        <v/>
      </c>
    </row>
    <row r="92" spans="1:5" ht="34" customHeight="1">
      <c r="A92" s="765" t="s">
        <v>1658</v>
      </c>
      <c r="B92" s="13">
        <f>IF('Cpts miroirs des parents'!S33&lt;&gt;"",'Cpts miroirs des parents'!S33,"")</f>
        <v>0</v>
      </c>
      <c r="D92" s="2452" t="s">
        <v>1657</v>
      </c>
      <c r="E92" s="17">
        <f t="shared" si="4"/>
        <v>0</v>
      </c>
    </row>
    <row r="93" spans="1:5" ht="34" customHeight="1">
      <c r="A93" s="765" t="s">
        <v>1659</v>
      </c>
      <c r="B93" s="13">
        <f>IF('Cpts miroirs des parents'!S34&lt;&gt;"",'Cpts miroirs des parents'!S34,"")</f>
        <v>0</v>
      </c>
      <c r="D93" s="2452" t="s">
        <v>1657</v>
      </c>
      <c r="E93" s="17">
        <f t="shared" si="4"/>
        <v>0</v>
      </c>
    </row>
    <row r="94" spans="1:5" ht="17" customHeight="1">
      <c r="A94" s="765" t="s">
        <v>1680</v>
      </c>
      <c r="B94" s="13">
        <f>IF('Cpts miroirs des parents'!S35&lt;&gt;"",'Cpts miroirs des parents'!S35,"")</f>
        <v>0</v>
      </c>
      <c r="D94" s="2452" t="s">
        <v>1657</v>
      </c>
      <c r="E94" s="17">
        <f t="shared" si="4"/>
        <v>0</v>
      </c>
    </row>
    <row r="95" spans="1:5" ht="17" customHeight="1">
      <c r="A95" s="765" t="s">
        <v>1681</v>
      </c>
      <c r="B95" s="13" t="str">
        <f>IF('Cpts miroirs des parents'!S36&lt;&gt;"",'Cpts miroirs des parents'!S36,"")</f>
        <v/>
      </c>
      <c r="D95" s="2452" t="s">
        <v>1657</v>
      </c>
      <c r="E95" s="17" t="str">
        <f t="shared" si="4"/>
        <v/>
      </c>
    </row>
    <row r="96" spans="1:5" ht="17" customHeight="1">
      <c r="A96" s="765" t="s">
        <v>1682</v>
      </c>
      <c r="B96" s="13" t="str">
        <f>IF('Cpts miroirs des parents'!S37&lt;&gt;"",'Cpts miroirs des parents'!S37,"")</f>
        <v/>
      </c>
      <c r="D96" s="2452" t="s">
        <v>1657</v>
      </c>
      <c r="E96" s="17" t="str">
        <f t="shared" si="4"/>
        <v/>
      </c>
    </row>
    <row r="97" spans="1:7" ht="49" customHeight="1">
      <c r="A97" s="765" t="s">
        <v>1661</v>
      </c>
      <c r="B97" s="13" t="str">
        <f>IF('Cpts miroirs des parents'!S38&lt;&gt;"",'Cpts miroirs des parents'!S38,"")</f>
        <v/>
      </c>
      <c r="D97" s="2452" t="s">
        <v>1657</v>
      </c>
      <c r="E97" s="17" t="str">
        <f t="shared" si="4"/>
        <v/>
      </c>
    </row>
    <row r="98" spans="1:7" ht="24" customHeight="1">
      <c r="A98" s="36" t="s">
        <v>1662</v>
      </c>
      <c r="B98" s="13">
        <f>'Cpts miroirs des parents'!X52</f>
        <v>0</v>
      </c>
      <c r="D98" s="2452" t="s">
        <v>1663</v>
      </c>
      <c r="E98" s="17">
        <f t="shared" si="4"/>
        <v>0</v>
      </c>
    </row>
    <row r="99" spans="1:7" ht="17" customHeight="1">
      <c r="A99" s="45" t="s">
        <v>1665</v>
      </c>
      <c r="B99" s="13" t="s">
        <v>1664</v>
      </c>
      <c r="E99" s="17" t="str">
        <f t="shared" si="4"/>
        <v>Drapeaux jaunes 🟡</v>
      </c>
    </row>
    <row r="100" spans="1:7" ht="85" customHeight="1">
      <c r="A100" s="2201" t="s">
        <v>1685</v>
      </c>
      <c r="B100" s="13" t="str">
        <f>IF('Cpts miroirs des parents'!T38&lt;&gt;"",'Cpts miroirs des parents'!T38,"")</f>
        <v/>
      </c>
      <c r="D100" s="2452" t="s">
        <v>1667</v>
      </c>
      <c r="E100" s="17" t="str">
        <f t="shared" si="4"/>
        <v/>
      </c>
    </row>
    <row r="101" spans="1:7" ht="17" customHeight="1">
      <c r="A101" s="2377" t="s">
        <v>1665</v>
      </c>
      <c r="B101" s="13" t="s">
        <v>1673</v>
      </c>
      <c r="E101" s="17" t="str">
        <f t="shared" si="4"/>
        <v>Drapeaux rouges 🔴</v>
      </c>
    </row>
    <row r="102" spans="1:7" ht="34" customHeight="1">
      <c r="A102" s="2377" t="s">
        <v>1685</v>
      </c>
      <c r="B102" s="13" t="str">
        <f>IF('Cpts miroirs des parents'!U38&lt;&gt;"",'Cpts miroirs des parents'!U38,"")</f>
        <v/>
      </c>
      <c r="D102" s="2452" t="s">
        <v>1674</v>
      </c>
      <c r="E102" s="17" t="str">
        <f t="shared" si="4"/>
        <v/>
      </c>
    </row>
    <row r="103" spans="1:7">
      <c r="E103" s="17">
        <f t="shared" si="4"/>
        <v>0</v>
      </c>
    </row>
    <row r="104" spans="1:7" ht="68" customHeight="1">
      <c r="A104" t="s">
        <v>1675</v>
      </c>
      <c r="B104" s="13">
        <f>HLOOKUP(1,'Cpts miroirs des parents'!V30:W39,10)</f>
        <v>0</v>
      </c>
      <c r="D104" s="2452" t="s">
        <v>1676</v>
      </c>
      <c r="E104" s="17">
        <f t="shared" si="4"/>
        <v>0</v>
      </c>
    </row>
    <row r="105" spans="1:7">
      <c r="E105" s="17">
        <f t="shared" si="4"/>
        <v>0</v>
      </c>
    </row>
    <row r="106" spans="1:7" ht="22" customHeight="1">
      <c r="A106" t="s">
        <v>1644</v>
      </c>
      <c r="B106" s="2418" t="s">
        <v>1688</v>
      </c>
      <c r="C106" s="2418"/>
      <c r="D106" s="2452" t="s">
        <v>1646</v>
      </c>
      <c r="E106" s="17" t="str">
        <f t="shared" si="4"/>
        <v>Quelle est la dynamique familiale à laquelle l'enfant est exposé ?</v>
      </c>
    </row>
    <row r="107" spans="1:7">
      <c r="E107" s="17">
        <f t="shared" si="4"/>
        <v>0</v>
      </c>
    </row>
    <row r="108" spans="1:7" ht="21" customHeight="1">
      <c r="A108" s="2382" t="s">
        <v>1689</v>
      </c>
      <c r="B108" s="2233" t="str">
        <f>'Cpts préjudiciables parents'!C2</f>
        <v xml:space="preserve">À quels comportements préjudiciables votre enfant-il exposé ? </v>
      </c>
      <c r="C108" s="2233"/>
      <c r="D108" s="2452" t="s">
        <v>1648</v>
      </c>
      <c r="E108" s="17" t="str">
        <f t="shared" si="4"/>
        <v xml:space="preserve">À quels comportements préjudiciables votre enfant-il exposé ? </v>
      </c>
    </row>
    <row r="109" spans="1:7" ht="97" customHeight="1">
      <c r="A109" s="2271" t="s">
        <v>1649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1650</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c r="D110" s="2452" t="s">
        <v>1651</v>
      </c>
      <c r="E110" s="17" t="s">
        <v>1690</v>
      </c>
    </row>
    <row r="111" spans="1:7" ht="122" customHeight="1">
      <c r="A111" s="25" t="s">
        <v>1653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1654</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c r="A112" s="2374" t="s">
        <v>1679</v>
      </c>
      <c r="E112" s="291">
        <f t="shared" si="5"/>
        <v>0</v>
      </c>
    </row>
    <row r="113" spans="1:5" ht="34" customHeight="1">
      <c r="A113" s="2374" t="s">
        <v>1691</v>
      </c>
      <c r="B113" s="826" t="str">
        <f>IF('Cpts préjudiciables parents'!H15&lt;&gt;"",'Cpts préjudiciables parents'!H15,"")</f>
        <v/>
      </c>
      <c r="C113" s="826"/>
      <c r="D113" s="2452" t="s">
        <v>1657</v>
      </c>
      <c r="E113" s="291" t="str">
        <f t="shared" si="5"/>
        <v/>
      </c>
    </row>
    <row r="114" spans="1:5" ht="17" customHeight="1">
      <c r="A114" s="2374" t="s">
        <v>1692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D114" s="2452" t="s">
        <v>1657</v>
      </c>
      <c r="E114" s="291" t="str">
        <f t="shared" si="5"/>
        <v>Chantage affectif, manipulation : Lorsque le comportement d’un parent induit directement ou indirectement et de manière volontaire ou involontaire un conflit de loyauté chez l’enfant. &lt;br/&gt;</v>
      </c>
    </row>
    <row r="115" spans="1:5" ht="17" customHeight="1">
      <c r="A115" s="2374" t="s">
        <v>1693</v>
      </c>
      <c r="B115" s="13" t="str">
        <f>IF('Cpts préjudiciables parents'!H27&lt;&gt;"",'Cpts préjudiciables parents'!H27,"")</f>
        <v/>
      </c>
      <c r="D115" s="2452" t="s">
        <v>1657</v>
      </c>
      <c r="E115" s="291" t="str">
        <f t="shared" si="5"/>
        <v/>
      </c>
    </row>
    <row r="116" spans="1:5" ht="34" customHeight="1">
      <c r="A116" s="2374" t="s">
        <v>1694</v>
      </c>
      <c r="B116" s="13" t="str">
        <f>IF('Cpts préjudiciables parents'!H37&lt;&gt;"",'Cpts préjudiciables parents'!H37,"")</f>
        <v>Interférence temps ou communication : Lorsqu’un parent s’impose directement ou indirectement durant le temps parental de l’autre parent. &lt;br/&gt;</v>
      </c>
      <c r="D116" s="2452" t="s">
        <v>1657</v>
      </c>
      <c r="E116" s="291" t="str">
        <f t="shared" si="5"/>
        <v>Interférence temps ou communication : Lorsqu’un parent s’impose directement ou indirectement durant le temps parental de l’autre parent. &lt;br/&gt;</v>
      </c>
    </row>
    <row r="117" spans="1:5" ht="17" customHeight="1">
      <c r="A117" s="2374" t="s">
        <v>1695</v>
      </c>
      <c r="B117" s="13" t="str">
        <f>IF('Cpts préjudiciables parents'!H43&lt;&gt;"",'Cpts préjudiciables parents'!H43,"")</f>
        <v/>
      </c>
      <c r="D117" s="2452" t="s">
        <v>1657</v>
      </c>
      <c r="E117" s="291" t="str">
        <f t="shared" si="5"/>
        <v/>
      </c>
    </row>
    <row r="118" spans="1:5" ht="17" customHeight="1">
      <c r="A118" s="2374" t="s">
        <v>1696</v>
      </c>
      <c r="B118" s="13" t="str">
        <f>IF('Cpts préjudiciables parents'!H48&lt;&gt;"",'Cpts préjudiciables parents'!H48,"")</f>
        <v/>
      </c>
      <c r="D118" s="2452" t="s">
        <v>1657</v>
      </c>
      <c r="E118" s="291" t="str">
        <f t="shared" si="5"/>
        <v/>
      </c>
    </row>
    <row r="119" spans="1:5" ht="51" customHeight="1">
      <c r="A119" s="2374" t="s">
        <v>1697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D119" s="2452" t="s">
        <v>1657</v>
      </c>
      <c r="E119" s="291" t="str">
        <f t="shared" si="5"/>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4" customHeight="1">
      <c r="A120" s="765" t="s">
        <v>1661</v>
      </c>
      <c r="B120" s="13">
        <f>IF('Cpts préjudiciables parents'!H55&lt;&gt;"",'Cpts préjudiciables parents'!H55,"")</f>
        <v>0</v>
      </c>
      <c r="D120" s="2452" t="s">
        <v>1657</v>
      </c>
      <c r="E120" s="291">
        <f t="shared" si="5"/>
        <v>0</v>
      </c>
    </row>
    <row r="121" spans="1:5" ht="36" customHeight="1">
      <c r="A121" s="36" t="s">
        <v>1662</v>
      </c>
      <c r="B121" s="13" t="str">
        <f>'Cpts préjudiciables parents'!M7</f>
        <v>Les comportements suivants méritent une attention particulière, car ils sont susceptibles d'affecter le bien-être psychologique et le développement de votre enfant : &lt;br/&gt;</v>
      </c>
      <c r="D121" s="2452" t="s">
        <v>1663</v>
      </c>
      <c r="E121" s="291" t="str">
        <f t="shared" si="5"/>
        <v>Les comportements suivants méritent une attention particulière, car ils sont susceptibles d'affecter le bien-être psychologique et le développement de votre enfant : &lt;br/&gt;</v>
      </c>
    </row>
    <row r="122" spans="1:5" ht="24" customHeight="1">
      <c r="A122" s="36"/>
      <c r="B122" s="13" t="s">
        <v>1664</v>
      </c>
      <c r="E122" s="291" t="str">
        <f t="shared" si="5"/>
        <v>Drapeaux jaunes 🟡</v>
      </c>
    </row>
    <row r="123" spans="1:5" ht="17" customHeight="1">
      <c r="A123" t="s">
        <v>1665</v>
      </c>
      <c r="B123" s="13" t="str">
        <f>IF('Cpts miroirs des parents'!T63&lt;&gt;"",'Cpts miroirs des parents'!T63,"")</f>
        <v/>
      </c>
      <c r="E123" s="291" t="str">
        <f t="shared" si="5"/>
        <v/>
      </c>
    </row>
    <row r="124" spans="1:5" ht="51" customHeight="1">
      <c r="A124" s="692" t="s">
        <v>1698</v>
      </c>
      <c r="B124" s="826" t="str">
        <f>IF('Cpts préjudiciables parents'!I15&lt;&gt;"",'Cpts préjudiciables parents'!I15,"")</f>
        <v/>
      </c>
      <c r="C124" s="826"/>
      <c r="D124" s="2452" t="s">
        <v>1667</v>
      </c>
      <c r="E124" s="291" t="str">
        <f t="shared" si="5"/>
        <v/>
      </c>
    </row>
    <row r="125" spans="1:5" ht="17" customHeight="1">
      <c r="A125" s="45" t="s">
        <v>1699</v>
      </c>
      <c r="B125" s="13" t="str">
        <f>IF('Cpts préjudiciables parents'!I9&lt;&gt;"",'Cpts préjudiciables parents'!I9,"")</f>
        <v/>
      </c>
      <c r="D125" s="2452" t="s">
        <v>1667</v>
      </c>
      <c r="E125" s="291" t="str">
        <f t="shared" si="5"/>
        <v/>
      </c>
    </row>
    <row r="126" spans="1:5">
      <c r="A126" s="45" t="s">
        <v>1699</v>
      </c>
      <c r="D126" s="2452" t="s">
        <v>1667</v>
      </c>
      <c r="E126" s="291">
        <f t="shared" si="5"/>
        <v>0</v>
      </c>
    </row>
    <row r="127" spans="1:5" ht="17" customHeight="1">
      <c r="A127" s="45" t="s">
        <v>1699</v>
      </c>
      <c r="B127" s="13" t="str">
        <f>IF('Cpts préjudiciables parents'!I10&lt;&gt;"",'Cpts préjudiciables parents'!I10,"")</f>
        <v/>
      </c>
      <c r="D127" s="2452" t="s">
        <v>1667</v>
      </c>
      <c r="E127" s="291" t="str">
        <f t="shared" si="5"/>
        <v/>
      </c>
    </row>
    <row r="128" spans="1:5" ht="17" customHeight="1">
      <c r="A128" s="45" t="s">
        <v>1699</v>
      </c>
      <c r="B128" s="13" t="str">
        <f>IF('Cpts préjudiciables parents'!I12&lt;&gt;"",'Cpts préjudiciables parents'!I12,"")</f>
        <v/>
      </c>
      <c r="D128" s="2452" t="s">
        <v>1667</v>
      </c>
      <c r="E128" s="291" t="str">
        <f t="shared" si="5"/>
        <v/>
      </c>
    </row>
    <row r="129" spans="1:5" ht="17" customHeight="1">
      <c r="A129" s="45" t="s">
        <v>1699</v>
      </c>
      <c r="B129" s="13" t="str">
        <f>IF('Cpts préjudiciables parents'!I13&lt;&gt;"",'Cpts préjudiciables parents'!I13,"")</f>
        <v/>
      </c>
      <c r="D129" s="2452" t="s">
        <v>1667</v>
      </c>
      <c r="E129" s="291" t="str">
        <f t="shared" si="5"/>
        <v/>
      </c>
    </row>
    <row r="130" spans="1:5" ht="17" customHeight="1">
      <c r="A130" s="45" t="s">
        <v>1699</v>
      </c>
      <c r="B130" s="13" t="str">
        <f>IF('Cpts préjudiciables parents'!I14&lt;&gt;"",'Cpts préjudiciables parents'!I14,"")</f>
        <v/>
      </c>
      <c r="D130" s="2452" t="s">
        <v>1667</v>
      </c>
      <c r="E130" s="291" t="str">
        <f t="shared" si="5"/>
        <v/>
      </c>
    </row>
    <row r="131" spans="1:5" ht="17" customHeight="1">
      <c r="A131" s="692" t="s">
        <v>1692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D131" s="2452" t="s">
        <v>1667</v>
      </c>
      <c r="E131" s="291" t="str">
        <f t="shared" si="5"/>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ht="17" customHeight="1">
      <c r="A132" s="45" t="s">
        <v>1700</v>
      </c>
      <c r="B132" s="13" t="str">
        <f>IF('Cpts préjudiciables parents'!I16&lt;&gt;"",'Cpts préjudiciables parents'!I16,"")</f>
        <v/>
      </c>
      <c r="D132" s="2452" t="s">
        <v>1667</v>
      </c>
      <c r="E132" s="291" t="str">
        <f t="shared" si="5"/>
        <v/>
      </c>
    </row>
    <row r="133" spans="1:5" ht="17" customHeight="1">
      <c r="A133" s="45" t="s">
        <v>1700</v>
      </c>
      <c r="B133" s="13">
        <f>IF('Cpts préjudiciables parents'!I17&lt;&gt;"",'Cpts préjudiciables parents'!I17,"")</f>
        <v>0</v>
      </c>
      <c r="D133" s="2452" t="s">
        <v>1667</v>
      </c>
      <c r="E133" s="291">
        <f t="shared" si="5"/>
        <v>0</v>
      </c>
    </row>
    <row r="134" spans="1:5" ht="17" customHeight="1">
      <c r="A134" s="45" t="s">
        <v>1700</v>
      </c>
      <c r="B134" s="13" t="str">
        <f>IF('Cpts préjudiciables parents'!I18&lt;&gt;"",'Cpts préjudiciables parents'!I18,"")</f>
        <v/>
      </c>
      <c r="D134" s="2452" t="s">
        <v>1667</v>
      </c>
      <c r="E134" s="291" t="str">
        <f t="shared" si="5"/>
        <v/>
      </c>
    </row>
    <row r="135" spans="1:5" ht="17" customHeight="1">
      <c r="A135" s="45" t="s">
        <v>1700</v>
      </c>
      <c r="B135" s="13">
        <f>IF('Cpts préjudiciables parents'!I19&lt;&gt;"",'Cpts préjudiciables parents'!I19,"")</f>
        <v>0</v>
      </c>
      <c r="D135" s="2452" t="s">
        <v>1667</v>
      </c>
      <c r="E135" s="291">
        <f t="shared" si="5"/>
        <v>0</v>
      </c>
    </row>
    <row r="136" spans="1:5" ht="17" customHeight="1">
      <c r="A136" s="45" t="s">
        <v>1700</v>
      </c>
      <c r="B136" s="13">
        <f>IF('Cpts préjudiciables parents'!I20&lt;&gt;"",'Cpts préjudiciables parents'!I20,"")</f>
        <v>0</v>
      </c>
      <c r="D136" s="2452" t="s">
        <v>1667</v>
      </c>
      <c r="E136" s="291">
        <f t="shared" si="5"/>
        <v>0</v>
      </c>
    </row>
    <row r="137" spans="1:5" ht="17" customHeight="1">
      <c r="A137" s="45" t="s">
        <v>1700</v>
      </c>
      <c r="B137" s="13" t="str">
        <f>IF('Cpts préjudiciables parents'!I21&lt;&gt;"",'Cpts préjudiciables parents'!I21,"")</f>
        <v/>
      </c>
      <c r="D137" s="2452" t="s">
        <v>1667</v>
      </c>
      <c r="E137" s="291" t="str">
        <f t="shared" si="5"/>
        <v/>
      </c>
    </row>
    <row r="138" spans="1:5" ht="17" customHeight="1">
      <c r="A138" s="692" t="s">
        <v>1693</v>
      </c>
      <c r="B138" s="13" t="str">
        <f>IF('Cpts préjudiciables parents'!I27&lt;&gt;"",'Cpts préjudiciables parents'!I27,"")</f>
        <v/>
      </c>
      <c r="D138" s="2452" t="s">
        <v>1667</v>
      </c>
      <c r="E138" s="291" t="str">
        <f t="shared" si="5"/>
        <v/>
      </c>
    </row>
    <row r="139" spans="1:5" ht="17" customHeight="1">
      <c r="A139" s="45" t="s">
        <v>1701</v>
      </c>
      <c r="B139" s="13">
        <f>IF('Cpts préjudiciables parents'!I23&lt;&gt;"",'Cpts préjudiciables parents'!I23,"")</f>
        <v>0</v>
      </c>
      <c r="D139" s="2452" t="s">
        <v>1667</v>
      </c>
      <c r="E139" s="291">
        <f t="shared" si="5"/>
        <v>0</v>
      </c>
    </row>
    <row r="140" spans="1:5" ht="17" customHeight="1">
      <c r="A140" s="45" t="s">
        <v>1701</v>
      </c>
      <c r="B140" s="13" t="str">
        <f>IF('Cpts préjudiciables parents'!I24&lt;&gt;"",'Cpts préjudiciables parents'!I24,"")</f>
        <v/>
      </c>
      <c r="D140" s="2452" t="s">
        <v>1667</v>
      </c>
      <c r="E140" s="291" t="str">
        <f t="shared" si="5"/>
        <v/>
      </c>
    </row>
    <row r="141" spans="1:5" ht="17" customHeight="1">
      <c r="A141" s="45" t="s">
        <v>1701</v>
      </c>
      <c r="B141" s="13" t="str">
        <f>IF('Cpts préjudiciables parents'!I25&lt;&gt;"",'Cpts préjudiciables parents'!I25,"")</f>
        <v/>
      </c>
      <c r="D141" s="2452" t="s">
        <v>1667</v>
      </c>
      <c r="E141" s="291" t="str">
        <f t="shared" si="5"/>
        <v/>
      </c>
    </row>
    <row r="142" spans="1:5" ht="17" customHeight="1">
      <c r="A142" s="45" t="s">
        <v>1701</v>
      </c>
      <c r="B142" s="13" t="str">
        <f>IF('Cpts préjudiciables parents'!I26&lt;&gt;"",'Cpts préjudiciables parents'!I26,"")</f>
        <v/>
      </c>
      <c r="D142" s="2452" t="s">
        <v>1667</v>
      </c>
      <c r="E142" s="291" t="str">
        <f t="shared" si="5"/>
        <v/>
      </c>
    </row>
    <row r="143" spans="1:5" ht="85" customHeight="1">
      <c r="A143" s="692" t="s">
        <v>1694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1667</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c r="A144" s="45" t="s">
        <v>1702</v>
      </c>
      <c r="B144" s="13">
        <f>IF('Cpts préjudiciables parents'!I28&lt;&gt;"",'Cpts préjudiciables parents'!I28,"")</f>
        <v>0</v>
      </c>
      <c r="D144" s="2452" t="s">
        <v>1667</v>
      </c>
      <c r="E144" s="291">
        <f t="shared" si="6"/>
        <v>0</v>
      </c>
    </row>
    <row r="145" spans="1:5" ht="17" customHeight="1">
      <c r="A145" s="45" t="s">
        <v>1702</v>
      </c>
      <c r="B145" s="13" t="str">
        <f>IF('Cpts préjudiciables parents'!I29&lt;&gt;"",'Cpts préjudiciables parents'!I29,"")</f>
        <v/>
      </c>
      <c r="D145" s="2452" t="s">
        <v>1667</v>
      </c>
      <c r="E145" s="291" t="str">
        <f t="shared" si="6"/>
        <v/>
      </c>
    </row>
    <row r="146" spans="1:5" ht="17" customHeight="1">
      <c r="A146" s="45" t="s">
        <v>1702</v>
      </c>
      <c r="B146" s="13">
        <f>IF('Cpts préjudiciables parents'!I30&lt;&gt;"",'Cpts préjudiciables parents'!I30,"")</f>
        <v>0</v>
      </c>
      <c r="D146" s="2452" t="s">
        <v>1667</v>
      </c>
      <c r="E146" s="291">
        <f t="shared" si="6"/>
        <v>0</v>
      </c>
    </row>
    <row r="147" spans="1:5" ht="17" customHeight="1">
      <c r="A147" s="45" t="s">
        <v>1702</v>
      </c>
      <c r="B147" s="13" t="str">
        <f>IF('Cpts préjudiciables parents'!I31&lt;&gt;"",'Cpts préjudiciables parents'!I31,"")</f>
        <v/>
      </c>
      <c r="D147" s="2452" t="s">
        <v>1667</v>
      </c>
      <c r="E147" s="291" t="str">
        <f t="shared" si="6"/>
        <v/>
      </c>
    </row>
    <row r="148" spans="1:5" ht="17" customHeight="1">
      <c r="A148" s="45" t="s">
        <v>1702</v>
      </c>
      <c r="B148" s="13" t="str">
        <f>IF('Cpts préjudiciables parents'!I32&lt;&gt;"",'Cpts préjudiciables parents'!I32,"")</f>
        <v/>
      </c>
      <c r="D148" s="2452" t="s">
        <v>1667</v>
      </c>
      <c r="E148" s="291" t="str">
        <f t="shared" si="6"/>
        <v/>
      </c>
    </row>
    <row r="149" spans="1:5" ht="17" customHeight="1">
      <c r="A149" s="45" t="s">
        <v>1702</v>
      </c>
      <c r="B149" s="13" t="str">
        <f>IF('Cpts préjudiciables parents'!I33&lt;&gt;"",'Cpts préjudiciables parents'!I33,"")</f>
        <v/>
      </c>
      <c r="D149" s="2452" t="s">
        <v>1667</v>
      </c>
      <c r="E149" s="291" t="str">
        <f t="shared" si="6"/>
        <v/>
      </c>
    </row>
    <row r="150" spans="1:5" ht="17" customHeight="1">
      <c r="A150" s="45" t="s">
        <v>1702</v>
      </c>
      <c r="B150" s="13" t="str">
        <f>IF('Cpts préjudiciables parents'!I34&lt;&gt;"",'Cpts préjudiciables parents'!I34,"")</f>
        <v/>
      </c>
      <c r="D150" s="2452" t="s">
        <v>1667</v>
      </c>
      <c r="E150" s="291" t="str">
        <f t="shared" si="6"/>
        <v/>
      </c>
    </row>
    <row r="151" spans="1:5" ht="17" customHeight="1">
      <c r="A151" s="45" t="s">
        <v>1702</v>
      </c>
      <c r="B151" s="13">
        <f>IF('Cpts préjudiciables parents'!I35&lt;&gt;"",'Cpts préjudiciables parents'!I35,"")</f>
        <v>0</v>
      </c>
      <c r="D151" s="2452" t="s">
        <v>1667</v>
      </c>
      <c r="E151" s="291">
        <f t="shared" si="6"/>
        <v>0</v>
      </c>
    </row>
    <row r="152" spans="1:5" ht="17" customHeight="1">
      <c r="A152" s="45" t="s">
        <v>1702</v>
      </c>
      <c r="B152" s="13" t="str">
        <f>IF('Cpts préjudiciables parents'!I36&lt;&gt;"",'Cpts préjudiciables parents'!I36,"")</f>
        <v/>
      </c>
      <c r="D152" s="2452" t="s">
        <v>1667</v>
      </c>
      <c r="E152" s="291" t="str">
        <f t="shared" si="6"/>
        <v/>
      </c>
    </row>
    <row r="153" spans="1:5" ht="17" customHeight="1">
      <c r="A153" s="692" t="s">
        <v>1695</v>
      </c>
      <c r="B153" s="13" t="str">
        <f>IF('Cpts préjudiciables parents'!I43&lt;&gt;"",'Cpts préjudiciables parents'!I43,"")</f>
        <v/>
      </c>
      <c r="D153" s="2452" t="s">
        <v>1667</v>
      </c>
      <c r="E153" s="291" t="str">
        <f t="shared" si="6"/>
        <v/>
      </c>
    </row>
    <row r="154" spans="1:5" ht="17" customHeight="1">
      <c r="A154" s="45" t="s">
        <v>1703</v>
      </c>
      <c r="B154" s="13" t="str">
        <f>IF('Cpts préjudiciables parents'!I38&lt;&gt;"",'Cpts préjudiciables parents'!I38,"")</f>
        <v/>
      </c>
      <c r="D154" s="2452" t="s">
        <v>1667</v>
      </c>
      <c r="E154" s="291" t="str">
        <f t="shared" si="6"/>
        <v/>
      </c>
    </row>
    <row r="155" spans="1:5" ht="17" customHeight="1">
      <c r="A155" s="45" t="s">
        <v>1703</v>
      </c>
      <c r="B155" s="13">
        <f>IF('Cpts préjudiciables parents'!I39&lt;&gt;"",'Cpts préjudiciables parents'!I39,"")</f>
        <v>0</v>
      </c>
      <c r="D155" s="2452" t="s">
        <v>1667</v>
      </c>
      <c r="E155" s="291">
        <f t="shared" si="6"/>
        <v>0</v>
      </c>
    </row>
    <row r="156" spans="1:5" ht="17" customHeight="1">
      <c r="A156" s="45" t="s">
        <v>1703</v>
      </c>
      <c r="B156" s="13" t="str">
        <f>IF('Cpts préjudiciables parents'!I40&lt;&gt;"",'Cpts préjudiciables parents'!I40,"")</f>
        <v/>
      </c>
      <c r="D156" s="2452" t="s">
        <v>1667</v>
      </c>
      <c r="E156" s="291" t="str">
        <f t="shared" si="6"/>
        <v/>
      </c>
    </row>
    <row r="157" spans="1:5" ht="17" customHeight="1">
      <c r="A157" s="45" t="s">
        <v>1703</v>
      </c>
      <c r="B157" s="13">
        <f>IF('Cpts préjudiciables parents'!I41&lt;&gt;"",'Cpts préjudiciables parents'!I41,"")</f>
        <v>0</v>
      </c>
      <c r="D157" s="2452" t="s">
        <v>1667</v>
      </c>
      <c r="E157" s="291">
        <f t="shared" si="6"/>
        <v>0</v>
      </c>
    </row>
    <row r="158" spans="1:5" ht="17" customHeight="1">
      <c r="A158" s="45" t="s">
        <v>1703</v>
      </c>
      <c r="B158" s="13" t="str">
        <f>IF('Cpts préjudiciables parents'!I42&lt;&gt;"",'Cpts préjudiciables parents'!I42,"")</f>
        <v/>
      </c>
      <c r="D158" s="2452" t="s">
        <v>1667</v>
      </c>
      <c r="E158" s="291" t="str">
        <f t="shared" si="6"/>
        <v/>
      </c>
    </row>
    <row r="159" spans="1:5" ht="17" customHeight="1">
      <c r="A159" s="692" t="s">
        <v>1696</v>
      </c>
      <c r="B159" s="13" t="str">
        <f>IF('Cpts préjudiciables parents'!I48&lt;&gt;"",'Cpts préjudiciables parents'!I48,"")</f>
        <v/>
      </c>
      <c r="D159" s="2452" t="s">
        <v>1667</v>
      </c>
      <c r="E159" s="291" t="str">
        <f t="shared" si="6"/>
        <v/>
      </c>
    </row>
    <row r="160" spans="1:5" ht="17" customHeight="1">
      <c r="A160" s="45" t="s">
        <v>1704</v>
      </c>
      <c r="B160" s="13" t="str">
        <f>IF('Cpts préjudiciables parents'!I44&lt;&gt;"",'Cpts préjudiciables parents'!I44,"")</f>
        <v/>
      </c>
      <c r="D160" s="2452" t="s">
        <v>1667</v>
      </c>
      <c r="E160" s="291" t="str">
        <f t="shared" si="6"/>
        <v/>
      </c>
    </row>
    <row r="161" spans="1:5" ht="17" customHeight="1">
      <c r="A161" s="45" t="s">
        <v>1704</v>
      </c>
      <c r="B161" s="13" t="str">
        <f>IF('Cpts préjudiciables parents'!I45&lt;&gt;"",'Cpts préjudiciables parents'!I45,"")</f>
        <v/>
      </c>
      <c r="D161" s="2452" t="s">
        <v>1667</v>
      </c>
      <c r="E161" s="291" t="str">
        <f t="shared" si="6"/>
        <v/>
      </c>
    </row>
    <row r="162" spans="1:5" ht="17" customHeight="1">
      <c r="A162" s="45" t="s">
        <v>1704</v>
      </c>
      <c r="B162" s="13" t="str">
        <f>IF('Cpts préjudiciables parents'!I46&lt;&gt;"",'Cpts préjudiciables parents'!I46,"")</f>
        <v/>
      </c>
      <c r="D162" s="2452" t="s">
        <v>1667</v>
      </c>
      <c r="E162" s="291" t="str">
        <f t="shared" si="6"/>
        <v/>
      </c>
    </row>
    <row r="163" spans="1:5" ht="17" customHeight="1">
      <c r="A163" s="45" t="s">
        <v>1704</v>
      </c>
      <c r="B163" s="13">
        <f>IF('Cpts préjudiciables parents'!I47&lt;&gt;"",'Cpts préjudiciables parents'!I47,"")</f>
        <v>0</v>
      </c>
      <c r="D163" s="2452" t="s">
        <v>1667</v>
      </c>
      <c r="E163" s="291">
        <f t="shared" si="6"/>
        <v>0</v>
      </c>
    </row>
    <row r="164" spans="1:5" ht="17" customHeight="1">
      <c r="A164" s="692" t="s">
        <v>1697</v>
      </c>
      <c r="B164" s="13">
        <f>IF('Cpts préjudiciables parents'!I53&lt;&gt;"",'Cpts préjudiciables parents'!I53,"")</f>
        <v>0</v>
      </c>
      <c r="D164" s="2452" t="s">
        <v>1667</v>
      </c>
      <c r="E164" s="291">
        <f t="shared" si="6"/>
        <v>0</v>
      </c>
    </row>
    <row r="165" spans="1:5" ht="17" customHeight="1">
      <c r="A165" s="45" t="s">
        <v>1705</v>
      </c>
      <c r="B165" s="13" t="str">
        <f>IF('Cpts préjudiciables parents'!I49&lt;&gt;"",'Cpts préjudiciables parents'!I49,"")</f>
        <v/>
      </c>
      <c r="D165" s="2452" t="s">
        <v>1667</v>
      </c>
      <c r="E165" s="291" t="str">
        <f t="shared" si="6"/>
        <v/>
      </c>
    </row>
    <row r="166" spans="1:5" ht="17" customHeight="1">
      <c r="A166" s="45" t="s">
        <v>1705</v>
      </c>
      <c r="B166" s="13">
        <f>IF('Cpts préjudiciables parents'!I50&lt;&gt;"",'Cpts préjudiciables parents'!I50,"")</f>
        <v>0</v>
      </c>
      <c r="D166" s="2452" t="s">
        <v>1667</v>
      </c>
      <c r="E166" s="291">
        <f t="shared" si="6"/>
        <v>0</v>
      </c>
    </row>
    <row r="167" spans="1:5" ht="17" customHeight="1">
      <c r="A167" s="45" t="s">
        <v>1705</v>
      </c>
      <c r="B167" s="13">
        <f>IF('Cpts préjudiciables parents'!I51&lt;&gt;"",'Cpts préjudiciables parents'!I51,"")</f>
        <v>0</v>
      </c>
      <c r="D167" s="2452" t="s">
        <v>1667</v>
      </c>
      <c r="E167" s="291">
        <f t="shared" si="6"/>
        <v>0</v>
      </c>
    </row>
    <row r="168" spans="1:5" ht="17" customHeight="1">
      <c r="A168" s="45" t="s">
        <v>1705</v>
      </c>
      <c r="B168" s="13" t="str">
        <f>IF('Cpts préjudiciables parents'!I52&lt;&gt;"",'Cpts préjudiciables parents'!I52,"")</f>
        <v/>
      </c>
      <c r="D168" s="2452" t="s">
        <v>1667</v>
      </c>
      <c r="E168" s="291" t="str">
        <f t="shared" si="6"/>
        <v/>
      </c>
    </row>
    <row r="169" spans="1:5" ht="17" customHeight="1">
      <c r="B169" s="13" t="s">
        <v>1673</v>
      </c>
      <c r="E169" s="291" t="str">
        <f t="shared" si="6"/>
        <v>Drapeaux rouges 🔴</v>
      </c>
    </row>
    <row r="170" spans="1:5" ht="17" customHeight="1">
      <c r="A170" t="s">
        <v>1665</v>
      </c>
      <c r="B170" s="13" t="str">
        <f>IF('Cpts miroirs des parents'!U84&lt;&gt;"",'Cpts miroirs des parents'!U84,"")</f>
        <v/>
      </c>
      <c r="E170" s="291" t="str">
        <f t="shared" si="6"/>
        <v/>
      </c>
    </row>
    <row r="171" spans="1:5" ht="17" customHeight="1">
      <c r="A171" s="1222" t="s">
        <v>1698</v>
      </c>
      <c r="B171" s="13" t="str">
        <f>IF('Cpts préjudiciables parents'!J15&lt;&gt;"",'Cpts préjudiciables parents'!J15,"")</f>
        <v/>
      </c>
      <c r="D171" s="2452" t="s">
        <v>1674</v>
      </c>
      <c r="E171" s="291" t="str">
        <f t="shared" si="6"/>
        <v/>
      </c>
    </row>
    <row r="172" spans="1:5" ht="17" customHeight="1">
      <c r="A172" s="1222" t="s">
        <v>1699</v>
      </c>
      <c r="B172" s="13" t="str">
        <f>IF('Cpts préjudiciables parents'!J9&lt;&gt;"",'Cpts préjudiciables parents'!J9,"")</f>
        <v/>
      </c>
      <c r="D172" s="2452" t="s">
        <v>1674</v>
      </c>
      <c r="E172" s="291" t="str">
        <f t="shared" si="6"/>
        <v/>
      </c>
    </row>
    <row r="173" spans="1:5" ht="17" customHeight="1">
      <c r="A173" s="1222" t="s">
        <v>1699</v>
      </c>
      <c r="B173" s="13" t="str">
        <f>IF('Cpts préjudiciables parents'!J10&lt;&gt;"",'Cpts préjudiciables parents'!J10,"")</f>
        <v/>
      </c>
      <c r="D173" s="2452" t="s">
        <v>1674</v>
      </c>
      <c r="E173" s="291" t="str">
        <f t="shared" si="6"/>
        <v/>
      </c>
    </row>
    <row r="174" spans="1:5" ht="17" customHeight="1">
      <c r="A174" s="1222" t="s">
        <v>1699</v>
      </c>
      <c r="B174" s="13">
        <f>IF('Cpts préjudiciables parents'!J11&lt;&gt;"",'Cpts préjudiciables parents'!J11,"")</f>
        <v>0</v>
      </c>
      <c r="D174" s="2452" t="s">
        <v>1674</v>
      </c>
      <c r="E174" s="291">
        <f t="shared" si="6"/>
        <v>0</v>
      </c>
    </row>
    <row r="175" spans="1:5" ht="17" customHeight="1">
      <c r="A175" s="1222" t="s">
        <v>1699</v>
      </c>
      <c r="B175" s="13" t="str">
        <f>IF('Cpts préjudiciables parents'!J12&lt;&gt;"",'Cpts préjudiciables parents'!J12,"")</f>
        <v/>
      </c>
      <c r="D175" s="2452" t="s">
        <v>1674</v>
      </c>
      <c r="E175" s="291" t="str">
        <f t="shared" ref="E175:E206" si="7">B175</f>
        <v/>
      </c>
    </row>
    <row r="176" spans="1:5" ht="17" customHeight="1">
      <c r="A176" s="1222" t="s">
        <v>1699</v>
      </c>
      <c r="B176" s="13" t="str">
        <f>IF('Cpts préjudiciables parents'!J13&lt;&gt;"",'Cpts préjudiciables parents'!J13,"")</f>
        <v/>
      </c>
      <c r="D176" s="2452" t="s">
        <v>1674</v>
      </c>
      <c r="E176" s="291" t="str">
        <f t="shared" si="7"/>
        <v/>
      </c>
    </row>
    <row r="177" spans="1:5" ht="17" customHeight="1">
      <c r="A177" s="1222" t="s">
        <v>1699</v>
      </c>
      <c r="B177" s="13" t="str">
        <f>IF('Cpts préjudiciables parents'!J14&lt;&gt;"",'Cpts préjudiciables parents'!J14,"")</f>
        <v/>
      </c>
      <c r="D177" s="2452" t="s">
        <v>1674</v>
      </c>
      <c r="E177" s="291" t="str">
        <f t="shared" si="7"/>
        <v/>
      </c>
    </row>
    <row r="178" spans="1:5" ht="17" customHeight="1">
      <c r="A178" s="1222" t="s">
        <v>1692</v>
      </c>
      <c r="B178" s="13">
        <f>IF('Cpts préjudiciables parents'!J22&lt;&gt;"",'Cpts préjudiciables parents'!J22,"")</f>
        <v>0</v>
      </c>
      <c r="D178" s="2452" t="s">
        <v>1674</v>
      </c>
      <c r="E178" s="291">
        <f t="shared" si="7"/>
        <v>0</v>
      </c>
    </row>
    <row r="179" spans="1:5" ht="17" customHeight="1">
      <c r="A179" s="1222" t="s">
        <v>1700</v>
      </c>
      <c r="B179" s="13" t="str">
        <f>IF('Cpts préjudiciables parents'!J16&lt;&gt;"",'Cpts préjudiciables parents'!J16,"")</f>
        <v/>
      </c>
      <c r="D179" s="2452" t="s">
        <v>1674</v>
      </c>
      <c r="E179" s="291" t="str">
        <f t="shared" si="7"/>
        <v/>
      </c>
    </row>
    <row r="180" spans="1:5" ht="17" customHeight="1">
      <c r="A180" s="1222" t="s">
        <v>1700</v>
      </c>
      <c r="B180" s="13">
        <f>IF('Cpts préjudiciables parents'!J17&lt;&gt;"",'Cpts préjudiciables parents'!J17,"")</f>
        <v>0</v>
      </c>
      <c r="D180" s="2452" t="s">
        <v>1674</v>
      </c>
      <c r="E180" s="291">
        <f t="shared" si="7"/>
        <v>0</v>
      </c>
    </row>
    <row r="181" spans="1:5" ht="17" customHeight="1">
      <c r="A181" s="1222" t="s">
        <v>1700</v>
      </c>
      <c r="B181" s="13" t="str">
        <f>IF('Cpts préjudiciables parents'!J18&lt;&gt;"",'Cpts préjudiciables parents'!J18,"")</f>
        <v/>
      </c>
      <c r="D181" s="2452" t="s">
        <v>1674</v>
      </c>
      <c r="E181" s="291" t="str">
        <f t="shared" si="7"/>
        <v/>
      </c>
    </row>
    <row r="182" spans="1:5" ht="17" customHeight="1">
      <c r="A182" s="1222" t="s">
        <v>1700</v>
      </c>
      <c r="B182" s="13">
        <f>IF('Cpts préjudiciables parents'!J19&lt;&gt;"",'Cpts préjudiciables parents'!J19,"")</f>
        <v>0</v>
      </c>
      <c r="D182" s="2452" t="s">
        <v>1674</v>
      </c>
      <c r="E182" s="291">
        <f t="shared" si="7"/>
        <v>0</v>
      </c>
    </row>
    <row r="183" spans="1:5" ht="17" customHeight="1">
      <c r="A183" s="1222" t="s">
        <v>1700</v>
      </c>
      <c r="B183" s="13" t="str">
        <f>IF('Cpts préjudiciables parents'!J20&lt;&gt;"",'Cpts préjudiciables parents'!J20,"")</f>
        <v>L'enfant enregistre consciemment ou inconsciemment le message suivant : il n'est pas autorisé à être en relation avec son autre parent.</v>
      </c>
      <c r="D183" s="2452" t="s">
        <v>1674</v>
      </c>
      <c r="E183" s="291" t="str">
        <f t="shared" si="7"/>
        <v>L'enfant enregistre consciemment ou inconsciemment le message suivant : il n'est pas autorisé à être en relation avec son autre parent.</v>
      </c>
    </row>
    <row r="184" spans="1:5" ht="17" customHeight="1">
      <c r="A184" s="1222" t="s">
        <v>1700</v>
      </c>
      <c r="B184" s="13" t="str">
        <f>IF('Cpts préjudiciables parents'!J21&lt;&gt;"",'Cpts préjudiciables parents'!J21,"")</f>
        <v/>
      </c>
      <c r="D184" s="2452" t="s">
        <v>1674</v>
      </c>
      <c r="E184" s="291" t="str">
        <f t="shared" si="7"/>
        <v/>
      </c>
    </row>
    <row r="185" spans="1:5" ht="17" customHeight="1">
      <c r="A185" s="1222" t="s">
        <v>1693</v>
      </c>
      <c r="B185" s="13" t="str">
        <f>IF('Cpts préjudiciables parents'!J27&lt;&gt;"",'Cpts préjudiciables parents'!J27,"")</f>
        <v/>
      </c>
      <c r="D185" s="2452" t="s">
        <v>1674</v>
      </c>
      <c r="E185" s="291" t="str">
        <f t="shared" si="7"/>
        <v/>
      </c>
    </row>
    <row r="186" spans="1:5" ht="17" customHeight="1">
      <c r="A186" s="1222" t="s">
        <v>1701</v>
      </c>
      <c r="B186" s="13">
        <f>IF('Cpts préjudiciables parents'!J23&lt;&gt;"",'Cpts préjudiciables parents'!J23,"")</f>
        <v>0</v>
      </c>
      <c r="D186" s="2452" t="s">
        <v>1674</v>
      </c>
      <c r="E186" s="291">
        <f t="shared" si="7"/>
        <v>0</v>
      </c>
    </row>
    <row r="187" spans="1:5" ht="17" customHeight="1">
      <c r="A187" s="1222" t="s">
        <v>1701</v>
      </c>
      <c r="B187" s="13" t="str">
        <f>IF('Cpts préjudiciables parents'!J24&lt;&gt;"",'Cpts préjudiciables parents'!J24,"")</f>
        <v/>
      </c>
      <c r="D187" s="2452" t="s">
        <v>1674</v>
      </c>
      <c r="E187" s="291" t="str">
        <f t="shared" si="7"/>
        <v/>
      </c>
    </row>
    <row r="188" spans="1:5" ht="17" customHeight="1">
      <c r="A188" s="1222" t="s">
        <v>1701</v>
      </c>
      <c r="B188" s="13" t="str">
        <f>IF('Cpts préjudiciables parents'!J25&lt;&gt;"",'Cpts préjudiciables parents'!J25,"")</f>
        <v/>
      </c>
      <c r="D188" s="2452" t="s">
        <v>1674</v>
      </c>
      <c r="E188" s="291" t="str">
        <f t="shared" si="7"/>
        <v/>
      </c>
    </row>
    <row r="189" spans="1:5" ht="17" customHeight="1">
      <c r="A189" s="1222" t="s">
        <v>1701</v>
      </c>
      <c r="B189" s="13" t="str">
        <f>IF('Cpts préjudiciables parents'!J26&lt;&gt;"",'Cpts préjudiciables parents'!J26,"")</f>
        <v/>
      </c>
      <c r="D189" s="2452" t="s">
        <v>1674</v>
      </c>
      <c r="E189" s="291" t="str">
        <f t="shared" si="7"/>
        <v/>
      </c>
    </row>
    <row r="190" spans="1:5" ht="17" customHeight="1">
      <c r="A190" s="1222" t="s">
        <v>1694</v>
      </c>
      <c r="B190" s="13">
        <f>IF('Cpts préjudiciables parents'!J37&lt;&gt;"",'Cpts préjudiciables parents'!J37,"")</f>
        <v>0</v>
      </c>
      <c r="D190" s="2452" t="s">
        <v>1674</v>
      </c>
      <c r="E190" s="291">
        <f t="shared" si="7"/>
        <v>0</v>
      </c>
    </row>
    <row r="191" spans="1:5" ht="17" customHeight="1">
      <c r="A191" s="1222" t="s">
        <v>1702</v>
      </c>
      <c r="B191" s="13">
        <f>IF('Cpts préjudiciables parents'!J28&lt;&gt;"",'Cpts préjudiciables parents'!J28,"")</f>
        <v>0</v>
      </c>
      <c r="D191" s="2452" t="s">
        <v>1674</v>
      </c>
      <c r="E191" s="291">
        <f t="shared" si="7"/>
        <v>0</v>
      </c>
    </row>
    <row r="192" spans="1:5" ht="17" customHeight="1">
      <c r="A192" s="1222" t="s">
        <v>1702</v>
      </c>
      <c r="B192" s="13" t="str">
        <f>IF('Cpts préjudiciables parents'!J29&lt;&gt;"",'Cpts préjudiciables parents'!J29,"")</f>
        <v/>
      </c>
      <c r="D192" s="2452" t="s">
        <v>1674</v>
      </c>
      <c r="E192" s="291" t="str">
        <f t="shared" si="7"/>
        <v/>
      </c>
    </row>
    <row r="193" spans="1:5" ht="17" customHeight="1">
      <c r="A193" s="1222" t="s">
        <v>1702</v>
      </c>
      <c r="B193" s="13">
        <f>IF('Cpts préjudiciables parents'!J30&lt;&gt;"",'Cpts préjudiciables parents'!J30,"")</f>
        <v>0</v>
      </c>
      <c r="D193" s="2452" t="s">
        <v>1674</v>
      </c>
      <c r="E193" s="291">
        <f t="shared" si="7"/>
        <v>0</v>
      </c>
    </row>
    <row r="194" spans="1:5" ht="17" customHeight="1">
      <c r="A194" s="1222" t="s">
        <v>1702</v>
      </c>
      <c r="B194" s="13" t="str">
        <f>IF('Cpts préjudiciables parents'!J31&lt;&gt;"",'Cpts préjudiciables parents'!J31,"")</f>
        <v/>
      </c>
      <c r="D194" s="2452" t="s">
        <v>1674</v>
      </c>
      <c r="E194" s="291" t="str">
        <f t="shared" si="7"/>
        <v/>
      </c>
    </row>
    <row r="195" spans="1:5" ht="17" customHeight="1">
      <c r="A195" s="1222" t="s">
        <v>1702</v>
      </c>
      <c r="B195" s="13" t="str">
        <f>IF('Cpts préjudiciables parents'!J32&lt;&gt;"",'Cpts préjudiciables parents'!J32,"")</f>
        <v/>
      </c>
      <c r="D195" s="2452" t="s">
        <v>1674</v>
      </c>
      <c r="E195" s="291" t="str">
        <f t="shared" si="7"/>
        <v/>
      </c>
    </row>
    <row r="196" spans="1:5" ht="51" customHeight="1">
      <c r="A196" s="1222" t="s">
        <v>1702</v>
      </c>
      <c r="B196" s="826" t="str">
        <f>IF('Cpts préjudiciables parents'!J33&lt;&gt;"",'Cpts préjudiciables parents'!J33,"")</f>
        <v/>
      </c>
      <c r="C196" s="826"/>
      <c r="D196" s="2452" t="s">
        <v>1674</v>
      </c>
      <c r="E196" s="291" t="str">
        <f t="shared" si="7"/>
        <v/>
      </c>
    </row>
    <row r="197" spans="1:5" ht="17" customHeight="1">
      <c r="A197" s="1222" t="s">
        <v>1702</v>
      </c>
      <c r="B197" s="13" t="str">
        <f>IF('Cpts préjudiciables parents'!J34&lt;&gt;"",'Cpts préjudiciables parents'!J34,"")</f>
        <v/>
      </c>
      <c r="D197" s="2452" t="s">
        <v>1674</v>
      </c>
      <c r="E197" s="291" t="str">
        <f t="shared" si="7"/>
        <v/>
      </c>
    </row>
    <row r="198" spans="1:5" ht="17" customHeight="1">
      <c r="A198" s="1222" t="s">
        <v>1702</v>
      </c>
      <c r="B198" s="13">
        <f>IF('Cpts préjudiciables parents'!J35&lt;&gt;"",'Cpts préjudiciables parents'!J35,"")</f>
        <v>0</v>
      </c>
      <c r="D198" s="2452" t="s">
        <v>1674</v>
      </c>
      <c r="E198" s="291">
        <f t="shared" si="7"/>
        <v>0</v>
      </c>
    </row>
    <row r="199" spans="1:5" ht="17" customHeight="1">
      <c r="A199" s="1222" t="s">
        <v>1702</v>
      </c>
      <c r="B199" s="13" t="str">
        <f>IF('Cpts préjudiciables parents'!J36&lt;&gt;"",'Cpts préjudiciables parents'!J36,"")</f>
        <v/>
      </c>
      <c r="D199" s="2452" t="s">
        <v>1674</v>
      </c>
      <c r="E199" s="291" t="str">
        <f t="shared" si="7"/>
        <v/>
      </c>
    </row>
    <row r="200" spans="1:5" ht="17" customHeight="1">
      <c r="A200" s="1222" t="s">
        <v>1695</v>
      </c>
      <c r="B200" s="13" t="str">
        <f>IF('Cpts préjudiciables parents'!J43&lt;&gt;"",'Cpts préjudiciables parents'!J43,"")</f>
        <v/>
      </c>
      <c r="D200" s="2452" t="s">
        <v>1674</v>
      </c>
      <c r="E200" s="291" t="str">
        <f t="shared" si="7"/>
        <v/>
      </c>
    </row>
    <row r="201" spans="1:5" ht="17" customHeight="1">
      <c r="A201" s="1222" t="s">
        <v>1703</v>
      </c>
      <c r="B201" s="13" t="str">
        <f>IF('Cpts préjudiciables parents'!J38&lt;&gt;"",'Cpts préjudiciables parents'!J38,"")</f>
        <v/>
      </c>
      <c r="D201" s="2452" t="s">
        <v>1674</v>
      </c>
      <c r="E201" s="291" t="str">
        <f t="shared" si="7"/>
        <v/>
      </c>
    </row>
    <row r="202" spans="1:5" ht="17" customHeight="1">
      <c r="A202" s="1222" t="s">
        <v>1703</v>
      </c>
      <c r="B202" s="13">
        <f>IF('Cpts préjudiciables parents'!J39&lt;&gt;"",'Cpts préjudiciables parents'!J39,"")</f>
        <v>0</v>
      </c>
      <c r="D202" s="2452" t="s">
        <v>1674</v>
      </c>
      <c r="E202" s="291">
        <f t="shared" si="7"/>
        <v>0</v>
      </c>
    </row>
    <row r="203" spans="1:5" ht="17" customHeight="1">
      <c r="A203" s="1222" t="s">
        <v>1703</v>
      </c>
      <c r="B203" s="13" t="str">
        <f>IF('Cpts préjudiciables parents'!J40&lt;&gt;"",'Cpts préjudiciables parents'!J40,"")</f>
        <v/>
      </c>
      <c r="D203" s="2452" t="s">
        <v>1674</v>
      </c>
      <c r="E203" s="291" t="str">
        <f t="shared" si="7"/>
        <v/>
      </c>
    </row>
    <row r="204" spans="1:5" ht="19" customHeight="1">
      <c r="A204" s="1222" t="s">
        <v>1703</v>
      </c>
      <c r="B204" s="13">
        <f>IF('Cpts préjudiciables parents'!J41&lt;&gt;"",'Cpts préjudiciables parents'!J41,"")</f>
        <v>0</v>
      </c>
      <c r="D204" s="2452" t="s">
        <v>1674</v>
      </c>
      <c r="E204" s="291">
        <f t="shared" si="7"/>
        <v>0</v>
      </c>
    </row>
    <row r="205" spans="1:5" ht="17" customHeight="1">
      <c r="A205" s="1222" t="s">
        <v>1703</v>
      </c>
      <c r="B205" s="13" t="str">
        <f>IF('Cpts préjudiciables parents'!J42&lt;&gt;"",'Cpts préjudiciables parents'!J42,"")</f>
        <v/>
      </c>
      <c r="D205" s="2452" t="s">
        <v>1674</v>
      </c>
      <c r="E205" s="291" t="str">
        <f t="shared" si="7"/>
        <v/>
      </c>
    </row>
    <row r="206" spans="1:5" ht="17" customHeight="1">
      <c r="A206" s="1222" t="s">
        <v>1696</v>
      </c>
      <c r="B206" s="13" t="str">
        <f>IF('Cpts préjudiciables parents'!J48&lt;&gt;"",'Cpts préjudiciables parents'!J48,"")</f>
        <v/>
      </c>
      <c r="D206" s="2452" t="s">
        <v>1674</v>
      </c>
      <c r="E206" s="291" t="str">
        <f t="shared" si="7"/>
        <v/>
      </c>
    </row>
    <row r="207" spans="1:5" ht="17" customHeight="1">
      <c r="A207" s="1222" t="s">
        <v>1704</v>
      </c>
      <c r="B207" s="13" t="str">
        <f>IF('Cpts préjudiciables parents'!J44&lt;&gt;"",'Cpts préjudiciables parents'!J44,"")</f>
        <v/>
      </c>
      <c r="D207" s="2452" t="s">
        <v>1674</v>
      </c>
      <c r="E207" s="291" t="str">
        <f t="shared" ref="E207:E220" si="8">B207</f>
        <v/>
      </c>
    </row>
    <row r="208" spans="1:5" ht="17" customHeight="1">
      <c r="A208" s="1222" t="s">
        <v>1704</v>
      </c>
      <c r="B208" s="13" t="str">
        <f>IF('Cpts préjudiciables parents'!J45&lt;&gt;"",'Cpts préjudiciables parents'!J45,"")</f>
        <v/>
      </c>
      <c r="D208" s="2452" t="s">
        <v>1674</v>
      </c>
      <c r="E208" s="291" t="str">
        <f t="shared" si="8"/>
        <v/>
      </c>
    </row>
    <row r="209" spans="1:5" ht="17" customHeight="1">
      <c r="A209" s="1222" t="s">
        <v>1704</v>
      </c>
      <c r="B209" s="13" t="str">
        <f>IF('Cpts préjudiciables parents'!J46&lt;&gt;"",'Cpts préjudiciables parents'!J46,"")</f>
        <v/>
      </c>
      <c r="D209" s="2452" t="s">
        <v>1674</v>
      </c>
      <c r="E209" s="291" t="str">
        <f t="shared" si="8"/>
        <v/>
      </c>
    </row>
    <row r="210" spans="1:5" ht="17" customHeight="1">
      <c r="A210" s="1222" t="s">
        <v>1704</v>
      </c>
      <c r="B210" s="13">
        <f>IF('Cpts préjudiciables parents'!J47&lt;&gt;"",'Cpts préjudiciables parents'!J47,"")</f>
        <v>0</v>
      </c>
      <c r="D210" s="2452" t="s">
        <v>1674</v>
      </c>
      <c r="E210" s="291">
        <f t="shared" si="8"/>
        <v>0</v>
      </c>
    </row>
    <row r="211" spans="1:5" ht="17" customHeight="1">
      <c r="A211" s="1222" t="s">
        <v>1697</v>
      </c>
      <c r="B211" s="13">
        <f>IF('Cpts préjudiciables parents'!J53&lt;&gt;"",'Cpts préjudiciables parents'!J53,"")</f>
        <v>0</v>
      </c>
      <c r="D211" s="2452" t="s">
        <v>1674</v>
      </c>
      <c r="E211" s="291">
        <f t="shared" si="8"/>
        <v>0</v>
      </c>
    </row>
    <row r="212" spans="1:5" ht="17" customHeight="1">
      <c r="A212" s="1222" t="s">
        <v>1705</v>
      </c>
      <c r="B212" s="13" t="str">
        <f>IF('Cpts préjudiciables parents'!J49&lt;&gt;"",'Cpts préjudiciables parents'!J549,"")</f>
        <v/>
      </c>
      <c r="D212" s="2452" t="s">
        <v>1674</v>
      </c>
      <c r="E212" s="291" t="str">
        <f t="shared" si="8"/>
        <v/>
      </c>
    </row>
    <row r="213" spans="1:5" ht="17" customHeight="1">
      <c r="A213" s="1222" t="s">
        <v>1705</v>
      </c>
      <c r="B213" s="13">
        <f>IF('Cpts préjudiciables parents'!J50&lt;&gt;"",'Cpts préjudiciables parents'!J550,"")</f>
        <v>0</v>
      </c>
      <c r="D213" s="2452" t="s">
        <v>1674</v>
      </c>
      <c r="E213" s="291">
        <f t="shared" si="8"/>
        <v>0</v>
      </c>
    </row>
    <row r="214" spans="1:5" ht="17" customHeight="1">
      <c r="A214" s="1222" t="s">
        <v>1705</v>
      </c>
      <c r="B214" s="13">
        <f>IF('Cpts préjudiciables parents'!J51&lt;&gt;"",'Cpts préjudiciables parents'!J551,"")</f>
        <v>0</v>
      </c>
      <c r="D214" s="2452" t="s">
        <v>1674</v>
      </c>
      <c r="E214" s="291">
        <f t="shared" si="8"/>
        <v>0</v>
      </c>
    </row>
    <row r="215" spans="1:5" ht="17" customHeight="1">
      <c r="A215" s="1222" t="s">
        <v>1705</v>
      </c>
      <c r="B215" s="13" t="str">
        <f>IF('Cpts préjudiciables parents'!J52&lt;&gt;"",'Cpts préjudiciables parents'!J552,"")</f>
        <v/>
      </c>
      <c r="D215" s="2452" t="s">
        <v>1674</v>
      </c>
      <c r="E215" s="291" t="str">
        <f t="shared" si="8"/>
        <v/>
      </c>
    </row>
    <row r="216" spans="1:5">
      <c r="E216" s="291">
        <f t="shared" si="8"/>
        <v>0</v>
      </c>
    </row>
    <row r="217" spans="1:5" ht="68" customHeight="1">
      <c r="A217" t="s">
        <v>1675</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1676</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91">
        <f t="shared" si="8"/>
        <v>0</v>
      </c>
    </row>
    <row r="219" spans="1:5" ht="21" customHeight="1">
      <c r="A219" s="2382" t="s">
        <v>1706</v>
      </c>
      <c r="B219" s="2233" t="str">
        <f>'Indice D''exclusion'!D1</f>
        <v xml:space="preserve">L’autre parent adopte-t-il ou elle des comportements trahissant un désir d’exclusion parentale ? </v>
      </c>
      <c r="C219" s="2233"/>
      <c r="D219" s="2452" t="s">
        <v>1648</v>
      </c>
      <c r="E219" s="291" t="str">
        <f t="shared" si="8"/>
        <v xml:space="preserve">L’autre parent adopte-t-il ou elle des comportements trahissant un désir d’exclusion parentale ? </v>
      </c>
    </row>
    <row r="220" spans="1:5" ht="88" customHeight="1">
      <c r="A220" s="2271" t="s">
        <v>1649</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1707</v>
      </c>
      <c r="D220" s="2452" t="s">
        <v>1650</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1708</v>
      </c>
      <c r="D221" s="2452" t="s">
        <v>1651</v>
      </c>
      <c r="E221" s="291" t="s">
        <v>1709</v>
      </c>
    </row>
    <row r="222" spans="1:5" ht="57" customHeight="1">
      <c r="A222" s="25" t="s">
        <v>1653</v>
      </c>
      <c r="B222" s="25" t="str">
        <f>HLOOKUP(1,'Indice D''exclusion'!$S$11:$T$42,2)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s="25"/>
      <c r="D222" s="2452" t="s">
        <v>1654</v>
      </c>
      <c r="E222" s="291" t="str">
        <f t="shared" ref="E222:E253" si="9">B222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ht="17" customHeight="1">
      <c r="A223" s="2374" t="s">
        <v>1679</v>
      </c>
      <c r="B223" s="13" t="str">
        <f>IF('Cpts miroirs des parents'!S92&lt;&gt;"",'Cpts miroirs des parents'!S92,"")</f>
        <v/>
      </c>
      <c r="E223" s="291" t="str">
        <f t="shared" si="9"/>
        <v/>
      </c>
    </row>
    <row r="224" spans="1:5" ht="34" customHeight="1">
      <c r="A224" s="2374" t="s">
        <v>1656</v>
      </c>
      <c r="B224" s="13" t="str">
        <f>IF('Indice D''exclusion'!P17&lt;&gt;"",'Indice D''exclusion'!P17,"")</f>
        <v/>
      </c>
      <c r="D224" s="2452" t="s">
        <v>1657</v>
      </c>
      <c r="E224" s="291" t="str">
        <f t="shared" si="9"/>
        <v/>
      </c>
    </row>
    <row r="225" spans="1:5" ht="17" customHeight="1">
      <c r="A225" s="2374" t="s">
        <v>1658</v>
      </c>
      <c r="B225" s="13" t="str">
        <f>IF('Indice D''exclusion'!P21&lt;&gt;"",'Indice D''exclusion'!P21,"")</f>
        <v/>
      </c>
      <c r="D225" s="2452" t="s">
        <v>1657</v>
      </c>
      <c r="E225" s="291" t="str">
        <f t="shared" si="9"/>
        <v/>
      </c>
    </row>
    <row r="226" spans="1:5" ht="51" customHeight="1">
      <c r="A226" s="2374" t="s">
        <v>1659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1657</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c r="A227" s="2374" t="s">
        <v>1680</v>
      </c>
      <c r="B227" s="13" t="str">
        <f>IF('Indice D''exclusion'!P30&lt;&gt;"",'Indice D''exclusion'!P30,"")</f>
        <v/>
      </c>
      <c r="D227" s="2452" t="s">
        <v>1657</v>
      </c>
      <c r="E227" s="291" t="str">
        <f t="shared" si="9"/>
        <v/>
      </c>
    </row>
    <row r="228" spans="1:5" ht="17" customHeight="1">
      <c r="A228" s="2374" t="s">
        <v>1681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D228" s="2452" t="s">
        <v>1657</v>
      </c>
      <c r="E228" s="291" t="str">
        <f t="shared" si="9"/>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1661</v>
      </c>
      <c r="B229" s="13">
        <f>IF('Indice D''exclusion'!P41&lt;&gt;"",'Indice D''exclusion'!P41,"")</f>
        <v>0</v>
      </c>
      <c r="D229" s="2452" t="s">
        <v>1657</v>
      </c>
      <c r="E229" s="291">
        <f t="shared" si="9"/>
        <v>0</v>
      </c>
    </row>
    <row r="230" spans="1:5" ht="51" customHeight="1">
      <c r="A230" s="36" t="s">
        <v>1662</v>
      </c>
      <c r="B230" s="25" t="str">
        <f>HLOOKUP(1,'Indice D''exclusion'!S11:T12,2)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30" s="25"/>
      <c r="D230" s="2452" t="s">
        <v>1663</v>
      </c>
      <c r="E230" s="291" t="str">
        <f t="shared" si="9"/>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31" spans="1:5" ht="17" customHeight="1">
      <c r="A231" s="45" t="s">
        <v>1665</v>
      </c>
      <c r="B231" s="13" t="s">
        <v>1664</v>
      </c>
      <c r="E231" s="291" t="str">
        <f t="shared" si="9"/>
        <v>Drapeaux jaunes 🟡</v>
      </c>
    </row>
    <row r="232" spans="1:5" ht="17" customHeight="1">
      <c r="A232" s="45" t="s">
        <v>1710</v>
      </c>
      <c r="B232" s="13" t="str">
        <f>IF('Indice D''exclusion'!Q17&lt;&gt;"",'Indice D''exclusion'!Q17,"")</f>
        <v/>
      </c>
      <c r="D232" s="2452" t="s">
        <v>1667</v>
      </c>
      <c r="E232" s="291" t="str">
        <f t="shared" si="9"/>
        <v/>
      </c>
    </row>
    <row r="233" spans="1:5" ht="17" customHeight="1">
      <c r="A233" s="45" t="s">
        <v>1699</v>
      </c>
      <c r="B233" s="13" t="str">
        <f>IF('Indice D''exclusion'!Q13&lt;&gt;"",'Indice D''exclusion'!Q13,"")</f>
        <v xml:space="preserve"> </v>
      </c>
      <c r="D233" s="2452" t="s">
        <v>1667</v>
      </c>
      <c r="E233" s="291" t="str">
        <f t="shared" si="9"/>
        <v xml:space="preserve"> </v>
      </c>
    </row>
    <row r="234" spans="1:5" ht="17" customHeight="1">
      <c r="A234" s="45" t="s">
        <v>1699</v>
      </c>
      <c r="B234" s="13" t="str">
        <f>IF('Indice D''exclusion'!Q14&lt;&gt;"",'Indice D''exclusion'!Q14,"")</f>
        <v xml:space="preserve"> </v>
      </c>
      <c r="D234" s="2452" t="s">
        <v>1667</v>
      </c>
      <c r="E234" s="291" t="str">
        <f t="shared" si="9"/>
        <v xml:space="preserve"> </v>
      </c>
    </row>
    <row r="235" spans="1:5" ht="17" customHeight="1">
      <c r="A235" s="45" t="s">
        <v>1699</v>
      </c>
      <c r="B235" s="13" t="str">
        <f>IF('Indice D''exclusion'!Q15&lt;&gt;"",'Indice D''exclusion'!Q15,"")</f>
        <v xml:space="preserve"> </v>
      </c>
      <c r="D235" s="2452" t="s">
        <v>1667</v>
      </c>
      <c r="E235" s="291" t="str">
        <f t="shared" si="9"/>
        <v xml:space="preserve"> </v>
      </c>
    </row>
    <row r="236" spans="1:5" ht="17" customHeight="1">
      <c r="A236" s="45" t="s">
        <v>1699</v>
      </c>
      <c r="B236" s="13" t="str">
        <f>IF('Indice D''exclusion'!Q16&lt;&gt;"",'Indice D''exclusion'!Q16,"")</f>
        <v xml:space="preserve"> </v>
      </c>
      <c r="D236" s="2452" t="s">
        <v>1667</v>
      </c>
      <c r="E236" s="291" t="str">
        <f t="shared" si="9"/>
        <v xml:space="preserve"> </v>
      </c>
    </row>
    <row r="237" spans="1:5" ht="17" customHeight="1">
      <c r="A237" s="45" t="s">
        <v>1711</v>
      </c>
      <c r="B237" s="13" t="str">
        <f>IF('Indice D''exclusion'!Q21&lt;&gt;"",'Indice D''exclusion'!Q21,"")</f>
        <v/>
      </c>
      <c r="D237" s="2452" t="s">
        <v>1667</v>
      </c>
      <c r="E237" s="291" t="str">
        <f t="shared" si="9"/>
        <v/>
      </c>
    </row>
    <row r="238" spans="1:5" ht="17" customHeight="1">
      <c r="A238" s="45" t="s">
        <v>1700</v>
      </c>
      <c r="B238" s="13" t="str">
        <f>IF('Indice D''exclusion'!Q18&lt;&gt;"",'Indice D''exclusion'!Q18,"")</f>
        <v xml:space="preserve"> </v>
      </c>
      <c r="D238" s="2452" t="s">
        <v>1667</v>
      </c>
      <c r="E238" s="291" t="str">
        <f t="shared" si="9"/>
        <v xml:space="preserve"> </v>
      </c>
    </row>
    <row r="239" spans="1:5" ht="17" customHeight="1">
      <c r="A239" s="45" t="s">
        <v>1700</v>
      </c>
      <c r="B239" s="13" t="str">
        <f>IF('Indice D''exclusion'!Q19&lt;&gt;"",'Indice D''exclusion'!Q19,"")</f>
        <v xml:space="preserve"> </v>
      </c>
      <c r="D239" s="2452" t="s">
        <v>1667</v>
      </c>
      <c r="E239" s="291" t="str">
        <f t="shared" si="9"/>
        <v xml:space="preserve"> </v>
      </c>
    </row>
    <row r="240" spans="1:5" ht="17" customHeight="1">
      <c r="A240" s="45" t="s">
        <v>1700</v>
      </c>
      <c r="B240" s="13" t="str">
        <f>IF('Indice D''exclusion'!Q20&lt;&gt;"",'Indice D''exclusion'!Q20,"")</f>
        <v xml:space="preserve"> </v>
      </c>
      <c r="D240" s="2452" t="s">
        <v>1667</v>
      </c>
      <c r="E240" s="291" t="str">
        <f t="shared" si="9"/>
        <v xml:space="preserve"> </v>
      </c>
    </row>
    <row r="241" spans="1:5" ht="17" customHeight="1">
      <c r="A241" s="45" t="s">
        <v>1712</v>
      </c>
      <c r="B241" s="13">
        <f>IF('Indice D''exclusion'!Q26&lt;&gt;"",'Indice D''exclusion'!Q26,"")</f>
        <v>0</v>
      </c>
      <c r="D241" s="2452" t="s">
        <v>1667</v>
      </c>
      <c r="E241" s="291">
        <f t="shared" si="9"/>
        <v>0</v>
      </c>
    </row>
    <row r="242" spans="1:5" ht="17" customHeight="1">
      <c r="A242" s="45" t="s">
        <v>1701</v>
      </c>
      <c r="B242" s="13">
        <f>IF('Indice D''exclusion'!Q22&lt;&gt;"",'Indice D''exclusion'!Q22,"")</f>
        <v>0</v>
      </c>
      <c r="D242" s="2452" t="s">
        <v>1667</v>
      </c>
      <c r="E242" s="291">
        <f t="shared" si="9"/>
        <v>0</v>
      </c>
    </row>
    <row r="243" spans="1:5" ht="17" customHeight="1">
      <c r="A243" s="45" t="s">
        <v>1701</v>
      </c>
      <c r="B243" s="13" t="str">
        <f>IF('Indice D''exclusion'!Q23&lt;&gt;"",'Indice D''exclusion'!Q23,"")</f>
        <v xml:space="preserve"> </v>
      </c>
      <c r="D243" s="2452" t="s">
        <v>1667</v>
      </c>
      <c r="E243" s="291" t="str">
        <f t="shared" si="9"/>
        <v xml:space="preserve"> </v>
      </c>
    </row>
    <row r="244" spans="1:5" ht="17" customHeight="1">
      <c r="A244" s="45" t="s">
        <v>1701</v>
      </c>
      <c r="B244" s="13">
        <f>IF('Indice D''exclusion'!Q24&lt;&gt;"",'Indice D''exclusion'!Q24,"")</f>
        <v>0</v>
      </c>
      <c r="D244" s="2452" t="s">
        <v>1667</v>
      </c>
      <c r="E244" s="291">
        <f t="shared" si="9"/>
        <v>0</v>
      </c>
    </row>
    <row r="245" spans="1:5" ht="17" customHeight="1">
      <c r="A245" s="45" t="s">
        <v>1701</v>
      </c>
      <c r="B245" s="13" t="str">
        <f>IF('Indice D''exclusion'!Q25&lt;&gt;"",'Indice D''exclusion'!Q25,"")</f>
        <v xml:space="preserve"> </v>
      </c>
      <c r="D245" s="2452" t="s">
        <v>1667</v>
      </c>
      <c r="E245" s="291" t="str">
        <f t="shared" si="9"/>
        <v xml:space="preserve"> </v>
      </c>
    </row>
    <row r="246" spans="1:5" ht="17" customHeight="1">
      <c r="A246" s="45" t="s">
        <v>1713</v>
      </c>
      <c r="B246" s="13" t="str">
        <f>IF('Indice D''exclusion'!Q234&lt;&gt;"",'Indice D''exclusion'!Q34,"")</f>
        <v/>
      </c>
      <c r="D246" s="2452" t="s">
        <v>1667</v>
      </c>
      <c r="E246" s="291" t="str">
        <f t="shared" si="9"/>
        <v/>
      </c>
    </row>
    <row r="247" spans="1:5" ht="17" customHeight="1">
      <c r="A247" s="45" t="s">
        <v>1702</v>
      </c>
      <c r="B247" s="13">
        <f>IF('Indice D''exclusion'!Q31&lt;&gt;"",'Indice D''exclusion'!Q31,"")</f>
        <v>0</v>
      </c>
      <c r="D247" s="2452" t="s">
        <v>1667</v>
      </c>
      <c r="E247" s="291">
        <f t="shared" si="9"/>
        <v>0</v>
      </c>
    </row>
    <row r="248" spans="1:5" ht="17" customHeight="1">
      <c r="A248" s="45" t="s">
        <v>1702</v>
      </c>
      <c r="B248" s="13">
        <f>IF('Indice D''exclusion'!Q32&lt;&gt;"",'Indice D''exclusion'!Q32,"")</f>
        <v>0</v>
      </c>
      <c r="D248" s="2452" t="s">
        <v>1667</v>
      </c>
      <c r="E248" s="291">
        <f t="shared" si="9"/>
        <v>0</v>
      </c>
    </row>
    <row r="249" spans="1:5" ht="17" customHeight="1">
      <c r="A249" s="45" t="s">
        <v>1702</v>
      </c>
      <c r="B249" s="13">
        <f>IF('Indice D''exclusion'!Q33&lt;&gt;"",'Indice D''exclusion'!Q33,"")</f>
        <v>0</v>
      </c>
      <c r="D249" s="2452" t="s">
        <v>1667</v>
      </c>
      <c r="E249" s="291">
        <f t="shared" si="9"/>
        <v>0</v>
      </c>
    </row>
    <row r="250" spans="1:5" ht="17" customHeight="1">
      <c r="A250" s="45" t="s">
        <v>1714</v>
      </c>
      <c r="B250" s="13" t="str">
        <f>IF('Indice D''exclusion'!Q35&lt;&gt;"",'Indice D''exclusion'!Q35,"")</f>
        <v/>
      </c>
      <c r="D250" s="2452" t="s">
        <v>1667</v>
      </c>
      <c r="E250" s="291" t="str">
        <f t="shared" si="9"/>
        <v/>
      </c>
    </row>
    <row r="251" spans="1:5" ht="17" customHeight="1">
      <c r="A251" s="45" t="s">
        <v>1715</v>
      </c>
      <c r="B251" s="13">
        <f>IF('Indice D''exclusion'!Q36&lt;&gt;"",'Indice D''exclusion'!Q36,"")</f>
        <v>0</v>
      </c>
      <c r="D251" s="2452" t="s">
        <v>1667</v>
      </c>
      <c r="E251" s="291">
        <f t="shared" si="9"/>
        <v>0</v>
      </c>
    </row>
    <row r="252" spans="1:5" ht="17" customHeight="1">
      <c r="B252" s="13" t="s">
        <v>1673</v>
      </c>
      <c r="E252" s="291" t="str">
        <f t="shared" si="9"/>
        <v>Drapeaux rouges 🔴</v>
      </c>
    </row>
    <row r="253" spans="1:5">
      <c r="A253" s="1222" t="s">
        <v>1665</v>
      </c>
      <c r="E253" s="291">
        <f t="shared" si="9"/>
        <v>0</v>
      </c>
    </row>
    <row r="254" spans="1:5" ht="17" customHeight="1">
      <c r="A254" s="1222" t="s">
        <v>1710</v>
      </c>
      <c r="B254" s="13" t="str">
        <f>IF('Indice D''exclusion'!R17&lt;&gt;"",'Indice D''exclusion'!R17,"")</f>
        <v/>
      </c>
      <c r="D254" s="2452" t="s">
        <v>1674</v>
      </c>
      <c r="E254" s="291" t="str">
        <f t="shared" ref="E254:E278" si="10">B254</f>
        <v/>
      </c>
    </row>
    <row r="255" spans="1:5" ht="17" customHeight="1">
      <c r="A255" s="1222" t="s">
        <v>1699</v>
      </c>
      <c r="B255" s="13" t="str">
        <f>IF('Indice D''exclusion'!R13&lt;&gt;"",'Indice D''exclusion'!R13,"")</f>
        <v xml:space="preserve"> </v>
      </c>
      <c r="D255" s="2452" t="s">
        <v>1674</v>
      </c>
      <c r="E255" s="291" t="str">
        <f t="shared" si="10"/>
        <v xml:space="preserve"> </v>
      </c>
    </row>
    <row r="256" spans="1:5" ht="51" customHeight="1">
      <c r="A256" s="1222" t="s">
        <v>1699</v>
      </c>
      <c r="B256" s="13" t="str">
        <f>IF('Indice D''exclusion'!R14&lt;&gt;"",'Indice D''exclusion'!R14,"")</f>
        <v xml:space="preserve"> </v>
      </c>
      <c r="D256" s="2452" t="s">
        <v>1674</v>
      </c>
      <c r="E256" s="291" t="str">
        <f t="shared" si="10"/>
        <v xml:space="preserve"> </v>
      </c>
    </row>
    <row r="257" spans="1:5" ht="17" customHeight="1">
      <c r="A257" s="1222" t="s">
        <v>1699</v>
      </c>
      <c r="B257" s="13" t="str">
        <f>IF('Indice D''exclusion'!R15&lt;&gt;"",'Indice D''exclusion'!R15,"")</f>
        <v xml:space="preserve"> </v>
      </c>
      <c r="D257" s="2452" t="s">
        <v>1674</v>
      </c>
      <c r="E257" s="291" t="str">
        <f t="shared" si="10"/>
        <v xml:space="preserve"> </v>
      </c>
    </row>
    <row r="258" spans="1:5" ht="170" customHeight="1">
      <c r="A258" s="1222" t="s">
        <v>1699</v>
      </c>
      <c r="B258" s="13" t="str">
        <f>IF('Indice D''exclusion'!R16&lt;&gt;"",'Indice D''exclusion'!R16,"")</f>
        <v xml:space="preserve"> </v>
      </c>
      <c r="D258" s="2452" t="s">
        <v>1674</v>
      </c>
      <c r="E258" s="291" t="str">
        <f t="shared" si="10"/>
        <v xml:space="preserve"> </v>
      </c>
    </row>
    <row r="259" spans="1:5" ht="17" customHeight="1">
      <c r="A259" s="1222" t="s">
        <v>1711</v>
      </c>
      <c r="B259" s="13" t="str">
        <f>IF('Indice D''exclusion'!R21&lt;&gt;"",'Indice D''exclusion'!R21,"")</f>
        <v/>
      </c>
      <c r="D259" s="2452" t="s">
        <v>1674</v>
      </c>
      <c r="E259" s="291" t="str">
        <f t="shared" si="10"/>
        <v/>
      </c>
    </row>
    <row r="260" spans="1:5" ht="17" customHeight="1">
      <c r="A260" s="1222" t="s">
        <v>1700</v>
      </c>
      <c r="B260" s="13" t="str">
        <f>IF('Indice D''exclusion'!R18&lt;&gt;"",'Indice D''exclusion'!R18,"")</f>
        <v xml:space="preserve"> </v>
      </c>
      <c r="D260" s="2452" t="s">
        <v>1674</v>
      </c>
      <c r="E260" s="291" t="str">
        <f t="shared" si="10"/>
        <v xml:space="preserve"> </v>
      </c>
    </row>
    <row r="261" spans="1:5" ht="17" customHeight="1">
      <c r="A261" s="1222" t="s">
        <v>1700</v>
      </c>
      <c r="B261" s="13" t="str">
        <f>IF('Indice D''exclusion'!R19&lt;&gt;"",'Indice D''exclusion'!R19,"")</f>
        <v xml:space="preserve"> </v>
      </c>
      <c r="D261" s="2452" t="s">
        <v>1674</v>
      </c>
      <c r="E261" s="291" t="str">
        <f t="shared" si="10"/>
        <v xml:space="preserve"> </v>
      </c>
    </row>
    <row r="262" spans="1:5" ht="17" customHeight="1">
      <c r="A262" s="1222" t="s">
        <v>1700</v>
      </c>
      <c r="B262" s="13" t="str">
        <f>IF('Indice D''exclusion'!R20&lt;&gt;"",'Indice D''exclusion'!R20,"")</f>
        <v xml:space="preserve"> </v>
      </c>
      <c r="D262" s="2452" t="s">
        <v>1674</v>
      </c>
      <c r="E262" s="291" t="str">
        <f t="shared" si="10"/>
        <v xml:space="preserve"> </v>
      </c>
    </row>
    <row r="263" spans="1:5" ht="17" customHeight="1">
      <c r="A263" s="1222" t="s">
        <v>1712</v>
      </c>
      <c r="B263" s="13">
        <f>IF('Indice D''exclusion'!R26&lt;&gt;"",'Indice D''exclusion'!R26,"")</f>
        <v>0</v>
      </c>
      <c r="D263" s="2452" t="s">
        <v>1674</v>
      </c>
      <c r="E263" s="291">
        <f t="shared" si="10"/>
        <v>0</v>
      </c>
    </row>
    <row r="264" spans="1:5" ht="17" customHeight="1">
      <c r="A264" s="1222" t="s">
        <v>1701</v>
      </c>
      <c r="B264" s="13">
        <f>IF('Indice D''exclusion'!R22&lt;&gt;"",'Indice D''exclusion'!R22,"")</f>
        <v>0</v>
      </c>
      <c r="D264" s="2452" t="s">
        <v>1674</v>
      </c>
      <c r="E264" s="291">
        <f t="shared" si="10"/>
        <v>0</v>
      </c>
    </row>
    <row r="265" spans="1:5" ht="17" customHeight="1">
      <c r="A265" s="1222" t="s">
        <v>1701</v>
      </c>
      <c r="B265" s="13" t="str">
        <f>IF('Indice D''exclusion'!R23&lt;&gt;"",'Indice D''exclusion'!R23,"")</f>
        <v xml:space="preserve"> </v>
      </c>
      <c r="D265" s="2452" t="s">
        <v>1674</v>
      </c>
      <c r="E265" s="291" t="str">
        <f t="shared" si="10"/>
        <v xml:space="preserve"> </v>
      </c>
    </row>
    <row r="266" spans="1:5" ht="17" customHeight="1">
      <c r="A266" s="1222" t="s">
        <v>1701</v>
      </c>
      <c r="B266" s="13">
        <f>IF('Indice D''exclusion'!R24&lt;&gt;"",'Indice D''exclusion'!R24,"")</f>
        <v>0</v>
      </c>
      <c r="D266" s="2452" t="s">
        <v>1674</v>
      </c>
      <c r="E266" s="291">
        <f t="shared" si="10"/>
        <v>0</v>
      </c>
    </row>
    <row r="267" spans="1:5" ht="17" customHeight="1">
      <c r="A267" s="1222" t="s">
        <v>1701</v>
      </c>
      <c r="B267" s="13" t="str">
        <f>IF('Indice D''exclusion'!R25&lt;&gt;"",'Indice D''exclusion'!R25,"")</f>
        <v xml:space="preserve"> </v>
      </c>
      <c r="D267" s="2452" t="s">
        <v>1674</v>
      </c>
      <c r="E267" s="291" t="str">
        <f t="shared" si="10"/>
        <v xml:space="preserve"> </v>
      </c>
    </row>
    <row r="268" spans="1:5" ht="17" customHeight="1">
      <c r="A268" s="1222" t="s">
        <v>1713</v>
      </c>
      <c r="B268" s="13" t="str">
        <f>IF('Indice D''exclusion'!R30&lt;&gt;"",'Indice D''exclusion'!R30,"")</f>
        <v/>
      </c>
      <c r="D268" s="2452" t="s">
        <v>1674</v>
      </c>
      <c r="E268" s="291" t="str">
        <f t="shared" si="10"/>
        <v/>
      </c>
    </row>
    <row r="269" spans="1:5" ht="17" customHeight="1">
      <c r="A269" s="1222" t="s">
        <v>1702</v>
      </c>
      <c r="B269" s="13" t="str">
        <f>IF('Indice D''exclusion'!R27&lt;&gt;"",'Indice D''exclusion'!R27,"")</f>
        <v xml:space="preserve"> </v>
      </c>
      <c r="D269" s="2452" t="s">
        <v>1674</v>
      </c>
      <c r="E269" s="291" t="str">
        <f t="shared" si="10"/>
        <v xml:space="preserve"> </v>
      </c>
    </row>
    <row r="270" spans="1:5" ht="17" customHeight="1">
      <c r="A270" s="1222" t="s">
        <v>1702</v>
      </c>
      <c r="B270" s="13" t="str">
        <f>IF('Indice D''exclusion'!R28&lt;&gt;"",'Indice D''exclusion'!R28,"")</f>
        <v xml:space="preserve"> </v>
      </c>
      <c r="D270" s="2452" t="s">
        <v>1674</v>
      </c>
      <c r="E270" s="291" t="str">
        <f t="shared" si="10"/>
        <v xml:space="preserve"> </v>
      </c>
    </row>
    <row r="271" spans="1:5" ht="17" customHeight="1">
      <c r="A271" s="1222" t="s">
        <v>1702</v>
      </c>
      <c r="B271" s="13" t="str">
        <f>IF('Indice D''exclusion'!R29&lt;&gt;"",'Indice D''exclusion'!R29,"")</f>
        <v xml:space="preserve"> </v>
      </c>
      <c r="D271" s="2452" t="s">
        <v>1674</v>
      </c>
      <c r="E271" s="291" t="str">
        <f t="shared" si="10"/>
        <v xml:space="preserve"> </v>
      </c>
    </row>
    <row r="272" spans="1:5" ht="17" customHeight="1">
      <c r="A272" s="1222" t="s">
        <v>1714</v>
      </c>
      <c r="B272" s="13" t="str">
        <f>IF('Indice D''exclusion'!R35&lt;&gt;"",'Indice D''exclusion'!R35,"")</f>
        <v/>
      </c>
      <c r="D272" s="2452" t="s">
        <v>1674</v>
      </c>
      <c r="E272" s="291" t="str">
        <f t="shared" si="10"/>
        <v/>
      </c>
    </row>
    <row r="273" spans="1:6" ht="51" customHeight="1">
      <c r="A273" s="1222" t="s">
        <v>1715</v>
      </c>
      <c r="B273" s="13" t="str">
        <f>IF('Indice D''exclusion'!R36&lt;&gt;"",'Indice D''exclusion'!R36,"")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D273" s="2452" t="s">
        <v>1674</v>
      </c>
      <c r="E273" s="291" t="str">
        <f t="shared" si="10"/>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row>
    <row r="274" spans="1:6">
      <c r="E274" s="291">
        <f t="shared" si="10"/>
        <v>0</v>
      </c>
    </row>
    <row r="275" spans="1:6" ht="51" customHeight="1">
      <c r="A275" t="s">
        <v>1675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1676</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c r="E276" s="291">
        <f t="shared" si="10"/>
        <v>0</v>
      </c>
    </row>
    <row r="277" spans="1:6" ht="40" customHeight="1">
      <c r="A277" s="2383" t="s">
        <v>1716</v>
      </c>
      <c r="B277" s="2233" t="str">
        <f>'Contribution NC'!C2</f>
        <v xml:space="preserve">Quelle est la contribution du nouveau ou de la nouvelle conjoint·e dans la dynamique conflictuelle de coparentalité ? </v>
      </c>
      <c r="C277" s="2233"/>
      <c r="D277" s="2452" t="s">
        <v>1648</v>
      </c>
      <c r="E277" s="291" t="str">
        <f t="shared" si="10"/>
        <v xml:space="preserve">Quelle est la contribution du nouveau ou de la nouvelle conjoint·e dans la dynamique conflictuelle de coparentalité ? </v>
      </c>
    </row>
    <row r="278" spans="1:6" ht="41" customHeight="1">
      <c r="A278" s="2271" t="s">
        <v>1649</v>
      </c>
      <c r="B278" s="25" t="str">
        <f>'Contribution NC'!C10</f>
        <v>Ce baromètre indique si le nouveau ou la nouvelle conjointe du coparent prend un rôle qui a un impact sur la dynamique et conséquement sur l'enfant.</v>
      </c>
      <c r="C278" s="25"/>
      <c r="D278" s="61" t="s">
        <v>1650</v>
      </c>
      <c r="E278" s="291" t="str">
        <f t="shared" si="10"/>
        <v>Ce baromètre indique si le nouveau ou la nouvelle conjointe du coparent prend un rôle qui a un impact sur la dynamique et conséquement sur l'enfant.</v>
      </c>
      <c r="F278" s="25"/>
    </row>
    <row r="279" spans="1:6" ht="137" customHeight="1">
      <c r="D279" s="2452" t="s">
        <v>1651</v>
      </c>
      <c r="E279" s="291" t="s">
        <v>1717</v>
      </c>
    </row>
    <row r="280" spans="1:6" ht="57" customHeight="1">
      <c r="A280" s="25" t="s">
        <v>1653</v>
      </c>
      <c r="B280" s="586" t="str">
        <f>'Contribution NC'!I14</f>
        <v>L’analyse des réponses obtenues aux questionnaires révèle une &lt;strong&gt;  implication saine  &lt;strong&gt; de la part du nouveau ou de la nouvelle conjoint·e (NC) dans la dynamique familiale. &lt;br/&gt;</v>
      </c>
      <c r="C280" s="586"/>
      <c r="D280" s="2452" t="s">
        <v>1654</v>
      </c>
      <c r="E280" s="291" t="str">
        <f t="shared" ref="E280:E311" si="11">B280</f>
        <v>L’analyse des réponses obtenues aux questionnaires révèle une &lt;strong&gt;  implication saine  &lt;strong&gt; de la part du nouveau ou de la nouvelle conjoint·e (NC) dans la dynamique familiale. &lt;br/&gt;</v>
      </c>
    </row>
    <row r="281" spans="1:6" ht="41" customHeight="1">
      <c r="A281" s="2374" t="s">
        <v>1679</v>
      </c>
      <c r="E281" s="291">
        <f t="shared" si="11"/>
        <v>0</v>
      </c>
    </row>
    <row r="282" spans="1:6" ht="17" customHeight="1">
      <c r="A282" s="2374" t="s">
        <v>1656</v>
      </c>
      <c r="B282" s="13" t="str">
        <f>IF('Contribution NC'!I17&lt;&gt;"",'Contribution NC'!I17,"")</f>
        <v/>
      </c>
      <c r="D282" s="2452" t="s">
        <v>1657</v>
      </c>
      <c r="E282" s="291" t="str">
        <f t="shared" si="11"/>
        <v/>
      </c>
    </row>
    <row r="283" spans="1:6" ht="17" customHeight="1">
      <c r="A283" s="2374" t="s">
        <v>1658</v>
      </c>
      <c r="B283" s="13">
        <f>IF('Contribution NC'!I19&lt;&gt;"",'Contribution NC'!I19,"")</f>
        <v>0</v>
      </c>
      <c r="D283" s="2452" t="s">
        <v>1657</v>
      </c>
      <c r="E283" s="291">
        <f t="shared" si="11"/>
        <v>0</v>
      </c>
    </row>
    <row r="284" spans="1:6" ht="17" customHeight="1">
      <c r="A284" s="2374" t="s">
        <v>1659</v>
      </c>
      <c r="B284" s="13" t="str">
        <f>IF('Contribution NC'!I21&lt;&gt;"",'Contribution NC'!I21,"")</f>
        <v/>
      </c>
      <c r="D284" s="2452" t="s">
        <v>1657</v>
      </c>
      <c r="E284" s="291" t="str">
        <f t="shared" si="11"/>
        <v/>
      </c>
    </row>
    <row r="285" spans="1:6" ht="17" customHeight="1">
      <c r="A285" s="2374" t="s">
        <v>1680</v>
      </c>
      <c r="B285" s="13">
        <f>IF('Contribution NC'!I25&lt;&gt;"",'Contribution NC'!I25,"")</f>
        <v>0</v>
      </c>
      <c r="D285" s="2452" t="s">
        <v>1657</v>
      </c>
      <c r="E285" s="291">
        <f t="shared" si="11"/>
        <v>0</v>
      </c>
    </row>
    <row r="286" spans="1:6" ht="34" customHeight="1">
      <c r="A286" s="2374" t="s">
        <v>1681</v>
      </c>
      <c r="B286" s="13">
        <f>IF('Contribution NC'!I33&lt;&gt;"",'Contribution NC'!I33,"")</f>
        <v>0</v>
      </c>
      <c r="D286" s="2452" t="s">
        <v>1657</v>
      </c>
      <c r="E286" s="291">
        <f t="shared" si="11"/>
        <v>0</v>
      </c>
    </row>
    <row r="287" spans="1:6" ht="34" customHeight="1">
      <c r="A287" s="2374" t="s">
        <v>1682</v>
      </c>
      <c r="B287" s="13" t="str">
        <f>IF('Contribution NC'!I36&lt;&gt;"",'Contribution NC'!I36,"")</f>
        <v/>
      </c>
      <c r="D287" s="2452" t="s">
        <v>1657</v>
      </c>
      <c r="E287" s="291" t="str">
        <f t="shared" si="11"/>
        <v/>
      </c>
    </row>
    <row r="288" spans="1:6" ht="17" customHeight="1">
      <c r="A288" s="2374" t="s">
        <v>1683</v>
      </c>
      <c r="B288" s="13" t="str">
        <f>IF('Contribution NC'!I38&lt;&gt;"",'Contribution NC'!I38,"")</f>
        <v/>
      </c>
      <c r="D288" s="2452" t="s">
        <v>1657</v>
      </c>
      <c r="E288" s="291" t="str">
        <f t="shared" si="11"/>
        <v/>
      </c>
    </row>
    <row r="289" spans="1:5" ht="39" customHeight="1">
      <c r="A289" s="765" t="s">
        <v>1661</v>
      </c>
      <c r="B289" s="13" t="str">
        <f>'Contribution NC'!I41</f>
        <v/>
      </c>
      <c r="D289" s="2452" t="s">
        <v>1657</v>
      </c>
      <c r="E289" s="291" t="str">
        <f t="shared" si="11"/>
        <v/>
      </c>
    </row>
    <row r="290" spans="1:5" ht="24" customHeight="1">
      <c r="A290" s="36" t="s">
        <v>1662</v>
      </c>
      <c r="B290" s="13">
        <f>'Contribution NC'!Q14</f>
        <v>0</v>
      </c>
      <c r="D290" s="2452" t="s">
        <v>1663</v>
      </c>
      <c r="E290" s="291">
        <f t="shared" si="11"/>
        <v>0</v>
      </c>
    </row>
    <row r="291" spans="1:5" ht="24" customHeight="1">
      <c r="A291" s="36"/>
      <c r="B291" s="13" t="s">
        <v>1664</v>
      </c>
      <c r="E291" s="291" t="str">
        <f t="shared" si="11"/>
        <v>Drapeaux jaunes 🟡</v>
      </c>
    </row>
    <row r="292" spans="1:5" ht="17" customHeight="1">
      <c r="A292" s="45" t="s">
        <v>1665</v>
      </c>
      <c r="B292" s="13" t="str">
        <f>IF('Cpts miroirs des parents'!T121&lt;&gt;"",'Cpts miroirs des parents'!T121,"")</f>
        <v/>
      </c>
      <c r="D292" s="2452" t="s">
        <v>1667</v>
      </c>
      <c r="E292" s="291" t="str">
        <f t="shared" si="11"/>
        <v/>
      </c>
    </row>
    <row r="293" spans="1:5" ht="17" customHeight="1">
      <c r="A293" s="45" t="s">
        <v>1656</v>
      </c>
      <c r="B293" s="13" t="str">
        <f>IF('Contribution NC'!J17&lt;&gt;"",'Contribution NC'!J17,"")</f>
        <v/>
      </c>
      <c r="D293" s="2452" t="s">
        <v>1667</v>
      </c>
      <c r="E293" s="291" t="str">
        <f t="shared" si="11"/>
        <v/>
      </c>
    </row>
    <row r="294" spans="1:5" ht="17" customHeight="1">
      <c r="A294" s="45" t="s">
        <v>1699</v>
      </c>
      <c r="B294" s="13" t="str">
        <f>IF('Contribution NC'!J15&lt;&gt;"",'Contribution NC'!J15,"")</f>
        <v/>
      </c>
      <c r="D294" s="2452" t="s">
        <v>1667</v>
      </c>
      <c r="E294" s="291" t="str">
        <f t="shared" si="11"/>
        <v/>
      </c>
    </row>
    <row r="295" spans="1:5" ht="17" customHeight="1">
      <c r="A295" s="45" t="s">
        <v>1699</v>
      </c>
      <c r="B295" s="13" t="str">
        <f>IF('Contribution NC'!J16&lt;&gt;"",'Contribution NC'!J16,"")</f>
        <v/>
      </c>
      <c r="D295" s="2452" t="s">
        <v>1667</v>
      </c>
      <c r="E295" s="291" t="str">
        <f t="shared" si="11"/>
        <v/>
      </c>
    </row>
    <row r="296" spans="1:5" ht="17" customHeight="1">
      <c r="A296" s="45" t="s">
        <v>1658</v>
      </c>
      <c r="B296" s="13" t="str">
        <f>IF('Contribution NC'!J19&lt;&gt;"",'Contribution NC'!J19,"")</f>
        <v/>
      </c>
      <c r="D296" s="2452" t="s">
        <v>1667</v>
      </c>
      <c r="E296" s="291" t="str">
        <f t="shared" si="11"/>
        <v/>
      </c>
    </row>
    <row r="297" spans="1:5" ht="17" customHeight="1">
      <c r="A297" s="45" t="s">
        <v>1700</v>
      </c>
      <c r="B297" s="13" t="str">
        <f>IF('Contribution NC'!J18&lt;&gt;"",'Contribution NC'!J18,"")</f>
        <v/>
      </c>
      <c r="D297" s="2452" t="s">
        <v>1667</v>
      </c>
      <c r="E297" s="291" t="str">
        <f t="shared" si="11"/>
        <v/>
      </c>
    </row>
    <row r="298" spans="1:5" ht="17" customHeight="1">
      <c r="A298" s="45" t="s">
        <v>1659</v>
      </c>
      <c r="B298" s="13" t="str">
        <f>IF('Contribution NC'!J21&lt;&gt;"",'Contribution NC'!J21,"")</f>
        <v/>
      </c>
      <c r="D298" s="2452" t="s">
        <v>1667</v>
      </c>
      <c r="E298" s="291" t="str">
        <f t="shared" si="11"/>
        <v/>
      </c>
    </row>
    <row r="299" spans="1:5" ht="17" customHeight="1">
      <c r="A299" s="45" t="s">
        <v>1701</v>
      </c>
      <c r="B299" s="13" t="str">
        <f>IF('Contribution NC'!J20&lt;&gt;"",'Contribution NC'!J20,"")</f>
        <v/>
      </c>
      <c r="D299" s="2452" t="s">
        <v>1667</v>
      </c>
      <c r="E299" s="291" t="str">
        <f t="shared" si="11"/>
        <v/>
      </c>
    </row>
    <row r="300" spans="1:5" ht="17" customHeight="1">
      <c r="A300" s="45" t="s">
        <v>1680</v>
      </c>
      <c r="B300" s="13" t="str">
        <f>IF('Contribution NC'!J25&lt;&gt;"",'Contribution NC'!J25,"")</f>
        <v/>
      </c>
      <c r="D300" s="2452" t="s">
        <v>1667</v>
      </c>
      <c r="E300" s="291" t="str">
        <f t="shared" si="11"/>
        <v/>
      </c>
    </row>
    <row r="301" spans="1:5" ht="17" customHeight="1">
      <c r="A301" s="45" t="s">
        <v>1702</v>
      </c>
      <c r="B301" s="13" t="str">
        <f>IF('Contribution NC'!J22&lt;&gt;"",'Contribution NC'!J22,"")</f>
        <v/>
      </c>
      <c r="D301" s="2452" t="s">
        <v>1667</v>
      </c>
      <c r="E301" s="291" t="str">
        <f t="shared" si="11"/>
        <v/>
      </c>
    </row>
    <row r="302" spans="1:5" ht="17" customHeight="1">
      <c r="A302" s="45" t="s">
        <v>1702</v>
      </c>
      <c r="B302" s="13" t="str">
        <f>IF('Contribution NC'!J23&lt;&gt;"",'Contribution NC'!J23,"")</f>
        <v/>
      </c>
      <c r="D302" s="2452" t="s">
        <v>1667</v>
      </c>
      <c r="E302" s="291" t="str">
        <f t="shared" si="11"/>
        <v/>
      </c>
    </row>
    <row r="303" spans="1:5" ht="17" customHeight="1">
      <c r="A303" s="45" t="s">
        <v>1702</v>
      </c>
      <c r="B303" s="13" t="str">
        <f>IF('Contribution NC'!J24&lt;&gt;"",'Contribution NC'!J24,"")</f>
        <v/>
      </c>
      <c r="D303" s="2452" t="s">
        <v>1667</v>
      </c>
      <c r="E303" s="291" t="str">
        <f t="shared" si="11"/>
        <v/>
      </c>
    </row>
    <row r="304" spans="1:5" ht="17" customHeight="1">
      <c r="A304" s="45" t="s">
        <v>1681</v>
      </c>
      <c r="B304" s="13" t="str">
        <f>IF('Contribution NC'!J33&lt;&gt;"",'Contribution NC'!J33,"")</f>
        <v/>
      </c>
      <c r="D304" s="2452" t="s">
        <v>1667</v>
      </c>
      <c r="E304" s="291" t="str">
        <f t="shared" si="11"/>
        <v/>
      </c>
    </row>
    <row r="305" spans="1:5" ht="17" customHeight="1">
      <c r="A305" s="45" t="s">
        <v>1703</v>
      </c>
      <c r="B305" s="13" t="str">
        <f>IF('Contribution NC'!J26&lt;&gt;"",'Contribution NC'!J26,"")</f>
        <v/>
      </c>
      <c r="D305" s="2452" t="s">
        <v>1667</v>
      </c>
      <c r="E305" s="291" t="str">
        <f t="shared" si="11"/>
        <v/>
      </c>
    </row>
    <row r="306" spans="1:5" ht="17" customHeight="1">
      <c r="A306" s="45" t="s">
        <v>1703</v>
      </c>
      <c r="B306" s="13" t="str">
        <f>IF('Contribution NC'!J27&lt;&gt;"",'Contribution NC'!J27,"")</f>
        <v/>
      </c>
      <c r="D306" s="2452" t="s">
        <v>1667</v>
      </c>
      <c r="E306" s="291" t="str">
        <f t="shared" si="11"/>
        <v/>
      </c>
    </row>
    <row r="307" spans="1:5" ht="17" customHeight="1">
      <c r="A307" s="45" t="s">
        <v>1703</v>
      </c>
      <c r="B307" s="13" t="str">
        <f>IF('Contribution NC'!J28&lt;&gt;"",'Contribution NC'!J28,"")</f>
        <v/>
      </c>
      <c r="D307" s="2452" t="s">
        <v>1667</v>
      </c>
      <c r="E307" s="291" t="str">
        <f t="shared" si="11"/>
        <v/>
      </c>
    </row>
    <row r="308" spans="1:5" ht="17" customHeight="1">
      <c r="A308" s="45" t="s">
        <v>1703</v>
      </c>
      <c r="B308" s="13" t="str">
        <f>IF('Contribution NC'!J29&lt;&gt;"",'Contribution NC'!J29,"")</f>
        <v/>
      </c>
      <c r="D308" s="2452" t="s">
        <v>1667</v>
      </c>
      <c r="E308" s="291" t="str">
        <f t="shared" si="11"/>
        <v/>
      </c>
    </row>
    <row r="309" spans="1:5" ht="17" customHeight="1">
      <c r="A309" s="45" t="s">
        <v>1703</v>
      </c>
      <c r="B309" s="13" t="str">
        <f>IF('Contribution NC'!J30&lt;&gt;"",'Contribution NC'!J30,"")</f>
        <v/>
      </c>
      <c r="D309" s="2452" t="s">
        <v>1667</v>
      </c>
      <c r="E309" s="291" t="str">
        <f t="shared" si="11"/>
        <v/>
      </c>
    </row>
    <row r="310" spans="1:5" ht="17" customHeight="1">
      <c r="A310" s="45" t="s">
        <v>1703</v>
      </c>
      <c r="B310" s="13" t="str">
        <f>IF('Contribution NC'!J31&lt;&gt;"",'Contribution NC'!J31,"")</f>
        <v/>
      </c>
      <c r="D310" s="2452" t="s">
        <v>1667</v>
      </c>
      <c r="E310" s="291" t="str">
        <f t="shared" si="11"/>
        <v/>
      </c>
    </row>
    <row r="311" spans="1:5" ht="17" customHeight="1">
      <c r="A311" s="45" t="s">
        <v>1703</v>
      </c>
      <c r="B311" s="13" t="str">
        <f>IF('Contribution NC'!J32&lt;&gt;"",'Contribution NC'!J32,"")</f>
        <v/>
      </c>
      <c r="D311" s="2452" t="s">
        <v>1667</v>
      </c>
      <c r="E311" s="291" t="str">
        <f t="shared" si="11"/>
        <v/>
      </c>
    </row>
    <row r="312" spans="1:5" ht="17" customHeight="1">
      <c r="A312" s="45" t="s">
        <v>1682</v>
      </c>
      <c r="B312" s="13" t="str">
        <f>IF('Contribution NC'!J36&lt;&gt;"",'Contribution NC'!J36,"")</f>
        <v/>
      </c>
      <c r="D312" s="2452" t="s">
        <v>1667</v>
      </c>
      <c r="E312" s="291" t="str">
        <f t="shared" ref="E312:E347" si="12">B312</f>
        <v/>
      </c>
    </row>
    <row r="313" spans="1:5" ht="17" customHeight="1">
      <c r="A313" s="45" t="s">
        <v>1704</v>
      </c>
      <c r="B313" s="13" t="str">
        <f>IF('Contribution NC'!J34&lt;&gt;"",'Contribution NC'!J34,"")</f>
        <v/>
      </c>
      <c r="D313" s="2452" t="s">
        <v>1667</v>
      </c>
      <c r="E313" s="291" t="str">
        <f t="shared" si="12"/>
        <v/>
      </c>
    </row>
    <row r="314" spans="1:5" ht="17" customHeight="1">
      <c r="A314" s="45" t="s">
        <v>1704</v>
      </c>
      <c r="B314" s="13" t="str">
        <f>IF('Contribution NC'!J35&lt;&gt;"",'Contribution NC'!J35,"")</f>
        <v/>
      </c>
      <c r="D314" s="2452" t="s">
        <v>1667</v>
      </c>
      <c r="E314" s="291" t="str">
        <f t="shared" si="12"/>
        <v/>
      </c>
    </row>
    <row r="315" spans="1:5" ht="17" customHeight="1">
      <c r="A315" s="45" t="s">
        <v>1683</v>
      </c>
      <c r="B315" s="13" t="str">
        <f>IF('Contribution NC'!J38&lt;&gt;"",'Contribution NC'!J38,"")</f>
        <v/>
      </c>
      <c r="D315" s="2452" t="s">
        <v>1667</v>
      </c>
      <c r="E315" s="291" t="str">
        <f t="shared" si="12"/>
        <v/>
      </c>
    </row>
    <row r="316" spans="1:5" ht="17" customHeight="1">
      <c r="A316" s="45" t="s">
        <v>1705</v>
      </c>
      <c r="B316" s="13" t="str">
        <f>IF('Contribution NC'!J37&lt;&gt;"",'Contribution NC'!J37,"")</f>
        <v/>
      </c>
      <c r="D316" s="2452" t="s">
        <v>1667</v>
      </c>
      <c r="E316" s="291" t="str">
        <f t="shared" si="12"/>
        <v/>
      </c>
    </row>
    <row r="317" spans="1:5" ht="17" customHeight="1">
      <c r="B317" s="13" t="s">
        <v>1673</v>
      </c>
      <c r="E317" s="291" t="str">
        <f t="shared" si="12"/>
        <v>Drapeaux rouges 🔴</v>
      </c>
    </row>
    <row r="318" spans="1:5" ht="17" customHeight="1">
      <c r="A318" s="1222" t="s">
        <v>1665</v>
      </c>
      <c r="B318" s="13" t="str">
        <f>IF('Cpts miroirs des parents'!U142&lt;&gt;"",'Cpts miroirs des parents'!U142,"")</f>
        <v/>
      </c>
      <c r="D318" s="2452" t="s">
        <v>1674</v>
      </c>
      <c r="E318" s="291" t="str">
        <f t="shared" si="12"/>
        <v/>
      </c>
    </row>
    <row r="319" spans="1:5" ht="17" customHeight="1">
      <c r="A319" s="1222" t="s">
        <v>1656</v>
      </c>
      <c r="B319" s="13" t="str">
        <f>IF('Contribution NC'!K17&lt;&gt;"",'Contribution NC'!K17,"")</f>
        <v/>
      </c>
      <c r="D319" s="2452" t="s">
        <v>1674</v>
      </c>
      <c r="E319" s="291" t="str">
        <f t="shared" si="12"/>
        <v/>
      </c>
    </row>
    <row r="320" spans="1:5" ht="17" customHeight="1">
      <c r="A320" s="1222" t="s">
        <v>1699</v>
      </c>
      <c r="B320" s="13" t="str">
        <f>IF('Contribution NC'!J15&lt;&gt;"",'Contribution NC'!J15,"")</f>
        <v/>
      </c>
      <c r="D320" s="2452" t="s">
        <v>1674</v>
      </c>
      <c r="E320" s="291" t="str">
        <f t="shared" si="12"/>
        <v/>
      </c>
    </row>
    <row r="321" spans="1:5" ht="17" customHeight="1">
      <c r="A321" s="1222" t="s">
        <v>1699</v>
      </c>
      <c r="B321" s="13" t="str">
        <f>IF('Contribution NC'!J16&lt;&gt;"",'Contribution NC'!J16,"")</f>
        <v/>
      </c>
      <c r="D321" s="2452" t="s">
        <v>1674</v>
      </c>
      <c r="E321" s="291" t="str">
        <f t="shared" si="12"/>
        <v/>
      </c>
    </row>
    <row r="322" spans="1:5" ht="17" customHeight="1">
      <c r="A322" s="1222" t="s">
        <v>1658</v>
      </c>
      <c r="B322" s="13" t="str">
        <f>IF('Contribution NC'!J19&lt;&gt;"",'Contribution NC'!J19,"")</f>
        <v/>
      </c>
      <c r="D322" s="2452" t="s">
        <v>1674</v>
      </c>
      <c r="E322" s="291" t="str">
        <f t="shared" si="12"/>
        <v/>
      </c>
    </row>
    <row r="323" spans="1:5" ht="17" customHeight="1">
      <c r="A323" s="1222" t="s">
        <v>1700</v>
      </c>
      <c r="B323" s="13" t="str">
        <f>IF('Contribution NC'!J18&lt;&gt;"",'Contribution NC'!J18,"")</f>
        <v/>
      </c>
      <c r="D323" s="2452" t="s">
        <v>1674</v>
      </c>
      <c r="E323" s="291" t="str">
        <f t="shared" si="12"/>
        <v/>
      </c>
    </row>
    <row r="324" spans="1:5" ht="17" customHeight="1">
      <c r="A324" s="1222" t="s">
        <v>1659</v>
      </c>
      <c r="B324" s="13" t="str">
        <f>IF('Contribution NC'!J21&lt;&gt;"",'Contribution NC'!J21,"")</f>
        <v/>
      </c>
      <c r="D324" s="2452" t="s">
        <v>1674</v>
      </c>
      <c r="E324" s="291" t="str">
        <f t="shared" si="12"/>
        <v/>
      </c>
    </row>
    <row r="325" spans="1:5" ht="17" customHeight="1">
      <c r="A325" s="1222" t="s">
        <v>1701</v>
      </c>
      <c r="B325" s="13" t="str">
        <f>IF('Contribution NC'!J20&lt;&gt;"",'Contribution NC'!J20,"")</f>
        <v/>
      </c>
      <c r="D325" s="2452" t="s">
        <v>1674</v>
      </c>
      <c r="E325" s="291" t="str">
        <f t="shared" si="12"/>
        <v/>
      </c>
    </row>
    <row r="326" spans="1:5" ht="17" customHeight="1">
      <c r="A326" s="1222" t="s">
        <v>1680</v>
      </c>
      <c r="B326" s="13" t="str">
        <f>IF('Contribution NC'!J25&lt;&gt;"",'Contribution NC'!J25,"")</f>
        <v/>
      </c>
      <c r="D326" s="2452" t="s">
        <v>1674</v>
      </c>
      <c r="E326" s="291" t="str">
        <f t="shared" si="12"/>
        <v/>
      </c>
    </row>
    <row r="327" spans="1:5" ht="17" customHeight="1">
      <c r="A327" s="1222" t="s">
        <v>1702</v>
      </c>
      <c r="B327" s="13" t="str">
        <f>IF('Contribution NC'!J22&lt;&gt;"",'Contribution NC'!J22,"")</f>
        <v/>
      </c>
      <c r="D327" s="2452" t="s">
        <v>1674</v>
      </c>
      <c r="E327" s="291" t="str">
        <f t="shared" si="12"/>
        <v/>
      </c>
    </row>
    <row r="328" spans="1:5" ht="17" customHeight="1">
      <c r="A328" s="1222" t="s">
        <v>1702</v>
      </c>
      <c r="B328" s="13" t="str">
        <f>IF('Contribution NC'!J23&lt;&gt;"",'Contribution NC'!J23,"")</f>
        <v/>
      </c>
      <c r="D328" s="2452" t="s">
        <v>1674</v>
      </c>
      <c r="E328" s="291" t="str">
        <f t="shared" si="12"/>
        <v/>
      </c>
    </row>
    <row r="329" spans="1:5" ht="17" customHeight="1">
      <c r="A329" s="1222" t="s">
        <v>1702</v>
      </c>
      <c r="B329" s="13" t="str">
        <f>IF('Contribution NC'!J24&lt;&gt;"",'Contribution NC'!J24,"")</f>
        <v/>
      </c>
      <c r="D329" s="2452" t="s">
        <v>1674</v>
      </c>
      <c r="E329" s="291" t="str">
        <f t="shared" si="12"/>
        <v/>
      </c>
    </row>
    <row r="330" spans="1:5" ht="17" customHeight="1">
      <c r="A330" s="1222" t="s">
        <v>1681</v>
      </c>
      <c r="B330" s="13" t="str">
        <f>IF('Contribution NC'!J33&lt;&gt;"",'Contribution NC'!J33,"")</f>
        <v/>
      </c>
      <c r="D330" s="2452" t="s">
        <v>1674</v>
      </c>
      <c r="E330" s="291" t="str">
        <f t="shared" si="12"/>
        <v/>
      </c>
    </row>
    <row r="331" spans="1:5" ht="17" customHeight="1">
      <c r="A331" s="1222" t="s">
        <v>1703</v>
      </c>
      <c r="B331" s="13" t="str">
        <f>IF('Contribution NC'!J26&lt;&gt;"",'Contribution NC'!J26,"")</f>
        <v/>
      </c>
      <c r="D331" s="2452" t="s">
        <v>1674</v>
      </c>
      <c r="E331" s="291" t="str">
        <f t="shared" si="12"/>
        <v/>
      </c>
    </row>
    <row r="332" spans="1:5" ht="17" customHeight="1">
      <c r="A332" s="1222" t="s">
        <v>1703</v>
      </c>
      <c r="B332" s="13" t="str">
        <f>IF('Contribution NC'!J27&lt;&gt;"",'Contribution NC'!J27,"")</f>
        <v/>
      </c>
      <c r="D332" s="2452" t="s">
        <v>1674</v>
      </c>
      <c r="E332" s="291" t="str">
        <f t="shared" si="12"/>
        <v/>
      </c>
    </row>
    <row r="333" spans="1:5" ht="17" customHeight="1">
      <c r="A333" s="1222" t="s">
        <v>1703</v>
      </c>
      <c r="B333" s="13" t="str">
        <f>IF('Contribution NC'!J28&lt;&gt;"",'Contribution NC'!J28,"")</f>
        <v/>
      </c>
      <c r="D333" s="2452" t="s">
        <v>1674</v>
      </c>
      <c r="E333" s="291" t="str">
        <f t="shared" si="12"/>
        <v/>
      </c>
    </row>
    <row r="334" spans="1:5" ht="17" customHeight="1">
      <c r="A334" s="1222" t="s">
        <v>1703</v>
      </c>
      <c r="B334" s="13" t="str">
        <f>IF('Contribution NC'!J29&lt;&gt;"",'Contribution NC'!J29,"")</f>
        <v/>
      </c>
      <c r="D334" s="2452" t="s">
        <v>1674</v>
      </c>
      <c r="E334" s="291" t="str">
        <f t="shared" si="12"/>
        <v/>
      </c>
    </row>
    <row r="335" spans="1:5" ht="17" customHeight="1">
      <c r="A335" s="1222" t="s">
        <v>1703</v>
      </c>
      <c r="B335" s="13" t="str">
        <f>IF('Contribution NC'!J30&lt;&gt;"",'Contribution NC'!J30,"")</f>
        <v/>
      </c>
      <c r="D335" s="2452" t="s">
        <v>1674</v>
      </c>
      <c r="E335" s="291" t="str">
        <f t="shared" si="12"/>
        <v/>
      </c>
    </row>
    <row r="336" spans="1:5" ht="17" customHeight="1">
      <c r="A336" s="1222" t="s">
        <v>1703</v>
      </c>
      <c r="B336" s="13" t="str">
        <f>IF('Contribution NC'!J31&lt;&gt;"",'Contribution NC'!J31,"")</f>
        <v/>
      </c>
      <c r="D336" s="2452" t="s">
        <v>1674</v>
      </c>
      <c r="E336" s="291" t="str">
        <f t="shared" si="12"/>
        <v/>
      </c>
    </row>
    <row r="337" spans="1:5" ht="17" customHeight="1">
      <c r="A337" s="1222" t="s">
        <v>1703</v>
      </c>
      <c r="B337" s="13" t="str">
        <f>IF('Contribution NC'!J32&lt;&gt;"",'Contribution NC'!J32,"")</f>
        <v/>
      </c>
      <c r="D337" s="2452" t="s">
        <v>1674</v>
      </c>
      <c r="E337" s="291" t="str">
        <f t="shared" si="12"/>
        <v/>
      </c>
    </row>
    <row r="338" spans="1:5" ht="17" customHeight="1">
      <c r="A338" s="1222" t="s">
        <v>1682</v>
      </c>
      <c r="B338" s="13" t="str">
        <f>IF('Contribution NC'!J36&lt;&gt;"",'Contribution NC'!J36,"")</f>
        <v/>
      </c>
      <c r="D338" s="2452" t="s">
        <v>1674</v>
      </c>
      <c r="E338" s="291" t="str">
        <f t="shared" si="12"/>
        <v/>
      </c>
    </row>
    <row r="339" spans="1:5" ht="17" customHeight="1">
      <c r="A339" s="1222" t="s">
        <v>1704</v>
      </c>
      <c r="B339" s="13" t="str">
        <f>IF('Contribution NC'!J34&lt;&gt;"",'Contribution NC'!J34,"")</f>
        <v/>
      </c>
      <c r="D339" s="2452" t="s">
        <v>1674</v>
      </c>
      <c r="E339" s="291" t="str">
        <f t="shared" si="12"/>
        <v/>
      </c>
    </row>
    <row r="340" spans="1:5" ht="17" customHeight="1">
      <c r="A340" s="1222" t="s">
        <v>1704</v>
      </c>
      <c r="B340" s="13" t="str">
        <f>IF('Contribution NC'!J35&lt;&gt;"",'Contribution NC'!J35,"")</f>
        <v/>
      </c>
      <c r="D340" s="2452" t="s">
        <v>1674</v>
      </c>
      <c r="E340" s="291" t="str">
        <f t="shared" si="12"/>
        <v/>
      </c>
    </row>
    <row r="341" spans="1:5" ht="17" customHeight="1">
      <c r="A341" s="1222" t="s">
        <v>1683</v>
      </c>
      <c r="B341" s="13" t="str">
        <f>IF('Contribution NC'!J38&lt;&gt;"",'Contribution NC'!J38,"")</f>
        <v/>
      </c>
      <c r="D341" s="2452" t="s">
        <v>1674</v>
      </c>
      <c r="E341" s="291" t="str">
        <f t="shared" si="12"/>
        <v/>
      </c>
    </row>
    <row r="342" spans="1:5" ht="17" customHeight="1">
      <c r="A342" s="1222" t="s">
        <v>1705</v>
      </c>
      <c r="B342" s="13" t="str">
        <f>IF('Contribution NC'!J37&lt;&gt;"",'Contribution NC'!J37,"")</f>
        <v/>
      </c>
      <c r="D342" s="2452" t="s">
        <v>1674</v>
      </c>
      <c r="E342" s="291" t="str">
        <f t="shared" si="12"/>
        <v/>
      </c>
    </row>
    <row r="343" spans="1:5" ht="17" customHeight="1">
      <c r="B343" s="13" t="str">
        <f>IF('Contribution NC'!J64&lt;&gt;"",'Contribution NC'!J64,"")</f>
        <v/>
      </c>
      <c r="E343" s="291" t="str">
        <f t="shared" si="12"/>
        <v/>
      </c>
    </row>
    <row r="344" spans="1:5" ht="51" customHeight="1">
      <c r="A344" t="s">
        <v>1675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1676</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91">
        <f t="shared" si="12"/>
        <v>0</v>
      </c>
    </row>
    <row r="346" spans="1:5" ht="40" customHeight="1">
      <c r="A346" s="2383" t="s">
        <v>1718</v>
      </c>
      <c r="B346" s="2233" t="str">
        <f>'Modèle Calcul A-R + Sommaire'!BD1</f>
        <v xml:space="preserve">Comment se comporte l'enfant face à son contexte familial et face à l’exposition de comportements préjudiciables ? </v>
      </c>
      <c r="C346" s="2233"/>
      <c r="D346" s="2452" t="s">
        <v>1648</v>
      </c>
      <c r="E346" s="291" t="str">
        <f t="shared" si="12"/>
        <v xml:space="preserve">Comment se comporte l'enfant face à son contexte familial et face à l’exposition de comportements préjudiciables ? </v>
      </c>
    </row>
    <row r="347" spans="1:5" ht="51" customHeight="1">
      <c r="A347" t="s">
        <v>1649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1650</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c r="A348" s="2406"/>
      <c r="D348" s="2452" t="s">
        <v>1651</v>
      </c>
      <c r="E348" s="291" t="s">
        <v>1719</v>
      </c>
    </row>
    <row r="349" spans="1:5" ht="102" customHeight="1">
      <c r="A349" t="s">
        <v>1653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1654</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1720</v>
      </c>
      <c r="B350" s="2420" t="str">
        <f>IF('Cpts miroirs des parents'!S190&lt;&gt;"",'Cpts miroirs des parents'!S190,"")</f>
        <v/>
      </c>
      <c r="C350" s="2420"/>
      <c r="E350" s="291" t="str">
        <f t="shared" si="13"/>
        <v/>
      </c>
    </row>
    <row r="351" spans="1:5" ht="110" customHeight="1">
      <c r="A351" s="68" t="s">
        <v>1721</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1657</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c r="A352" s="68" t="s">
        <v>1722</v>
      </c>
      <c r="B352" s="765" t="str">
        <f>IF('TEST_pour PROTOTYPE'!F572&lt;&gt;"",'TEST_pour PROTOTYPE'!F572,"")</f>
        <v xml:space="preserve">Votre enfant n'est pas libre d'apporter ses vêtements, ses jouets ou autres effets personnels d'une maison à l'autre. &lt;br/&gt; </v>
      </c>
      <c r="C352" s="765"/>
      <c r="D352" s="2452" t="s">
        <v>1657</v>
      </c>
      <c r="E352" s="291" t="str">
        <f t="shared" si="13"/>
        <v xml:space="preserve">Votre enfant n'est pas libre d'apporter ses vêtements, ses jouets ou autres effets personnels d'une maison à l'autre. &lt;br/&gt; </v>
      </c>
    </row>
    <row r="353" spans="1:5" s="7" customFormat="1" ht="54" customHeight="1">
      <c r="A353" s="68" t="s">
        <v>1723</v>
      </c>
      <c r="B353" s="765" t="str">
        <f>IF('TEST_pour PROTOTYPE'!F573&lt;&gt;"",'TEST_pour PROTOTYPE'!F573,"")</f>
        <v xml:space="preserve">Le récit du passé de votre enfant est altéré par l'autre parent qui déforme les souvenirs de votre enfant. &lt;br/&gt; </v>
      </c>
      <c r="C353" s="765"/>
      <c r="D353" s="2452" t="s">
        <v>1657</v>
      </c>
      <c r="E353" s="291" t="str">
        <f t="shared" si="13"/>
        <v xml:space="preserve">Le récit du passé de votre enfant est altéré par l'autre parent qui déforme les souvenirs de votre enfant. &lt;br/&gt; </v>
      </c>
    </row>
    <row r="354" spans="1:5" s="7" customFormat="1" ht="67" customHeight="1">
      <c r="A354" s="68" t="s">
        <v>1724</v>
      </c>
      <c r="B354" s="765" t="str">
        <f>IF('TEST_pour PROTOTYPE'!F574&lt;&gt;"",'TEST_pour PROTOTYPE'!F574,"")</f>
        <v>Votre enfant est au courant des enjeux juridiques ou des conflits qui vous opposent à l'autre parent. &lt;br/&gt;</v>
      </c>
      <c r="C354" s="765"/>
      <c r="D354" s="2452" t="s">
        <v>1657</v>
      </c>
      <c r="E354" s="291" t="str">
        <f t="shared" si="13"/>
        <v>Votre enfant est au courant des enjeux juridiques ou des conflits qui vous opposent à l'autre parent. &lt;br/&gt;</v>
      </c>
    </row>
    <row r="355" spans="1:5" s="7" customFormat="1" ht="83" customHeight="1">
      <c r="A355" s="68" t="s">
        <v>1725</v>
      </c>
      <c r="B355" s="765" t="str">
        <f>IF('TEST_pour PROTOTYPE'!F575&lt;&gt;"",'TEST_pour PROTOTYPE'!F575,"")</f>
        <v>Votre enfant subit de la pression pour passer plus de temps chez l'autre parent (par opposition à du temps en votre compagnie).&lt;br/&gt;</v>
      </c>
      <c r="C355" s="765"/>
      <c r="D355" s="2452" t="s">
        <v>1657</v>
      </c>
      <c r="E355" s="291" t="str">
        <f t="shared" si="13"/>
        <v>Votre enfant subit de la pression pour passer plus de temps chez l'autre parent (par opposition à du temps en votre compagnie).&lt;br/&gt;</v>
      </c>
    </row>
    <row r="356" spans="1:5" ht="54" customHeight="1">
      <c r="A356" s="68" t="s">
        <v>1726</v>
      </c>
      <c r="B356" s="2420" t="str">
        <f>IF('TEST_pour PROTOTYPE'!F576&lt;&gt;"",'TEST_pour PROTOTYPE'!F576,"")</f>
        <v/>
      </c>
      <c r="C356" s="2420"/>
      <c r="D356" s="2452" t="s">
        <v>1657</v>
      </c>
      <c r="E356" s="291" t="str">
        <f t="shared" si="13"/>
        <v/>
      </c>
    </row>
    <row r="357" spans="1:5" ht="54" customHeight="1">
      <c r="A357" s="88" t="s">
        <v>1727</v>
      </c>
      <c r="B357" s="2420" t="str">
        <f>IF('TEST_pour PROTOTYPE'!F577&lt;&gt;"",'TEST_pour PROTOTYPE'!F577,"")</f>
        <v/>
      </c>
      <c r="C357" s="2420"/>
      <c r="D357" s="2452" t="s">
        <v>1657</v>
      </c>
      <c r="E357" s="291" t="str">
        <f t="shared" si="13"/>
        <v/>
      </c>
    </row>
    <row r="358" spans="1:5" ht="48" customHeight="1">
      <c r="A358" s="765" t="s">
        <v>1661</v>
      </c>
      <c r="B358" s="2420"/>
      <c r="C358" s="2420"/>
      <c r="D358" s="2452" t="s">
        <v>1657</v>
      </c>
      <c r="E358" s="291">
        <f t="shared" si="13"/>
        <v>0</v>
      </c>
    </row>
    <row r="359" spans="1:5" ht="24" customHeight="1">
      <c r="A359" s="36" t="s">
        <v>1662</v>
      </c>
      <c r="B359" s="13">
        <f>'Contribution NC'!Q83</f>
        <v>0</v>
      </c>
      <c r="D359" s="2452" t="s">
        <v>1663</v>
      </c>
      <c r="E359" s="291">
        <f t="shared" si="13"/>
        <v>0</v>
      </c>
    </row>
    <row r="360" spans="1:5" ht="17" customHeight="1">
      <c r="B360" s="13" t="s">
        <v>1664</v>
      </c>
      <c r="E360" s="291" t="str">
        <f t="shared" si="13"/>
        <v>Drapeaux jaunes 🟡</v>
      </c>
    </row>
    <row r="361" spans="1:5">
      <c r="A361" t="s">
        <v>1665</v>
      </c>
      <c r="D361" s="2452" t="s">
        <v>1667</v>
      </c>
      <c r="E361" s="291">
        <f t="shared" si="13"/>
        <v>0</v>
      </c>
    </row>
    <row r="362" spans="1:5" ht="17" customHeight="1">
      <c r="A362" t="s">
        <v>1728</v>
      </c>
      <c r="B362" s="13">
        <f>IF('TEST_pour PROTOTYPE'!F571&lt;&gt;"",'TEST_pour PROTOTYPE'!H571,"")</f>
        <v>0</v>
      </c>
      <c r="D362" s="2452" t="s">
        <v>1667</v>
      </c>
      <c r="E362" s="291">
        <f t="shared" si="13"/>
        <v>0</v>
      </c>
    </row>
    <row r="363" spans="1:5" ht="30" customHeight="1">
      <c r="A363" t="s">
        <v>1729</v>
      </c>
      <c r="B363" s="13">
        <f>IF('TEST_pour PROTOTYPE'!F572&lt;&gt;"",'TEST_pour PROTOTYPE'!H572,"")</f>
        <v>0</v>
      </c>
      <c r="D363" s="2452" t="s">
        <v>1667</v>
      </c>
      <c r="E363" s="291">
        <f t="shared" si="13"/>
        <v>0</v>
      </c>
    </row>
    <row r="364" spans="1:5" ht="40" customHeight="1">
      <c r="A364" t="s">
        <v>1730</v>
      </c>
      <c r="B364" s="13">
        <f>IF('TEST_pour PROTOTYPE'!F573&lt;&gt;"",'TEST_pour PROTOTYPE'!H573,"")</f>
        <v>0</v>
      </c>
      <c r="D364" s="2452" t="s">
        <v>1667</v>
      </c>
      <c r="E364" s="291">
        <f t="shared" si="13"/>
        <v>0</v>
      </c>
    </row>
    <row r="365" spans="1:5" ht="17" customHeight="1">
      <c r="A365" t="s">
        <v>1731</v>
      </c>
      <c r="B365" s="13">
        <f>IF('TEST_pour PROTOTYPE'!F574&lt;&gt;"",'TEST_pour PROTOTYPE'!H574,"")</f>
        <v>0</v>
      </c>
      <c r="D365" s="2452" t="s">
        <v>1667</v>
      </c>
      <c r="E365" s="291">
        <f t="shared" si="13"/>
        <v>0</v>
      </c>
    </row>
    <row r="366" spans="1:5" ht="17" customHeight="1">
      <c r="A366" t="s">
        <v>1732</v>
      </c>
      <c r="B366" s="13">
        <f>IF('TEST_pour PROTOTYPE'!F575&lt;&gt;"",'TEST_pour PROTOTYPE'!H575,"")</f>
        <v>0</v>
      </c>
      <c r="D366" s="2452" t="s">
        <v>1667</v>
      </c>
      <c r="E366" s="291">
        <f t="shared" si="13"/>
        <v>0</v>
      </c>
    </row>
    <row r="367" spans="1:5" ht="17" customHeight="1">
      <c r="A367" t="s">
        <v>1733</v>
      </c>
      <c r="B367" s="13" t="str">
        <f>IF('TEST_pour PROTOTYPE'!F576&lt;&gt;"",'TEST_pour PROTOTYPE'!H576,"")</f>
        <v/>
      </c>
      <c r="D367" s="2452" t="s">
        <v>1667</v>
      </c>
      <c r="E367" s="291" t="str">
        <f t="shared" si="13"/>
        <v/>
      </c>
    </row>
    <row r="368" spans="1:5" ht="17" customHeight="1">
      <c r="A368" t="s">
        <v>1734</v>
      </c>
      <c r="B368" s="13" t="str">
        <f>IF('TEST_pour PROTOTYPE'!F577&lt;&gt;"",'TEST_pour PROTOTYPE'!H577,"")</f>
        <v/>
      </c>
      <c r="D368" s="2452" t="s">
        <v>1667</v>
      </c>
      <c r="E368" s="291" t="str">
        <f t="shared" si="13"/>
        <v/>
      </c>
    </row>
    <row r="369" spans="1:5">
      <c r="A369" t="s">
        <v>1735</v>
      </c>
      <c r="E369" s="291">
        <f t="shared" si="13"/>
        <v>0</v>
      </c>
    </row>
    <row r="370" spans="1:5" ht="17" customHeight="1">
      <c r="B370" s="13" t="str">
        <f>IF('Contribution NC'!J100&lt;&gt;"",'Contribution NC'!J100,"")</f>
        <v/>
      </c>
      <c r="D370" s="2452" t="s">
        <v>1667</v>
      </c>
      <c r="E370" s="291" t="str">
        <f t="shared" si="13"/>
        <v/>
      </c>
    </row>
    <row r="371" spans="1:5" ht="17" customHeight="1">
      <c r="B371" s="13" t="str">
        <f>IF('Contribution NC'!J101&lt;&gt;"",'Contribution NC'!J101,"")</f>
        <v/>
      </c>
      <c r="D371" s="2452" t="s">
        <v>1667</v>
      </c>
      <c r="E371" s="291" t="str">
        <f t="shared" si="13"/>
        <v/>
      </c>
    </row>
    <row r="372" spans="1:5" ht="17" customHeight="1">
      <c r="B372" s="13" t="s">
        <v>1673</v>
      </c>
      <c r="E372" s="291" t="str">
        <f t="shared" si="13"/>
        <v>Drapeaux rouges 🔴</v>
      </c>
    </row>
    <row r="373" spans="1:5">
      <c r="A373" t="s">
        <v>1665</v>
      </c>
      <c r="E373" s="291">
        <f t="shared" si="13"/>
        <v>0</v>
      </c>
    </row>
    <row r="374" spans="1:5" ht="17" customHeight="1">
      <c r="A374" t="s">
        <v>1728</v>
      </c>
      <c r="B374" s="13">
        <f>IF('TEST_pour PROTOTYPE'!F571&lt;&gt;"",'TEST_pour PROTOTYPE'!I571,"")</f>
        <v>0</v>
      </c>
      <c r="D374" s="2452" t="s">
        <v>1674</v>
      </c>
      <c r="E374" s="291">
        <f t="shared" si="13"/>
        <v>0</v>
      </c>
    </row>
    <row r="375" spans="1:5" ht="17" customHeight="1">
      <c r="A375" t="s">
        <v>1729</v>
      </c>
      <c r="B375" s="13">
        <f>IF('TEST_pour PROTOTYPE'!F572&lt;&gt;"",'TEST_pour PROTOTYPE'!I572,"")</f>
        <v>0</v>
      </c>
      <c r="D375" s="2452" t="s">
        <v>1674</v>
      </c>
      <c r="E375" s="291">
        <f t="shared" si="13"/>
        <v>0</v>
      </c>
    </row>
    <row r="376" spans="1:5" ht="17" customHeight="1">
      <c r="A376" t="s">
        <v>1730</v>
      </c>
      <c r="B376" s="13">
        <f>IF('TEST_pour PROTOTYPE'!F573&lt;&gt;"",'TEST_pour PROTOTYPE'!I573,"")</f>
        <v>0</v>
      </c>
      <c r="D376" s="2452" t="s">
        <v>1674</v>
      </c>
      <c r="E376" s="291">
        <f t="shared" si="13"/>
        <v>0</v>
      </c>
    </row>
    <row r="377" spans="1:5" ht="17" customHeight="1">
      <c r="A377" t="s">
        <v>1731</v>
      </c>
      <c r="B377" s="13">
        <f>IF('TEST_pour PROTOTYPE'!F574&lt;&gt;"",'TEST_pour PROTOTYPE'!I574,"")</f>
        <v>0</v>
      </c>
      <c r="D377" s="2452" t="s">
        <v>1674</v>
      </c>
      <c r="E377" s="291">
        <f t="shared" si="13"/>
        <v>0</v>
      </c>
    </row>
    <row r="378" spans="1:5" ht="17" customHeight="1">
      <c r="A378" t="s">
        <v>1732</v>
      </c>
      <c r="B378" s="13">
        <f>IF('TEST_pour PROTOTYPE'!F575&lt;&gt;"",'TEST_pour PROTOTYPE'!I575,"")</f>
        <v>0</v>
      </c>
      <c r="D378" s="2452" t="s">
        <v>1674</v>
      </c>
      <c r="E378" s="291">
        <f t="shared" si="13"/>
        <v>0</v>
      </c>
    </row>
    <row r="379" spans="1:5" ht="17" customHeight="1">
      <c r="A379" t="s">
        <v>1733</v>
      </c>
      <c r="B379" s="13" t="str">
        <f>IF('TEST_pour PROTOTYPE'!F576&lt;&gt;"",'TEST_pour PROTOTYPE'!I576,"")</f>
        <v/>
      </c>
      <c r="D379" s="2452" t="s">
        <v>1674</v>
      </c>
      <c r="E379" s="291" t="str">
        <f t="shared" si="13"/>
        <v/>
      </c>
    </row>
    <row r="380" spans="1:5" ht="17" customHeight="1">
      <c r="A380" t="s">
        <v>1734</v>
      </c>
      <c r="B380" s="13" t="str">
        <f>IF('TEST_pour PROTOTYPE'!F577&lt;&gt;"",'TEST_pour PROTOTYPE'!I577,"")</f>
        <v/>
      </c>
      <c r="D380" s="2452" t="s">
        <v>1674</v>
      </c>
      <c r="E380" s="291" t="str">
        <f t="shared" si="13"/>
        <v/>
      </c>
    </row>
    <row r="381" spans="1:5" ht="17" customHeight="1">
      <c r="A381" t="s">
        <v>1735</v>
      </c>
      <c r="B381" s="13" t="str">
        <f>IF('Contribution NC'!J94&lt;&gt;"",'Contribution NC'!J94,"")</f>
        <v/>
      </c>
      <c r="D381" s="2452" t="s">
        <v>1674</v>
      </c>
      <c r="E381" s="291" t="str">
        <f t="shared" si="13"/>
        <v/>
      </c>
    </row>
    <row r="382" spans="1:5" ht="17" customHeight="1">
      <c r="B382" s="13" t="str">
        <f>IF('Contribution NC'!J91&lt;&gt;"",'Contribution NC'!J91,"")</f>
        <v/>
      </c>
      <c r="D382" s="2452" t="s">
        <v>1674</v>
      </c>
      <c r="E382" s="291" t="str">
        <f t="shared" si="13"/>
        <v/>
      </c>
    </row>
    <row r="383" spans="1:5" ht="17" customHeight="1">
      <c r="B383" s="13" t="str">
        <f>IF('Contribution NC'!J92&lt;&gt;"",'Contribution NC'!J92,"")</f>
        <v/>
      </c>
      <c r="D383" s="2452" t="s">
        <v>1674</v>
      </c>
      <c r="E383" s="291" t="str">
        <f t="shared" si="13"/>
        <v/>
      </c>
    </row>
    <row r="384" spans="1:5" ht="17" customHeight="1">
      <c r="B384" s="13" t="str">
        <f>IF('Contribution NC'!J93&lt;&gt;"",'Contribution NC'!J93,"")</f>
        <v/>
      </c>
      <c r="D384" s="2452" t="s">
        <v>1674</v>
      </c>
      <c r="E384" s="291" t="str">
        <f t="shared" si="13"/>
        <v/>
      </c>
    </row>
    <row r="385" spans="1:5" ht="17" customHeight="1">
      <c r="B385" s="13" t="str">
        <f>IF('Contribution NC'!J102&lt;&gt;"",'Contribution NC'!J102,"")</f>
        <v/>
      </c>
      <c r="D385" s="2452" t="s">
        <v>1674</v>
      </c>
      <c r="E385" s="291" t="str">
        <f t="shared" si="13"/>
        <v/>
      </c>
    </row>
    <row r="386" spans="1:5" ht="17" customHeight="1">
      <c r="B386" s="13" t="str">
        <f>IF('Contribution NC'!J95&lt;&gt;"",'Contribution NC'!J95,"")</f>
        <v/>
      </c>
      <c r="D386" s="2452" t="s">
        <v>1674</v>
      </c>
      <c r="E386" s="291" t="str">
        <f t="shared" si="13"/>
        <v/>
      </c>
    </row>
    <row r="387" spans="1:5" ht="17" customHeight="1">
      <c r="B387" s="13" t="str">
        <f>IF('Contribution NC'!J96&lt;&gt;"",'Contribution NC'!J96,"")</f>
        <v/>
      </c>
      <c r="D387" s="2452" t="s">
        <v>1674</v>
      </c>
      <c r="E387" s="291" t="str">
        <f t="shared" si="13"/>
        <v/>
      </c>
    </row>
    <row r="388" spans="1:5" ht="17" customHeight="1">
      <c r="B388" s="13" t="str">
        <f>IF('Contribution NC'!J97&lt;&gt;"",'Contribution NC'!J97,"")</f>
        <v/>
      </c>
      <c r="D388" s="2452" t="s">
        <v>1674</v>
      </c>
      <c r="E388" s="291" t="str">
        <f t="shared" si="13"/>
        <v/>
      </c>
    </row>
    <row r="389" spans="1:5" ht="17" customHeight="1">
      <c r="B389" s="13" t="str">
        <f>IF('Contribution NC'!J133&lt;&gt;"",'Contribution NC'!J133,"")</f>
        <v/>
      </c>
      <c r="D389" s="2452" t="s">
        <v>1674</v>
      </c>
      <c r="E389" s="291" t="str">
        <f t="shared" si="13"/>
        <v/>
      </c>
    </row>
    <row r="390" spans="1:5" ht="17" customHeight="1">
      <c r="A390" t="s">
        <v>1675</v>
      </c>
      <c r="B390" s="13">
        <f>'Contribution NC'!P111</f>
        <v>0</v>
      </c>
      <c r="D390" s="2452" t="s">
        <v>1676</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opLeftCell="Q34" zoomScale="80" zoomScaleNormal="80" workbookViewId="0">
      <selection activeCell="W47" sqref="W47"/>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1736</v>
      </c>
      <c r="D1" s="2307" t="s">
        <v>1737</v>
      </c>
      <c r="E1" s="2162"/>
      <c r="F1" s="2165"/>
      <c r="G1" s="2165"/>
      <c r="H1" s="2162"/>
      <c r="I1" s="2162"/>
      <c r="J1" s="2162"/>
      <c r="K1" s="2162"/>
    </row>
    <row r="2" spans="1:39" ht="80" customHeight="1">
      <c r="B2" s="80" t="s">
        <v>1738</v>
      </c>
      <c r="D2" s="2355"/>
      <c r="E2" s="80"/>
      <c r="F2" s="470"/>
      <c r="G2" s="470"/>
      <c r="H2" s="80"/>
      <c r="I2" s="80"/>
      <c r="J2" s="80"/>
      <c r="K2" s="80"/>
    </row>
    <row r="3" spans="1:39" ht="35" customHeight="1">
      <c r="B3" s="407"/>
      <c r="D3" s="2355"/>
      <c r="E3" s="80"/>
      <c r="F3" s="470"/>
      <c r="G3" s="470"/>
      <c r="H3" s="80"/>
      <c r="I3" s="80"/>
      <c r="J3" s="80"/>
      <c r="K3" s="80"/>
    </row>
    <row r="4" spans="1:39" ht="42" customHeight="1">
      <c r="B4" s="407" t="s">
        <v>1739</v>
      </c>
      <c r="D4" s="2307" t="s">
        <v>1740</v>
      </c>
      <c r="E4" s="2162"/>
      <c r="F4" s="2165"/>
      <c r="G4" s="2165"/>
      <c r="H4" s="2162"/>
      <c r="I4" s="2162"/>
      <c r="J4" s="2162"/>
      <c r="K4" s="2162"/>
    </row>
    <row r="5" spans="1:39" ht="42" customHeight="1">
      <c r="B5" s="407"/>
      <c r="S5" s="34" t="s">
        <v>1741</v>
      </c>
    </row>
    <row r="6" spans="1:39" ht="21" customHeight="1">
      <c r="B6" s="34" t="s">
        <v>1742</v>
      </c>
      <c r="S6" s="2550" t="s">
        <v>1743</v>
      </c>
      <c r="T6" s="2468"/>
      <c r="U6" s="2468"/>
      <c r="V6" s="2468"/>
      <c r="W6" s="2468"/>
      <c r="X6" s="2468"/>
      <c r="Y6" s="2558" t="s">
        <v>1744</v>
      </c>
      <c r="Z6" s="2468"/>
    </row>
    <row r="7" spans="1:39" ht="44" customHeight="1" thickBot="1">
      <c r="A7" s="1861"/>
      <c r="H7" s="16" t="s">
        <v>1745</v>
      </c>
      <c r="I7" s="2538" t="s">
        <v>1746</v>
      </c>
      <c r="J7" s="2468"/>
      <c r="K7" s="2468"/>
      <c r="L7" s="2469"/>
      <c r="M7" s="2468"/>
      <c r="N7" s="1928"/>
      <c r="O7" s="1928"/>
      <c r="P7" s="2549" t="s">
        <v>1747</v>
      </c>
      <c r="Q7" s="2468"/>
      <c r="R7" s="2515"/>
      <c r="S7" s="1253" t="s">
        <v>1534</v>
      </c>
      <c r="T7" s="1253" t="s">
        <v>1369</v>
      </c>
      <c r="U7" s="1253" t="s">
        <v>103</v>
      </c>
      <c r="V7" s="1253" t="s">
        <v>103</v>
      </c>
      <c r="W7" s="1253" t="s">
        <v>1536</v>
      </c>
      <c r="X7" s="1253" t="s">
        <v>1536</v>
      </c>
      <c r="Y7" s="88"/>
      <c r="Z7" s="88"/>
      <c r="AB7" s="2553" t="s">
        <v>1748</v>
      </c>
      <c r="AC7" s="2490"/>
      <c r="AD7" s="2490"/>
      <c r="AE7" s="2490"/>
      <c r="AF7" s="2490"/>
      <c r="AG7" s="2490"/>
      <c r="AH7" s="2490"/>
      <c r="AI7" s="2490"/>
    </row>
    <row r="8" spans="1:39" ht="63" customHeight="1">
      <c r="D8" s="32" t="s">
        <v>1749</v>
      </c>
      <c r="E8" s="25" t="s">
        <v>1750</v>
      </c>
      <c r="F8" s="1307" t="s">
        <v>235</v>
      </c>
      <c r="G8" s="1307" t="s">
        <v>252</v>
      </c>
      <c r="H8" s="1295" t="s">
        <v>1751</v>
      </c>
      <c r="I8" s="1253" t="s">
        <v>1534</v>
      </c>
      <c r="J8" s="1309" t="s">
        <v>1369</v>
      </c>
      <c r="K8" s="1309" t="s">
        <v>103</v>
      </c>
      <c r="L8" s="1309" t="s">
        <v>1536</v>
      </c>
      <c r="M8" s="1253" t="s">
        <v>97</v>
      </c>
      <c r="N8" s="1253" t="s">
        <v>1752</v>
      </c>
      <c r="O8" s="1309" t="s">
        <v>1753</v>
      </c>
      <c r="P8" s="2092" t="s">
        <v>1754</v>
      </c>
      <c r="Q8" s="2058" t="s">
        <v>1755</v>
      </c>
      <c r="R8" s="2058" t="s">
        <v>1756</v>
      </c>
      <c r="S8" s="1254"/>
      <c r="T8" s="1254" t="s">
        <v>1757</v>
      </c>
      <c r="U8" s="1254" t="s">
        <v>1758</v>
      </c>
      <c r="V8" s="1254" t="s">
        <v>1759</v>
      </c>
      <c r="W8" s="1254" t="s">
        <v>1758</v>
      </c>
      <c r="X8" s="1254" t="s">
        <v>1759</v>
      </c>
      <c r="Y8" s="1309" t="s">
        <v>1760</v>
      </c>
      <c r="Z8" s="1309" t="s">
        <v>1761</v>
      </c>
      <c r="AA8" s="730"/>
      <c r="AB8" s="2563" t="s">
        <v>1534</v>
      </c>
      <c r="AC8" s="2552"/>
      <c r="AD8" s="2551" t="s">
        <v>1369</v>
      </c>
      <c r="AE8" s="2552"/>
      <c r="AF8" s="2556" t="s">
        <v>103</v>
      </c>
      <c r="AG8" s="2552"/>
      <c r="AH8" s="2554" t="s">
        <v>1536</v>
      </c>
      <c r="AI8" s="2555"/>
      <c r="AK8" s="2469" t="s">
        <v>1762</v>
      </c>
      <c r="AL8" s="2468"/>
      <c r="AM8" s="2468"/>
    </row>
    <row r="9" spans="1:39" ht="49" customHeight="1">
      <c r="B9" s="1588" t="s">
        <v>1763</v>
      </c>
      <c r="G9" s="1307"/>
      <c r="H9" s="1854"/>
      <c r="I9" s="1"/>
      <c r="J9" s="730"/>
      <c r="K9" s="730"/>
      <c r="L9" s="730"/>
      <c r="M9" s="1"/>
      <c r="N9" s="1"/>
      <c r="O9" s="1"/>
      <c r="P9" s="2055" t="s">
        <v>1764</v>
      </c>
      <c r="Q9" s="2057" t="s">
        <v>1765</v>
      </c>
      <c r="R9" s="2057" t="s">
        <v>1766</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1767</v>
      </c>
    </row>
    <row r="10" spans="1:39" ht="49" customHeight="1">
      <c r="B10" s="1588"/>
      <c r="G10" s="1307"/>
      <c r="H10" s="1854"/>
      <c r="I10" s="1"/>
      <c r="J10" s="730"/>
      <c r="K10" s="730"/>
      <c r="L10" s="730"/>
      <c r="M10" s="1"/>
      <c r="N10" s="1"/>
      <c r="O10" s="1"/>
      <c r="P10" s="2055"/>
      <c r="Q10" s="2055"/>
      <c r="R10" s="2057"/>
      <c r="S10" s="2056">
        <f>IF($H$37&lt;=$AL$11,1,0)</f>
        <v>1</v>
      </c>
      <c r="T10" s="2056">
        <f>IF(AND($H$37&gt;=$AK$12,$H$37&lt;=$AL$12),1,0)</f>
        <v>0</v>
      </c>
      <c r="U10" s="2056">
        <f>IF(AND($H$37&gt;=$AK$13,$H$37&lt;=$AL$13,Test_Bible!$P$27&lt;=2),1,0)</f>
        <v>0</v>
      </c>
      <c r="V10" s="2056">
        <f>IF(AND($H$37&gt;=$AK$13,$H$37&lt;=$AL$13,Test_Bible!$P$27&gt;2),1,0)</f>
        <v>0</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c r="G11" s="700"/>
      <c r="H11" s="2032"/>
      <c r="I11" s="5"/>
      <c r="J11" s="700"/>
      <c r="K11" s="700"/>
      <c r="L11" s="700"/>
      <c r="M11" s="5"/>
      <c r="N11" s="5"/>
      <c r="O11" s="5"/>
      <c r="P11" s="730"/>
      <c r="Q11" s="730"/>
      <c r="R11" s="730"/>
      <c r="S11" s="1254"/>
      <c r="T11" s="1254"/>
      <c r="U11" s="2059"/>
      <c r="V11" s="2035"/>
      <c r="W11" s="2035"/>
      <c r="X11" s="2035"/>
      <c r="Y11" s="730" t="s">
        <v>1768</v>
      </c>
      <c r="Z11" s="730" t="s">
        <v>1768</v>
      </c>
      <c r="AA11" s="730"/>
      <c r="AB11" s="1908"/>
      <c r="AC11" s="1810"/>
      <c r="AF11" s="1909"/>
      <c r="AG11" s="1909"/>
      <c r="AI11" s="292"/>
      <c r="AK11" s="5">
        <f>AB32</f>
        <v>0</v>
      </c>
      <c r="AL11" s="5">
        <f>ROUND(AC32+(AD32-AC32)/2,0)</f>
        <v>17</v>
      </c>
      <c r="AM11" t="s">
        <v>1769</v>
      </c>
    </row>
    <row r="12" spans="1:39" ht="103" customHeight="1" thickBot="1">
      <c r="G12" s="700"/>
      <c r="H12" s="2032"/>
      <c r="I12" s="5"/>
      <c r="J12" s="700"/>
      <c r="K12" s="700"/>
      <c r="L12" s="700"/>
      <c r="M12" s="5"/>
      <c r="N12" s="5"/>
      <c r="O12" s="53"/>
      <c r="P12" s="2031"/>
      <c r="Q12" s="16"/>
      <c r="R12" s="53" t="s">
        <v>1770</v>
      </c>
      <c r="S12" s="1254" t="s">
        <v>1771</v>
      </c>
      <c r="T12" s="1254" t="s">
        <v>1771</v>
      </c>
      <c r="U12" s="2094" t="s">
        <v>1772</v>
      </c>
      <c r="V12" s="2094" t="s">
        <v>1773</v>
      </c>
      <c r="W12" s="2094" t="s">
        <v>1774</v>
      </c>
      <c r="X12" s="2094" t="s">
        <v>1775</v>
      </c>
      <c r="Y12" s="700" t="s">
        <v>1776</v>
      </c>
      <c r="Z12" s="730"/>
      <c r="AA12" s="730"/>
      <c r="AB12" s="1908"/>
      <c r="AC12" s="1810"/>
      <c r="AF12" s="1909"/>
      <c r="AG12" s="1909"/>
      <c r="AI12" s="292"/>
      <c r="AK12" s="5">
        <f>AL11+1</f>
        <v>18</v>
      </c>
      <c r="AL12" s="5">
        <f>ROUND(AE32+(AF32-AE32)/2,0)</f>
        <v>52</v>
      </c>
      <c r="AM12" t="s">
        <v>1777</v>
      </c>
    </row>
    <row r="13" spans="1:39" ht="89" customHeight="1" thickBot="1">
      <c r="A13" s="809"/>
      <c r="B13" s="826" t="str">
        <f>Test_Bible!A112</f>
        <v>PCR01</v>
      </c>
      <c r="C13" s="826" t="str">
        <f>Test_Bible!B112</f>
        <v>Vous êtes à l'aise en présence de l'autre parent (coparent).</v>
      </c>
      <c r="D13" s="2565" t="s">
        <v>1778</v>
      </c>
      <c r="E13" s="826"/>
      <c r="F13" s="67">
        <f>Test_Bible!D112</f>
        <v>0</v>
      </c>
      <c r="G13" s="67">
        <f>Test_Bible!P112</f>
        <v>0</v>
      </c>
      <c r="H13" s="1857">
        <f t="shared" ref="H13:H19" si="0">G13</f>
        <v>0</v>
      </c>
      <c r="I13" s="6">
        <v>0</v>
      </c>
      <c r="J13" s="1310" t="s">
        <v>1478</v>
      </c>
      <c r="K13" s="6" t="s">
        <v>1779</v>
      </c>
      <c r="L13" s="8" t="s">
        <v>1780</v>
      </c>
      <c r="M13" s="1180">
        <v>10</v>
      </c>
      <c r="N13" s="8">
        <f>IF(C13=" ","",F13*G13)</f>
        <v>0</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1781</v>
      </c>
    </row>
    <row r="14" spans="1:39" ht="33" customHeight="1" thickBot="1">
      <c r="A14" s="1855"/>
      <c r="B14" s="481" t="str">
        <f>Test_Bible!A113</f>
        <v>PCR01a</v>
      </c>
      <c r="C14" s="481" t="str">
        <f>Test_Bible!B113</f>
        <v xml:space="preserve"> </v>
      </c>
      <c r="D14" s="2509"/>
      <c r="E14" s="826"/>
      <c r="F14" s="67">
        <f>Test_Bible!D113</f>
        <v>2</v>
      </c>
      <c r="G14" s="67">
        <f>Test_Bible!P113</f>
        <v>0</v>
      </c>
      <c r="H14" s="1857">
        <f t="shared" si="0"/>
        <v>0</v>
      </c>
      <c r="I14" s="1859">
        <v>0</v>
      </c>
      <c r="J14" s="2034" t="s">
        <v>1478</v>
      </c>
      <c r="K14" s="1859" t="s">
        <v>1779</v>
      </c>
      <c r="L14" s="1860" t="s">
        <v>1780</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1782</v>
      </c>
    </row>
    <row r="15" spans="1:39" ht="33" customHeight="1" thickBot="1">
      <c r="A15" s="1855"/>
      <c r="B15" s="481" t="str">
        <f>Test_Bible!A114</f>
        <v>PCR01a1</v>
      </c>
      <c r="C15" s="481" t="str">
        <f>Test_Bible!B114</f>
        <v xml:space="preserve"> </v>
      </c>
      <c r="D15" s="2509"/>
      <c r="E15" s="826"/>
      <c r="F15" s="6">
        <f>Test_Bible!D114</f>
        <v>3</v>
      </c>
      <c r="G15" s="6">
        <f>Test_Bible!P114</f>
        <v>0</v>
      </c>
      <c r="H15" s="1857">
        <f t="shared" si="0"/>
        <v>0</v>
      </c>
      <c r="I15" s="1859">
        <v>0</v>
      </c>
      <c r="J15" s="2034" t="s">
        <v>1478</v>
      </c>
      <c r="K15" s="1859" t="s">
        <v>1779</v>
      </c>
      <c r="L15" s="1860" t="s">
        <v>1780</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c r="A16" s="2249"/>
      <c r="B16" s="826" t="str">
        <f>Test_Bible!A210</f>
        <v>PFA24</v>
      </c>
      <c r="C16" s="826" t="str">
        <f>Test_Bible!B210</f>
        <v>Depuis la séparation, l’autre parent cherche à vous blesser parce qu'il considère que vous avez brisé ou abandonné la famille.</v>
      </c>
      <c r="D16" s="2509"/>
      <c r="E16" s="826"/>
      <c r="F16" s="6">
        <f>Test_Bible!D210</f>
        <v>3</v>
      </c>
      <c r="G16" s="6" t="str">
        <f>Test_Bible!P210</f>
        <v>1</v>
      </c>
      <c r="H16" s="1857" t="str">
        <f t="shared" si="0"/>
        <v>1</v>
      </c>
      <c r="I16" s="6">
        <v>0</v>
      </c>
      <c r="J16" s="8">
        <v>1</v>
      </c>
      <c r="K16" s="6" t="s">
        <v>1783</v>
      </c>
      <c r="L16" s="8" t="s">
        <v>1780</v>
      </c>
      <c r="M16" s="1180">
        <v>10</v>
      </c>
      <c r="N16" s="8">
        <f>IF(C16=" ","",F16*G16)</f>
        <v>3</v>
      </c>
      <c r="O16" s="8"/>
      <c r="P16" s="2169"/>
      <c r="Q16" s="16" t="str">
        <f t="shared" si="2"/>
        <v xml:space="preserve"> </v>
      </c>
      <c r="R16" s="16" t="str">
        <f t="shared" si="1"/>
        <v xml:space="preserve"> </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c r="A17" s="1855"/>
      <c r="B17" s="25" t="str">
        <f>BIBLE!E181</f>
        <v>E21</v>
      </c>
      <c r="C17" s="25" t="str">
        <f>Test_Bible!B302</f>
        <v>Les jouets et les vêtements de votre enfant se promènent d’une maison à l’autre simplement.</v>
      </c>
      <c r="D17" s="2509"/>
      <c r="E17" s="25"/>
      <c r="F17" s="6">
        <f>Test_Bible!D302</f>
        <v>1</v>
      </c>
      <c r="G17" s="6" t="str">
        <f>Test_Bible!P302</f>
        <v>4</v>
      </c>
      <c r="H17" s="1857" t="str">
        <f t="shared" si="0"/>
        <v>4</v>
      </c>
      <c r="I17" s="1859" t="s">
        <v>1784</v>
      </c>
      <c r="J17" s="1860" t="s">
        <v>1785</v>
      </c>
      <c r="K17" s="1859" t="s">
        <v>1779</v>
      </c>
      <c r="L17" s="1860" t="s">
        <v>1780</v>
      </c>
      <c r="M17" s="1180">
        <v>10</v>
      </c>
      <c r="N17" s="8">
        <f>IF(C17="","",F17*G17)</f>
        <v>4</v>
      </c>
      <c r="O17" s="8"/>
      <c r="P17" s="2169"/>
      <c r="Q17" s="16" t="str">
        <f t="shared" si="2"/>
        <v xml:space="preserve"> </v>
      </c>
      <c r="R17" s="16" t="str">
        <f t="shared" si="1"/>
        <v xml:space="preserve"> </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09"/>
      <c r="E18" s="25"/>
      <c r="F18" s="6">
        <f>Test_Bible!D306</f>
        <v>1</v>
      </c>
      <c r="G18" s="6">
        <f>Test_Bible!P306</f>
        <v>0</v>
      </c>
      <c r="H18" s="1857">
        <f t="shared" si="0"/>
        <v>0</v>
      </c>
      <c r="I18" s="1859" t="s">
        <v>1784</v>
      </c>
      <c r="J18" s="1860" t="s">
        <v>1785</v>
      </c>
      <c r="K18" s="1859" t="s">
        <v>1779</v>
      </c>
      <c r="L18" s="1860" t="s">
        <v>1780</v>
      </c>
      <c r="M18" s="1180">
        <v>10</v>
      </c>
      <c r="N18" s="8">
        <f>IF(C18=" ","",F18*G18)</f>
        <v>0</v>
      </c>
      <c r="O18" s="8"/>
      <c r="P18" s="2169"/>
      <c r="Q18" s="16" t="str">
        <f t="shared" si="2"/>
        <v xml:space="preserve"> </v>
      </c>
      <c r="R18" s="16" t="str">
        <f t="shared" si="1"/>
        <v xml:space="preserve"> </v>
      </c>
      <c r="S18" s="765"/>
      <c r="T18" s="765"/>
      <c r="U18" s="2247"/>
      <c r="V18" s="2247"/>
      <c r="W18" s="2247"/>
      <c r="X18" s="2247"/>
      <c r="Y18" s="2303" t="s">
        <v>1786</v>
      </c>
      <c r="Z18" s="2159"/>
      <c r="AA18" s="2315"/>
      <c r="AB18" s="1912">
        <v>0</v>
      </c>
      <c r="AC18" s="587">
        <v>1</v>
      </c>
      <c r="AD18" s="88">
        <v>2</v>
      </c>
      <c r="AE18" s="88">
        <v>3</v>
      </c>
      <c r="AF18" s="88">
        <v>4</v>
      </c>
      <c r="AG18" s="88">
        <v>6</v>
      </c>
      <c r="AH18" s="88">
        <v>7</v>
      </c>
      <c r="AI18" s="1913">
        <v>10</v>
      </c>
    </row>
    <row r="19" spans="1:37" ht="33" customHeight="1" thickBot="1">
      <c r="A19" s="1855"/>
      <c r="B19" s="826" t="str">
        <f>Test_Bible!A123</f>
        <v>PCR02</v>
      </c>
      <c r="C19" s="1858" t="str">
        <f>Test_Bible!B123</f>
        <v xml:space="preserve"> </v>
      </c>
      <c r="D19" s="2510"/>
      <c r="F19" s="831">
        <f>Test_Bible!D123</f>
        <v>1</v>
      </c>
      <c r="G19" s="1856">
        <f>Test_Bible!P123</f>
        <v>0</v>
      </c>
      <c r="H19" s="1857">
        <f t="shared" si="0"/>
        <v>0</v>
      </c>
      <c r="I19" s="1859" t="s">
        <v>1784</v>
      </c>
      <c r="J19" s="1860" t="s">
        <v>1787</v>
      </c>
      <c r="K19" s="1859" t="s">
        <v>1788</v>
      </c>
      <c r="L19" s="1860" t="s">
        <v>1789</v>
      </c>
      <c r="M19" s="1180">
        <v>10</v>
      </c>
      <c r="N19" s="8" t="str">
        <f>IF(C19=" ","",F19*G19)</f>
        <v/>
      </c>
      <c r="P19" s="2031"/>
      <c r="Q19" s="16" t="str">
        <f t="shared" si="2"/>
        <v xml:space="preserve"> </v>
      </c>
      <c r="R19" s="16" t="str">
        <f t="shared" si="1"/>
        <v xml:space="preserve"> </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1790</v>
      </c>
    </row>
    <row r="20" spans="1:37" s="7" customFormat="1" ht="144" customHeight="1" thickBot="1">
      <c r="B20" s="25"/>
      <c r="C20" s="2054"/>
      <c r="D20" s="2041"/>
      <c r="E20" s="2042"/>
      <c r="F20" s="2043"/>
      <c r="G20" s="2038"/>
      <c r="H20" s="2039"/>
      <c r="I20" s="2038"/>
      <c r="J20" s="2038"/>
      <c r="K20" s="2038"/>
      <c r="L20" s="2038"/>
      <c r="M20" s="2038"/>
      <c r="N20" s="2038"/>
      <c r="O20" s="2040">
        <f>AVERAGE(N13:N19)</f>
        <v>1.75</v>
      </c>
      <c r="P20" s="2308" t="str">
        <f>IF(O20&gt;=O39,HLOOKUP(1,$S$10:$X$34,11),"")</f>
        <v/>
      </c>
      <c r="Q20" s="2308" t="str">
        <f>IF(P20="","",Y20)</f>
        <v/>
      </c>
      <c r="R20" s="2308" t="str">
        <f>IF(P20="","",Z20)</f>
        <v/>
      </c>
      <c r="S20" s="765"/>
      <c r="T20" s="765"/>
      <c r="U20" s="2224" t="s">
        <v>1791</v>
      </c>
      <c r="V20" s="2224" t="s">
        <v>1791</v>
      </c>
      <c r="W20" s="2224" t="s">
        <v>1792</v>
      </c>
      <c r="X20" s="2224" t="s">
        <v>1792</v>
      </c>
      <c r="Y20" s="2303" t="s">
        <v>1793</v>
      </c>
      <c r="Z20" s="2158"/>
      <c r="AA20" s="671"/>
      <c r="AB20" s="2051"/>
      <c r="AC20" s="2052"/>
      <c r="AF20" s="590"/>
      <c r="AG20" s="590"/>
      <c r="AI20" s="2053"/>
    </row>
    <row r="21" spans="1:37" ht="57" customHeight="1" thickBot="1">
      <c r="A21" s="1855"/>
      <c r="B21" s="7" t="str">
        <f>Test_Bible!A53</f>
        <v>B11</v>
      </c>
      <c r="C21" s="25" t="str">
        <f>Test_Bible!B53</f>
        <v>Dans quelle mesure l'entente de garde et/ou les droits d'accès sont-ils respectés ?</v>
      </c>
      <c r="D21" s="2562" t="s">
        <v>1794</v>
      </c>
      <c r="F21" s="8">
        <f>Test_Bible!D53</f>
        <v>3</v>
      </c>
      <c r="G21" s="67" t="str">
        <f>Test_Bible!P53</f>
        <v>4</v>
      </c>
      <c r="H21" s="1857" t="str">
        <f>G21</f>
        <v>4</v>
      </c>
      <c r="I21" s="1859">
        <v>0</v>
      </c>
      <c r="J21" s="1860">
        <v>1</v>
      </c>
      <c r="K21" s="1859" t="s">
        <v>1785</v>
      </c>
      <c r="L21" s="1860" t="s">
        <v>1795</v>
      </c>
      <c r="M21" s="1180">
        <v>10</v>
      </c>
      <c r="N21" s="8">
        <f>IF(C21=" ","",F21*G21)</f>
        <v>12</v>
      </c>
      <c r="O21" s="8"/>
      <c r="P21" s="2169"/>
      <c r="Q21" s="16" t="str">
        <f>IF(OR(C21=" ",$P$26="")," ",IF(O$20&gt;=$O$39,IF(H21&gt;=7,Y21," ")," "))</f>
        <v xml:space="preserve"> </v>
      </c>
      <c r="R21" s="16" t="str">
        <f>IF(OR(C21=" ",$P$26="")," ",IF(O$20&gt;=$O$39,IF(N21&gt;=O$20,Z21," ")," "))</f>
        <v xml:space="preserve"> </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c r="A22" s="1855"/>
      <c r="B22" s="826" t="str">
        <f>Test_Bible!A136</f>
        <v>PCR09</v>
      </c>
      <c r="C22" s="1858" t="str">
        <f>Test_Bible!B136</f>
        <v>Vous laissez à votre enfant le droit de choisir la fréquence des visites et le temps qu'il passe chez l'autre parent.</v>
      </c>
      <c r="D22" s="2468"/>
      <c r="E22" s="2061">
        <v>12</v>
      </c>
      <c r="F22" s="16">
        <f>IF(Test_Bible!$P$40&lt;=12,Test_Bible!D136,0)</f>
        <v>0</v>
      </c>
      <c r="G22" s="16">
        <f>IF(Test_Bible!P40&lt;=12,Test_Bible!P136,0)</f>
        <v>0</v>
      </c>
      <c r="H22" s="1857">
        <f>G22</f>
        <v>0</v>
      </c>
      <c r="I22" s="1859" t="s">
        <v>1784</v>
      </c>
      <c r="J22" s="1860" t="s">
        <v>1785</v>
      </c>
      <c r="K22" s="1859" t="s">
        <v>1779</v>
      </c>
      <c r="L22" s="1860" t="s">
        <v>1780</v>
      </c>
      <c r="M22" s="1180">
        <v>10</v>
      </c>
      <c r="N22" s="8">
        <f>IF(C22=" ","",F22*G22)</f>
        <v>0</v>
      </c>
      <c r="O22" s="8"/>
      <c r="P22" s="2169"/>
      <c r="Q22" s="16" t="str">
        <f>IF(OR(C22=" ",$P$26="")," ",IF(O$20&gt;=$O$39,IF(H22&gt;=7,Y22," ")," "))</f>
        <v xml:space="preserve"> </v>
      </c>
      <c r="R22" s="16" t="str">
        <f>IF(OR(C22=" ",$P$26="")," ",IF(O$20&gt;=$O$39,IF(N22&gt;=O$20,Z22," ")," "))</f>
        <v xml:space="preserve"> </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c r="A23" s="1855"/>
      <c r="B23" s="826" t="str">
        <f>Test_Bible!A140</f>
        <v>PCR12</v>
      </c>
      <c r="C23" s="1858" t="str">
        <f>Test_Bible!B140</f>
        <v>Il vous arrive de prendre des décisions sans consulter l'autre parent.</v>
      </c>
      <c r="D23" s="2468"/>
      <c r="E23" s="1858"/>
      <c r="F23" s="16">
        <f>Test_Bible!D140</f>
        <v>2</v>
      </c>
      <c r="G23" s="67" t="str">
        <f>Test_Bible!P140</f>
        <v>2</v>
      </c>
      <c r="H23" s="1857" t="str">
        <f>G23</f>
        <v>2</v>
      </c>
      <c r="I23" s="1859">
        <v>0</v>
      </c>
      <c r="J23" s="1860" t="s">
        <v>1796</v>
      </c>
      <c r="K23" s="1859" t="s">
        <v>1797</v>
      </c>
      <c r="L23" s="1860" t="s">
        <v>1780</v>
      </c>
      <c r="M23" s="1180">
        <v>10</v>
      </c>
      <c r="N23" s="8">
        <f>IF(C23=" ","",F23*G23)</f>
        <v>4</v>
      </c>
      <c r="O23" s="8"/>
      <c r="P23" s="2169"/>
      <c r="Q23" s="16" t="str">
        <f>IF(OR(C23=" ",$P$26="")," ",IF(O$20&gt;=$O$39,IF(H23&gt;=7,Y23," ")," "))</f>
        <v xml:space="preserve"> </v>
      </c>
      <c r="R23" s="16" t="str">
        <f>IF(OR(C23=" ",$P$26="")," ",IF(O$20&gt;=$O$39,IF(N23&gt;=O$20,Z23," ")," "))</f>
        <v xml:space="preserve"> </v>
      </c>
      <c r="S23" s="765"/>
      <c r="T23" s="765"/>
      <c r="U23" s="2242"/>
      <c r="V23" s="2242"/>
      <c r="W23" s="2242"/>
      <c r="X23" s="2242"/>
      <c r="Y23" s="2302" t="s">
        <v>1798</v>
      </c>
      <c r="Z23" s="2159"/>
      <c r="AA23" s="2315"/>
      <c r="AB23" s="1912">
        <v>0</v>
      </c>
      <c r="AC23" s="587">
        <v>0</v>
      </c>
      <c r="AD23" s="88">
        <v>1</v>
      </c>
      <c r="AE23" s="88">
        <v>2</v>
      </c>
      <c r="AF23" s="88">
        <v>3</v>
      </c>
      <c r="AG23" s="88">
        <v>6</v>
      </c>
      <c r="AH23" s="88">
        <v>7</v>
      </c>
      <c r="AI23" s="1913">
        <v>10</v>
      </c>
    </row>
    <row r="24" spans="1:37" ht="38" customHeight="1" thickBot="1">
      <c r="A24" s="809"/>
      <c r="B24" s="826" t="str">
        <f>Test_Bible!A197</f>
        <v>PFA17</v>
      </c>
      <c r="C24" s="826" t="str">
        <f>Test_Bible!B197</f>
        <v>L’autre parent se présente à la sortie des classes, au service de garde ou à la garderie sur votre temps de garde.</v>
      </c>
      <c r="D24" s="2468"/>
      <c r="E24" s="826"/>
      <c r="F24" s="8">
        <f>Test_Bible!D197</f>
        <v>1</v>
      </c>
      <c r="G24" s="8" t="str">
        <f>Test_Bible!P197</f>
        <v>1</v>
      </c>
      <c r="H24" s="1857">
        <f>MAX(G24,G31)</f>
        <v>0</v>
      </c>
      <c r="I24" s="6" t="s">
        <v>1784</v>
      </c>
      <c r="J24" s="1310" t="s">
        <v>1785</v>
      </c>
      <c r="K24" s="6" t="s">
        <v>1779</v>
      </c>
      <c r="L24" s="8" t="s">
        <v>1780</v>
      </c>
      <c r="M24" s="1180">
        <v>10</v>
      </c>
      <c r="N24" s="8">
        <f>IF(C24=" ","",F24*G24)</f>
        <v>1</v>
      </c>
      <c r="O24" s="8"/>
      <c r="P24" s="2169"/>
      <c r="Q24" s="16" t="str">
        <f>IF(OR(C24=" ",$P$26="")," ",IF(O$20&gt;=$O$39,IF(H24&gt;=7,Y24," ")," "))</f>
        <v xml:space="preserve"> </v>
      </c>
      <c r="R24" s="16" t="str">
        <f>IF(OR(C24=" ",$P$26="")," ",IF(O$20&gt;=$O$39,IF(N24&gt;=O$20,Z24," ")," "))</f>
        <v xml:space="preserve"> </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c r="A25" s="2250" t="s">
        <v>1799</v>
      </c>
      <c r="B25" s="826" t="str">
        <f>Test_Bible!A134</f>
        <v>PCR07</v>
      </c>
      <c r="C25" s="1858" t="str">
        <f>Test_Bible!B134</f>
        <v>Il vous arrive de faire des reproches à l'autre parent devant votre enfant.</v>
      </c>
      <c r="D25" s="2468"/>
      <c r="E25" s="1858"/>
      <c r="F25" s="16">
        <f>Test_Bible!D134</f>
        <v>1</v>
      </c>
      <c r="G25" s="67" t="str">
        <f>Test_Bible!P134</f>
        <v>4</v>
      </c>
      <c r="H25" s="1857" t="str">
        <f>G25</f>
        <v>4</v>
      </c>
      <c r="I25" s="1859" t="s">
        <v>1784</v>
      </c>
      <c r="J25" s="1860" t="s">
        <v>1785</v>
      </c>
      <c r="K25" s="1859" t="s">
        <v>1779</v>
      </c>
      <c r="L25" s="1860" t="s">
        <v>1780</v>
      </c>
      <c r="M25" s="1180">
        <v>10</v>
      </c>
      <c r="N25" s="8">
        <f>IF(C25=" ","",F25*G25)</f>
        <v>4</v>
      </c>
      <c r="O25" s="8"/>
      <c r="P25" s="2169"/>
      <c r="Q25" s="16" t="str">
        <f>IF(OR(C25=" ",$P$26="")," ",IF(O$20&gt;=$O$39,IF(H25&gt;=7,Y25," ")," "))</f>
        <v xml:space="preserve"> </v>
      </c>
      <c r="R25" s="16" t="str">
        <f>IF(OR(C25=" ",$P$26="")," ",IF(O$20&gt;=$O$39,IF(N25&gt;=O$20,Z25," ")," "))</f>
        <v xml:space="preserve"> </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c r="D26" s="2041"/>
      <c r="E26" s="2042"/>
      <c r="F26" s="2043"/>
      <c r="G26" s="2038"/>
      <c r="H26" s="2039"/>
      <c r="I26" s="2038"/>
      <c r="J26" s="2038"/>
      <c r="K26" s="2038"/>
      <c r="L26" s="2038"/>
      <c r="M26" s="2038"/>
      <c r="N26" s="2038"/>
      <c r="O26" s="2040">
        <f>AVERAGE(N21:N25)</f>
        <v>4.2</v>
      </c>
      <c r="P26" s="2308" t="str">
        <f>IF(O26&gt;=O39,HLOOKUP(1,$S$10:$X$34,17),"")</f>
        <v>L'analyse révèle un non-respect de la valeur parentale et du temps parental de l'un ou les deux parents.</v>
      </c>
      <c r="Q26" s="2308">
        <f>IF(P26="","",Y26)</f>
        <v>0</v>
      </c>
      <c r="R26" s="2308">
        <f>IF(P26="","",Z26)</f>
        <v>0</v>
      </c>
      <c r="S26" s="765"/>
      <c r="T26" s="765"/>
      <c r="U26" s="2224" t="s">
        <v>1800</v>
      </c>
      <c r="V26" s="2224" t="s">
        <v>1800</v>
      </c>
      <c r="W26" s="2224" t="s">
        <v>1801</v>
      </c>
      <c r="X26" s="2224" t="s">
        <v>1801</v>
      </c>
      <c r="Y26" s="2158"/>
      <c r="Z26" s="2158"/>
      <c r="AA26" s="671"/>
      <c r="AB26" s="2051"/>
      <c r="AC26" s="2052"/>
      <c r="AF26" s="590"/>
      <c r="AG26" s="590"/>
      <c r="AI26" s="2053"/>
    </row>
    <row r="27" spans="1:37" s="7" customFormat="1" ht="56" customHeight="1">
      <c r="B27" s="2048" t="s">
        <v>1802</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c r="A28" s="809"/>
      <c r="B28" s="826" t="str">
        <f>Test_Bible!A216</f>
        <v>PFA26</v>
      </c>
      <c r="C28" s="826" t="str">
        <f>Test_Bible!B216</f>
        <v>L’autre parent considère que son nouveau ou nouvelle conjoint·e est un meilleur parent que vous.</v>
      </c>
      <c r="D28" s="2565" t="s">
        <v>1803</v>
      </c>
      <c r="E28" s="826"/>
      <c r="F28" s="6">
        <f>Test_Bible!D216</f>
        <v>2</v>
      </c>
      <c r="G28" s="6" t="str">
        <f>Test_Bible!P216</f>
        <v>2</v>
      </c>
      <c r="H28" s="1857" t="str">
        <f>G28</f>
        <v>2</v>
      </c>
      <c r="I28" s="6">
        <v>0</v>
      </c>
      <c r="J28" s="8" t="s">
        <v>1478</v>
      </c>
      <c r="K28" s="6" t="s">
        <v>1779</v>
      </c>
      <c r="L28" s="8" t="s">
        <v>1780</v>
      </c>
      <c r="M28" s="1180">
        <v>10</v>
      </c>
      <c r="N28" s="8">
        <f>IF(C28=" ","",F28*G28)</f>
        <v>4</v>
      </c>
      <c r="O28" s="8"/>
      <c r="P28" s="2564"/>
      <c r="Q28" s="16" t="str">
        <f>IF(OR(C28=" ",$P$32="")," ",IF(O$20&gt;=$O$39,IF(H28&gt;=7,Y28," ")," "))</f>
        <v xml:space="preserve"> </v>
      </c>
      <c r="R28" s="16" t="str">
        <f>IF(OR(C28=" ",$P$32="")," ",IF(O$20&gt;=$O$39,IF(N28&gt;=O$20,Z28," ")," "))</f>
        <v xml:space="preserve"> </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c r="A29" s="809"/>
      <c r="B29" s="541" t="str">
        <f>Test_Bible!A425</f>
        <v>NC15</v>
      </c>
      <c r="C29" s="826" t="str">
        <f>Test_Bible!B425</f>
        <v>Dans quelle mesure diriez-vous que votre relation avec votre enfant est fragilisée depuis l'arrivée du nouveau ou nouvelle conjoint·e ?</v>
      </c>
      <c r="D29" s="2509"/>
      <c r="E29" s="826"/>
      <c r="F29" s="6">
        <f>Test_Bible!D425</f>
        <v>2</v>
      </c>
      <c r="G29" s="6" t="str">
        <f>Test_Bible!P425</f>
        <v>1</v>
      </c>
      <c r="H29" s="1857" t="str">
        <f>G29</f>
        <v>1</v>
      </c>
      <c r="I29" s="6" t="s">
        <v>1784</v>
      </c>
      <c r="J29" s="1310" t="s">
        <v>1785</v>
      </c>
      <c r="K29" s="6" t="s">
        <v>1779</v>
      </c>
      <c r="L29" s="8" t="s">
        <v>1780</v>
      </c>
      <c r="M29" s="1180">
        <v>10</v>
      </c>
      <c r="N29" s="8">
        <f>IF(C29=" ","",F29*G29)</f>
        <v>2</v>
      </c>
      <c r="O29" s="8"/>
      <c r="P29" s="2495"/>
      <c r="Q29" s="16" t="str">
        <f>IF(OR(C29=" ",$P$32="")," ",IF(O$20&gt;=$O$39,IF(H29&gt;=7,Y29," ")," "))</f>
        <v xml:space="preserve"> </v>
      </c>
      <c r="R29" s="16" t="str">
        <f>IF(OR(C29=" ",$P$32="")," ",IF(O$20&gt;=$O$39,IF(N29&gt;=O$20,Z29," ")," "))</f>
        <v xml:space="preserve"> </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c r="A30" s="1914"/>
      <c r="B30" s="21" t="str">
        <f>Test_Bible!A405</f>
        <v>NC01a</v>
      </c>
      <c r="C30" s="21" t="str">
        <f>Test_Bible!B405</f>
        <v>Dans quelle mesure cette relation de confident·e vous apparaît être saine ?</v>
      </c>
      <c r="D30" s="2509"/>
      <c r="F30" s="6">
        <f>Test_Bible!D405</f>
        <v>2</v>
      </c>
      <c r="G30" s="6">
        <f>Test_Bible!P405</f>
        <v>0</v>
      </c>
      <c r="H30" s="1857">
        <f>G30</f>
        <v>0</v>
      </c>
      <c r="I30" s="6" t="s">
        <v>1784</v>
      </c>
      <c r="J30" s="1310" t="s">
        <v>1785</v>
      </c>
      <c r="K30" s="6" t="s">
        <v>1779</v>
      </c>
      <c r="L30" s="8" t="s">
        <v>1780</v>
      </c>
      <c r="M30" s="1180">
        <v>10</v>
      </c>
      <c r="N30" s="8">
        <f>IF(C30=" ","",F30*G30)</f>
        <v>0</v>
      </c>
      <c r="O30" s="8"/>
      <c r="P30" s="2495"/>
      <c r="Q30" s="16" t="str">
        <f>IF(OR(C30=" ",$P$32="")," ",IF(O$20&gt;=$O$39,IF(H30&gt;=7,Y30," ")," "))</f>
        <v xml:space="preserve"> </v>
      </c>
      <c r="R30" s="16" t="str">
        <f>IF(OR(C30=" ",$P$32="")," ",IF(O$20&gt;=$O$39,IF(N30&gt;=O$20,Z30," ")," "))</f>
        <v xml:space="preserve"> </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510"/>
      <c r="E31" s="826"/>
      <c r="F31" s="8">
        <f>Test_Bible!D419</f>
        <v>2</v>
      </c>
      <c r="G31" s="8" t="str">
        <f>Test_Bible!P419</f>
        <v>2</v>
      </c>
      <c r="H31" s="1857" t="str">
        <f>G31</f>
        <v>2</v>
      </c>
      <c r="I31" s="6" t="s">
        <v>1784</v>
      </c>
      <c r="J31" s="1310" t="s">
        <v>1785</v>
      </c>
      <c r="K31" s="6" t="s">
        <v>1779</v>
      </c>
      <c r="L31" s="8" t="s">
        <v>1780</v>
      </c>
      <c r="M31" s="1180">
        <v>10</v>
      </c>
      <c r="N31" s="8">
        <f>IF(C31=" ","",F31*G31)</f>
        <v>4</v>
      </c>
      <c r="O31" s="8"/>
      <c r="P31" s="2495"/>
      <c r="Q31" s="16" t="str">
        <f>IF(OR(C31=" ",$P$32="")," ",IF(O$20&gt;=$O$39,IF(H31&gt;=7,Y31," ")," "))</f>
        <v xml:space="preserve"> </v>
      </c>
      <c r="R31" s="16" t="str">
        <f>IF(OR(C31=" ",$P$32="")," ",IF(O$20&gt;=$O$39,IF(N31&gt;=O$20,Z31," ")," "))</f>
        <v xml:space="preserve"> </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c r="D32" s="2041"/>
      <c r="E32" s="2042"/>
      <c r="F32" s="2043"/>
      <c r="G32" s="2038"/>
      <c r="H32" s="2039"/>
      <c r="I32" s="2038"/>
      <c r="J32" s="2038"/>
      <c r="K32" s="2038"/>
      <c r="L32" s="2038"/>
      <c r="M32" s="2038"/>
      <c r="N32" s="2038"/>
      <c r="O32" s="2040">
        <f>AVERAGE(N28:N31)</f>
        <v>2.5</v>
      </c>
      <c r="P32" s="2308" t="str">
        <f>IF(O32&gt;=O39,HLOOKUP(1,$S$10:$X$34,23),"")</f>
        <v/>
      </c>
      <c r="Q32" s="2308" t="str">
        <f>IF(P32="","",Y32)</f>
        <v/>
      </c>
      <c r="R32" s="2308" t="str">
        <f>IF(P32="","",Z32)</f>
        <v/>
      </c>
      <c r="S32" s="765"/>
      <c r="T32" s="765"/>
      <c r="U32" s="2226" t="s">
        <v>1804</v>
      </c>
      <c r="V32" s="2226" t="s">
        <v>1804</v>
      </c>
      <c r="W32" s="2226" t="s">
        <v>1805</v>
      </c>
      <c r="X32" s="2226" t="s">
        <v>1805</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c r="A33" s="2557" t="s">
        <v>1806</v>
      </c>
      <c r="B33" s="481" t="str">
        <f>Test_Bible!A212</f>
        <v>PFA25a</v>
      </c>
      <c r="C33" s="481" t="str">
        <f>Test_Bible!B212</f>
        <v>Cette façon de s'adresser à vous devant votre enfant (prénom versus maman ou papa) est-elle habituelle ou est-ce nouveau depuis la séparation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1807</v>
      </c>
      <c r="Z33" s="2159"/>
      <c r="AA33" s="2315"/>
      <c r="AB33" s="2328"/>
      <c r="AC33" s="5"/>
      <c r="AD33" s="5"/>
      <c r="AE33" s="5"/>
      <c r="AF33" s="5"/>
      <c r="AG33" s="5"/>
      <c r="AH33" s="5"/>
      <c r="AI33" s="1905"/>
    </row>
    <row r="34" spans="1:38" ht="92" customHeight="1">
      <c r="A34" s="2468"/>
      <c r="B34" s="7" t="str">
        <f>Test_Bible!A152</f>
        <v>PCR15a</v>
      </c>
      <c r="C34" s="13" t="str">
        <f>Test_Bible!B152</f>
        <v>Avez-vous mis votre enfant au courant des enjeux juridiques (pension alimentaire, modalité de garde, etc.) qui vous oppose à l’autre parent ?</v>
      </c>
      <c r="D34" s="25"/>
      <c r="E34" s="13"/>
      <c r="F34" s="6"/>
      <c r="G34" s="8" t="str">
        <f>IF(Test_Bible!P152=1,"Oui","Non")</f>
        <v>Non</v>
      </c>
      <c r="H34" s="2049" t="str">
        <f>G34</f>
        <v>Non</v>
      </c>
      <c r="I34" s="2254"/>
      <c r="J34" s="2255"/>
      <c r="K34" s="2255" t="str">
        <f>IF($G34="oui","V","F")</f>
        <v>F</v>
      </c>
      <c r="L34" s="2255" t="str">
        <f>IF($G34="oui","V","F")</f>
        <v>F</v>
      </c>
      <c r="M34" s="2256"/>
      <c r="N34" s="1275"/>
      <c r="O34" s="1275"/>
      <c r="P34" s="45"/>
      <c r="Q34" s="503" t="str">
        <f>IF(C34=" ","",IF(G34="Oui",Y34,""))</f>
        <v/>
      </c>
      <c r="R34" s="503" t="str">
        <f>IF(C34=" ","",IF(G34="Oui",Z34,""))</f>
        <v/>
      </c>
      <c r="S34" s="765"/>
      <c r="T34" s="765"/>
      <c r="U34" s="2248"/>
      <c r="V34" s="2248"/>
      <c r="W34" s="2248"/>
      <c r="X34" s="2248"/>
      <c r="Y34" s="2159"/>
      <c r="Z34" s="2305" t="s">
        <v>1808</v>
      </c>
      <c r="AA34" s="2316"/>
      <c r="AB34" s="2328"/>
      <c r="AC34" s="5"/>
      <c r="AD34" s="5"/>
      <c r="AE34" s="5"/>
      <c r="AF34" s="5"/>
      <c r="AG34" s="5"/>
      <c r="AH34" s="5"/>
      <c r="AI34" s="1905"/>
    </row>
    <row r="35" spans="1:38" ht="136" customHeight="1">
      <c r="A35" s="1282"/>
      <c r="B35" s="7" t="str">
        <f>Test_Bible!A21</f>
        <v>B03</v>
      </c>
      <c r="C35" s="25" t="str">
        <f>Test_Bible!B21</f>
        <v xml:space="preserve">Quelle a été la durée de vie commune avec l'autre parent (coparent) ?
</v>
      </c>
      <c r="D35" s="2378" t="s">
        <v>1809</v>
      </c>
      <c r="E35" s="13"/>
      <c r="F35" s="6"/>
      <c r="G35" s="8">
        <f>Test_Bible!P21</f>
        <v>5</v>
      </c>
      <c r="H35" s="2049">
        <f>G35</f>
        <v>5</v>
      </c>
      <c r="I35" s="2325"/>
      <c r="J35" s="2326"/>
      <c r="K35" s="2326"/>
      <c r="L35" s="2326"/>
      <c r="M35" s="2327"/>
      <c r="N35" s="1275"/>
      <c r="O35" s="1275"/>
      <c r="P35" s="2331" t="str">
        <f>IF(C35=" ","",IF(G35=1,HLOOKUP(1,U10:X41,26),""))</f>
        <v/>
      </c>
      <c r="Q35" s="503" t="str">
        <f>IF(C35=" ","",IF(G35=1,Y35,""))</f>
        <v/>
      </c>
      <c r="R35" s="503" t="str">
        <f>IF(C35=" ","",IF(G35=1,Z35,""))</f>
        <v/>
      </c>
      <c r="S35" s="765"/>
      <c r="T35" s="765"/>
      <c r="U35" s="2330" t="s">
        <v>1810</v>
      </c>
      <c r="V35" s="2330" t="s">
        <v>1810</v>
      </c>
      <c r="W35" s="2330" t="s">
        <v>1810</v>
      </c>
      <c r="X35" s="2330" t="s">
        <v>1810</v>
      </c>
      <c r="Y35" s="2159"/>
      <c r="Z35" s="2329"/>
      <c r="AA35" s="272"/>
      <c r="AB35" s="5"/>
      <c r="AC35" s="5"/>
      <c r="AD35" s="5"/>
      <c r="AE35" s="5"/>
      <c r="AF35" s="5"/>
      <c r="AG35" s="5"/>
      <c r="AH35" s="5"/>
      <c r="AI35" s="5"/>
    </row>
    <row r="36" spans="1:38" ht="31" customHeight="1">
      <c r="B36" s="82"/>
      <c r="C36" s="82"/>
      <c r="D36" s="82"/>
      <c r="E36" s="82"/>
      <c r="F36" s="11"/>
      <c r="G36" s="11"/>
      <c r="H36" s="1261" t="s">
        <v>1811</v>
      </c>
      <c r="I36" s="2559" t="s">
        <v>1811</v>
      </c>
      <c r="J36" s="2560"/>
      <c r="K36" s="2560"/>
      <c r="L36" s="2560"/>
      <c r="M36" s="2561"/>
      <c r="AB36" s="5"/>
      <c r="AC36" s="5"/>
      <c r="AD36" s="5"/>
      <c r="AE36" s="5"/>
      <c r="AF36" s="5"/>
      <c r="AG36" s="5"/>
      <c r="AH36" s="5"/>
      <c r="AI36" s="5"/>
    </row>
    <row r="37" spans="1:38" ht="20" customHeight="1" thickBot="1">
      <c r="H37" s="1308">
        <f>SUM(H11:H31)</f>
        <v>0</v>
      </c>
      <c r="I37" s="5" t="str">
        <f>I8</f>
        <v>Absent</v>
      </c>
      <c r="J37" s="5" t="str">
        <f>J8</f>
        <v>Faible</v>
      </c>
      <c r="K37" s="5" t="str">
        <f>K8</f>
        <v>Modéré</v>
      </c>
      <c r="L37" s="5" t="str">
        <f>L8</f>
        <v>Élevé</v>
      </c>
      <c r="M37" s="1298" t="s">
        <v>1812</v>
      </c>
      <c r="Z37" s="2189" t="s">
        <v>1813</v>
      </c>
      <c r="AA37" s="2189"/>
      <c r="AB37" s="5"/>
      <c r="AC37" s="5"/>
      <c r="AD37" s="5"/>
      <c r="AE37" s="5"/>
      <c r="AF37" s="5"/>
      <c r="AG37" s="5"/>
      <c r="AH37" s="5"/>
      <c r="AI37" s="5"/>
    </row>
    <row r="38" spans="1:38">
      <c r="H38" s="4" t="str">
        <f>VLOOKUP(H37,AK11:AM14,3)</f>
        <v>Risque absent</v>
      </c>
      <c r="I38" s="1904" t="str">
        <f>AK11&amp;" - "&amp;AL11</f>
        <v>0 - 17</v>
      </c>
      <c r="J38" s="1374" t="str">
        <f>AK12&amp;" - "&amp;AL12</f>
        <v>18 - 52</v>
      </c>
      <c r="K38" s="1374" t="str">
        <f>AK13&amp;" - "&amp;AL13</f>
        <v>53 - 103</v>
      </c>
      <c r="L38" s="1374" t="str">
        <f>AK14&amp;" - "&amp;AL14</f>
        <v>104 - 160</v>
      </c>
      <c r="M38" s="1300">
        <f>SUM(M13:M31)</f>
        <v>160</v>
      </c>
      <c r="N38" s="90"/>
      <c r="O38" s="90"/>
      <c r="S38" s="1253" t="s">
        <v>1534</v>
      </c>
      <c r="T38" s="1253" t="s">
        <v>1369</v>
      </c>
      <c r="U38" s="1253" t="s">
        <v>103</v>
      </c>
      <c r="V38" s="1253" t="s">
        <v>103</v>
      </c>
      <c r="W38" s="1253" t="s">
        <v>1536</v>
      </c>
      <c r="X38" s="1253" t="s">
        <v>1536</v>
      </c>
      <c r="Z38" s="2189" t="s">
        <v>1814</v>
      </c>
      <c r="AA38" s="2189"/>
      <c r="AD38" s="5"/>
      <c r="AE38" s="5"/>
      <c r="AF38" s="5"/>
      <c r="AG38" s="5"/>
      <c r="AH38" s="5"/>
      <c r="AI38" s="5"/>
    </row>
    <row r="39" spans="1:38" ht="25" customHeight="1">
      <c r="N39" t="s">
        <v>1815</v>
      </c>
      <c r="O39" s="90">
        <f>AVERAGE(O20,O26,O32)</f>
        <v>2.8166666666666664</v>
      </c>
      <c r="U39" s="5" t="s">
        <v>1816</v>
      </c>
      <c r="V39" s="5" t="s">
        <v>1817</v>
      </c>
      <c r="W39" s="5" t="s">
        <v>1816</v>
      </c>
      <c r="X39" s="5" t="s">
        <v>1817</v>
      </c>
      <c r="Y39" s="32"/>
      <c r="Z39" s="15"/>
      <c r="AA39" s="15"/>
    </row>
    <row r="40" spans="1:38" ht="75" customHeight="1">
      <c r="D40" s="2400" t="s">
        <v>1818</v>
      </c>
      <c r="K40" s="5"/>
      <c r="M40" s="5"/>
      <c r="N40" s="5"/>
      <c r="O40" s="5"/>
      <c r="P40" s="2129" t="str">
        <f>IF(HLOOKUP(1,U10:X41,31)="","",HLOOKUP(1,U10:X41,31))</f>
        <v/>
      </c>
      <c r="R40" s="7"/>
      <c r="S40" s="2225"/>
      <c r="T40" s="2225"/>
      <c r="U40" s="2304"/>
      <c r="V40" s="2304"/>
      <c r="W40" s="2304"/>
      <c r="X40" s="2304"/>
      <c r="Y40" s="2405"/>
      <c r="Z40" s="2405"/>
    </row>
    <row r="41" spans="1:38" ht="163" customHeight="1">
      <c r="D41" s="17" t="s">
        <v>1819</v>
      </c>
      <c r="H41" s="5"/>
      <c r="I41" s="5"/>
      <c r="J41" s="5"/>
      <c r="K41" s="5"/>
      <c r="R41" s="2314"/>
      <c r="S41" s="1824" t="s">
        <v>1820</v>
      </c>
      <c r="T41" s="1824" t="s">
        <v>1820</v>
      </c>
      <c r="U41" s="1824" t="s">
        <v>1821</v>
      </c>
      <c r="V41" s="1824" t="s">
        <v>1821</v>
      </c>
      <c r="W41" s="1824" t="s">
        <v>1822</v>
      </c>
      <c r="X41" s="1824" t="s">
        <v>1822</v>
      </c>
      <c r="AI41" s="55"/>
      <c r="AL41" s="5"/>
    </row>
    <row r="42" spans="1:38" ht="116" customHeight="1">
      <c r="H42" s="5"/>
      <c r="I42" s="5"/>
      <c r="J42" s="5"/>
      <c r="K42" s="5"/>
    </row>
    <row r="43" spans="1:38">
      <c r="H43" s="5"/>
      <c r="I43" s="5"/>
      <c r="J43" s="5"/>
      <c r="K43" s="5"/>
      <c r="U43" t="s">
        <v>1823</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D28:D31"/>
    <mergeCell ref="D13:D19"/>
    <mergeCell ref="AK8:AM8"/>
    <mergeCell ref="P7:R7"/>
    <mergeCell ref="S6:X6"/>
    <mergeCell ref="AD8:AE8"/>
    <mergeCell ref="I7:M7"/>
    <mergeCell ref="AB7:AI7"/>
    <mergeCell ref="AH8:AI8"/>
    <mergeCell ref="AF8:AG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1824</v>
      </c>
      <c r="R1" s="1925"/>
      <c r="S1" s="1925"/>
      <c r="T1" s="1925"/>
      <c r="U1" s="1925"/>
    </row>
    <row r="2" spans="1:28" ht="24" customHeight="1">
      <c r="B2" s="80"/>
      <c r="R2" s="1925"/>
      <c r="S2" s="1925"/>
      <c r="T2" s="1925"/>
      <c r="U2" s="1925"/>
    </row>
    <row r="3" spans="1:28" ht="19" customHeight="1">
      <c r="B3" s="407" t="s">
        <v>1825</v>
      </c>
      <c r="C3" s="407"/>
    </row>
    <row r="4" spans="1:28" ht="24" customHeight="1">
      <c r="B4" s="407"/>
      <c r="C4" s="407" t="s">
        <v>1826</v>
      </c>
      <c r="R4" s="726"/>
      <c r="S4" s="726"/>
      <c r="T4" s="726"/>
      <c r="U4" s="726"/>
    </row>
    <row r="5" spans="1:28" ht="19" customHeight="1">
      <c r="B5" s="407" t="s">
        <v>1827</v>
      </c>
      <c r="C5" s="407"/>
      <c r="D5" s="2162" t="s">
        <v>1828</v>
      </c>
      <c r="E5" s="1446"/>
      <c r="F5" s="1447"/>
      <c r="G5" s="1447"/>
      <c r="H5" s="1446"/>
      <c r="I5" s="1446"/>
      <c r="J5" s="1446"/>
      <c r="K5" s="1446"/>
    </row>
    <row r="6" spans="1:28" ht="147" customHeight="1">
      <c r="B6" s="407"/>
      <c r="C6" s="407"/>
      <c r="D6" s="80"/>
    </row>
    <row r="7" spans="1:28" ht="22" customHeight="1">
      <c r="B7" s="407" t="s">
        <v>1739</v>
      </c>
      <c r="C7" s="407"/>
      <c r="D7" s="2442" t="s">
        <v>1829</v>
      </c>
      <c r="E7" s="2163"/>
      <c r="F7" s="2164"/>
      <c r="G7" s="2164"/>
      <c r="H7" s="1446"/>
      <c r="I7" s="1446"/>
      <c r="J7" s="1446"/>
      <c r="K7" s="1446"/>
    </row>
    <row r="8" spans="1:28" ht="37" customHeight="1">
      <c r="E8" s="407"/>
      <c r="F8" s="1885"/>
      <c r="G8" s="1885"/>
    </row>
    <row r="9" spans="1:28" ht="37" customHeight="1">
      <c r="E9" s="407"/>
      <c r="F9" s="1885"/>
      <c r="G9" s="1885"/>
    </row>
    <row r="10" spans="1:28" ht="37" customHeight="1">
      <c r="C10" s="407"/>
      <c r="F10" s="1885"/>
      <c r="G10" s="1885"/>
      <c r="V10" s="34" t="s">
        <v>1741</v>
      </c>
    </row>
    <row r="11" spans="1:28" ht="24" customHeight="1">
      <c r="B11" s="407" t="s">
        <v>1830</v>
      </c>
      <c r="C11" s="407"/>
      <c r="D11" s="2162" t="s">
        <v>1831</v>
      </c>
      <c r="E11" s="2163"/>
      <c r="F11" s="2164"/>
      <c r="G11" s="2164"/>
      <c r="H11" s="1446"/>
      <c r="I11" s="1446"/>
      <c r="J11" s="1446"/>
      <c r="K11" s="1446"/>
      <c r="R11" s="2026"/>
      <c r="S11" s="2549" t="s">
        <v>1747</v>
      </c>
      <c r="T11" s="2469"/>
      <c r="U11" s="2515"/>
      <c r="V11" s="2566" t="s">
        <v>1832</v>
      </c>
      <c r="W11" s="2499"/>
      <c r="X11" s="2558" t="s">
        <v>1833</v>
      </c>
      <c r="Y11" s="2468"/>
    </row>
    <row r="12" spans="1:28" ht="37" customHeight="1">
      <c r="R12" s="2027"/>
      <c r="S12" s="2092" t="s">
        <v>1754</v>
      </c>
      <c r="T12" s="2058" t="s">
        <v>1755</v>
      </c>
      <c r="U12" s="2058" t="s">
        <v>1756</v>
      </c>
      <c r="V12" s="2088"/>
      <c r="W12" s="2089"/>
      <c r="X12" s="2057" t="s">
        <v>1760</v>
      </c>
      <c r="Y12" s="2057" t="s">
        <v>1761</v>
      </c>
    </row>
    <row r="13" spans="1:28" ht="29" customHeight="1">
      <c r="R13" s="2028"/>
      <c r="S13" s="2568" t="s">
        <v>1764</v>
      </c>
      <c r="T13" s="2569" t="s">
        <v>1765</v>
      </c>
      <c r="U13" s="2570" t="s">
        <v>1766</v>
      </c>
      <c r="V13" s="2090" t="s">
        <v>1834</v>
      </c>
      <c r="W13" s="2087" t="s">
        <v>1835</v>
      </c>
      <c r="X13" s="2311"/>
      <c r="Y13" s="2311"/>
    </row>
    <row r="14" spans="1:28" ht="33" customHeight="1">
      <c r="R14" s="2027"/>
      <c r="S14" s="2469"/>
      <c r="T14" s="2469"/>
      <c r="U14" s="2515"/>
      <c r="V14" s="2372">
        <f>IF(AND(F27&lt;4,M27&lt;4),1,0)</f>
        <v>1</v>
      </c>
      <c r="W14" s="2373">
        <f>IF(OR(F27&gt;=4,M27&gt;=4),1,0)</f>
        <v>0</v>
      </c>
      <c r="X14" s="2312"/>
      <c r="Y14" s="2312"/>
    </row>
    <row r="15" spans="1:28" ht="37" customHeight="1">
      <c r="B15" s="407" t="s">
        <v>1739</v>
      </c>
      <c r="C15" s="407"/>
      <c r="D15" s="2384" t="s">
        <v>1836</v>
      </c>
      <c r="E15" s="2163"/>
      <c r="F15" s="1447"/>
      <c r="G15" s="1447"/>
      <c r="H15" s="1446"/>
      <c r="I15" s="1446"/>
      <c r="J15" s="1446"/>
      <c r="K15" s="1446"/>
      <c r="P15" s="700"/>
      <c r="Q15" s="16" t="s">
        <v>1837</v>
      </c>
      <c r="R15" s="2031" t="s">
        <v>1838</v>
      </c>
      <c r="V15" s="2031"/>
      <c r="W15" s="2091"/>
      <c r="X15" s="16"/>
      <c r="Y15" s="16"/>
      <c r="AB15" s="288" t="s">
        <v>1839</v>
      </c>
    </row>
    <row r="16" spans="1:28" ht="37" customHeight="1">
      <c r="A16" s="2371" t="s">
        <v>1840</v>
      </c>
      <c r="B16" s="407"/>
      <c r="C16" s="407"/>
      <c r="D16" s="80"/>
      <c r="E16" s="407"/>
      <c r="P16" s="700"/>
      <c r="R16" s="2031"/>
      <c r="V16" s="2031"/>
      <c r="W16" s="2091"/>
      <c r="X16" s="16"/>
      <c r="Y16" s="16"/>
      <c r="AB16" s="288"/>
    </row>
    <row r="17" spans="1:30" ht="33" customHeight="1">
      <c r="A17" s="2371" t="s">
        <v>1841</v>
      </c>
      <c r="B17" s="2030"/>
      <c r="C17" s="16"/>
      <c r="D17" s="272"/>
      <c r="P17" s="700"/>
      <c r="Q17" s="1373" t="s">
        <v>1842</v>
      </c>
      <c r="R17" s="2031"/>
      <c r="V17" s="2031"/>
      <c r="W17" s="2091"/>
      <c r="X17" s="16"/>
      <c r="Y17" s="16"/>
      <c r="AB17" s="288"/>
    </row>
    <row r="18" spans="1:30" ht="103" customHeight="1" thickBot="1">
      <c r="A18" t="s">
        <v>1843</v>
      </c>
      <c r="B18" s="728" t="s">
        <v>1749</v>
      </c>
      <c r="C18" s="16"/>
      <c r="D18" s="272"/>
      <c r="E18" s="16" t="s">
        <v>235</v>
      </c>
      <c r="F18" s="16" t="s">
        <v>252</v>
      </c>
      <c r="G18" s="16" t="s">
        <v>1844</v>
      </c>
      <c r="H18" s="598"/>
      <c r="I18" s="598"/>
      <c r="J18" s="16"/>
      <c r="K18" s="272"/>
      <c r="L18" s="16" t="s">
        <v>235</v>
      </c>
      <c r="M18" s="16" t="s">
        <v>252</v>
      </c>
      <c r="N18" s="16" t="s">
        <v>1844</v>
      </c>
      <c r="O18" s="598"/>
      <c r="P18" s="5"/>
      <c r="Q18" s="16"/>
      <c r="U18" s="8" t="s">
        <v>1845</v>
      </c>
      <c r="V18" s="2448" t="s">
        <v>1846</v>
      </c>
      <c r="W18" s="826" t="s">
        <v>1847</v>
      </c>
      <c r="X18" s="16"/>
      <c r="Y18" s="16"/>
      <c r="Z18" s="2265" t="s">
        <v>1842</v>
      </c>
      <c r="AA18" s="2266"/>
      <c r="AC18" t="s">
        <v>1848</v>
      </c>
      <c r="AD18" t="s">
        <v>1849</v>
      </c>
    </row>
    <row r="19" spans="1:30" ht="59" customHeight="1" thickBot="1">
      <c r="A19" s="700" t="str">
        <f t="shared" ref="A19:A26" si="0">IF(OR(E19=0,L19=0,D19="",K19=""),"question NON affichée","oui")</f>
        <v>oui</v>
      </c>
      <c r="B19" s="623" t="s">
        <v>1850</v>
      </c>
      <c r="C19" s="606" t="str">
        <f>BIBLE!E139</f>
        <v>PFA31</v>
      </c>
      <c r="D19" s="610" t="str">
        <f>Test_Bible!B243</f>
        <v xml:space="preserve">Dans quelle mesure diriez-vous que l'autre parent accepte ou vit bien avec la séparation (de couple ou familiale) ? </v>
      </c>
      <c r="E19" s="606">
        <f>Test_Bible!D243</f>
        <v>1</v>
      </c>
      <c r="F19" s="1884" t="str">
        <f>Test_Bible!P243</f>
        <v>4</v>
      </c>
      <c r="G19" s="1884">
        <f t="shared" ref="G19:G26" si="1">E19*F19</f>
        <v>4</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1</v>
      </c>
      <c r="M19" s="1891" t="str">
        <f>Test_Bible!P154</f>
        <v>1</v>
      </c>
      <c r="N19" s="1890">
        <f t="shared" ref="N19:N26" si="2">L19*M19</f>
        <v>1</v>
      </c>
      <c r="O19" s="1894" t="str">
        <f>BIBLE!V72</f>
        <v>Parentification</v>
      </c>
      <c r="P19" s="5"/>
      <c r="Q19" s="2565" t="s">
        <v>1826</v>
      </c>
      <c r="R19" s="1895">
        <f t="shared" ref="R19:R26" si="3">IF(A19="oui",G19+N19,"")</f>
        <v>5</v>
      </c>
      <c r="S19" s="2401" t="str">
        <f>IF(A19="oui",IF(R19&gt;$Q$27,HLOOKUP(1,$V$14:$W$28,6),""),"")</f>
        <v/>
      </c>
      <c r="T19" s="2401"/>
      <c r="U19" s="2401"/>
      <c r="V19" s="2235"/>
      <c r="W19" s="2234" t="s">
        <v>1851</v>
      </c>
      <c r="X19" s="2235"/>
      <c r="Y19" s="2235"/>
      <c r="Z19" s="2369"/>
      <c r="AA19" s="2370"/>
      <c r="AB19" s="13" t="str">
        <f t="shared" ref="AB19:AB26" si="4">B19</f>
        <v>Est serein·e face à la séparation</v>
      </c>
      <c r="AC19" s="55">
        <f t="shared" ref="AC19:AC26" si="5">IF(OR(D19="",E19=0),"",G19)</f>
        <v>4</v>
      </c>
      <c r="AD19" s="55">
        <f t="shared" ref="AD19:AD26" si="6">IF(OR(K19="",L19=0),"",N19)</f>
        <v>1</v>
      </c>
    </row>
    <row r="20" spans="1:30" ht="73" customHeight="1" thickBot="1">
      <c r="A20" s="700" t="str">
        <f t="shared" si="0"/>
        <v>oui</v>
      </c>
      <c r="B20" s="623" t="s">
        <v>1852</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t="str">
        <f>Test_Bible!P207</f>
        <v>4</v>
      </c>
      <c r="G20" s="1884">
        <f t="shared" si="1"/>
        <v>4</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t="str">
        <f>Test_Bible!P138</f>
        <v>4</v>
      </c>
      <c r="N20" s="1890">
        <f t="shared" si="2"/>
        <v>4</v>
      </c>
      <c r="O20" s="1866" t="str">
        <f>BIBLE!V64</f>
        <v>Interférence lien affectif ou symbolique</v>
      </c>
      <c r="P20" s="8"/>
      <c r="Q20" s="2509"/>
      <c r="R20" s="1895">
        <f t="shared" si="3"/>
        <v>8</v>
      </c>
      <c r="S20" s="2401" t="str">
        <f>IF(A20="oui",IF(R20&gt;$Q$27,HLOOKUP(1,$V$14:$W$28,7),""),"")</f>
        <v/>
      </c>
      <c r="T20" s="2401"/>
      <c r="U20" s="2401"/>
      <c r="V20" s="2235"/>
      <c r="W20" s="2234" t="s">
        <v>1853</v>
      </c>
      <c r="X20" s="2235"/>
      <c r="Y20" s="2235"/>
      <c r="Z20" s="2369"/>
      <c r="AA20" s="2370"/>
      <c r="AB20" s="13" t="str">
        <f t="shared" si="4"/>
        <v xml:space="preserve">Accepte les exigences de la coparentalité </v>
      </c>
      <c r="AC20" s="55">
        <f t="shared" si="5"/>
        <v>4</v>
      </c>
      <c r="AD20" s="55">
        <f t="shared" si="6"/>
        <v>4</v>
      </c>
    </row>
    <row r="21" spans="1:30" ht="73" customHeight="1" thickBot="1">
      <c r="A21" s="700" t="str">
        <f t="shared" si="0"/>
        <v>question NON affichée</v>
      </c>
      <c r="B21" s="623" t="s">
        <v>1854</v>
      </c>
      <c r="C21" s="606" t="str">
        <f>Test_Bible!A163</f>
        <v>PFA00</v>
      </c>
      <c r="D21" s="610" t="str">
        <f>Test_Bible!B163</f>
        <v/>
      </c>
      <c r="E21" s="606">
        <f>Test_Bible!D163</f>
        <v>1</v>
      </c>
      <c r="F21" s="1884">
        <f>Test_Bible!P163</f>
        <v>0</v>
      </c>
      <c r="G21" s="1884">
        <f t="shared" si="1"/>
        <v>0</v>
      </c>
      <c r="H21" s="2232" t="str">
        <f>BIBLE!V80</f>
        <v>Chantage affectif, manipulation</v>
      </c>
      <c r="I21" s="611"/>
      <c r="J21" s="673" t="str">
        <f>BIBLE!E55</f>
        <v>PCR02</v>
      </c>
      <c r="K21" s="1654" t="str">
        <f>Test_Bible!B123</f>
        <v xml:space="preserve"> </v>
      </c>
      <c r="L21" s="673">
        <f>Test_Bible!D123</f>
        <v>1</v>
      </c>
      <c r="M21" s="1892">
        <f>Test_Bible!P123</f>
        <v>0</v>
      </c>
      <c r="N21" s="1890">
        <f t="shared" si="2"/>
        <v>0</v>
      </c>
      <c r="O21" s="2232" t="str">
        <f>BIBLE!V55</f>
        <v>Chantage affectif, manipulation</v>
      </c>
      <c r="P21" s="8"/>
      <c r="Q21" s="2509"/>
      <c r="R21" s="1895" t="str">
        <f t="shared" si="3"/>
        <v/>
      </c>
      <c r="S21" s="2401" t="str">
        <f>IF(A21="oui",IF(R21&gt;$Q$27,HLOOKUP(1,$V$14:$W$28,8),""),"")</f>
        <v/>
      </c>
      <c r="T21" s="2401"/>
      <c r="U21" s="2401"/>
      <c r="V21" s="2235"/>
      <c r="W21" s="2234" t="s">
        <v>1855</v>
      </c>
      <c r="X21" s="2235"/>
      <c r="Y21" s="2235"/>
      <c r="AB21" s="13" t="str">
        <f t="shared" si="4"/>
        <v xml:space="preserve">Accepte de faire des compromis </v>
      </c>
      <c r="AC21" s="55" t="str">
        <f t="shared" si="5"/>
        <v/>
      </c>
      <c r="AD21" s="55">
        <f t="shared" si="6"/>
        <v>0</v>
      </c>
    </row>
    <row r="22" spans="1:30" ht="50" customHeight="1" thickBot="1">
      <c r="A22" s="700" t="str">
        <f t="shared" si="0"/>
        <v>oui</v>
      </c>
      <c r="B22" s="623" t="s">
        <v>1856</v>
      </c>
      <c r="C22" s="606" t="str">
        <f>BIBLE!E119</f>
        <v>PFA21</v>
      </c>
      <c r="D22" s="610" t="str">
        <f>Test_Bible!B205</f>
        <v xml:space="preserve">Dans quelle mesure diriez-vous que l'autre parent vous considère comme étant son égal·e sur le plan parental ? </v>
      </c>
      <c r="E22" s="606">
        <f>Test_Bible!D205</f>
        <v>1</v>
      </c>
      <c r="F22" s="1884" t="str">
        <f>Test_Bible!P205</f>
        <v>4</v>
      </c>
      <c r="G22" s="1884">
        <f t="shared" si="1"/>
        <v>4</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t="str">
        <f>Test_Bible!P137</f>
        <v>4</v>
      </c>
      <c r="N22" s="1890">
        <f t="shared" si="2"/>
        <v>4</v>
      </c>
      <c r="O22" s="1876" t="str">
        <f>BIBLE!V63</f>
        <v>Interférence lien affectif ou symbolique</v>
      </c>
      <c r="P22" s="1421"/>
      <c r="Q22" s="2509"/>
      <c r="R22" s="1895">
        <f t="shared" si="3"/>
        <v>8</v>
      </c>
      <c r="S22" s="2401" t="str">
        <f>IF(A22="oui",IF(R22&gt;$Q$27,HLOOKUP(1,$V$14:$W$28,9),""),"")</f>
        <v/>
      </c>
      <c r="T22" s="2401"/>
      <c r="U22" s="2401"/>
      <c r="V22" s="2236"/>
      <c r="W22" s="2234" t="s">
        <v>1857</v>
      </c>
      <c r="X22" s="2235"/>
      <c r="Y22" s="2235"/>
      <c r="AB22" s="13" t="str">
        <f t="shared" si="4"/>
        <v xml:space="preserve">Respecte la valeur parentale du coparent </v>
      </c>
      <c r="AC22" s="55">
        <f t="shared" si="5"/>
        <v>4</v>
      </c>
      <c r="AD22" s="55">
        <f t="shared" si="6"/>
        <v>4</v>
      </c>
    </row>
    <row r="23" spans="1:30" ht="52" customHeight="1" thickBot="1">
      <c r="A23" s="700" t="str">
        <f t="shared" si="0"/>
        <v>oui</v>
      </c>
      <c r="B23" s="623" t="s">
        <v>1858</v>
      </c>
      <c r="C23" s="606" t="str">
        <f>BIBLE!E96</f>
        <v>PFA10</v>
      </c>
      <c r="D23" s="610" t="str">
        <f>Test_Bible!B182</f>
        <v>L’autre parent vous salue lors de changements de garde, à l'école ou lors d'événements culturels ou sportifs.</v>
      </c>
      <c r="E23" s="606">
        <f>Test_Bible!D182</f>
        <v>1</v>
      </c>
      <c r="F23" s="1884" t="str">
        <f>Test_Bible!P182</f>
        <v>4</v>
      </c>
      <c r="G23" s="1884">
        <f t="shared" si="1"/>
        <v>4</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t="str">
        <f>Test_Bible!P124</f>
        <v>2</v>
      </c>
      <c r="N23" s="1891">
        <f t="shared" si="2"/>
        <v>2</v>
      </c>
      <c r="O23" s="1865" t="str">
        <f>BIBLE!V56</f>
        <v>Chantage affectif, manipulation</v>
      </c>
      <c r="Q23" s="2509"/>
      <c r="R23" s="1895">
        <f t="shared" si="3"/>
        <v>6</v>
      </c>
      <c r="S23" s="2401" t="str">
        <f>IF(A23="oui",IF(R23&gt;$Q$27,HLOOKUP(1,$V$14:$W$28,10),""),"")</f>
        <v/>
      </c>
      <c r="T23" s="2401"/>
      <c r="U23" s="2401"/>
      <c r="V23" s="2237"/>
      <c r="W23" s="2234" t="s">
        <v>1859</v>
      </c>
      <c r="X23" s="2235"/>
      <c r="Y23" s="2235"/>
      <c r="AB23" s="13" t="str">
        <f t="shared" si="4"/>
        <v>Salue l’autre parent lorsqu’il ou elle le croise</v>
      </c>
      <c r="AC23" s="55">
        <f t="shared" si="5"/>
        <v>4</v>
      </c>
      <c r="AD23" s="55">
        <f t="shared" si="6"/>
        <v>2</v>
      </c>
    </row>
    <row r="24" spans="1:30" ht="65" customHeight="1" thickBot="1">
      <c r="A24" s="700" t="str">
        <f t="shared" si="0"/>
        <v>oui</v>
      </c>
      <c r="B24" s="742" t="s">
        <v>1860</v>
      </c>
      <c r="C24" s="606" t="str">
        <f>BIBLE!E132</f>
        <v>PFA29</v>
      </c>
      <c r="D24" s="610" t="str">
        <f>Test_Bible!B221</f>
        <v>L'autre parent prend des décisions sans vous consulter.</v>
      </c>
      <c r="E24" s="606">
        <f>Test_Bible!D221</f>
        <v>2</v>
      </c>
      <c r="F24" s="1884" t="str">
        <f>Test_Bible!P221</f>
        <v>7</v>
      </c>
      <c r="G24" s="1884">
        <f t="shared" si="1"/>
        <v>14</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t="str">
        <f>Test_Bible!P140</f>
        <v>2</v>
      </c>
      <c r="N24" s="1890">
        <f t="shared" si="2"/>
        <v>4</v>
      </c>
      <c r="O24" s="1866" t="str">
        <f>BIBLE!V66</f>
        <v>Interférence lien affectif ou symbolique</v>
      </c>
      <c r="P24" s="8"/>
      <c r="Q24" s="2509"/>
      <c r="R24" s="1895">
        <f t="shared" si="3"/>
        <v>18</v>
      </c>
      <c r="S24" s="2401">
        <f>IF(A24="oui",IF(R24&gt;$Q$27,HLOOKUP(1,$V$14:$W$28,11),""),"")</f>
        <v>0</v>
      </c>
      <c r="T24" s="2401"/>
      <c r="U24" s="2401"/>
      <c r="V24" s="2236"/>
      <c r="W24" s="2234" t="s">
        <v>1861</v>
      </c>
      <c r="X24" s="2235"/>
      <c r="Y24" s="2235"/>
      <c r="AB24" s="13" t="str">
        <f t="shared" si="4"/>
        <v xml:space="preserve">Consulte l’autre parent pour les décisions concernant l’enfant </v>
      </c>
      <c r="AC24" s="55">
        <f t="shared" si="5"/>
        <v>14</v>
      </c>
      <c r="AD24" s="55">
        <f t="shared" si="6"/>
        <v>4</v>
      </c>
    </row>
    <row r="25" spans="1:30" ht="55" customHeight="1" thickBot="1">
      <c r="A25" s="700" t="str">
        <f t="shared" si="0"/>
        <v>oui</v>
      </c>
      <c r="B25" s="623" t="s">
        <v>1862</v>
      </c>
      <c r="C25" s="606" t="str">
        <f>BIBLE!E94</f>
        <v>PFA09</v>
      </c>
      <c r="D25" s="610" t="str">
        <f>Test_Bible!B180</f>
        <v>Arrive-t-il que l'autre parent vous accable de reproches par courriel ou texto au retour des enfants (après votre tour de garde) ?</v>
      </c>
      <c r="E25" s="606">
        <f>Test_Bible!D180</f>
        <v>1</v>
      </c>
      <c r="F25" s="1884" t="str">
        <f>Test_Bible!P180</f>
        <v>4</v>
      </c>
      <c r="G25" s="1884">
        <f t="shared" si="1"/>
        <v>4</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t="str">
        <f>Test_Bible!P126</f>
        <v>4</v>
      </c>
      <c r="N25" s="1893">
        <f t="shared" si="2"/>
        <v>4</v>
      </c>
      <c r="O25" s="1873" t="str">
        <f>BIBLE!V58</f>
        <v>Dénigrement</v>
      </c>
      <c r="Q25" s="2509"/>
      <c r="R25" s="1895">
        <f t="shared" si="3"/>
        <v>8</v>
      </c>
      <c r="S25" s="2401" t="str">
        <f>IF(A25="oui",IF(R25&gt;$Q$27,HLOOKUP(1,$V$14:$W$28,12),""),"")</f>
        <v/>
      </c>
      <c r="T25" s="2401"/>
      <c r="U25" s="2401"/>
      <c r="V25" s="2237"/>
      <c r="W25" s="2234" t="s">
        <v>1863</v>
      </c>
      <c r="X25" s="2235"/>
      <c r="Y25" s="2235"/>
      <c r="AB25" s="13" t="str">
        <f t="shared" si="4"/>
        <v xml:space="preserve">Respecte l’autorité parentale du coparent </v>
      </c>
      <c r="AC25" s="55">
        <f t="shared" si="5"/>
        <v>4</v>
      </c>
      <c r="AD25" s="55">
        <f t="shared" si="6"/>
        <v>4</v>
      </c>
    </row>
    <row r="26" spans="1:30" ht="65" customHeight="1" thickBot="1">
      <c r="A26" s="700" t="str">
        <f t="shared" si="0"/>
        <v>oui</v>
      </c>
      <c r="B26" s="623" t="s">
        <v>1864</v>
      </c>
      <c r="C26" s="606" t="str">
        <f>BIBLE!E100</f>
        <v>PFA13</v>
      </c>
      <c r="D26" s="610" t="str">
        <f>Test_Bible!B186</f>
        <v>L’autre parent vous dénigre en la présence de votre enfant.</v>
      </c>
      <c r="E26" s="606">
        <f>Test_Bible!D186</f>
        <v>1</v>
      </c>
      <c r="F26" s="1884" t="str">
        <f>Test_Bible!P186</f>
        <v>10</v>
      </c>
      <c r="G26" s="1884">
        <f t="shared" si="1"/>
        <v>10</v>
      </c>
      <c r="H26" s="1880" t="str">
        <f>BIBLE!V100</f>
        <v>Dénigrement</v>
      </c>
      <c r="I26" s="612"/>
      <c r="J26" s="626" t="str">
        <f>BIBLE!E60</f>
        <v>PCR07</v>
      </c>
      <c r="K26" s="1657" t="str">
        <f>Test_Bible!B134</f>
        <v>Il vous arrive de faire des reproches à l'autre parent devant votre enfant.</v>
      </c>
      <c r="L26" s="2228">
        <f>Test_Bible!D134</f>
        <v>1</v>
      </c>
      <c r="M26" s="1891" t="str">
        <f>Test_Bible!P134</f>
        <v>4</v>
      </c>
      <c r="N26" s="1891">
        <f t="shared" si="2"/>
        <v>4</v>
      </c>
      <c r="O26" s="1871" t="str">
        <f>BIBLE!V60</f>
        <v>Dénigrement</v>
      </c>
      <c r="Q26" s="2510"/>
      <c r="R26" s="1895">
        <f t="shared" si="3"/>
        <v>14</v>
      </c>
      <c r="S26" s="2401">
        <f>IF(A26="oui",IF(R26&gt;$Q$27,HLOOKUP(1,$V$14:$W$28,13),""),"")</f>
        <v>0</v>
      </c>
      <c r="T26" s="2401"/>
      <c r="U26" s="2401"/>
      <c r="V26" s="2237"/>
      <c r="W26" s="2234" t="s">
        <v>1865</v>
      </c>
      <c r="X26" s="2235"/>
      <c r="Y26" s="2235"/>
      <c r="AB26" s="13" t="str">
        <f t="shared" si="4"/>
        <v xml:space="preserve">Évite de faire des reproches au coparent </v>
      </c>
      <c r="AC26" s="55">
        <f t="shared" si="5"/>
        <v>10</v>
      </c>
      <c r="AD26" s="55">
        <f t="shared" si="6"/>
        <v>4</v>
      </c>
    </row>
    <row r="27" spans="1:30" ht="95" customHeight="1">
      <c r="B27" s="25"/>
      <c r="D27" s="291"/>
      <c r="E27" s="2" t="s">
        <v>1866</v>
      </c>
      <c r="F27" s="90">
        <f>(MAX(F19:F26))</f>
        <v>0</v>
      </c>
      <c r="G27" s="6"/>
      <c r="H27" s="751"/>
      <c r="K27" s="1902"/>
      <c r="L27" s="2" t="s">
        <v>1866</v>
      </c>
      <c r="M27" s="90">
        <f>(MAX(M19:M26))</f>
        <v>0</v>
      </c>
      <c r="N27" s="6"/>
      <c r="O27" s="751" t="s">
        <v>1815</v>
      </c>
      <c r="P27" s="6"/>
      <c r="Q27" s="90">
        <f>AVERAGE(R19:R26)</f>
        <v>9.5714285714285712</v>
      </c>
      <c r="S27" s="2401" t="str">
        <f>IF(HLOOKUP(1,$V$14:$W$28,14)="","",HLOOKUP(1,$V$14:$W$28,14))</f>
        <v/>
      </c>
      <c r="T27" s="576" t="str">
        <f>IF(OR(F27&gt;=4,M27&gt;=4),X27,"")</f>
        <v/>
      </c>
      <c r="U27" s="2402" t="str">
        <f>IF(OR(F27&gt;=4,M27&gt;=4),Y27,"")</f>
        <v/>
      </c>
      <c r="V27" s="2237"/>
      <c r="W27" s="2237"/>
      <c r="X27" s="2318"/>
      <c r="Y27" s="2318"/>
      <c r="Z27" s="25"/>
      <c r="AB27" s="13"/>
      <c r="AC27" s="55"/>
    </row>
    <row r="28" spans="1:30" ht="95" customHeight="1">
      <c r="B28" s="25"/>
      <c r="D28" s="291"/>
      <c r="E28" s="5"/>
      <c r="G28" s="6"/>
      <c r="H28" s="751"/>
      <c r="K28" s="1902"/>
      <c r="L28" s="5"/>
      <c r="N28" s="6"/>
      <c r="O28" s="751"/>
      <c r="P28" s="6"/>
      <c r="S28" s="7"/>
      <c r="T28" s="7"/>
      <c r="U28" s="7"/>
      <c r="V28" s="2168"/>
      <c r="W28" s="2385" t="s">
        <v>1867</v>
      </c>
      <c r="X28" s="2313"/>
      <c r="Y28" s="2313"/>
      <c r="Z28" s="25"/>
      <c r="AC28" s="55"/>
    </row>
    <row r="29" spans="1:30" ht="95" customHeight="1">
      <c r="B29" s="25"/>
      <c r="D29" s="291"/>
      <c r="E29" s="5"/>
      <c r="G29" s="6"/>
      <c r="H29" s="751"/>
      <c r="K29" s="1902"/>
      <c r="L29" s="5"/>
      <c r="N29" s="6"/>
      <c r="O29" s="751"/>
      <c r="P29" s="6"/>
      <c r="R29" s="7"/>
      <c r="S29" s="7"/>
      <c r="T29" s="7"/>
      <c r="U29" s="7"/>
      <c r="V29" s="2319"/>
      <c r="W29" s="2320"/>
      <c r="X29" s="2097"/>
      <c r="Y29" s="2097"/>
      <c r="Z29" s="25"/>
      <c r="AC29" s="55"/>
    </row>
    <row r="30" spans="1:30" ht="34" customHeight="1">
      <c r="B30" s="25"/>
      <c r="D30" s="291"/>
      <c r="E30" s="5"/>
      <c r="G30" s="6"/>
      <c r="H30" s="751"/>
      <c r="K30" s="1902"/>
      <c r="L30" s="5"/>
      <c r="N30" s="6"/>
      <c r="O30" s="751"/>
      <c r="P30" s="6"/>
      <c r="R30" s="7"/>
      <c r="S30" s="7"/>
      <c r="T30" s="7"/>
      <c r="U30" s="7"/>
      <c r="V30" s="2372">
        <f>IF(AND(F38&lt;4,M38&lt;4),1,0)</f>
        <v>1</v>
      </c>
      <c r="W30" s="2373">
        <f>IF(OR(F38&gt;=4,M38&gt;=4),1,0)</f>
        <v>0</v>
      </c>
      <c r="X30" s="16" t="s">
        <v>1760</v>
      </c>
      <c r="Y30" s="16" t="s">
        <v>1761</v>
      </c>
      <c r="Z30" s="25"/>
      <c r="AC30" s="55"/>
    </row>
    <row r="31" spans="1:30" ht="95" customHeight="1" thickBot="1">
      <c r="B31" s="603" t="s">
        <v>1749</v>
      </c>
      <c r="D31" s="291"/>
      <c r="E31" s="5"/>
      <c r="G31" s="6"/>
      <c r="H31" s="751"/>
      <c r="K31" s="1902"/>
      <c r="L31" s="5"/>
      <c r="N31" s="6"/>
      <c r="O31" s="751"/>
      <c r="P31" s="6"/>
      <c r="S31" s="8"/>
      <c r="T31" s="8"/>
      <c r="U31" s="8" t="s">
        <v>1770</v>
      </c>
      <c r="V31" s="2448" t="s">
        <v>1868</v>
      </c>
      <c r="W31" s="2091" t="s">
        <v>1869</v>
      </c>
      <c r="Z31" s="25"/>
      <c r="AC31" t="s">
        <v>1848</v>
      </c>
      <c r="AD31" t="s">
        <v>1849</v>
      </c>
    </row>
    <row r="32" spans="1:30" ht="61" customHeight="1" thickBot="1">
      <c r="A32" s="700" t="str">
        <f t="shared" ref="A32:A37" si="7">IF(OR(E32=0,L32=0,D32="",K32=""),"question NON affichée","oui")</f>
        <v>oui</v>
      </c>
      <c r="B32" s="623" t="s">
        <v>1870</v>
      </c>
      <c r="C32" s="606" t="str">
        <f>BIBLE!E129</f>
        <v>PFA28</v>
      </c>
      <c r="D32" s="610" t="str">
        <f>Test_Bible!B218</f>
        <v xml:space="preserve">L’autre parent permet à votre enfant d'apporter des objets (jouets ou cadeaux reçus) provenant de chez vous. </v>
      </c>
      <c r="E32" s="606">
        <f>Test_Bible!D218</f>
        <v>2</v>
      </c>
      <c r="F32" s="1884" t="str">
        <f>Test_Bible!P218</f>
        <v>2</v>
      </c>
      <c r="G32" s="1884">
        <f t="shared" ref="G32:G37" si="8">E32*F32</f>
        <v>4</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t="str">
        <f>Test_Bible!P139</f>
        <v>1</v>
      </c>
      <c r="N32" s="1892">
        <f t="shared" ref="N32:N37" si="9">L32*M32</f>
        <v>2</v>
      </c>
      <c r="O32" s="1866" t="str">
        <f>BIBLE!V65</f>
        <v>Interférence lien affectif ou symbolique</v>
      </c>
      <c r="Q32" s="2565" t="s">
        <v>1871</v>
      </c>
      <c r="R32" s="1895">
        <f t="shared" ref="R32:R37" si="10">IF(A32="oui",G32+N32,"")</f>
        <v>6</v>
      </c>
      <c r="S32" s="2401" t="str">
        <f>IF(A32="oui",IF(R32&gt;$Q$38,HLOOKUP(1,$V$30:$W$39,3),""),"")</f>
        <v/>
      </c>
      <c r="T32" s="2401" t="str">
        <f>IF(A32="oui",IF(R32&gt;$Q$38,X32,""))</f>
        <v/>
      </c>
      <c r="U32" s="2401" t="str">
        <f>IF(A32="oui",IF(R32&gt;$Q$38,Y32,""))</f>
        <v/>
      </c>
      <c r="V32" s="2237"/>
      <c r="W32" s="2234" t="s">
        <v>1872</v>
      </c>
      <c r="X32" s="2235"/>
      <c r="Y32" s="2235"/>
      <c r="AB32" s="13" t="str">
        <f t="shared" ref="AB32:AB37" si="11">B32</f>
        <v>Accepte que les objets voyagent d’une maison à l’autre</v>
      </c>
      <c r="AC32" s="55">
        <f t="shared" ref="AC32:AC37" si="12">IF(OR(D32="",E32=0),"",G32)</f>
        <v>4</v>
      </c>
      <c r="AD32" s="55">
        <f t="shared" ref="AD32:AD37" si="13">IF(OR(K32="",L32=0),"",N32)</f>
        <v>2</v>
      </c>
    </row>
    <row r="33" spans="1:30" ht="81" customHeight="1" thickBot="1">
      <c r="A33" s="700" t="str">
        <f t="shared" si="7"/>
        <v>oui</v>
      </c>
      <c r="B33" s="623" t="s">
        <v>1873</v>
      </c>
      <c r="C33" s="606" t="str">
        <f>BIBLE!E144</f>
        <v>PFA34</v>
      </c>
      <c r="D33" s="610" t="str">
        <f>Test_Bible!B248</f>
        <v>L’autre parent refuse de vous parler et demande à votre enfant de faire les messages et autres demandes entourant la logistique familiale.</v>
      </c>
      <c r="E33" s="606">
        <f>Test_Bible!D248</f>
        <v>3</v>
      </c>
      <c r="F33" s="1884" t="str">
        <f>Test_Bible!P248</f>
        <v>2</v>
      </c>
      <c r="G33" s="1884">
        <f t="shared" si="8"/>
        <v>6</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2</v>
      </c>
      <c r="M33" s="1891" t="str">
        <f>Test_Bible!P149</f>
        <v>4</v>
      </c>
      <c r="N33" s="1891">
        <f t="shared" si="9"/>
        <v>8</v>
      </c>
      <c r="O33" s="1868" t="str">
        <f>BIBLE!V68</f>
        <v>Parentification</v>
      </c>
      <c r="Q33" s="2509"/>
      <c r="R33" s="1895">
        <f t="shared" si="10"/>
        <v>14</v>
      </c>
      <c r="S33" s="2401">
        <f>IF(A33="oui",IF(R33&gt;$Q$38,HLOOKUP(1,$V$30:$W$39,4),""),"")</f>
        <v>0</v>
      </c>
      <c r="T33" s="2401">
        <f>IF(A33="oui",IF(R33&gt;$Q$38,X33,""),"")</f>
        <v>0</v>
      </c>
      <c r="U33" s="2401">
        <f>IF(A33="oui",IF(R33&gt;$Q$38,Y33,""),"")</f>
        <v>0</v>
      </c>
      <c r="V33" s="2237"/>
      <c r="W33" s="2234" t="s">
        <v>1874</v>
      </c>
      <c r="X33" s="2235"/>
      <c r="Y33" s="2235"/>
      <c r="AB33" s="13" t="str">
        <f t="shared" si="11"/>
        <v xml:space="preserve">Protège l'enfant du rôle de messager </v>
      </c>
      <c r="AC33" s="55">
        <f t="shared" si="12"/>
        <v>6</v>
      </c>
      <c r="AD33" s="55">
        <f t="shared" si="13"/>
        <v>8</v>
      </c>
    </row>
    <row r="34" spans="1:30" ht="81" customHeight="1" thickBot="1">
      <c r="A34" s="700" t="str">
        <f t="shared" si="7"/>
        <v>oui</v>
      </c>
      <c r="B34" s="623" t="s">
        <v>1875</v>
      </c>
      <c r="C34" s="606" t="str">
        <f>BIBLE!E142</f>
        <v>PFA32</v>
      </c>
      <c r="D34" s="610" t="str">
        <f>Test_Bible!B246</f>
        <v>L'autre parent fait lire vos échanges et communications (courriels, textos, etc.) à votre enfant.</v>
      </c>
      <c r="E34" s="606">
        <f>Test_Bible!D246</f>
        <v>2</v>
      </c>
      <c r="F34" s="1884" t="str">
        <f>Test_Bible!P246</f>
        <v>4</v>
      </c>
      <c r="G34" s="1884">
        <f t="shared" si="8"/>
        <v>8</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2</v>
      </c>
      <c r="M34" s="1891" t="str">
        <f>Test_Bible!P151</f>
        <v>2</v>
      </c>
      <c r="N34" s="1891">
        <f t="shared" si="9"/>
        <v>4</v>
      </c>
      <c r="O34" s="1874" t="str">
        <f>BIBLE!V70</f>
        <v>Parentification</v>
      </c>
      <c r="Q34" s="2509"/>
      <c r="R34" s="1895">
        <f t="shared" si="10"/>
        <v>12</v>
      </c>
      <c r="S34" s="2401">
        <f>IF(A34="oui",IF(R34&gt;$Q$38,HLOOKUP(1,$V$30:$W$39,5),""),"")</f>
        <v>0</v>
      </c>
      <c r="T34" s="2401">
        <f>IF(A34="oui",IF(R34&gt;$Q$38,X34,""),"")</f>
        <v>0</v>
      </c>
      <c r="U34" s="2401">
        <f>IF(A34="oui",IF(R34&gt;$Q$38,Y34,""),"")</f>
        <v>0</v>
      </c>
      <c r="V34" s="2237"/>
      <c r="W34" s="2234" t="s">
        <v>1876</v>
      </c>
      <c r="X34" s="2235"/>
      <c r="Y34" s="2235"/>
      <c r="AB34" s="13" t="str">
        <f t="shared" si="11"/>
        <v xml:space="preserve">Protège l'enfant des enjeux de séparation </v>
      </c>
      <c r="AC34" s="55">
        <f t="shared" si="12"/>
        <v>8</v>
      </c>
      <c r="AD34" s="55">
        <f t="shared" si="13"/>
        <v>4</v>
      </c>
    </row>
    <row r="35" spans="1:30" ht="53" customHeight="1" thickBot="1">
      <c r="A35" s="700" t="str">
        <f t="shared" si="7"/>
        <v>oui</v>
      </c>
      <c r="B35" s="623" t="s">
        <v>1877</v>
      </c>
      <c r="C35" s="606" t="str">
        <f>BIBLE!E99</f>
        <v>PFA12</v>
      </c>
      <c r="D35" s="610" t="str">
        <f>Test_Bible!B185</f>
        <v>L'autre parent questionne votre enfant à son retour de garde afin de connaître la routine (repas, dodo, activités, etc.) chez vous.</v>
      </c>
      <c r="E35" s="606">
        <f>Test_Bible!D185</f>
        <v>2</v>
      </c>
      <c r="F35" s="1884" t="str">
        <f>Test_Bible!P185</f>
        <v>4</v>
      </c>
      <c r="G35" s="1884">
        <f t="shared" si="8"/>
        <v>8</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t="str">
        <f>Test_Bible!P125</f>
        <v>7</v>
      </c>
      <c r="N35" s="1889">
        <f t="shared" si="9"/>
        <v>7</v>
      </c>
      <c r="O35" s="1865" t="str">
        <f>BIBLE!V57</f>
        <v>Chantage affectif, manipulation</v>
      </c>
      <c r="Q35" s="2509"/>
      <c r="R35" s="1895">
        <f t="shared" si="10"/>
        <v>15</v>
      </c>
      <c r="S35" s="2401">
        <f>IF(A35="oui",IF(R35&gt;$Q$38,HLOOKUP(1,$V$30:$W$39,6),""),"")</f>
        <v>0</v>
      </c>
      <c r="T35" s="2401">
        <f>IF(A35="oui",IF(R35&gt;$Q$38,X35,""),"")</f>
        <v>0</v>
      </c>
      <c r="U35" s="2401">
        <f>IF(A35="oui",IF(R35&gt;$Q$38,Y35,""),"")</f>
        <v>0</v>
      </c>
      <c r="V35" s="2237"/>
      <c r="W35" s="2234" t="s">
        <v>1878</v>
      </c>
      <c r="X35" s="2235"/>
      <c r="Y35" s="2235"/>
      <c r="AB35" s="13" t="str">
        <f t="shared" si="11"/>
        <v xml:space="preserve">Évite de questionner l’enfant à son retour de garde  </v>
      </c>
      <c r="AC35" s="55">
        <f t="shared" si="12"/>
        <v>8</v>
      </c>
      <c r="AD35" s="55">
        <f t="shared" si="13"/>
        <v>7</v>
      </c>
    </row>
    <row r="36" spans="1:30" ht="61" customHeight="1" thickBot="1">
      <c r="A36" s="700" t="str">
        <f t="shared" si="7"/>
        <v>oui</v>
      </c>
      <c r="B36" s="742" t="s">
        <v>1879</v>
      </c>
      <c r="C36" s="606" t="str">
        <f>BIBLE!E145</f>
        <v>PFA35</v>
      </c>
      <c r="D36" s="610" t="str">
        <f>Test_Bible!B249</f>
        <v>L’autre parent laisse à votre enfant le droit de respecter ou non l'entente de garde et votre temps (tour) de garde.</v>
      </c>
      <c r="E36" s="606">
        <f>Test_Bible!D249</f>
        <v>3</v>
      </c>
      <c r="F36" s="1884" t="str">
        <f>Test_Bible!P249</f>
        <v>2</v>
      </c>
      <c r="G36" s="1884">
        <f t="shared" si="8"/>
        <v>6</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2</v>
      </c>
      <c r="M36" s="1892" t="str">
        <f>Test_Bible!P136</f>
        <v>2</v>
      </c>
      <c r="N36" s="1890">
        <f t="shared" si="9"/>
        <v>4</v>
      </c>
      <c r="O36" s="1867" t="str">
        <f>BIBLE!V62</f>
        <v>Interférence temps et/ou communication</v>
      </c>
      <c r="P36" s="8"/>
      <c r="Q36" s="2509"/>
      <c r="R36" s="1895">
        <f t="shared" si="10"/>
        <v>10</v>
      </c>
      <c r="S36" s="2401" t="str">
        <f>IF(A36="oui",IF(R36&gt;$Q$38,HLOOKUP(1,$V$30:$W$39,7),""),"")</f>
        <v/>
      </c>
      <c r="T36" s="2401" t="str">
        <f>IF(A36="oui",IF(R36&gt;$Q$38,X36,""),"")</f>
        <v/>
      </c>
      <c r="U36" s="2401" t="str">
        <f>IF(A36="oui",IF(R36&gt;$Q$38,Y36,""),"")</f>
        <v/>
      </c>
      <c r="V36" s="2236"/>
      <c r="W36" s="2234" t="s">
        <v>1880</v>
      </c>
      <c r="X36" s="2235"/>
      <c r="Y36" s="2235"/>
      <c r="AB36" s="13" t="str">
        <f t="shared" si="11"/>
        <v xml:space="preserve">Favorise et protège le temps parental du coparent  </v>
      </c>
      <c r="AC36" s="55">
        <f t="shared" si="12"/>
        <v>6</v>
      </c>
      <c r="AD36" s="55">
        <f t="shared" si="13"/>
        <v>4</v>
      </c>
    </row>
    <row r="37" spans="1:30" ht="54" customHeight="1" thickBot="1">
      <c r="A37" s="700" t="str">
        <f t="shared" si="7"/>
        <v>oui</v>
      </c>
      <c r="B37" s="623" t="s">
        <v>1881</v>
      </c>
      <c r="C37" s="606" t="str">
        <f>BIBLE!E97</f>
        <v>PFA11</v>
      </c>
      <c r="D37" s="610" t="str">
        <f>Test_Bible!B183</f>
        <v xml:space="preserve">L'autre parent est d'avis que votre enfant est assez mature pour choisir où il doit vivre et avec quel parent.  </v>
      </c>
      <c r="E37" s="606">
        <f>Test_Bible!D183</f>
        <v>2</v>
      </c>
      <c r="F37" s="1884" t="str">
        <f>Test_Bible!P183</f>
        <v>2</v>
      </c>
      <c r="G37" s="1884">
        <f t="shared" si="8"/>
        <v>4</v>
      </c>
      <c r="H37" s="1879" t="str">
        <f>BIBLE!V99</f>
        <v>Chantage affectif, manipulation</v>
      </c>
      <c r="I37" s="612"/>
      <c r="J37" s="626" t="str">
        <f>BIBLE!E69</f>
        <v>PCR14</v>
      </c>
      <c r="K37" s="1657" t="str">
        <f>Test_Bible!B150</f>
        <v>Un enfant de 12 ans est assez mature pour choisir où et avec qui il veut vivre.</v>
      </c>
      <c r="L37" s="626">
        <f>Test_Bible!D150</f>
        <v>2</v>
      </c>
      <c r="M37" s="1891" t="str">
        <f>Test_Bible!P150</f>
        <v>2</v>
      </c>
      <c r="N37" s="1890">
        <f t="shared" si="9"/>
        <v>4</v>
      </c>
      <c r="O37" s="1868" t="str">
        <f>BIBLE!V71</f>
        <v>Parentification</v>
      </c>
      <c r="P37" s="8"/>
      <c r="Q37" s="2510"/>
      <c r="R37" s="1895">
        <f t="shared" si="10"/>
        <v>8</v>
      </c>
      <c r="S37" s="2401" t="str">
        <f>IF(A37="oui",IF(R37&gt;$Q$38,HLOOKUP(1,$V$30:$W$39,8),""),"")</f>
        <v/>
      </c>
      <c r="T37" s="2401" t="str">
        <f>IF(A37="oui",IF(R37&gt;$Q$38,X37,""),"")</f>
        <v/>
      </c>
      <c r="U37" s="2401" t="str">
        <f>IF(A37="oui",IF(R37&gt;$Q$38,Y37,""),"")</f>
        <v/>
      </c>
      <c r="V37" s="2236"/>
      <c r="W37" s="2234" t="s">
        <v>1882</v>
      </c>
      <c r="X37" s="2235"/>
      <c r="Y37" s="2235"/>
      <c r="AB37" s="13" t="str">
        <f t="shared" si="11"/>
        <v>Ne donne pas à l'enfant la responsabilité de choisir</v>
      </c>
      <c r="AC37" s="55">
        <f t="shared" si="12"/>
        <v>4</v>
      </c>
      <c r="AD37" s="55">
        <f t="shared" si="13"/>
        <v>4</v>
      </c>
    </row>
    <row r="38" spans="1:30" ht="150" customHeight="1">
      <c r="A38" s="5"/>
      <c r="B38" s="25"/>
      <c r="C38" s="16"/>
      <c r="D38" s="272"/>
      <c r="E38" s="2" t="s">
        <v>1866</v>
      </c>
      <c r="F38" s="90">
        <f>MAX(F32:F37)</f>
        <v>0</v>
      </c>
      <c r="G38" s="67"/>
      <c r="H38" s="1872"/>
      <c r="J38" s="604"/>
      <c r="K38" s="2023"/>
      <c r="L38" s="2" t="s">
        <v>1866</v>
      </c>
      <c r="M38" s="90">
        <f>MAX(M32:M37)</f>
        <v>0</v>
      </c>
      <c r="N38" s="67"/>
      <c r="O38" s="1517"/>
      <c r="Q38" s="90">
        <f>AVERAGE(R32:R37)</f>
        <v>10.833333333333334</v>
      </c>
      <c r="R38" s="2387" t="s">
        <v>1883</v>
      </c>
      <c r="S38" s="2401" t="str">
        <f>IF(HLOOKUP(1,$V$30:$W$39,9)="","",HLOOKUP(1,$V$30:$W$39,9))</f>
        <v/>
      </c>
      <c r="T38" s="576" t="str">
        <f>IF(OR(F38&gt;=4,M38&gt;=4),X38,"")</f>
        <v/>
      </c>
      <c r="U38" s="2402" t="str">
        <f>IF(OR(F38&gt;=4,M38&gt;=4),Y38,"")</f>
        <v/>
      </c>
      <c r="V38" s="2317"/>
      <c r="W38" s="2386"/>
      <c r="X38" s="2447" t="s">
        <v>1884</v>
      </c>
      <c r="Y38" s="2318"/>
      <c r="AC38" s="55"/>
      <c r="AD38" s="55"/>
    </row>
    <row r="39" spans="1:30" ht="122" customHeight="1">
      <c r="A39" s="5"/>
      <c r="B39" s="25"/>
      <c r="C39" s="16"/>
      <c r="D39" s="272"/>
      <c r="E39" s="16"/>
      <c r="F39" s="67"/>
      <c r="G39" s="67"/>
      <c r="H39" s="1872"/>
      <c r="J39" s="604"/>
      <c r="K39" s="2023"/>
      <c r="L39" s="604"/>
      <c r="M39" s="2024"/>
      <c r="N39" s="67"/>
      <c r="O39" s="1517"/>
      <c r="S39" s="7"/>
      <c r="T39" s="7"/>
      <c r="U39" s="7" t="s">
        <v>1885</v>
      </c>
      <c r="V39" s="2168"/>
      <c r="W39" s="2385" t="s">
        <v>1886</v>
      </c>
      <c r="X39" s="2313"/>
      <c r="Y39" s="2313"/>
      <c r="AA39" s="57"/>
    </row>
    <row r="40" spans="1:30" ht="76" customHeight="1">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c r="B108" s="25"/>
      <c r="C108" s="16"/>
      <c r="D108" s="272"/>
      <c r="E108" s="16"/>
      <c r="F108" s="67"/>
      <c r="G108" s="67"/>
      <c r="H108" s="1872"/>
      <c r="J108" s="604"/>
      <c r="K108" s="2023"/>
      <c r="L108" s="604"/>
      <c r="M108" s="2024"/>
      <c r="N108" s="67"/>
      <c r="O108" s="1517"/>
      <c r="R108" s="2025"/>
      <c r="S108" s="2025"/>
      <c r="T108" s="2025"/>
      <c r="U108" s="2025"/>
    </row>
    <row r="109" spans="2:28" ht="65" customHeight="1">
      <c r="B109" s="25"/>
      <c r="C109" s="16"/>
      <c r="D109" s="272"/>
      <c r="E109" s="16"/>
      <c r="F109" s="67"/>
      <c r="G109" s="67"/>
      <c r="H109" s="1872"/>
      <c r="J109" s="604"/>
      <c r="K109" s="2023"/>
      <c r="L109" s="604"/>
      <c r="M109" s="2024"/>
      <c r="N109" s="67"/>
      <c r="O109" s="1517"/>
      <c r="R109" s="2025"/>
      <c r="S109" s="2025"/>
      <c r="T109" s="2025"/>
      <c r="U109" s="2025"/>
      <c r="V109" s="34" t="s">
        <v>1741</v>
      </c>
    </row>
    <row r="110" spans="2:28" ht="111" customHeight="1">
      <c r="B110" s="25"/>
      <c r="C110" s="16"/>
      <c r="D110" s="272"/>
      <c r="E110" s="16"/>
      <c r="F110" s="67"/>
      <c r="G110" s="67"/>
      <c r="H110" s="1872"/>
      <c r="J110" s="604"/>
      <c r="K110" s="2023"/>
      <c r="L110" s="604"/>
      <c r="M110" s="2024"/>
      <c r="N110" s="67"/>
      <c r="O110" s="1517"/>
      <c r="R110" s="2025"/>
      <c r="S110" s="2025"/>
      <c r="T110" s="2025"/>
      <c r="U110" s="2025"/>
      <c r="V110" s="2566" t="s">
        <v>1887</v>
      </c>
      <c r="W110" s="2499"/>
      <c r="X110" s="2310"/>
      <c r="Y110" s="2310"/>
    </row>
    <row r="111" spans="2:28" ht="29" customHeight="1">
      <c r="B111" s="272"/>
      <c r="C111" s="16"/>
      <c r="D111" s="272"/>
      <c r="E111" s="16"/>
      <c r="F111" s="16"/>
      <c r="G111" s="16"/>
      <c r="H111" s="1517"/>
      <c r="J111" s="8"/>
      <c r="K111" s="272"/>
      <c r="L111" s="8"/>
      <c r="M111" s="8"/>
      <c r="N111" s="8"/>
      <c r="O111" s="1872"/>
      <c r="V111" s="2088"/>
      <c r="W111" s="2089"/>
      <c r="X111" s="2057"/>
      <c r="Y111" s="2057"/>
    </row>
    <row r="112" spans="2:28" ht="29" customHeight="1">
      <c r="B112" s="272"/>
      <c r="C112" s="16"/>
      <c r="D112" s="272"/>
      <c r="E112" s="16"/>
      <c r="F112" s="16"/>
      <c r="G112" s="16"/>
      <c r="H112" s="1517"/>
      <c r="J112" s="8"/>
      <c r="K112" s="272"/>
      <c r="L112" s="8"/>
      <c r="M112" s="8"/>
      <c r="N112" s="8"/>
      <c r="O112" s="1872"/>
      <c r="R112" s="1926"/>
      <c r="S112" s="1926"/>
      <c r="T112" s="1926"/>
      <c r="U112" s="1926"/>
      <c r="V112" s="2090" t="s">
        <v>1888</v>
      </c>
      <c r="W112" s="2087" t="s">
        <v>1889</v>
      </c>
      <c r="X112" s="2311"/>
      <c r="Y112" s="2311"/>
      <c r="AB112" s="288" t="s">
        <v>1890</v>
      </c>
    </row>
    <row r="113" spans="2:30" ht="29" customHeight="1">
      <c r="C113" s="16"/>
      <c r="D113" s="272"/>
      <c r="E113" s="16"/>
      <c r="F113" s="16"/>
      <c r="G113" s="16"/>
      <c r="H113" s="1517"/>
      <c r="J113" s="8"/>
      <c r="K113" s="272"/>
      <c r="L113" s="8"/>
      <c r="M113" s="8"/>
      <c r="N113" s="8"/>
      <c r="O113" s="1872"/>
      <c r="V113" s="2090"/>
      <c r="W113" s="2099"/>
      <c r="X113" s="2312"/>
      <c r="Y113" s="2312"/>
      <c r="AC113" t="s">
        <v>1848</v>
      </c>
      <c r="AD113" t="s">
        <v>1849</v>
      </c>
    </row>
    <row r="114" spans="2:30" ht="35" customHeight="1">
      <c r="B114" s="272"/>
      <c r="C114" s="16"/>
      <c r="D114" s="272"/>
      <c r="E114" s="16"/>
      <c r="F114" s="16"/>
      <c r="G114" s="16"/>
      <c r="H114" s="1517"/>
      <c r="J114" s="8"/>
      <c r="K114" s="272"/>
      <c r="L114" s="8"/>
      <c r="M114" s="8"/>
      <c r="N114" s="8"/>
      <c r="O114" s="1872"/>
      <c r="R114" s="8" t="s">
        <v>1891</v>
      </c>
      <c r="S114" s="8"/>
      <c r="T114" s="8"/>
      <c r="U114" s="8"/>
      <c r="V114" s="2031" t="s">
        <v>1892</v>
      </c>
      <c r="W114" s="2091" t="s">
        <v>1893</v>
      </c>
      <c r="X114" s="16"/>
      <c r="Y114" s="16"/>
      <c r="AB114" t="str">
        <f>B35</f>
        <v xml:space="preserve">Évite de questionner l’enfant à son retour de garde  </v>
      </c>
      <c r="AC114" s="55" t="str">
        <f>F35</f>
        <v>4</v>
      </c>
      <c r="AD114" s="55" t="str">
        <f>M35</f>
        <v>7</v>
      </c>
    </row>
    <row r="115" spans="2:30" ht="55" customHeight="1" thickBot="1">
      <c r="B115" s="1133"/>
      <c r="C115" s="609"/>
      <c r="D115" s="1133"/>
      <c r="E115" s="609"/>
      <c r="F115" s="609"/>
      <c r="G115" s="16" t="s">
        <v>1894</v>
      </c>
      <c r="H115" s="2021"/>
      <c r="I115" s="294"/>
      <c r="J115" s="1180"/>
      <c r="K115" s="1133"/>
      <c r="L115" s="1180"/>
      <c r="M115" s="1180"/>
      <c r="N115" s="16" t="s">
        <v>1894</v>
      </c>
      <c r="O115" s="2022"/>
      <c r="V115" s="2031"/>
      <c r="W115" s="2091"/>
      <c r="X115" s="16"/>
      <c r="Y115" s="16"/>
      <c r="AB115" t="str">
        <f>B23</f>
        <v>Salue l’autre parent lorsqu’il ou elle le croise</v>
      </c>
      <c r="AC115" s="55" t="str">
        <f>F23</f>
        <v>4</v>
      </c>
      <c r="AD115" s="55" t="str">
        <f>M23</f>
        <v>2</v>
      </c>
    </row>
    <row r="116" spans="2:30" ht="13" customHeight="1">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t="str">
        <f>F26</f>
        <v>10</v>
      </c>
      <c r="AD116" s="55" t="str">
        <f>M26</f>
        <v>4</v>
      </c>
    </row>
    <row r="117" spans="2:30">
      <c r="B117" s="25"/>
      <c r="D117" s="291"/>
      <c r="E117" s="5"/>
      <c r="H117" s="751"/>
      <c r="K117" s="291"/>
      <c r="L117" s="5"/>
      <c r="O117" s="751"/>
      <c r="Q117" s="2231"/>
      <c r="R117" s="8"/>
      <c r="S117" s="8"/>
      <c r="T117" s="8"/>
      <c r="U117" s="8"/>
      <c r="V117" s="2105"/>
      <c r="W117" s="2104"/>
      <c r="AB117" t="str">
        <f>B33</f>
        <v xml:space="preserve">Protège l'enfant du rôle de messager </v>
      </c>
      <c r="AC117" s="55" t="str">
        <f>F33</f>
        <v>2</v>
      </c>
      <c r="AD117" s="55" t="str">
        <f>M33</f>
        <v>4</v>
      </c>
    </row>
    <row r="119" spans="2:30" ht="35" customHeight="1">
      <c r="Q119" s="1807"/>
      <c r="V119" s="2108"/>
      <c r="W119" s="2109"/>
      <c r="X119" s="1446"/>
      <c r="Y119" s="1446"/>
      <c r="AB119" t="str">
        <f>B32</f>
        <v>Accepte que les objets voyagent d’une maison à l’autre</v>
      </c>
      <c r="AC119" s="55" t="str">
        <f>F32</f>
        <v>2</v>
      </c>
      <c r="AD119" s="55" t="str">
        <f>M32</f>
        <v>1</v>
      </c>
    </row>
    <row r="120" spans="2:30">
      <c r="B120" s="25"/>
      <c r="C120" s="16"/>
      <c r="D120" s="272"/>
      <c r="E120" s="16"/>
      <c r="F120" s="16"/>
      <c r="G120" s="16"/>
      <c r="H120" s="1517"/>
      <c r="K120" s="291"/>
      <c r="L120" s="5"/>
      <c r="O120" s="751"/>
      <c r="Q120" s="2229"/>
      <c r="R120" s="8"/>
      <c r="S120" s="8"/>
      <c r="T120" s="8"/>
      <c r="U120" s="8"/>
      <c r="V120" s="2105"/>
      <c r="W120" s="2104"/>
      <c r="AC120" s="55"/>
      <c r="AD120" s="55"/>
    </row>
    <row r="121" spans="2:30">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c r="J124" s="604"/>
      <c r="K124" s="272"/>
      <c r="L124" s="272"/>
      <c r="M124" s="16"/>
      <c r="N124" s="16"/>
      <c r="O124" s="598"/>
      <c r="Q124" s="1807"/>
      <c r="V124" s="2108"/>
      <c r="W124" s="2109"/>
      <c r="X124" s="1446"/>
      <c r="Y124" s="1446"/>
      <c r="AC124" s="55"/>
      <c r="AD124" s="55"/>
    </row>
    <row r="125" spans="2:30" ht="55" customHeight="1">
      <c r="R125" s="2029"/>
      <c r="S125" s="2029"/>
      <c r="T125" s="2029"/>
      <c r="U125" s="2029"/>
      <c r="V125" s="2106"/>
      <c r="W125" s="2107"/>
      <c r="AC125" s="55"/>
      <c r="AD125" s="55"/>
    </row>
    <row r="126" spans="2:30" ht="59" customHeight="1">
      <c r="R126" s="2103" t="s">
        <v>1895</v>
      </c>
      <c r="S126" s="2025"/>
      <c r="T126" s="2025"/>
      <c r="U126" s="2025"/>
      <c r="V126" s="2098"/>
      <c r="W126" s="2098"/>
      <c r="X126" s="2098"/>
      <c r="Y126" s="2098"/>
      <c r="AC126" s="55"/>
      <c r="AD126" s="55"/>
    </row>
    <row r="127" spans="2:30" ht="22" customHeight="1">
      <c r="R127" s="2025"/>
      <c r="S127" s="2025"/>
      <c r="T127" s="2025"/>
      <c r="U127" s="2025"/>
      <c r="V127" s="2098"/>
      <c r="W127" s="2098"/>
      <c r="X127" s="2098"/>
      <c r="Y127" s="2098"/>
    </row>
    <row r="128" spans="2:30" ht="37" customHeight="1">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c r="V130" s="1824" t="s">
        <v>1896</v>
      </c>
    </row>
    <row r="131" spans="2:30" ht="78" customHeight="1" thickBot="1">
      <c r="W131" s="2161" t="s">
        <v>1897</v>
      </c>
      <c r="X131" s="2161"/>
      <c r="Y131" s="2161"/>
    </row>
    <row r="132" spans="2:30" ht="78" customHeight="1" thickBot="1">
      <c r="B132" s="623" t="s">
        <v>1898</v>
      </c>
      <c r="C132" s="606" t="str">
        <f>BIBLE!E190</f>
        <v>E12</v>
      </c>
      <c r="D132" s="610" t="str">
        <f>BIBLE!F190</f>
        <v xml:space="preserve">Est-il déjà arrivé que votre enfant dénigre vos compétences parentales devant l’autre parent ? </v>
      </c>
      <c r="E132" s="606">
        <f>Test_Bible!D294</f>
        <v>3</v>
      </c>
      <c r="F132" s="1884">
        <f>Test_Bible!P294</f>
        <v>0</v>
      </c>
      <c r="G132" s="1884">
        <f>E132*F132</f>
        <v>0</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t="str">
        <f>Test_Bible!P205</f>
        <v>4</v>
      </c>
      <c r="N132" s="1890">
        <f>L132*M132</f>
        <v>4</v>
      </c>
      <c r="O132" s="1894" t="str">
        <f>BIBLE!V123</f>
        <v>Interférence lien affectif ou symbolique</v>
      </c>
      <c r="Q132" s="2567" t="s">
        <v>66</v>
      </c>
      <c r="V132" s="1446"/>
      <c r="W132" s="1446"/>
      <c r="X132" s="1446"/>
      <c r="Y132" s="1446"/>
    </row>
    <row r="133" spans="2:30" ht="17" customHeight="1" thickBot="1">
      <c r="B133" s="25"/>
      <c r="D133" s="291"/>
      <c r="E133" s="5"/>
      <c r="H133" s="751"/>
      <c r="K133" s="1902"/>
      <c r="L133" s="5"/>
      <c r="O133" s="751"/>
      <c r="Q133" s="2495"/>
    </row>
    <row r="134" spans="2:30" ht="52" customHeight="1" thickBot="1">
      <c r="B134" s="623" t="s">
        <v>1899</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t="str">
        <f>Test_Bible!P189</f>
        <v>1</v>
      </c>
      <c r="N134" s="1890">
        <f>L134*M134</f>
        <v>2</v>
      </c>
      <c r="O134" s="1866" t="str">
        <f>BIBLE!V115</f>
        <v>Interférence temps et/ou communication</v>
      </c>
      <c r="Q134" s="2496"/>
    </row>
    <row r="139" spans="2:30" ht="17" customHeight="1" thickBot="1"/>
    <row r="140" spans="2:30" ht="58" customHeight="1" thickBot="1">
      <c r="B140" s="623" t="s">
        <v>1900</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c r="B141" s="25"/>
      <c r="C141" s="16"/>
      <c r="D141" s="272"/>
      <c r="E141" s="16"/>
      <c r="F141" s="16"/>
      <c r="G141" s="16"/>
      <c r="H141" s="1517"/>
      <c r="J141" s="494"/>
      <c r="K141" s="272"/>
      <c r="L141" s="16"/>
      <c r="M141" s="16"/>
      <c r="N141" s="16"/>
      <c r="O141" s="1872"/>
      <c r="P141" s="8"/>
      <c r="Q141" s="2495"/>
    </row>
    <row r="142" spans="2:30" ht="69" customHeight="1" thickBot="1">
      <c r="B142" s="742" t="s">
        <v>1901</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t="str">
        <f>Test_Bible!P195</f>
        <v>4</v>
      </c>
      <c r="N142" s="1890">
        <f>L142*M142</f>
        <v>8</v>
      </c>
      <c r="O142" s="1866" t="str">
        <f>BIBLE!V121</f>
        <v>Interférence lien affectif ou symbolique</v>
      </c>
      <c r="P142" s="8"/>
      <c r="Q142" s="2496"/>
    </row>
    <row r="143" spans="2:30" ht="17" customHeight="1" thickBot="1"/>
    <row r="144" spans="2:30" ht="65" customHeight="1" thickBot="1">
      <c r="B144" s="623" t="s">
        <v>1902</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0</v>
      </c>
      <c r="N144" s="1891">
        <f>L144*M144</f>
        <v>0</v>
      </c>
      <c r="O144" s="1871" t="str">
        <f>BIBLE!V89</f>
        <v>Altération ou dévoiement de la réalité</v>
      </c>
      <c r="R144" s="67"/>
      <c r="S144" s="67"/>
      <c r="T144" s="67"/>
      <c r="U144" s="67"/>
      <c r="V144" s="2105"/>
      <c r="W144" s="2104"/>
    </row>
    <row r="145" spans="2:30" ht="17" customHeight="1" thickBot="1">
      <c r="B145" s="25"/>
      <c r="C145" s="16"/>
      <c r="D145" s="272"/>
      <c r="E145" s="16"/>
      <c r="F145" s="16"/>
      <c r="G145" s="16"/>
      <c r="H145" s="1517"/>
      <c r="K145" s="291"/>
      <c r="L145" s="5"/>
      <c r="O145" s="751"/>
      <c r="R145" s="8"/>
      <c r="S145" s="8"/>
      <c r="T145" s="8"/>
      <c r="U145" s="8"/>
      <c r="V145" s="2105"/>
      <c r="W145" s="2104"/>
      <c r="AC145" s="55"/>
      <c r="AD145" s="55"/>
    </row>
    <row r="146" spans="2:30" ht="71" customHeight="1" thickBot="1">
      <c r="B146" s="623" t="s">
        <v>1903</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t="str">
        <f>Test_Bible!P217</f>
        <v>4</v>
      </c>
      <c r="G146" s="1884">
        <f>E146*F146</f>
        <v>8</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defaultColWidth="10.6640625" defaultRowHeight="15.5"/>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1904</v>
      </c>
    </row>
    <row r="2" spans="1:21" ht="53" customHeight="1">
      <c r="A2" s="407" t="s">
        <v>1736</v>
      </c>
      <c r="C2" s="2163" t="s">
        <v>1905</v>
      </c>
      <c r="N2" s="2572"/>
      <c r="O2" s="2468"/>
      <c r="P2" s="2468"/>
      <c r="Q2" s="80"/>
      <c r="R2" s="80"/>
    </row>
    <row r="3" spans="1:21" ht="399" customHeight="1">
      <c r="C3" s="82" t="s">
        <v>1906</v>
      </c>
      <c r="D3" s="13"/>
      <c r="E3" s="13"/>
      <c r="F3" s="13"/>
      <c r="G3" s="1902"/>
      <c r="H3" s="82" t="s">
        <v>1907</v>
      </c>
      <c r="I3" s="826"/>
      <c r="J3" s="826"/>
      <c r="K3" s="1902"/>
      <c r="O3" s="1752"/>
    </row>
    <row r="4" spans="1:21" ht="156" customHeight="1">
      <c r="A4" s="407" t="s">
        <v>1739</v>
      </c>
      <c r="C4" s="2388" t="s">
        <v>1908</v>
      </c>
      <c r="D4" s="1446"/>
      <c r="E4" s="1446"/>
      <c r="F4" s="1446"/>
      <c r="G4" s="1446"/>
      <c r="O4" s="1752"/>
    </row>
    <row r="5" spans="1:21" ht="36" customHeight="1">
      <c r="A5" s="600"/>
      <c r="H5" s="2549" t="s">
        <v>1747</v>
      </c>
      <c r="I5" s="2526"/>
      <c r="J5" s="2515"/>
      <c r="K5" s="2566" t="s">
        <v>1909</v>
      </c>
      <c r="L5" s="2499"/>
      <c r="M5" s="2558" t="s">
        <v>1833</v>
      </c>
      <c r="N5" s="2571"/>
      <c r="O5" s="1752"/>
    </row>
    <row r="6" spans="1:21" s="8" customFormat="1" ht="69" customHeight="1">
      <c r="I6" s="16"/>
      <c r="J6" s="16"/>
      <c r="L6" s="16"/>
      <c r="M6" s="16" t="s">
        <v>152</v>
      </c>
      <c r="N6" s="16" t="s">
        <v>1910</v>
      </c>
    </row>
    <row r="7" spans="1:21" ht="68" customHeight="1">
      <c r="B7" t="s">
        <v>87</v>
      </c>
      <c r="C7" s="8" t="s">
        <v>1545</v>
      </c>
      <c r="D7" s="16" t="s">
        <v>1541</v>
      </c>
      <c r="E7" s="16" t="s">
        <v>1911</v>
      </c>
      <c r="F7" s="1718" t="s">
        <v>88</v>
      </c>
      <c r="G7" s="16" t="s">
        <v>1912</v>
      </c>
      <c r="H7" s="16" t="s">
        <v>1913</v>
      </c>
      <c r="I7" s="16" t="s">
        <v>152</v>
      </c>
      <c r="J7" s="16" t="s">
        <v>1910</v>
      </c>
      <c r="K7" s="8" t="s">
        <v>1770</v>
      </c>
      <c r="L7" s="541" t="s">
        <v>1914</v>
      </c>
      <c r="M7" s="13" t="s">
        <v>1915</v>
      </c>
      <c r="N7" s="13" t="s">
        <v>1915</v>
      </c>
      <c r="P7" s="16"/>
      <c r="S7" s="16"/>
      <c r="T7" s="16"/>
      <c r="U7" s="49"/>
    </row>
    <row r="8" spans="1:21" ht="21" customHeight="1">
      <c r="C8" s="8"/>
      <c r="D8" s="16"/>
      <c r="E8" s="16"/>
      <c r="F8" s="1718"/>
      <c r="G8" s="16"/>
      <c r="H8" s="16"/>
      <c r="I8" s="16"/>
      <c r="J8" s="16"/>
      <c r="K8" s="16"/>
      <c r="L8" s="272">
        <v>1</v>
      </c>
      <c r="M8" s="16"/>
      <c r="P8" s="16"/>
      <c r="S8" s="16"/>
      <c r="T8" s="16"/>
      <c r="U8" s="49"/>
    </row>
    <row r="9" spans="1:21" ht="17" customHeight="1">
      <c r="A9" t="s">
        <v>546</v>
      </c>
      <c r="B9" t="str">
        <f>BIBLE!V85</f>
        <v>Altération ou dévoiement de la réalité</v>
      </c>
      <c r="C9" s="55" t="str">
        <f>BIBLE!R85</f>
        <v>Laisse entendre à l'enfant que l'autre parent a abandonné la famille</v>
      </c>
      <c r="D9" s="6">
        <f>IF(Test_Bible!B171="","",Test_Bible!Q171)</f>
        <v>2</v>
      </c>
      <c r="F9" s="1713"/>
      <c r="G9" s="90">
        <f t="shared" ref="G9:G14" si="0">IF(AND(D9="",E9="",F9=""),"",MAX(D9,E9)+F9)</f>
        <v>2</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c r="A10" t="s">
        <v>553</v>
      </c>
      <c r="B10" t="str">
        <f>BIBLE!V86</f>
        <v>Altération ou dévoiement de la réalité</v>
      </c>
      <c r="C10" s="55" t="str">
        <f>BIBLE!R86</f>
        <v>Laisse entendre à l'enfant qu'il n'est pas aimé de l'autre parent</v>
      </c>
      <c r="D10" s="6">
        <f>IF(Test_Bible!B172="","",Test_Bible!Q172)</f>
        <v>0</v>
      </c>
      <c r="F10" s="1711"/>
      <c r="G10" s="5">
        <f t="shared" si="0"/>
        <v>0</v>
      </c>
      <c r="H10" s="2403" t="str">
        <f t="shared" si="1"/>
        <v/>
      </c>
      <c r="I10" s="2403" t="str">
        <f t="shared" si="2"/>
        <v/>
      </c>
      <c r="J10" s="2403" t="str">
        <f t="shared" si="3"/>
        <v/>
      </c>
      <c r="K10" s="90"/>
      <c r="L10" s="2397"/>
      <c r="M10" s="2393"/>
      <c r="N10" s="2393"/>
      <c r="P10" s="90"/>
      <c r="Q10" s="90"/>
      <c r="R10" s="90"/>
      <c r="S10" s="90"/>
      <c r="T10" s="90"/>
    </row>
    <row r="11" spans="1:21" ht="17" customHeight="1">
      <c r="A11" t="s">
        <v>1916</v>
      </c>
      <c r="B11" t="str">
        <f>BIBLE!V87</f>
        <v>Altération ou dévoiement de la réalité</v>
      </c>
      <c r="C11" s="55" t="str">
        <f>BIBLE!R87</f>
        <v>Laisse entendre à l'enfant qu'il n'est pas en sécurité avec l'autre parent</v>
      </c>
      <c r="D11" s="6">
        <f>IF(Test_Bible!B173="","",Test_Bible!Q173)</f>
        <v>4</v>
      </c>
      <c r="E11" s="90">
        <f>IF(Test_Bible!B406="","",Test_Bible!Q406)</f>
        <v>8</v>
      </c>
      <c r="F11" s="1711"/>
      <c r="G11" s="5">
        <f t="shared" si="0"/>
        <v>8</v>
      </c>
      <c r="H11" s="2403" t="str">
        <f t="shared" si="1"/>
        <v>à inclure</v>
      </c>
      <c r="I11" s="2403">
        <f t="shared" si="2"/>
        <v>0</v>
      </c>
      <c r="J11" s="2403">
        <f t="shared" si="3"/>
        <v>0</v>
      </c>
      <c r="K11" s="90"/>
      <c r="L11" s="2397"/>
      <c r="M11" s="2393"/>
      <c r="N11" s="2393"/>
      <c r="P11" s="90"/>
      <c r="Q11" s="90"/>
      <c r="R11" s="90"/>
      <c r="S11" s="90"/>
      <c r="T11" s="90"/>
    </row>
    <row r="12" spans="1:21" ht="17" customHeight="1">
      <c r="A12" t="s">
        <v>563</v>
      </c>
      <c r="B12" t="str">
        <f>BIBLE!V88</f>
        <v>Altération ou dévoiement de la réalité</v>
      </c>
      <c r="C12" s="55" t="str">
        <f>BIBLE!R88</f>
        <v>Laisse entendre à une instabilité psychologique chez l'autre parent</v>
      </c>
      <c r="D12" s="6">
        <f>IF(Test_Bible!B174="","",Test_Bible!Q174)</f>
        <v>0</v>
      </c>
      <c r="F12" s="1711"/>
      <c r="G12" s="5">
        <f t="shared" si="0"/>
        <v>0</v>
      </c>
      <c r="H12" s="2403" t="str">
        <f t="shared" si="1"/>
        <v/>
      </c>
      <c r="I12" s="2403" t="str">
        <f t="shared" si="2"/>
        <v/>
      </c>
      <c r="J12" s="2403" t="str">
        <f t="shared" si="3"/>
        <v/>
      </c>
      <c r="K12" s="90"/>
      <c r="L12" s="2397"/>
      <c r="M12" s="2393"/>
      <c r="N12" s="2393"/>
      <c r="P12" s="90"/>
      <c r="Q12" s="90"/>
      <c r="R12" s="90"/>
      <c r="S12" s="90"/>
      <c r="T12" s="90"/>
    </row>
    <row r="13" spans="1:21" ht="17" customHeight="1">
      <c r="A13" t="s">
        <v>568</v>
      </c>
      <c r="B13" t="str">
        <f>BIBLE!V89</f>
        <v>Altération ou dévoiement de la réalité</v>
      </c>
      <c r="C13" s="55" t="str">
        <f>BIBLE!R89</f>
        <v>Modifie certains faits passés</v>
      </c>
      <c r="D13" s="6">
        <f>IF(Test_Bible!B175="","",Test_Bible!Q175)</f>
        <v>2</v>
      </c>
      <c r="F13" s="1711"/>
      <c r="G13" s="5">
        <f t="shared" si="0"/>
        <v>2</v>
      </c>
      <c r="H13" s="2403" t="str">
        <f t="shared" si="1"/>
        <v/>
      </c>
      <c r="I13" s="2403" t="str">
        <f t="shared" si="2"/>
        <v/>
      </c>
      <c r="J13" s="2403" t="str">
        <f t="shared" si="3"/>
        <v/>
      </c>
      <c r="K13" s="90"/>
      <c r="L13" s="2397"/>
      <c r="M13" s="2393"/>
      <c r="N13" s="2393"/>
      <c r="P13" s="90"/>
      <c r="Q13" s="90"/>
      <c r="R13" s="90"/>
      <c r="S13" s="90"/>
      <c r="T13" s="90"/>
    </row>
    <row r="14" spans="1:21" ht="17" customHeight="1">
      <c r="A14" s="51" t="s">
        <v>574</v>
      </c>
      <c r="B14" s="51" t="str">
        <f>BIBLE!V90</f>
        <v>Altération ou dévoiement de la réalité</v>
      </c>
      <c r="C14" s="1708" t="str">
        <f>BIBLE!R90</f>
        <v>Déforme les souvenirs de l'enfant</v>
      </c>
      <c r="D14" s="1710">
        <f>IF(Test_Bible!B176="","",Test_Bible!Q176)</f>
        <v>0</v>
      </c>
      <c r="E14" s="51"/>
      <c r="F14" s="1712"/>
      <c r="G14" s="5">
        <f t="shared" si="0"/>
        <v>0</v>
      </c>
      <c r="H14" s="2403" t="str">
        <f t="shared" si="1"/>
        <v/>
      </c>
      <c r="I14" s="2403" t="str">
        <f t="shared" si="2"/>
        <v/>
      </c>
      <c r="J14" s="2403" t="str">
        <f t="shared" si="3"/>
        <v/>
      </c>
      <c r="K14" s="90"/>
      <c r="L14" s="2397"/>
      <c r="M14" s="2394"/>
      <c r="N14" s="2393"/>
      <c r="P14" s="90"/>
      <c r="Q14" s="90"/>
      <c r="R14" s="90"/>
      <c r="S14" s="90"/>
      <c r="T14" s="90"/>
    </row>
    <row r="15" spans="1:21" ht="119" customHeight="1">
      <c r="C15" s="55"/>
      <c r="D15" s="6"/>
      <c r="G15" s="2381">
        <f>AVERAGE(G9:G14)</f>
        <v>2</v>
      </c>
      <c r="H15" s="2444" t="str">
        <f>IF(G15&gt;=$G$54,HLOOKUP(1,$L$8:$L$56,8),"")</f>
        <v/>
      </c>
      <c r="I15" s="2404" t="str">
        <f>IF(G15&gt;=$G$54,M15,"")</f>
        <v/>
      </c>
      <c r="J15" s="2404" t="str">
        <f>IF(G15&gt;=$G$54,N15,"")</f>
        <v/>
      </c>
      <c r="K15" s="2367"/>
      <c r="L15" s="2395" t="s">
        <v>1917</v>
      </c>
      <c r="M15" s="2449" t="s">
        <v>1918</v>
      </c>
      <c r="N15" s="2393"/>
      <c r="P15" s="90"/>
      <c r="Q15" s="90"/>
      <c r="R15" s="90"/>
      <c r="S15" s="90"/>
      <c r="T15" s="90"/>
    </row>
    <row r="16" spans="1:21" ht="17" customHeight="1">
      <c r="A16" t="s">
        <v>1919</v>
      </c>
      <c r="B16" t="str">
        <f>BIBLE!V56</f>
        <v>Chantage affectif, manipulation</v>
      </c>
      <c r="C16" t="str">
        <f>BIBLE!R56</f>
        <v>Ne salue pas l'autre arent lorsqu'il ou elle le croise</v>
      </c>
      <c r="D16" s="6">
        <f>IF(Test_Bible!B182="","",Test_Bible!Q182)</f>
        <v>4</v>
      </c>
      <c r="E16" s="90">
        <f>IF(Test_Bible!B407="","",Test_Bible!Q407)</f>
        <v>2</v>
      </c>
      <c r="F16" s="1714">
        <f>IF(Test_Bible!B124="","",Test_Bible!Q124)</f>
        <v>2</v>
      </c>
      <c r="G16" s="2174">
        <f t="shared" ref="G16:G21" si="4">IF(AND(D16="",E16="",F16=""),"",MAX(D16,E16)+F16)</f>
        <v>6</v>
      </c>
      <c r="H16" s="2403" t="str">
        <f t="shared" ref="H16:H21" si="5">IF(G16="","",IF(OR(G16&gt;$G$22,G16&gt;20),"à inclure",""))</f>
        <v/>
      </c>
      <c r="I16" s="2403" t="str">
        <f t="shared" ref="I16:I21" si="6">IF(G16="","",IF(OR(G16&gt;$G$22,G16&gt;20),M16,""))</f>
        <v/>
      </c>
      <c r="J16" s="2403" t="str">
        <f t="shared" ref="J16:J21" si="7">IF(G16="","",IF(OR(G16&gt;$G$22,G16&gt;20),N16,""))</f>
        <v/>
      </c>
      <c r="K16" s="90"/>
      <c r="L16" s="2397"/>
      <c r="M16" s="2393"/>
      <c r="N16" s="2389"/>
      <c r="P16" s="90"/>
      <c r="Q16" s="90"/>
      <c r="R16" s="90"/>
      <c r="S16" s="90"/>
      <c r="T16" s="90"/>
    </row>
    <row r="17" spans="1:20" ht="17" customHeight="1">
      <c r="A17" t="s">
        <v>1920</v>
      </c>
      <c r="B17" t="str">
        <f>BIBLE!V57</f>
        <v>Chantage affectif, manipulation</v>
      </c>
      <c r="C17" t="str">
        <f>BIBLE!R57</f>
        <v>Questionne l'enfant à son retour de garde</v>
      </c>
      <c r="D17" s="6">
        <f>IF(Test_Bible!B185="","",Test_Bible!Q185)</f>
        <v>8</v>
      </c>
      <c r="E17" s="5"/>
      <c r="F17" s="1714">
        <f>IF(Test_Bible!B125="","",Test_Bible!Q125)</f>
        <v>7</v>
      </c>
      <c r="G17" s="2174">
        <f t="shared" si="4"/>
        <v>15</v>
      </c>
      <c r="H17" s="2403" t="str">
        <f t="shared" si="5"/>
        <v>à inclure</v>
      </c>
      <c r="I17" s="2403">
        <f t="shared" si="6"/>
        <v>0</v>
      </c>
      <c r="J17" s="2403">
        <f t="shared" si="7"/>
        <v>0</v>
      </c>
      <c r="K17" s="90"/>
      <c r="L17" s="2397"/>
      <c r="M17" s="2393"/>
      <c r="N17" s="2389"/>
      <c r="P17" s="90"/>
      <c r="Q17" s="90"/>
      <c r="R17" s="90"/>
      <c r="S17" s="90"/>
      <c r="T17" s="90"/>
    </row>
    <row r="18" spans="1:20" ht="17" customHeight="1">
      <c r="A18" t="s">
        <v>578</v>
      </c>
      <c r="B18" t="str">
        <f>BIBLE!V91</f>
        <v>Chantage affectif, manipulation</v>
      </c>
      <c r="C18" s="55" t="str">
        <f>BIBLE!R91</f>
        <v>Culpabilise l'enfant de son amour pour l'autre parent</v>
      </c>
      <c r="D18" s="6">
        <f>IF(Test_Bible!B177="","",Test_Bible!Q177)</f>
        <v>7</v>
      </c>
      <c r="F18" s="1711"/>
      <c r="G18" s="11">
        <f t="shared" si="4"/>
        <v>7</v>
      </c>
      <c r="H18" s="2403" t="str">
        <f t="shared" si="5"/>
        <v/>
      </c>
      <c r="I18" s="2403" t="str">
        <f t="shared" si="6"/>
        <v/>
      </c>
      <c r="J18" s="2403" t="str">
        <f t="shared" si="7"/>
        <v/>
      </c>
      <c r="K18" s="90"/>
      <c r="L18" s="2397"/>
      <c r="M18" s="2393"/>
      <c r="N18" s="2389"/>
      <c r="P18" s="90"/>
      <c r="Q18" s="90"/>
      <c r="R18" s="90"/>
      <c r="S18" s="90"/>
      <c r="T18" s="90"/>
    </row>
    <row r="19" spans="1:20" ht="17" customHeight="1">
      <c r="A19" t="s">
        <v>584</v>
      </c>
      <c r="B19" t="str">
        <f>BIBLE!V92</f>
        <v>Chantage affectif, manipulation</v>
      </c>
      <c r="C19" s="55" t="str">
        <f>BIBLE!R92</f>
        <v>Boude l'enfant lorsqu'il quitte pour aller chez l'autre parent</v>
      </c>
      <c r="D19" s="6">
        <f>IF(Test_Bible!B178="","",Test_Bible!Q178)</f>
        <v>14</v>
      </c>
      <c r="F19" s="1711"/>
      <c r="G19" s="11">
        <f t="shared" si="4"/>
        <v>14</v>
      </c>
      <c r="H19" s="2403" t="str">
        <f t="shared" si="5"/>
        <v>à inclure</v>
      </c>
      <c r="I19" s="2403">
        <f t="shared" si="6"/>
        <v>0</v>
      </c>
      <c r="J19" s="2403">
        <f t="shared" si="7"/>
        <v>0</v>
      </c>
      <c r="K19" s="90"/>
      <c r="L19" s="2397"/>
      <c r="M19" s="2393"/>
      <c r="N19" s="2389"/>
      <c r="P19" s="90"/>
      <c r="Q19" s="90"/>
      <c r="R19" s="1757" t="str">
        <f>B9</f>
        <v>Altération ou dévoiement de la réalité</v>
      </c>
      <c r="S19" s="90">
        <f>G15</f>
        <v>2</v>
      </c>
      <c r="T19" s="90"/>
    </row>
    <row r="20" spans="1:20" ht="34" customHeight="1">
      <c r="A20" t="s">
        <v>589</v>
      </c>
      <c r="B20" t="str">
        <f>BIBLE!V93</f>
        <v>Chantage affectif, manipulation</v>
      </c>
      <c r="C20" s="55" t="str">
        <f>BIBLE!R93</f>
        <v>Se fâche si l'enfant exprime de l'amour pour l'autre parent</v>
      </c>
      <c r="D20" s="6">
        <f>IF(Test_Bible!B179="","",Test_Bible!Q179)</f>
        <v>21</v>
      </c>
      <c r="F20" s="1711"/>
      <c r="G20" s="11">
        <f t="shared" si="4"/>
        <v>21</v>
      </c>
      <c r="H20" s="2403" t="str">
        <f t="shared" si="5"/>
        <v>à inclure</v>
      </c>
      <c r="I20" s="2403">
        <f t="shared" si="6"/>
        <v>0</v>
      </c>
      <c r="J20" s="2403" t="str">
        <f t="shared" si="7"/>
        <v>L'enfant enregistre consciemment ou inconsciemment le message suivant : il n'est pas autorisé à être en relation avec son autre parent.</v>
      </c>
      <c r="K20" s="90"/>
      <c r="L20" s="2397"/>
      <c r="M20" s="2393"/>
      <c r="N20" s="2393" t="s">
        <v>1921</v>
      </c>
      <c r="P20" s="90"/>
      <c r="Q20" s="90"/>
      <c r="R20" s="1757" t="str">
        <f>B16</f>
        <v>Chantage affectif, manipulation</v>
      </c>
      <c r="S20" s="90">
        <f>G22</f>
        <v>11</v>
      </c>
      <c r="T20" s="90"/>
    </row>
    <row r="21" spans="1:20" ht="17" customHeight="1">
      <c r="A21" s="51" t="s">
        <v>841</v>
      </c>
      <c r="B21" s="51" t="str">
        <f>BIBLE!V146</f>
        <v>Chantage affectif, manipulation</v>
      </c>
      <c r="C21" s="1708" t="str">
        <f>BIBLE!R146</f>
        <v>Demande à l'enfant à choisir avec qui il veut vivre</v>
      </c>
      <c r="D21" s="1710">
        <f>IF(Test_Bible!B250="","",Test_Bible!Q250)</f>
        <v>3</v>
      </c>
      <c r="E21" s="51"/>
      <c r="F21" s="1712"/>
      <c r="G21" s="11">
        <f t="shared" si="4"/>
        <v>3</v>
      </c>
      <c r="H21" s="2403" t="str">
        <f t="shared" si="5"/>
        <v/>
      </c>
      <c r="I21" s="2403" t="str">
        <f t="shared" si="6"/>
        <v/>
      </c>
      <c r="J21" s="2403" t="str">
        <f t="shared" si="7"/>
        <v/>
      </c>
      <c r="K21" s="90"/>
      <c r="L21" s="2397"/>
      <c r="M21" s="2393"/>
      <c r="N21" s="2391"/>
      <c r="P21" s="90"/>
      <c r="Q21" s="90"/>
      <c r="R21" s="1757" t="str">
        <f>B23</f>
        <v>Dénigrement</v>
      </c>
      <c r="S21" s="90">
        <f>G27</f>
        <v>6</v>
      </c>
      <c r="T21" s="90"/>
    </row>
    <row r="22" spans="1:20" ht="85" customHeight="1">
      <c r="C22" s="55"/>
      <c r="D22" s="6"/>
      <c r="G22" s="2381">
        <f>AVERAGE(G16:G21)</f>
        <v>11</v>
      </c>
      <c r="H22" s="2404" t="str">
        <f>IF(G22&gt;=$G$54,HLOOKUP(1,$L$8:$L$56,15),"")</f>
        <v>Chantage affectif, manipulation : Lorsque le comportement d’un parent induit directement ou indirectement et de manière volontaire ou involontaire un conflit de loyauté chez l’enfant. &lt;br/&gt;</v>
      </c>
      <c r="I22" s="2404"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404">
        <f>IF(G22&gt;=$G$54,N22,"")</f>
        <v>0</v>
      </c>
      <c r="K22" s="2367"/>
      <c r="L22" s="2395" t="s">
        <v>1922</v>
      </c>
      <c r="M22" s="2445" t="s">
        <v>1923</v>
      </c>
      <c r="N22" s="2390"/>
      <c r="P22" s="90"/>
      <c r="Q22" s="90"/>
      <c r="R22" s="1757" t="str">
        <f>B28</f>
        <v>Interférence temps et/ou communication</v>
      </c>
      <c r="S22" s="90">
        <f>G37</f>
        <v>11.555555555555555</v>
      </c>
      <c r="T22" s="90"/>
    </row>
    <row r="23" spans="1:20" ht="17" customHeight="1">
      <c r="A23" t="s">
        <v>1924</v>
      </c>
      <c r="B23" t="str">
        <f>BIBLE!V60</f>
        <v>Dénigrement</v>
      </c>
      <c r="C23" t="str">
        <f>BIBLE!R60</f>
        <v>Fait des reproches à l'autre parent devant l'enfant</v>
      </c>
      <c r="D23" s="6">
        <f>IF(Test_Bible!B186="","",Test_Bible!Q186)</f>
        <v>10</v>
      </c>
      <c r="E23" s="90">
        <f>IF(Test_Bible!B415="","",Test_Bible!Q415)</f>
        <v>12</v>
      </c>
      <c r="F23" s="1714">
        <f>IF(Test_Bible!B134="","",Test_Bible!Q134)</f>
        <v>4</v>
      </c>
      <c r="G23" s="2174">
        <f>IF(AND(D23="",E23="",F23=""),"",MAX(D23,E23)+F23)</f>
        <v>16</v>
      </c>
      <c r="H23" s="2403" t="str">
        <f>IF(G23="","",IF(OR(G23&gt;$G$27,G23&gt;20),"à inclure",""))</f>
        <v>à inclure</v>
      </c>
      <c r="I23" s="2403">
        <f>IF(G23="","",IF(OR(G23&gt;$G$27,G23&gt;20),M23,""))</f>
        <v>0</v>
      </c>
      <c r="J23" s="2403">
        <f>IF(G23="","",IF(OR(G23&gt;$G$27,G23&gt;20),N23,""))</f>
        <v>0</v>
      </c>
      <c r="K23" s="90"/>
      <c r="L23" s="2397"/>
      <c r="M23" s="2393"/>
      <c r="N23" s="2389"/>
      <c r="P23" s="90"/>
      <c r="Q23" s="90"/>
      <c r="R23" s="1757" t="str">
        <f>B38</f>
        <v>Interférence lien affectif ou symbolique</v>
      </c>
      <c r="S23" s="90">
        <f>G43</f>
        <v>5.2</v>
      </c>
      <c r="T23" s="90"/>
    </row>
    <row r="24" spans="1:20" ht="17" customHeight="1">
      <c r="A24" t="s">
        <v>1925</v>
      </c>
      <c r="B24" t="str">
        <f>BIBLE!V104</f>
        <v>Dénigrement</v>
      </c>
      <c r="C24" s="55" t="str">
        <f>BIBLE!R104</f>
        <v>Dénigre la nouvelle famille</v>
      </c>
      <c r="D24" s="6">
        <f>IF(Test_Bible!B190="","",Test_Bible!Q190)</f>
        <v>2</v>
      </c>
      <c r="E24" s="90">
        <f>IF(Test_Bible!B416="","",Test_Bible!Q416)</f>
        <v>6</v>
      </c>
      <c r="F24" s="1711"/>
      <c r="G24" s="11">
        <f>IF(AND(D24="",E24="",F24=""),"",MAX(D24,E24)+F24)</f>
        <v>6</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4</v>
      </c>
      <c r="T24" s="90"/>
    </row>
    <row r="25" spans="1:20" ht="17" customHeight="1">
      <c r="A25" t="s">
        <v>649</v>
      </c>
      <c r="B25" t="str">
        <f>BIBLE!V105</f>
        <v>Dénigrement</v>
      </c>
      <c r="C25" s="55" t="str">
        <f>BIBLE!R105</f>
        <v>Présente la nouvelle famille comme étant la "vraie" famille</v>
      </c>
      <c r="D25" s="6">
        <f>IF(Test_Bible!B191="","",Test_Bible!Q191)</f>
        <v>2</v>
      </c>
      <c r="F25" s="1711"/>
      <c r="G25" s="11">
        <f>IF(AND(D25="",E25="",F25=""),"",MAX(D25,E25)+F25)</f>
        <v>2</v>
      </c>
      <c r="H25" s="2403" t="str">
        <f>IF(G25="","",IF(OR(G25&gt;$G$27,G25&gt;20),"à inclure",""))</f>
        <v/>
      </c>
      <c r="I25" s="2403" t="str">
        <f>IF(G25="","",IF(OR(G25&gt;$G$27,G25&gt;20),M25,""))</f>
        <v/>
      </c>
      <c r="J25" s="2403" t="str">
        <f>IF(G25="","",IF(OR(G25&gt;$G$27,G25&gt;20),N25,""))</f>
        <v/>
      </c>
      <c r="K25" s="90"/>
      <c r="L25" s="2397"/>
      <c r="M25" s="2393"/>
      <c r="N25" s="2389"/>
      <c r="P25" s="90"/>
      <c r="Q25" s="90"/>
      <c r="R25" s="1757" t="str">
        <f>B49</f>
        <v>Rôle actif de l'enfant</v>
      </c>
      <c r="S25" s="90">
        <f>G53</f>
        <v>10.5</v>
      </c>
      <c r="T25" s="90"/>
    </row>
    <row r="26" spans="1:20" ht="17" customHeight="1">
      <c r="A26" s="51" t="s">
        <v>655</v>
      </c>
      <c r="B26" s="51" t="str">
        <f>BIBLE!V106</f>
        <v>Dénigrement</v>
      </c>
      <c r="C26" s="1708" t="str">
        <f>BIBLE!R106</f>
        <v>Demande qu'on appelle le nouveau ou nvlle conjoint·e "maman" ou "papa"</v>
      </c>
      <c r="D26" s="1710">
        <f>IF(Test_Bible!B192="","",Test_Bible!Q192)</f>
        <v>0</v>
      </c>
      <c r="E26" s="51"/>
      <c r="F26" s="1712"/>
      <c r="G26" s="11">
        <f>IF(AND(D26="",E26="",F26=""),"",MAX(D26,E26)+F26)</f>
        <v>0</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c r="C27" s="55"/>
      <c r="E27" s="90"/>
      <c r="G27" s="2381">
        <f>AVERAGE(G23:G26)</f>
        <v>6</v>
      </c>
      <c r="H27" s="2404" t="str">
        <f>IF(G27&gt;=$G$54,HLOOKUP(1,$L$8:$L$56,20),"")</f>
        <v/>
      </c>
      <c r="I27" s="2404" t="str">
        <f>IF(G27&gt;=$G$54,M27,"")</f>
        <v/>
      </c>
      <c r="J27" s="2404" t="str">
        <f>IF(G27&gt;=$G$54,N27,"")</f>
        <v/>
      </c>
      <c r="K27" s="2367"/>
      <c r="L27" s="2395" t="s">
        <v>1926</v>
      </c>
      <c r="M27" s="2395" t="s">
        <v>1927</v>
      </c>
      <c r="N27" s="2390"/>
      <c r="P27" s="90"/>
      <c r="Q27" s="90"/>
      <c r="R27" s="90"/>
      <c r="S27" s="90"/>
      <c r="T27" s="90"/>
    </row>
    <row r="28" spans="1:20" ht="17" customHeight="1">
      <c r="A28" t="s">
        <v>1928</v>
      </c>
      <c r="B28" t="str">
        <f>BIBLE!V61</f>
        <v>Interférence temps et/ou communication</v>
      </c>
      <c r="C28" t="str">
        <f>BIBLE!R61</f>
        <v>Communique fréquemment avec l'enfant lorsqu'il est chez l'autre</v>
      </c>
      <c r="D28" s="6">
        <f>IF(Test_Bible!B198="","",Test_Bible!Q198)</f>
        <v>6</v>
      </c>
      <c r="E28" s="90">
        <f>IF(Test_Bible!B422="","",Test_Bible!Q422)</f>
        <v>12</v>
      </c>
      <c r="F28" s="1714">
        <f>IF(Test_Bible!B135="","",Test_Bible!Q135)</f>
        <v>12</v>
      </c>
      <c r="G28" s="2174">
        <f t="shared" ref="G28:G36" si="8">IF(AND(D28="",E28="",F28=""),"",MAX(D28,E28)+F28)</f>
        <v>24</v>
      </c>
      <c r="H28" s="2403" t="str">
        <f t="shared" ref="H28:H36" si="9">IF(G28="","",IF(OR(G28&gt;$G$37,G28&gt;20),"à inclure",""))</f>
        <v>à inclure</v>
      </c>
      <c r="I28" s="2403">
        <f t="shared" ref="I28:I36" si="10">IF(G28="","",IF(OR(G28&gt;$G$37,G28&gt;20),M28,""))</f>
        <v>0</v>
      </c>
      <c r="J28" s="2403">
        <f t="shared" ref="J28:J36" si="11">IF(G28="","",IF(OR(G28&gt;$G$37,G28&gt;20),N28,""))</f>
        <v>0</v>
      </c>
      <c r="K28" s="90"/>
      <c r="L28" s="2397"/>
      <c r="M28" s="2393"/>
      <c r="N28" s="2389"/>
      <c r="P28" s="90"/>
      <c r="Q28" s="90"/>
      <c r="R28" s="90"/>
      <c r="S28" s="90"/>
      <c r="T28" s="90"/>
    </row>
    <row r="29" spans="1:20" ht="17" customHeight="1">
      <c r="A29" t="s">
        <v>458</v>
      </c>
      <c r="B29" t="str">
        <f>BIBLE!V62</f>
        <v>Interférence temps et/ou communication</v>
      </c>
      <c r="C29" t="str">
        <f>BIBLE!R62</f>
        <v>Donne à l'enfant la responsabilité de choisir</v>
      </c>
      <c r="E29" s="5"/>
      <c r="F29" s="1714">
        <f>IF(Test_Bible!B136="","",Test_Bible!Q136)</f>
        <v>4</v>
      </c>
      <c r="G29" s="2174">
        <f t="shared" si="8"/>
        <v>4</v>
      </c>
      <c r="H29" s="2403" t="str">
        <f t="shared" si="9"/>
        <v/>
      </c>
      <c r="I29" s="2403" t="str">
        <f t="shared" si="10"/>
        <v/>
      </c>
      <c r="J29" s="2403" t="str">
        <f t="shared" si="11"/>
        <v/>
      </c>
      <c r="K29" s="90"/>
      <c r="L29" s="2397"/>
      <c r="M29" s="2393"/>
      <c r="N29" s="2389"/>
      <c r="P29" s="90"/>
      <c r="Q29" s="90"/>
      <c r="R29" s="90"/>
      <c r="S29" s="90"/>
      <c r="T29" s="90"/>
    </row>
    <row r="30" spans="1:20" ht="17" customHeight="1">
      <c r="A30" t="s">
        <v>1929</v>
      </c>
      <c r="B30" t="str">
        <f>BIBLE!V107</f>
        <v>Interférence temps et/ou communication</v>
      </c>
      <c r="C30" s="55" t="str">
        <f>BIBLE!R107</f>
        <v>Change les horaires sans consulter l'autre parent</v>
      </c>
      <c r="D30" s="6">
        <f>IF(Test_Bible!B193="","",Test_Bible!Q193)</f>
        <v>14</v>
      </c>
      <c r="E30" s="90">
        <f>IF(Test_Bible!B417="","",Test_Bible!Q417)</f>
        <v>14</v>
      </c>
      <c r="F30" s="1711"/>
      <c r="G30" s="11">
        <f t="shared" si="8"/>
        <v>14</v>
      </c>
      <c r="H30" s="2403" t="str">
        <f t="shared" si="9"/>
        <v>à inclure</v>
      </c>
      <c r="I30" s="2403">
        <f t="shared" si="10"/>
        <v>0</v>
      </c>
      <c r="J30" s="2403">
        <f t="shared" si="11"/>
        <v>0</v>
      </c>
      <c r="K30" s="90"/>
      <c r="L30" s="2397"/>
      <c r="M30" s="2399"/>
      <c r="N30" s="2389"/>
      <c r="P30" s="90"/>
      <c r="Q30" s="90"/>
      <c r="R30" s="90"/>
      <c r="S30" s="90"/>
      <c r="T30" s="90"/>
    </row>
    <row r="31" spans="1:20" ht="17" customHeight="1">
      <c r="A31" t="s">
        <v>665</v>
      </c>
      <c r="B31" t="str">
        <f>BIBLE!V108</f>
        <v>Interférence temps et/ou communication</v>
      </c>
      <c r="C31" s="55" t="str">
        <f>BIBLE!R108</f>
        <v>Ne respecte pas l'heure des changements de garde</v>
      </c>
      <c r="D31" s="6">
        <f>IF(Test_Bible!B194="","",Test_Bible!Q194)</f>
        <v>4</v>
      </c>
      <c r="F31" s="1711"/>
      <c r="G31" s="11">
        <f t="shared" si="8"/>
        <v>4</v>
      </c>
      <c r="H31" s="2403" t="str">
        <f t="shared" si="9"/>
        <v/>
      </c>
      <c r="I31" s="2403" t="str">
        <f t="shared" si="10"/>
        <v/>
      </c>
      <c r="J31" s="2403" t="str">
        <f t="shared" si="11"/>
        <v/>
      </c>
      <c r="K31" s="90"/>
      <c r="L31" s="2397"/>
      <c r="M31" s="2393"/>
      <c r="N31" s="2389"/>
      <c r="P31" s="90"/>
      <c r="Q31" s="90"/>
      <c r="R31" s="90"/>
      <c r="S31" s="90"/>
      <c r="T31" s="90"/>
    </row>
    <row r="32" spans="1:20" ht="17" customHeight="1">
      <c r="A32" t="s">
        <v>669</v>
      </c>
      <c r="B32" t="str">
        <f>BIBLE!V109</f>
        <v>Interférence temps et/ou communication</v>
      </c>
      <c r="C32" s="55" t="str">
        <f>BIBLE!R109</f>
        <v>Propose des activités sur le temps de garde de l'autre</v>
      </c>
      <c r="D32" s="6">
        <f>IF(Test_Bible!B195="","",Test_Bible!Q195)</f>
        <v>8</v>
      </c>
      <c r="F32" s="1711"/>
      <c r="G32" s="11">
        <f t="shared" si="8"/>
        <v>8</v>
      </c>
      <c r="H32" s="2403" t="str">
        <f t="shared" si="9"/>
        <v/>
      </c>
      <c r="I32" s="2403" t="str">
        <f t="shared" si="10"/>
        <v/>
      </c>
      <c r="J32" s="2403" t="str">
        <f t="shared" si="11"/>
        <v/>
      </c>
      <c r="K32" s="90"/>
      <c r="L32" s="2397"/>
      <c r="M32" s="2399"/>
      <c r="N32" s="2389"/>
      <c r="P32" s="90"/>
      <c r="Q32" s="90"/>
      <c r="R32" s="90"/>
      <c r="S32" s="90"/>
      <c r="T32" s="90"/>
    </row>
    <row r="33" spans="1:20" ht="102" customHeight="1">
      <c r="A33" t="s">
        <v>1930</v>
      </c>
      <c r="B33" t="str">
        <f>BIBLE!V110</f>
        <v>Interférence temps et/ou communication</v>
      </c>
      <c r="C33" s="55" t="str">
        <f>BIBLE!R110</f>
        <v>Organisme des activités irrésistibles lors du temps de garde de l'autre</v>
      </c>
      <c r="D33" s="6">
        <f>IF(Test_Bible!B196="","",Test_Bible!Q196)</f>
        <v>6</v>
      </c>
      <c r="E33" s="90">
        <f>IF(Test_Bible!B418="","",Test_Bible!Q418)</f>
        <v>8</v>
      </c>
      <c r="F33" s="1711"/>
      <c r="G33" s="11">
        <f t="shared" si="8"/>
        <v>8</v>
      </c>
      <c r="H33" s="2403" t="str">
        <f t="shared" si="9"/>
        <v/>
      </c>
      <c r="I33" s="2403" t="str">
        <f t="shared" si="10"/>
        <v/>
      </c>
      <c r="J33" s="2443" t="str">
        <f t="shared" si="11"/>
        <v/>
      </c>
      <c r="K33" s="90"/>
      <c r="L33" s="2397"/>
      <c r="M33" s="2393"/>
      <c r="N33" s="2225" t="s">
        <v>1931</v>
      </c>
      <c r="P33" s="90"/>
      <c r="Q33" s="90"/>
      <c r="R33" s="90"/>
      <c r="S33" s="90"/>
      <c r="T33" s="90"/>
    </row>
    <row r="34" spans="1:20" ht="17" customHeight="1">
      <c r="A34" t="s">
        <v>1932</v>
      </c>
      <c r="B34" t="str">
        <f>BIBLE!V111</f>
        <v>Interférence temps et/ou communication</v>
      </c>
      <c r="C34" s="55" t="str">
        <f>BIBLE!R111</f>
        <v>Se présente à la sortie des classes sur le temps de garde de l'autre</v>
      </c>
      <c r="D34" s="6">
        <f>IF(Test_Bible!B197="","",Test_Bible!Q197)</f>
        <v>1</v>
      </c>
      <c r="E34" s="90">
        <f>IF(Test_Bible!B419="","",Test_Bible!Q419)</f>
        <v>4</v>
      </c>
      <c r="F34" s="1711"/>
      <c r="G34" s="11">
        <f t="shared" si="8"/>
        <v>4</v>
      </c>
      <c r="H34" s="2403" t="str">
        <f t="shared" si="9"/>
        <v/>
      </c>
      <c r="I34" s="2403" t="str">
        <f t="shared" si="10"/>
        <v/>
      </c>
      <c r="J34" s="2403" t="str">
        <f t="shared" si="11"/>
        <v/>
      </c>
      <c r="K34" s="90"/>
      <c r="L34" s="2397"/>
      <c r="M34" s="2393"/>
      <c r="N34" s="2389"/>
      <c r="P34" s="90"/>
      <c r="Q34" s="90"/>
      <c r="R34" s="90"/>
      <c r="S34" s="90"/>
      <c r="T34" s="90"/>
    </row>
    <row r="35" spans="1:20" ht="17" customHeight="1">
      <c r="A35" t="s">
        <v>1933</v>
      </c>
      <c r="B35" t="str">
        <f>BIBLE!V114</f>
        <v>Interférence temps et/ou communication</v>
      </c>
      <c r="C35" s="55" t="str">
        <f>BIBLE!R114</f>
        <v>Bloque les communications de l'entourage de l'enfant à l'autre parent</v>
      </c>
      <c r="D35" s="6">
        <f>IF(Test_Bible!B200="","",Test_Bible!Q200)</f>
        <v>0</v>
      </c>
      <c r="E35" s="90">
        <f>IF(Test_Bible!B423="","",Test_Bible!Q423)</f>
        <v>30</v>
      </c>
      <c r="F35" s="1711"/>
      <c r="G35" s="11">
        <f t="shared" si="8"/>
        <v>30</v>
      </c>
      <c r="H35" s="2403" t="str">
        <f t="shared" si="9"/>
        <v>à inclure</v>
      </c>
      <c r="I35" s="2403">
        <f t="shared" si="10"/>
        <v>0</v>
      </c>
      <c r="J35" s="2403">
        <f t="shared" si="11"/>
        <v>0</v>
      </c>
      <c r="K35" s="90"/>
      <c r="L35" s="2397"/>
      <c r="M35" s="2393"/>
      <c r="N35" s="2389"/>
      <c r="P35" s="90"/>
      <c r="Q35" s="90"/>
      <c r="R35" s="90"/>
      <c r="S35" s="90"/>
      <c r="T35" s="90"/>
    </row>
    <row r="36" spans="1:20" ht="17" customHeight="1">
      <c r="A36" s="51" t="s">
        <v>1934</v>
      </c>
      <c r="B36" s="51" t="str">
        <f>BIBLE!V116</f>
        <v>Interférence temps et/ou communication</v>
      </c>
      <c r="C36" s="1708" t="str">
        <f>BIBLE!R116</f>
        <v xml:space="preserve">Contrôle les conversations téléphoniques </v>
      </c>
      <c r="D36" s="1710">
        <f>IF(Test_Bible!B202="","",Test_Bible!Q202)</f>
        <v>0</v>
      </c>
      <c r="E36" s="1709">
        <f>IF(Test_Bible!B420="","",Test_Bible!Q420)</f>
        <v>8</v>
      </c>
      <c r="F36" s="1712"/>
      <c r="G36" s="11">
        <f t="shared" si="8"/>
        <v>8</v>
      </c>
      <c r="H36" s="2403" t="str">
        <f t="shared" si="9"/>
        <v/>
      </c>
      <c r="I36" s="2403" t="str">
        <f t="shared" si="10"/>
        <v/>
      </c>
      <c r="J36" s="2403" t="str">
        <f t="shared" si="11"/>
        <v/>
      </c>
      <c r="K36" s="90"/>
      <c r="L36" s="2397"/>
      <c r="M36" s="2393"/>
      <c r="N36" s="2389"/>
      <c r="P36" s="90"/>
      <c r="Q36" s="90"/>
      <c r="R36" s="90"/>
      <c r="S36" s="90"/>
      <c r="T36" s="90"/>
    </row>
    <row r="37" spans="1:20" ht="221" customHeight="1">
      <c r="C37" s="55"/>
      <c r="E37" s="90"/>
      <c r="G37" s="2381">
        <f>AVERAGE(G28:G36)</f>
        <v>11.555555555555555</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1935</v>
      </c>
      <c r="M37" s="2395" t="s">
        <v>1936</v>
      </c>
      <c r="N37" s="2390"/>
      <c r="P37" s="90"/>
      <c r="Q37" s="90"/>
      <c r="R37" s="90"/>
      <c r="S37" s="90"/>
      <c r="T37" s="90"/>
    </row>
    <row r="38" spans="1:20" ht="17" customHeight="1">
      <c r="A38" t="s">
        <v>722</v>
      </c>
      <c r="B38" t="str">
        <f>BIBLE!V120</f>
        <v>Interférence lien affectif ou symbolique</v>
      </c>
      <c r="C38" s="55" t="str">
        <f>BIBLE!R120</f>
        <v>Est en compétition avec l'autre parent pour l'amour de l'enfant</v>
      </c>
      <c r="D38" s="6">
        <f>IF(Test_Bible!B206="","",Test_Bible!Q206)</f>
        <v>4</v>
      </c>
      <c r="F38" s="1711"/>
      <c r="G38" s="11">
        <f>IF(AND(D38="",E38="",F38=""),"",MAX(D38,E38)+F38)</f>
        <v>4</v>
      </c>
      <c r="H38" s="2403" t="str">
        <f>IF(G38="","",IF(OR(G38&gt;$G$43,G38&gt;20),"à inclure",""))</f>
        <v/>
      </c>
      <c r="I38" s="2403" t="str">
        <f>IF(G38="","",IF(OR(G38&gt;$G$43,G38&gt;20),M38,""))</f>
        <v/>
      </c>
      <c r="J38" s="2403" t="str">
        <f>IF(G38="","",IF(OR(G38&gt;$G$43,G38&gt;20),N38,""))</f>
        <v/>
      </c>
      <c r="K38" s="90"/>
      <c r="L38" s="2397"/>
      <c r="M38" s="2393"/>
      <c r="N38" s="2389"/>
      <c r="P38" s="90"/>
      <c r="Q38" s="90"/>
      <c r="R38" s="90"/>
      <c r="S38" s="90"/>
      <c r="T38" s="90"/>
    </row>
    <row r="39" spans="1:20" ht="17" customHeight="1">
      <c r="A39" t="s">
        <v>761</v>
      </c>
      <c r="B39" t="str">
        <f>BIBLE!V128</f>
        <v>Interférence lien affectif ou symbolique</v>
      </c>
      <c r="C39" s="55" t="str">
        <f>BIBLE!R128</f>
        <v xml:space="preserve">Limite les contacts de l'enfant avec la famille élargie de l'autre parent </v>
      </c>
      <c r="D39" s="6">
        <f>IF(Test_Bible!B217="","",Test_Bible!Q217)</f>
        <v>8</v>
      </c>
      <c r="F39" s="1711"/>
      <c r="G39" s="11">
        <f>IF(AND(D39="",E39="",F39=""),"",MAX(D39,E39)+F39)</f>
        <v>8</v>
      </c>
      <c r="H39" s="2403" t="str">
        <f>IF(G39="","",IF(OR(G39&gt;$G$43,G39&gt;20),"à inclure",""))</f>
        <v>à inclure</v>
      </c>
      <c r="I39" s="2403">
        <f>IF(G39="","",IF(OR(G39&gt;$G$43,G39&gt;20),M39,""))</f>
        <v>0</v>
      </c>
      <c r="J39" s="2403">
        <f>IF(G39="","",IF(OR(G39&gt;$G$43,G39&gt;20),N39,""))</f>
        <v>0</v>
      </c>
      <c r="K39" s="90"/>
      <c r="L39" s="2397"/>
      <c r="M39" s="2393"/>
      <c r="N39" s="2389"/>
      <c r="P39" s="90"/>
      <c r="Q39" s="90"/>
      <c r="R39" s="90"/>
      <c r="S39" s="90"/>
      <c r="T39" s="90"/>
    </row>
    <row r="40" spans="1:20" ht="17" customHeight="1">
      <c r="A40" t="s">
        <v>770</v>
      </c>
      <c r="B40" t="str">
        <f>BIBLE!V130</f>
        <v>Interférence lien affectif ou symbolique</v>
      </c>
      <c r="C40" s="55" t="str">
        <f>BIBLE!R130</f>
        <v>Jette les objets qui représentent l'autre</v>
      </c>
      <c r="D40" s="6">
        <f>IF(Test_Bible!B219="","",Test_Bible!Q219)</f>
        <v>0</v>
      </c>
      <c r="F40" s="1711"/>
      <c r="G40" s="11">
        <f>IF(AND(D40="",E40="",F40=""),"",MAX(D40,E40)+F40)</f>
        <v>0</v>
      </c>
      <c r="H40" s="2403" t="str">
        <f>IF(G40="","",IF(OR(G40&gt;$G$43,G40&gt;20),"à inclure",""))</f>
        <v/>
      </c>
      <c r="I40" s="2403" t="str">
        <f>IF(G40="","",IF(OR(G40&gt;$G$43,G40&gt;20),M40,""))</f>
        <v/>
      </c>
      <c r="J40" s="2403" t="str">
        <f>IF(G40="","",IF(OR(G40&gt;$G$43,G40&gt;20),N40,""))</f>
        <v/>
      </c>
      <c r="K40" s="90"/>
      <c r="L40" s="2397"/>
      <c r="M40" s="2393"/>
      <c r="N40" s="2389"/>
      <c r="P40" s="90"/>
      <c r="Q40" s="90"/>
      <c r="R40" s="90"/>
      <c r="S40" s="90"/>
      <c r="T40" s="90"/>
    </row>
    <row r="41" spans="1:20" ht="17" customHeight="1">
      <c r="A41" t="s">
        <v>792</v>
      </c>
      <c r="B41" t="str">
        <f>BIBLE!V135</f>
        <v>Interférence lien affectif ou symbolique</v>
      </c>
      <c r="C41" s="55" t="str">
        <f>BIBLE!R135</f>
        <v>Incite l'enfant à choisir un des deux parents</v>
      </c>
      <c r="D41" s="6">
        <f>IF(Test_Bible!B234="","",Test_Bible!Q234)</f>
        <v>12</v>
      </c>
      <c r="F41" s="1711"/>
      <c r="G41" s="11">
        <f>IF(AND(D41="",E41="",F41=""),"",MAX(D41,E41)+F41)</f>
        <v>12</v>
      </c>
      <c r="H41" s="2403" t="str">
        <f>IF(G41="","",IF(OR(G41&gt;$G$43,G41&gt;20),"à inclure",""))</f>
        <v>à inclure</v>
      </c>
      <c r="I41" s="2403">
        <f>IF(G41="","",IF(OR(G41&gt;$G$43,G41&gt;20),M41,""))</f>
        <v>0</v>
      </c>
      <c r="J41" s="2403">
        <f>IF(G41="","",IF(OR(G41&gt;$G$43,G41&gt;20),N41,""))</f>
        <v>0</v>
      </c>
      <c r="K41" s="90"/>
      <c r="L41" s="2397"/>
      <c r="M41" s="2393"/>
      <c r="N41" s="2389"/>
      <c r="P41" s="90"/>
      <c r="Q41" s="90"/>
      <c r="R41" s="90"/>
      <c r="S41" s="90"/>
      <c r="T41" s="90"/>
    </row>
    <row r="42" spans="1:20" ht="17" customHeight="1">
      <c r="A42" s="51" t="s">
        <v>1240</v>
      </c>
      <c r="B42" s="51" t="str">
        <f>BIBLE!V232</f>
        <v>Interférence lien affectif ou symbolique</v>
      </c>
      <c r="C42" s="1708" t="str">
        <f>BIBLE!R232</f>
        <v>Le nouveau ou la nouvelle conjoint·e demande de se faire appeler maman ou papa</v>
      </c>
      <c r="D42" s="1221"/>
      <c r="E42" s="1709">
        <f>IF(Test_Bible!B424="","",Test_Bible!Q424)</f>
        <v>2</v>
      </c>
      <c r="F42" s="1712"/>
      <c r="G42" s="11">
        <f>IF(AND(D42="",E42="",F42=""),"",MAX(D42,E42)+F42)</f>
        <v>2</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c r="C43" s="55"/>
      <c r="E43" s="90"/>
      <c r="G43" s="2381">
        <f>AVERAGE(G38:G42)</f>
        <v>5.2</v>
      </c>
      <c r="H43" s="2404" t="str">
        <f>IF(G43&gt;=$G$54,HLOOKUP(1,$L$8:$L$56,36),"")</f>
        <v/>
      </c>
      <c r="I43" s="2404" t="str">
        <f>IF(G43&gt;=$G$54,M43,"")</f>
        <v/>
      </c>
      <c r="J43" s="2404" t="str">
        <f>IF(G43&gt;=$G$54,N43,"")</f>
        <v/>
      </c>
      <c r="K43" s="2367"/>
      <c r="L43" s="2395" t="s">
        <v>1937</v>
      </c>
      <c r="M43" s="2395"/>
      <c r="N43" s="2390"/>
      <c r="P43" s="90"/>
      <c r="Q43" s="90"/>
      <c r="R43" s="90"/>
      <c r="S43" s="90"/>
      <c r="T43" s="90"/>
    </row>
    <row r="44" spans="1:20" ht="17" customHeight="1">
      <c r="A44" t="s">
        <v>496</v>
      </c>
      <c r="B44" t="str">
        <f>BIBLE!V70</f>
        <v>Parentification</v>
      </c>
      <c r="C44" t="str">
        <f>BIBLE!R70</f>
        <v>Informe l'enfant des enjeux l'opposant à l'autre parent</v>
      </c>
      <c r="E44" s="5"/>
      <c r="F44" s="1714">
        <f>IF(Test_Bible!B151="","",Test_Bible!Q151)</f>
        <v>4</v>
      </c>
      <c r="G44" s="2174">
        <f>IF(AND(D44="",E44="",F44=""),"",MAX(D44,E44)+F44)</f>
        <v>4</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c r="A45" t="s">
        <v>1938</v>
      </c>
      <c r="B45" t="str">
        <f>BIBLE!V73</f>
        <v>Parentification</v>
      </c>
      <c r="C45" s="55" t="str">
        <f>BIBLE!R73</f>
        <v>Confie à l'enfant ses peines</v>
      </c>
      <c r="D45" s="6">
        <f>IF(Test_Bible!B244="","",Test_Bible!Q244)</f>
        <v>4</v>
      </c>
      <c r="E45" s="5"/>
      <c r="F45" s="1714">
        <f>IF(Test_Bible!B155="","",Test_Bible!Q155)</f>
        <v>0</v>
      </c>
      <c r="G45" s="2174">
        <f>IF(AND(D45="",E45="",F45=""),"",MAX(D45,E45)+F45)</f>
        <v>4</v>
      </c>
      <c r="H45" s="2403" t="str">
        <f>IF(G45="","",IF(OR(G45&gt;$G$48,G45&gt;20),"à inclure",""))</f>
        <v/>
      </c>
      <c r="I45" s="2403" t="str">
        <f>IF(G45="","",IF(OR(G45&gt;$G$48,G45&gt;20),M45,""))</f>
        <v/>
      </c>
      <c r="J45" s="2403" t="str">
        <f>IF(G45="","",IF(OR(G45&gt;$G$48,G45&gt;20),N45,""))</f>
        <v/>
      </c>
      <c r="K45" s="90"/>
      <c r="L45" s="2397"/>
      <c r="M45" s="2393"/>
      <c r="N45" s="2389"/>
      <c r="P45" s="90"/>
      <c r="Q45" s="90"/>
      <c r="R45" s="90"/>
      <c r="S45" s="90"/>
      <c r="T45" s="90"/>
    </row>
    <row r="46" spans="1:20" ht="17" customHeight="1">
      <c r="A46" t="s">
        <v>822</v>
      </c>
      <c r="B46" t="str">
        <f>BIBLE!V141</f>
        <v>Parentification</v>
      </c>
      <c r="C46" s="55" t="str">
        <f>BIBLE!R141</f>
        <v>Confie à l'enfant des informations délicates sur l'autre</v>
      </c>
      <c r="D46" s="6">
        <f>IF(Test_Bible!B245="","",Test_Bible!Q245)</f>
        <v>0</v>
      </c>
      <c r="F46" s="1711"/>
      <c r="G46" s="11">
        <f>IF(AND(D46="",E46="",F46=""),"",MAX(D46,E46)+F46)</f>
        <v>0</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c r="A47" s="51" t="s">
        <v>826</v>
      </c>
      <c r="B47" s="51" t="str">
        <f>BIBLE!V142</f>
        <v>Parentification</v>
      </c>
      <c r="C47" s="1708" t="str">
        <f>BIBLE!R142</f>
        <v>Fait lire à l'enfant des communications de l'autre parent</v>
      </c>
      <c r="D47" s="6">
        <f>IF(Test_Bible!B246="","",Test_Bible!Q246)</f>
        <v>8</v>
      </c>
      <c r="E47" s="51"/>
      <c r="F47" s="1712"/>
      <c r="G47" s="11">
        <f>IF(AND(D47="",E47="",F47=""),"",MAX(D47,E47)+F47)</f>
        <v>8</v>
      </c>
      <c r="H47" s="2403" t="str">
        <f>IF(G47="","",IF(OR(G47&gt;$G$48,G47&gt;20),"à inclure",""))</f>
        <v>à inclure</v>
      </c>
      <c r="I47" s="2403">
        <f>IF(G47="","",IF(OR(G47&gt;$G$48,G47&gt;20),M47,""))</f>
        <v>0</v>
      </c>
      <c r="J47" s="2403">
        <f>IF(G47="","",IF(OR(G47&gt;$G$48,G47&gt;20),N47,""))</f>
        <v>0</v>
      </c>
      <c r="K47" s="90"/>
      <c r="L47" s="2397"/>
      <c r="M47" s="2393"/>
      <c r="N47" s="2391"/>
      <c r="P47" s="90"/>
      <c r="Q47" s="90"/>
      <c r="R47" s="90"/>
      <c r="S47" s="90"/>
      <c r="T47" s="90"/>
    </row>
    <row r="48" spans="1:20" ht="153" customHeight="1">
      <c r="C48" s="55"/>
      <c r="D48" s="6"/>
      <c r="G48" s="2381">
        <f>AVERAGE(G44:G47)</f>
        <v>4</v>
      </c>
      <c r="H48" s="2404" t="str">
        <f>IF(G48&gt;=$G$54,HLOOKUP(1,$L$8:$L$56,41),"")</f>
        <v/>
      </c>
      <c r="I48" s="2404" t="str">
        <f>IF(G48&gt;=$G$54,M48,"")</f>
        <v/>
      </c>
      <c r="J48" s="2404" t="str">
        <f>IF(G48&gt;=$G$54,N48,"")</f>
        <v/>
      </c>
      <c r="K48" s="2367"/>
      <c r="L48" s="2398" t="s">
        <v>1939</v>
      </c>
      <c r="M48" s="2395" t="s">
        <v>1940</v>
      </c>
      <c r="N48" s="2390"/>
      <c r="P48" s="90"/>
      <c r="Q48" s="90"/>
      <c r="R48" s="90"/>
      <c r="S48" s="90"/>
      <c r="T48" s="90"/>
    </row>
    <row r="49" spans="1:20" ht="17" customHeight="1">
      <c r="A49" t="s">
        <v>540</v>
      </c>
      <c r="B49" t="str">
        <f>BIBLE!V84</f>
        <v>Rôle actif de l'enfant</v>
      </c>
      <c r="C49" s="55" t="str">
        <f>BIBLE!R84</f>
        <v>Demande à l'enfant de garder des secrets</v>
      </c>
      <c r="D49" s="6">
        <f>IF(Test_Bible!B170="","",Test_Bible!Q170)</f>
        <v>8</v>
      </c>
      <c r="F49" s="1711"/>
      <c r="G49" s="2174">
        <f>IF(AND(D49="",E49="",F49=""),"",MAX(D49,E49)+F49)</f>
        <v>8</v>
      </c>
      <c r="H49" s="2403" t="str">
        <f>IF(G49="","",IF(OR(G49&gt;$G$53,G49&gt;20),"à inclure",""))</f>
        <v/>
      </c>
      <c r="I49" s="2403" t="str">
        <f>IF(G49="","",IF(OR(G49&gt;$G$53,G49&gt;20),M49,""))</f>
        <v/>
      </c>
      <c r="J49" s="2403" t="str">
        <f>IF(G49="","",IF(OR(G49&gt;$G$53,G49&gt;20),N49,""))</f>
        <v/>
      </c>
      <c r="K49" s="90"/>
      <c r="L49" s="2397"/>
      <c r="M49" s="2393"/>
      <c r="N49" s="2225"/>
      <c r="P49" s="90"/>
      <c r="S49" s="90"/>
      <c r="T49" s="90"/>
    </row>
    <row r="50" spans="1:20" ht="17" customHeight="1">
      <c r="A50" t="s">
        <v>830</v>
      </c>
      <c r="B50" t="str">
        <f>BIBLE!V143</f>
        <v>Rôle actif de l'enfant</v>
      </c>
      <c r="C50" s="55" t="str">
        <f>BIBLE!R143</f>
        <v>Encourage un discours haineux envers le ou la nouvelle conjointe de l'autre parent</v>
      </c>
      <c r="D50" s="6">
        <f>IF(Test_Bible!B247="","",Test_Bible!Q247)</f>
        <v>14</v>
      </c>
      <c r="F50" s="1711"/>
      <c r="G50" s="11">
        <f>IF(AND(D50="",E50="",F50=""),"",MAX(D50,E50)+F50)</f>
        <v>14</v>
      </c>
      <c r="H50" s="2403" t="str">
        <f>IF(G50="","",IF(OR(G50&gt;$G$53,G50&gt;20),"à inclure",""))</f>
        <v>à inclure</v>
      </c>
      <c r="I50" s="2403">
        <f>IF(G50="","",IF(OR(G50&gt;$G$53,G50&gt;20),M50,""))</f>
        <v>0</v>
      </c>
      <c r="J50" s="2403">
        <f>IF(G50="","",IF(OR(G50&gt;$G$53,G50&gt;20),N50,""))</f>
        <v>0</v>
      </c>
      <c r="K50" s="90"/>
      <c r="L50" s="2397"/>
      <c r="M50" s="2393"/>
      <c r="N50" s="2225"/>
      <c r="P50" s="90"/>
      <c r="Q50" s="90"/>
      <c r="R50" s="90"/>
      <c r="S50" s="90"/>
      <c r="T50" s="90"/>
    </row>
    <row r="51" spans="1:20" ht="17" customHeight="1">
      <c r="A51" t="s">
        <v>1941</v>
      </c>
      <c r="B51" t="str">
        <f>BIBLE!V144</f>
        <v>Rôle actif de l'enfant</v>
      </c>
      <c r="C51" s="55" t="str">
        <f>BIBLE!R144</f>
        <v>Demande à l'enfant de faire les messages</v>
      </c>
      <c r="D51" s="6">
        <f>IF(Test_Bible!B248="","",Test_Bible!Q248)</f>
        <v>6</v>
      </c>
      <c r="F51" s="1714">
        <f>IF(Test_Bible!B149="","",Test_Bible!Q149)</f>
        <v>8</v>
      </c>
      <c r="G51" s="11">
        <f>IF(AND(D51="",E51="",F51=""),"",MAX(D51,E51)+F51)</f>
        <v>14</v>
      </c>
      <c r="H51" s="2403" t="str">
        <f>IF(G51="","",IF(OR(G51&gt;$G$53,G51&gt;20),"à inclure",""))</f>
        <v>à inclure</v>
      </c>
      <c r="I51" s="2403">
        <f>IF(G51="","",IF(OR(G51&gt;$G$53,G51&gt;20),M51,""))</f>
        <v>0</v>
      </c>
      <c r="J51" s="2403">
        <f>IF(G51="","",IF(OR(G51&gt;$G$53,G51&gt;20),N51,""))</f>
        <v>0</v>
      </c>
      <c r="K51" s="90"/>
      <c r="L51" s="2397"/>
      <c r="M51" s="2393"/>
      <c r="N51" s="2389"/>
      <c r="P51" s="90"/>
      <c r="Q51" s="90"/>
      <c r="R51" s="90"/>
      <c r="S51" s="90"/>
      <c r="T51" s="90"/>
    </row>
    <row r="52" spans="1:20" ht="17" customHeight="1">
      <c r="A52" s="51" t="s">
        <v>837</v>
      </c>
      <c r="B52" s="51" t="str">
        <f>BIBLE!V145</f>
        <v>Rôle actif de l'enfant</v>
      </c>
      <c r="C52" s="1708" t="str">
        <f>BIBLE!R145</f>
        <v>Laisse l'enfant le droit de choisir</v>
      </c>
      <c r="D52" s="1710">
        <f>IF(Test_Bible!B249="","",Test_Bible!Q249)</f>
        <v>6</v>
      </c>
      <c r="E52" s="51"/>
      <c r="F52" s="1712"/>
      <c r="G52" s="11">
        <f>IF(AND(D52="",E52="",F52=""),"",MAX(D52,E52)+F52)</f>
        <v>6</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c r="C53" s="55"/>
      <c r="D53" s="6"/>
      <c r="G53" s="2381">
        <f>AVERAGE(G49:G52)</f>
        <v>10.5</v>
      </c>
      <c r="H53" s="2404"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404">
        <f>IF(G53&gt;=$G$54,M53,"")</f>
        <v>0</v>
      </c>
      <c r="J53" s="2404">
        <f>IF(G53&gt;=$G$54,N53,"")</f>
        <v>0</v>
      </c>
      <c r="K53" s="2367"/>
      <c r="L53" s="2395" t="s">
        <v>1942</v>
      </c>
      <c r="M53" s="2395"/>
      <c r="N53" s="2390"/>
      <c r="P53" s="90"/>
      <c r="Q53" s="90"/>
      <c r="R53" s="90"/>
      <c r="S53" s="90"/>
      <c r="T53" s="90"/>
    </row>
    <row r="54" spans="1:20" ht="32" customHeight="1">
      <c r="D54" s="6">
        <f>SUM(D9:D52)</f>
        <v>188</v>
      </c>
      <c r="E54" s="6">
        <f>SUM(E9:E52)</f>
        <v>106</v>
      </c>
      <c r="F54" s="6">
        <f>SUM(F9:F52)</f>
        <v>41</v>
      </c>
      <c r="G54" s="6">
        <f>(AVERAGE(G9:G14)+AVERAGE(G16:G21)+AVERAGE(G23:G26)+AVERAGE(G28:G36)+AVERAGE(G38:G42)+AVERAGE(G44:G47)+AVERAGE(G49:G52))/7</f>
        <v>7.1793650793650796</v>
      </c>
      <c r="H54" s="67"/>
      <c r="I54" s="67"/>
      <c r="J54" s="67"/>
      <c r="K54" s="6"/>
      <c r="M54" s="54"/>
      <c r="N54" s="2392"/>
      <c r="O54" s="5"/>
      <c r="P54" s="90"/>
      <c r="Q54" s="90"/>
      <c r="R54" s="90"/>
      <c r="S54" s="90"/>
      <c r="T54" s="90"/>
    </row>
    <row r="55" spans="1:20" ht="76" customHeight="1">
      <c r="C55" s="55"/>
      <c r="H55" s="1811">
        <f>L55</f>
        <v>0</v>
      </c>
      <c r="K55" s="7" t="s">
        <v>1943</v>
      </c>
      <c r="L55" s="2123"/>
    </row>
    <row r="56" spans="1:20" ht="81" customHeight="1">
      <c r="A56" s="291"/>
      <c r="C56" s="55"/>
      <c r="H56" s="700"/>
      <c r="K56" s="5" t="s">
        <v>1885</v>
      </c>
      <c r="L56" s="2385" t="s">
        <v>1944</v>
      </c>
    </row>
    <row r="57" spans="1:20" ht="57" customHeight="1">
      <c r="A57" s="1757"/>
      <c r="C57" s="55"/>
    </row>
    <row r="58" spans="1:20">
      <c r="A58" s="291"/>
      <c r="C58" s="55"/>
    </row>
    <row r="59" spans="1:20">
      <c r="A59" s="291"/>
    </row>
    <row r="60" spans="1:20">
      <c r="A60" s="1757"/>
      <c r="O60" s="9"/>
    </row>
    <row r="61" spans="1:20">
      <c r="A61" s="1757"/>
      <c r="O61" s="2267"/>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abSelected="1" topLeftCell="C30" zoomScale="80" zoomScaleNormal="80" workbookViewId="0">
      <selection activeCell="P42" sqref="P42"/>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1736</v>
      </c>
      <c r="D1" s="2162" t="s">
        <v>1945</v>
      </c>
      <c r="E1" s="1446"/>
      <c r="F1" s="1446"/>
      <c r="G1" s="1447"/>
      <c r="H1" s="1447"/>
      <c r="I1" s="1447"/>
      <c r="J1" s="1447"/>
      <c r="K1" s="1447"/>
      <c r="L1" s="1447"/>
      <c r="M1" s="1447"/>
      <c r="N1" s="1446"/>
      <c r="O1" s="1446"/>
    </row>
    <row r="2" spans="1:35" ht="31" customHeight="1">
      <c r="B2" s="2356" t="s">
        <v>1946</v>
      </c>
      <c r="D2" s="80"/>
    </row>
    <row r="3" spans="1:35" ht="31" customHeight="1">
      <c r="B3" s="407"/>
      <c r="D3" s="80"/>
    </row>
    <row r="4" spans="1:35" ht="31" customHeight="1">
      <c r="B4" s="407"/>
      <c r="D4" s="80"/>
    </row>
    <row r="5" spans="1:35" ht="31" customHeight="1">
      <c r="B5" s="407"/>
      <c r="D5" s="80"/>
    </row>
    <row r="6" spans="1:35" ht="31" customHeight="1">
      <c r="B6" s="407" t="s">
        <v>1739</v>
      </c>
      <c r="D6" s="2162" t="s">
        <v>1947</v>
      </c>
      <c r="E6" s="1446"/>
      <c r="F6" s="1446"/>
      <c r="G6" s="1447"/>
      <c r="H6" s="1447"/>
      <c r="I6" s="1447"/>
      <c r="J6" s="1447"/>
      <c r="K6" s="1447"/>
      <c r="L6" s="1447"/>
      <c r="M6" s="1447"/>
      <c r="N6" s="1446"/>
      <c r="O6" s="1446"/>
    </row>
    <row r="7" spans="1:35" ht="31" customHeight="1"/>
    <row r="8" spans="1:35" ht="31" customHeight="1">
      <c r="B8" s="34" t="s">
        <v>1948</v>
      </c>
      <c r="P8" s="2549" t="s">
        <v>1747</v>
      </c>
      <c r="Q8" s="2468"/>
      <c r="R8" s="2515"/>
      <c r="S8" s="57" t="s">
        <v>1741</v>
      </c>
      <c r="U8" s="2558" t="s">
        <v>1833</v>
      </c>
      <c r="V8" s="2468"/>
    </row>
    <row r="9" spans="1:35" ht="62" customHeight="1" thickBot="1">
      <c r="H9" s="16"/>
      <c r="I9" s="2469" t="s">
        <v>1949</v>
      </c>
      <c r="J9" s="2469"/>
      <c r="K9" s="2469"/>
      <c r="L9" s="2469"/>
      <c r="M9" s="2469"/>
      <c r="P9" s="2092" t="s">
        <v>1754</v>
      </c>
      <c r="Q9" s="2058" t="s">
        <v>1755</v>
      </c>
      <c r="R9" s="2058" t="s">
        <v>1756</v>
      </c>
      <c r="S9" s="2566" t="s">
        <v>1832</v>
      </c>
      <c r="T9" s="2499"/>
      <c r="U9" s="2058" t="s">
        <v>1760</v>
      </c>
      <c r="V9" s="1309" t="s">
        <v>1761</v>
      </c>
      <c r="W9" s="2125"/>
      <c r="X9" s="2553" t="s">
        <v>1748</v>
      </c>
      <c r="Y9" s="2490"/>
      <c r="Z9" s="2490"/>
      <c r="AA9" s="2490"/>
      <c r="AB9" s="2490"/>
      <c r="AC9" s="2490"/>
      <c r="AD9" s="2490"/>
      <c r="AE9" s="2490"/>
    </row>
    <row r="10" spans="1:35" ht="62" customHeight="1">
      <c r="D10" s="1" t="s">
        <v>1561</v>
      </c>
      <c r="E10" s="25" t="s">
        <v>1750</v>
      </c>
      <c r="F10" s="2072" t="s">
        <v>1950</v>
      </c>
      <c r="G10" s="2073" t="s">
        <v>252</v>
      </c>
      <c r="H10" s="1295" t="s">
        <v>1751</v>
      </c>
      <c r="I10" s="1253" t="s">
        <v>518</v>
      </c>
      <c r="J10" s="1253" t="s">
        <v>1369</v>
      </c>
      <c r="K10" s="1253" t="s">
        <v>1951</v>
      </c>
      <c r="L10" s="1253" t="s">
        <v>1952</v>
      </c>
      <c r="M10" s="1253" t="s">
        <v>97</v>
      </c>
      <c r="N10" s="1253" t="s">
        <v>1752</v>
      </c>
      <c r="O10" s="1309" t="s">
        <v>1753</v>
      </c>
      <c r="P10" s="2055" t="s">
        <v>1764</v>
      </c>
      <c r="Q10" s="2057" t="s">
        <v>1765</v>
      </c>
      <c r="R10" s="2057" t="s">
        <v>1766</v>
      </c>
      <c r="S10" s="2057" t="s">
        <v>1953</v>
      </c>
      <c r="T10" s="2057" t="s">
        <v>1954</v>
      </c>
      <c r="U10" s="2160" t="s">
        <v>1955</v>
      </c>
      <c r="V10" s="2160" t="s">
        <v>1955</v>
      </c>
      <c r="W10" s="2446" t="s">
        <v>1956</v>
      </c>
      <c r="X10" s="2563" t="s">
        <v>518</v>
      </c>
      <c r="Y10" s="2552"/>
      <c r="Z10" s="2551" t="s">
        <v>1369</v>
      </c>
      <c r="AA10" s="2552"/>
      <c r="AB10" s="2556" t="s">
        <v>1957</v>
      </c>
      <c r="AC10" s="2552"/>
      <c r="AD10" s="2554" t="s">
        <v>1958</v>
      </c>
      <c r="AE10" s="2555"/>
    </row>
    <row r="11" spans="1:35" ht="20" customHeight="1">
      <c r="D11" s="1"/>
      <c r="E11" s="25"/>
      <c r="F11" s="2072"/>
      <c r="G11" s="2073"/>
      <c r="H11" s="1854"/>
      <c r="I11" s="1253"/>
      <c r="J11" s="1253"/>
      <c r="K11" s="1253"/>
      <c r="L11" s="1253"/>
      <c r="M11" s="1253"/>
      <c r="N11" s="1253"/>
      <c r="O11" s="1309"/>
      <c r="P11" s="2055"/>
      <c r="Q11" s="2057"/>
      <c r="R11" s="2057"/>
      <c r="S11" s="2057">
        <f>IF(AND($H$37&gt;=AG16,$H$37&lt;=AH16),1,0)</f>
        <v>0</v>
      </c>
      <c r="T11" s="2057">
        <f>IF(AND($H$37&gt;=AG17,$H$37&lt;=AH17),1,0)</f>
        <v>0</v>
      </c>
      <c r="U11" s="2160"/>
      <c r="V11" s="2160"/>
      <c r="W11" s="2097"/>
      <c r="X11" s="1908"/>
      <c r="Y11" s="1810"/>
      <c r="Z11" s="5"/>
      <c r="AA11" s="5"/>
      <c r="AB11" s="1810"/>
      <c r="AC11" s="1810"/>
      <c r="AD11" s="5"/>
      <c r="AE11" s="1905"/>
    </row>
    <row r="12" spans="1:35" ht="119" customHeight="1">
      <c r="D12" s="13"/>
      <c r="F12" s="1296"/>
      <c r="G12" s="1297"/>
      <c r="H12" s="1261"/>
      <c r="I12" s="587"/>
      <c r="J12" s="587"/>
      <c r="K12" s="587"/>
      <c r="L12" s="587"/>
      <c r="M12" s="587"/>
      <c r="N12" s="1"/>
      <c r="O12" s="1"/>
      <c r="S12" s="2240" t="s">
        <v>1959</v>
      </c>
      <c r="T12" s="2240" t="s">
        <v>1960</v>
      </c>
      <c r="U12" s="16" t="s">
        <v>1961</v>
      </c>
      <c r="V12" s="16" t="s">
        <v>1961</v>
      </c>
      <c r="X12" s="1908" t="s">
        <v>1410</v>
      </c>
      <c r="Y12" s="1810" t="s">
        <v>1313</v>
      </c>
      <c r="Z12" s="5" t="s">
        <v>1410</v>
      </c>
      <c r="AA12" s="5" t="s">
        <v>1313</v>
      </c>
      <c r="AB12" s="1810" t="s">
        <v>1410</v>
      </c>
      <c r="AC12" s="1810" t="s">
        <v>1313</v>
      </c>
      <c r="AD12" s="5" t="s">
        <v>1410</v>
      </c>
      <c r="AE12" s="1905" t="s">
        <v>1313</v>
      </c>
      <c r="AG12" t="s">
        <v>1762</v>
      </c>
    </row>
    <row r="13" spans="1:35" s="7" customFormat="1" ht="34" customHeight="1">
      <c r="A13" s="1914"/>
      <c r="B13" s="7" t="str">
        <f>BIBLE!E97</f>
        <v>PFA11</v>
      </c>
      <c r="C13" s="25" t="str">
        <f>Test_Bible!B183</f>
        <v xml:space="preserve">L'autre parent est d'avis que votre enfant est assez mature pour choisir où il doit vivre et avec quel parent.  </v>
      </c>
      <c r="D13" s="2565" t="s">
        <v>1962</v>
      </c>
      <c r="F13" s="2074">
        <f>Test_Bible!D183</f>
        <v>2</v>
      </c>
      <c r="G13" s="2075" t="str">
        <f>Test_Bible!P183</f>
        <v>2</v>
      </c>
      <c r="H13" s="1857" t="str">
        <f>G13</f>
        <v>2</v>
      </c>
      <c r="I13" s="553">
        <v>0</v>
      </c>
      <c r="J13" s="553" t="s">
        <v>1478</v>
      </c>
      <c r="K13" s="2062" t="s">
        <v>1779</v>
      </c>
      <c r="L13" s="553" t="s">
        <v>1780</v>
      </c>
      <c r="M13" s="2063">
        <v>10</v>
      </c>
      <c r="N13" s="8">
        <f>G13*F13</f>
        <v>4</v>
      </c>
      <c r="O13" s="8"/>
      <c r="P13" s="1897"/>
      <c r="Q13" s="501" t="str">
        <f>IF(OR(C13=" ",$P$17="")," ",IF(O$17&gt;=$P$38,IF(H13&gt;=7,U13," ")," "))</f>
        <v xml:space="preserve"> </v>
      </c>
      <c r="R13" s="501" t="str">
        <f>IF(OR(C13="",$P$17="")," ",IF(O$17&gt;=$P$38,IF(N13&gt;=O$17,V13," ")," "))</f>
        <v xml:space="preserve"> </v>
      </c>
      <c r="S13" s="2239"/>
      <c r="T13" s="25"/>
      <c r="U13" s="2304"/>
      <c r="V13" s="2304"/>
      <c r="W13" s="16"/>
      <c r="X13" s="2051">
        <v>0</v>
      </c>
      <c r="Y13" s="2052">
        <v>3</v>
      </c>
      <c r="Z13" s="7">
        <v>4</v>
      </c>
      <c r="AA13" s="7">
        <v>6</v>
      </c>
      <c r="AB13" s="590">
        <v>7</v>
      </c>
      <c r="AC13" s="590">
        <v>10</v>
      </c>
      <c r="AD13" s="7">
        <v>10</v>
      </c>
      <c r="AE13" s="2053">
        <v>10</v>
      </c>
      <c r="AG13" t="s">
        <v>1410</v>
      </c>
      <c r="AH13" t="s">
        <v>1313</v>
      </c>
      <c r="AI13" t="s">
        <v>1963</v>
      </c>
    </row>
    <row r="14" spans="1:35" s="7" customFormat="1" ht="118" customHeight="1">
      <c r="A14" s="1914"/>
      <c r="B14" s="21" t="str">
        <f>BIBLE!E98</f>
        <v>PFA11a</v>
      </c>
      <c r="C14" s="692" t="str">
        <f>Test_Bible!B184</f>
        <v>Est-ce que l'autre parent vous demande de respecter les désirs et les choix de votre enfant ?</v>
      </c>
      <c r="D14" s="2509"/>
      <c r="F14" s="2077">
        <f>Test_Bible!D184</f>
        <v>2</v>
      </c>
      <c r="G14" s="2075">
        <f>Test_Bible!P184</f>
        <v>0</v>
      </c>
      <c r="H14" s="1857">
        <f>G14</f>
        <v>0</v>
      </c>
      <c r="I14" s="1860" t="s">
        <v>1964</v>
      </c>
      <c r="J14" s="2034"/>
      <c r="K14" s="1860" t="s">
        <v>1779</v>
      </c>
      <c r="L14" s="1860" t="s">
        <v>1780</v>
      </c>
      <c r="M14" s="2069">
        <v>10</v>
      </c>
      <c r="N14" s="8">
        <f>G14*F14</f>
        <v>0</v>
      </c>
      <c r="O14" s="8"/>
      <c r="P14" s="1897"/>
      <c r="Q14" s="501" t="str">
        <f>IF(OR(C14=" ",$P$17="")," ",IF(O$17&gt;=$P$38,IF(H14&gt;=7,U14," ")," "))</f>
        <v xml:space="preserve"> </v>
      </c>
      <c r="R14" s="501" t="str">
        <f>IF(OR(C14="",$P$17="")," ",IF(O$17&gt;=$P$38,IF(N14&gt;=O$17,V14," ")," "))</f>
        <v xml:space="preserve"> </v>
      </c>
      <c r="S14" s="2239"/>
      <c r="T14" s="25"/>
      <c r="U14" s="2304"/>
      <c r="V14" s="2421" t="s">
        <v>1965</v>
      </c>
      <c r="W14" s="16"/>
      <c r="X14" s="2051">
        <v>0</v>
      </c>
      <c r="Y14" s="2052">
        <v>3</v>
      </c>
      <c r="Z14" s="7">
        <v>2</v>
      </c>
      <c r="AA14" s="7">
        <v>3</v>
      </c>
      <c r="AB14" s="590">
        <v>4</v>
      </c>
      <c r="AC14" s="590">
        <v>6</v>
      </c>
      <c r="AD14" s="7">
        <v>7</v>
      </c>
      <c r="AE14" s="2053">
        <v>10</v>
      </c>
      <c r="AG14" s="5">
        <v>0</v>
      </c>
      <c r="AH14" s="5">
        <f>Y39</f>
        <v>27</v>
      </c>
      <c r="AI14" t="s">
        <v>1966</v>
      </c>
    </row>
    <row r="15" spans="1:35" s="7" customFormat="1" ht="34" customHeight="1">
      <c r="A15" s="1914"/>
      <c r="B15" s="7" t="str">
        <f>Test_Bible!A250</f>
        <v>PFA36</v>
      </c>
      <c r="C15" s="25" t="str">
        <f>Test_Bible!B250</f>
        <v>L’autre parent demande à votre enfant de choisir avec quel parent il veut vivre.</v>
      </c>
      <c r="D15" s="2509"/>
      <c r="F15" s="2074">
        <f>Test_Bible!D250</f>
        <v>3</v>
      </c>
      <c r="G15" s="2075" t="str">
        <f>Test_Bible!P250</f>
        <v>1</v>
      </c>
      <c r="H15" s="1857" t="str">
        <f>G15</f>
        <v>1</v>
      </c>
      <c r="I15" s="553" t="s">
        <v>1784</v>
      </c>
      <c r="J15" s="2062" t="s">
        <v>1785</v>
      </c>
      <c r="K15" s="2062" t="s">
        <v>1779</v>
      </c>
      <c r="L15" s="553" t="s">
        <v>1780</v>
      </c>
      <c r="M15" s="2069">
        <v>10</v>
      </c>
      <c r="N15" s="8">
        <f>G15*F15</f>
        <v>3</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1967</v>
      </c>
    </row>
    <row r="16" spans="1:35" s="7" customFormat="1" ht="363" customHeight="1">
      <c r="A16" s="1914"/>
      <c r="B16" s="21" t="str">
        <f>BIBLE!E110</f>
        <v>PFA16b1</v>
      </c>
      <c r="C16" s="692" t="str">
        <f>Test_Bible!B196</f>
        <v>Arrive-t-il que l’autre parent organise et propose des activités amusantes, voire irrésistibles à votre enfant durant votre temps de garde ?</v>
      </c>
      <c r="D16" s="2510"/>
      <c r="F16" s="2074">
        <f>Test_Bible!D196</f>
        <v>3</v>
      </c>
      <c r="G16" s="2075" t="str">
        <f>Test_Bible!P196</f>
        <v>2</v>
      </c>
      <c r="H16" s="1857" t="str">
        <f>G16</f>
        <v>2</v>
      </c>
      <c r="I16" s="553" t="s">
        <v>1784</v>
      </c>
      <c r="J16" s="2062" t="s">
        <v>1785</v>
      </c>
      <c r="K16" s="2062" t="s">
        <v>1779</v>
      </c>
      <c r="L16" s="553" t="s">
        <v>1780</v>
      </c>
      <c r="M16" s="2071">
        <v>10</v>
      </c>
      <c r="N16" s="8">
        <f>G16*F16</f>
        <v>6</v>
      </c>
      <c r="O16" s="8"/>
      <c r="P16" s="1897"/>
      <c r="Q16" s="501" t="str">
        <f>IF(OR(C16=" ",$P$17="")," ",IF(O$17&gt;=$P$38,IF(H16&gt;=7,U16," ")," "))</f>
        <v xml:space="preserve"> </v>
      </c>
      <c r="R16" s="501" t="str">
        <f>IF(OR(C16="",$P$17="")," ",IF(O$17&gt;=$P$38,IF(N16&gt;=O$17,V16," ")," "))</f>
        <v xml:space="preserve"> </v>
      </c>
      <c r="S16" s="2239"/>
      <c r="T16" s="25"/>
      <c r="U16" s="2393"/>
      <c r="V16" s="2393" t="s">
        <v>1968</v>
      </c>
      <c r="W16" s="16"/>
      <c r="X16" s="2051">
        <v>0</v>
      </c>
      <c r="Y16" s="2052">
        <v>1</v>
      </c>
      <c r="Z16" s="7">
        <v>2</v>
      </c>
      <c r="AA16" s="7">
        <v>3</v>
      </c>
      <c r="AB16" s="590">
        <v>4</v>
      </c>
      <c r="AC16" s="590">
        <v>6</v>
      </c>
      <c r="AD16" s="7">
        <v>7</v>
      </c>
      <c r="AE16" s="2053">
        <v>10</v>
      </c>
      <c r="AG16" s="5">
        <f>AH15+1</f>
        <v>64</v>
      </c>
      <c r="AH16" s="5">
        <f>AC39</f>
        <v>122</v>
      </c>
      <c r="AI16" t="s">
        <v>1969</v>
      </c>
    </row>
    <row r="17" spans="1:42" s="7" customFormat="1" ht="108" customHeight="1">
      <c r="C17" s="25"/>
      <c r="D17" s="2064"/>
      <c r="E17" s="2065"/>
      <c r="F17" s="2076"/>
      <c r="G17" s="2076"/>
      <c r="H17" s="2037"/>
      <c r="I17" s="2036"/>
      <c r="J17" s="2036"/>
      <c r="K17" s="2036"/>
      <c r="L17" s="2036"/>
      <c r="M17" s="2036"/>
      <c r="N17" s="2040"/>
      <c r="O17" s="2040">
        <f>AVERAGE(N13:N16)</f>
        <v>3.25</v>
      </c>
      <c r="P17" s="1897" t="str">
        <f>IF(O17&gt;=AVERAGE($O$17,$O$21,$O$26,$O$30,$O$34),HLOOKUP(1,$S$11:$T$42,7),"")</f>
        <v/>
      </c>
      <c r="Q17" s="2407" t="str">
        <f>IF(P17="","",U17)</f>
        <v/>
      </c>
      <c r="R17" s="2407" t="str">
        <f>IF(P17="","",V17)</f>
        <v/>
      </c>
      <c r="S17" s="2240" t="s">
        <v>1970</v>
      </c>
      <c r="T17" s="2240" t="s">
        <v>1971</v>
      </c>
      <c r="U17" s="2304"/>
      <c r="V17" s="2321"/>
      <c r="X17" s="2051"/>
      <c r="Y17" s="2052"/>
      <c r="AB17" s="590"/>
      <c r="AC17" s="590"/>
      <c r="AE17" s="2053"/>
      <c r="AG17" s="5">
        <f>AH16+1</f>
        <v>123</v>
      </c>
      <c r="AH17" s="5">
        <f>AE39</f>
        <v>180</v>
      </c>
      <c r="AI17" t="s">
        <v>1972</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65" t="s">
        <v>76</v>
      </c>
      <c r="F18" s="2074">
        <f>Test_Bible!D190</f>
        <v>1</v>
      </c>
      <c r="G18" s="2075" t="str">
        <f>Test_Bible!P190</f>
        <v>2</v>
      </c>
      <c r="H18" s="1857" t="str">
        <f>G18</f>
        <v>2</v>
      </c>
      <c r="I18" s="1860" t="s">
        <v>1964</v>
      </c>
      <c r="J18" s="1860" t="s">
        <v>1779</v>
      </c>
      <c r="K18" s="1860" t="s">
        <v>1780</v>
      </c>
      <c r="L18" s="1860"/>
      <c r="M18" s="2063">
        <v>10</v>
      </c>
      <c r="N18" s="8">
        <f>G18*F18</f>
        <v>2</v>
      </c>
      <c r="P18" s="1897"/>
      <c r="Q18" s="501" t="str">
        <f>IF(OR(C18=" ",$P$21="")," ",IF(O$21&gt;=$P$38,IF(H18&gt;=7,U18," ")," "))</f>
        <v xml:space="preserve"> </v>
      </c>
      <c r="R18" s="501" t="str">
        <f>IF(OR(C18=" ",$P$21="")," ",IF(O$21&gt;=$P$38,IF(N18&gt;=O$21,V18," ")," "))</f>
        <v xml:space="preserve"> </v>
      </c>
      <c r="S18" s="2239"/>
      <c r="T18" s="2239"/>
      <c r="U18" s="2304"/>
      <c r="V18" s="2304"/>
      <c r="W18" s="16"/>
      <c r="X18" s="2051">
        <v>0</v>
      </c>
      <c r="Y18" s="2052">
        <v>3</v>
      </c>
      <c r="Z18" s="7">
        <v>4</v>
      </c>
      <c r="AA18" s="7">
        <v>6</v>
      </c>
      <c r="AB18" s="590">
        <v>7</v>
      </c>
      <c r="AC18" s="590">
        <v>10</v>
      </c>
      <c r="AD18" s="7">
        <v>10</v>
      </c>
      <c r="AE18" s="2053">
        <v>10</v>
      </c>
    </row>
    <row r="19" spans="1:42" s="7" customFormat="1" ht="51" customHeight="1">
      <c r="A19" s="1914"/>
      <c r="B19" s="7" t="str">
        <f>BIBLE!E105</f>
        <v>PFA15</v>
      </c>
      <c r="C19" s="25" t="str">
        <f>Test_Bible!B191</f>
        <v>L'autre parent laisse entendre qu'il ou elle représente la vraie famille de votre enfant.</v>
      </c>
      <c r="D19" s="2509"/>
      <c r="F19" s="2074">
        <f>Test_Bible!D191</f>
        <v>2</v>
      </c>
      <c r="G19" s="2075" t="str">
        <f>Test_Bible!P191</f>
        <v>1</v>
      </c>
      <c r="H19" s="1857" t="str">
        <f>G19</f>
        <v>1</v>
      </c>
      <c r="I19" s="1860" t="s">
        <v>1964</v>
      </c>
      <c r="J19" s="1860" t="s">
        <v>1779</v>
      </c>
      <c r="K19" s="1860" t="s">
        <v>1780</v>
      </c>
      <c r="L19" s="1860"/>
      <c r="M19" s="2069">
        <v>10</v>
      </c>
      <c r="N19" s="8">
        <f>G19*F19</f>
        <v>2</v>
      </c>
      <c r="P19" s="1897"/>
      <c r="Q19" s="501" t="str">
        <f>IF(OR(C19=" ",$P$21="")," ",IF(O$21&gt;=$P$38,IF(H19&gt;=7,U19," ")," "))</f>
        <v xml:space="preserve"> </v>
      </c>
      <c r="R19" s="501" t="str">
        <f>IF(OR(C19=" ",$P$21="")," ",IF(O$21&gt;=$P$38,IF(N19&gt;=O$21,V19," ")," "))</f>
        <v xml:space="preserve"> </v>
      </c>
      <c r="S19" s="2239"/>
      <c r="T19" s="25"/>
      <c r="U19" s="2304"/>
      <c r="V19" s="2396" t="s">
        <v>1973</v>
      </c>
      <c r="W19" s="16"/>
      <c r="X19" s="2051">
        <v>0</v>
      </c>
      <c r="Y19" s="2052">
        <v>3</v>
      </c>
      <c r="Z19" s="7">
        <v>4</v>
      </c>
      <c r="AA19" s="7">
        <v>6</v>
      </c>
      <c r="AB19" s="590">
        <v>7</v>
      </c>
      <c r="AC19" s="590">
        <v>10</v>
      </c>
      <c r="AD19" s="7">
        <v>10</v>
      </c>
      <c r="AE19" s="2053">
        <v>10</v>
      </c>
    </row>
    <row r="20" spans="1:42" s="7" customFormat="1" ht="30" customHeight="1">
      <c r="A20" s="1914"/>
      <c r="B20" s="21" t="str">
        <f>BIBLE!E106</f>
        <v>PFA15a</v>
      </c>
      <c r="C20" s="692" t="str">
        <f>Test_Bible!B192</f>
        <v>L'autre parent demande à votre enfant d'appeler son nouveau ou nouvelle conjoint·e maman ou papa.</v>
      </c>
      <c r="D20" s="2510"/>
      <c r="F20" s="2077">
        <f>Test_Bible!D192</f>
        <v>3</v>
      </c>
      <c r="G20" s="2075">
        <f>Test_Bible!P192</f>
        <v>0</v>
      </c>
      <c r="H20" s="1857">
        <f>G20</f>
        <v>0</v>
      </c>
      <c r="I20" s="1860" t="s">
        <v>1784</v>
      </c>
      <c r="J20" s="2034" t="s">
        <v>1785</v>
      </c>
      <c r="K20" s="2034" t="s">
        <v>1974</v>
      </c>
      <c r="L20" s="1860" t="s">
        <v>1975</v>
      </c>
      <c r="M20" s="2071">
        <v>10</v>
      </c>
      <c r="N20" s="8">
        <f>G20*F20</f>
        <v>0</v>
      </c>
      <c r="P20" s="1897"/>
      <c r="Q20" s="501" t="str">
        <f>IF(OR(C20=" ",$P$21="")," ",IF(O$21&gt;=$P$38,IF(H20&gt;=7,U20," ")," "))</f>
        <v xml:space="preserve"> </v>
      </c>
      <c r="R20" s="501" t="str">
        <f>IF(OR(C20=" ",$P$21="")," ",IF(O$21&gt;=$P$38,IF(N20&gt;=O$21,V20," ")," "))</f>
        <v xml:space="preserve"> </v>
      </c>
      <c r="S20" s="2239"/>
      <c r="T20" s="25"/>
      <c r="U20" s="2304"/>
      <c r="V20" s="2304"/>
      <c r="W20" s="16"/>
      <c r="X20" s="2051">
        <v>0</v>
      </c>
      <c r="Y20" s="2052">
        <v>1</v>
      </c>
      <c r="Z20" s="7">
        <v>2</v>
      </c>
      <c r="AA20" s="7">
        <v>3</v>
      </c>
      <c r="AB20" s="590">
        <v>4</v>
      </c>
      <c r="AC20" s="590">
        <v>5</v>
      </c>
      <c r="AD20" s="7">
        <v>6</v>
      </c>
      <c r="AE20" s="2053">
        <v>10</v>
      </c>
    </row>
    <row r="21" spans="1:42" s="7" customFormat="1" ht="90" customHeight="1">
      <c r="C21" s="25"/>
      <c r="D21" s="2064"/>
      <c r="E21" s="2065"/>
      <c r="F21" s="2076"/>
      <c r="G21" s="2076"/>
      <c r="H21" s="2037"/>
      <c r="I21" s="2036"/>
      <c r="J21" s="2036"/>
      <c r="K21" s="2036"/>
      <c r="L21" s="2036"/>
      <c r="M21" s="2036"/>
      <c r="N21" s="2040"/>
      <c r="O21" s="2040">
        <f>AVERAGE(N18:N20)</f>
        <v>1.3333333333333333</v>
      </c>
      <c r="P21" s="1897" t="str">
        <f>IF(O21&gt;=AVERAGE($O$17,$O$21,$O$26,$O$30,$O$34),HLOOKUP(1,$S$11:$T$42,11),"")</f>
        <v/>
      </c>
      <c r="Q21" s="2407" t="str">
        <f>IF(P21="","",U21)</f>
        <v/>
      </c>
      <c r="R21" s="2407" t="str">
        <f>IF(P21="","",V21)</f>
        <v/>
      </c>
      <c r="S21" s="2240" t="s">
        <v>1976</v>
      </c>
      <c r="T21" s="2240" t="s">
        <v>1976</v>
      </c>
      <c r="U21" s="2304"/>
      <c r="V21" s="2396"/>
      <c r="X21" s="2051"/>
      <c r="Y21" s="2052"/>
      <c r="AB21" s="590"/>
      <c r="AC21" s="590"/>
      <c r="AE21" s="2053"/>
    </row>
    <row r="22" spans="1:42" s="7" customFormat="1" ht="34" customHeight="1">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t="str">
        <f>Test_Bible!P199</f>
        <v>2</v>
      </c>
      <c r="H22" s="1857" t="str">
        <f>G22</f>
        <v>2</v>
      </c>
      <c r="I22" s="553" t="s">
        <v>1964</v>
      </c>
      <c r="J22" s="2062" t="s">
        <v>1779</v>
      </c>
      <c r="K22" s="553" t="s">
        <v>1780</v>
      </c>
      <c r="L22" s="553"/>
      <c r="M22" s="2063">
        <v>10</v>
      </c>
      <c r="N22" s="8">
        <f>G22*F22</f>
        <v>4</v>
      </c>
      <c r="P22" s="1897"/>
      <c r="Q22" s="501">
        <f>IF(OR(C22=" ",$P$26="")," ",IF(O$26&gt;=$P$38,IF(H22&gt;=7,U22," ")," "))</f>
        <v>0</v>
      </c>
      <c r="R22" s="501">
        <f>IF(OR(D22=" ",$P$26="")," ",IF(O$26&gt;=$P$38,IF(H22&gt;=7,V22," ")," "))</f>
        <v>0</v>
      </c>
      <c r="S22" s="2239"/>
      <c r="T22" s="25"/>
      <c r="U22" s="2304"/>
      <c r="V22" s="2304"/>
      <c r="W22" s="16"/>
      <c r="X22" s="2051">
        <v>0</v>
      </c>
      <c r="Y22" s="2052">
        <v>3</v>
      </c>
      <c r="Z22" s="7">
        <v>4</v>
      </c>
      <c r="AA22" s="7">
        <v>6</v>
      </c>
      <c r="AB22" s="590">
        <v>7</v>
      </c>
      <c r="AC22" s="590">
        <v>10</v>
      </c>
      <c r="AD22" s="7">
        <v>10</v>
      </c>
      <c r="AE22" s="2053">
        <v>10</v>
      </c>
    </row>
    <row r="23" spans="1:42" s="7" customFormat="1" ht="51" customHeight="1">
      <c r="A23" s="1914"/>
      <c r="B23" s="21" t="str">
        <f>Test_Bible!A200</f>
        <v>PFA19a</v>
      </c>
      <c r="C23" s="692" t="str">
        <f>Test_Bible!B200</f>
        <v>L'autre parent demande aux personnes gravitant autour de votre enfant (profs, médecins, entraîneurs, etc.) de ne PAS vous communiquer de l'information à son sujet.</v>
      </c>
      <c r="D23" s="2229"/>
      <c r="F23" s="2077">
        <f>Test_Bible!D200</f>
        <v>3</v>
      </c>
      <c r="G23" s="2075">
        <f>Test_Bible!P200</f>
        <v>0</v>
      </c>
      <c r="H23" s="1857">
        <f>G23</f>
        <v>0</v>
      </c>
      <c r="I23" s="1860" t="s">
        <v>1964</v>
      </c>
      <c r="J23" s="2034" t="s">
        <v>1779</v>
      </c>
      <c r="K23" s="1860" t="s">
        <v>1780</v>
      </c>
      <c r="L23" s="553"/>
      <c r="M23" s="2069">
        <v>10</v>
      </c>
      <c r="N23" s="8">
        <f>G23*F23</f>
        <v>0</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t="str">
        <f>Test_Bible!P423</f>
        <v>10</v>
      </c>
      <c r="H24" s="1857" t="str">
        <f>G24</f>
        <v>10</v>
      </c>
      <c r="I24" s="1860" t="s">
        <v>1964</v>
      </c>
      <c r="J24" s="2034" t="s">
        <v>1779</v>
      </c>
      <c r="K24" s="1860" t="s">
        <v>1780</v>
      </c>
      <c r="L24" s="553"/>
      <c r="M24" s="2069">
        <v>10</v>
      </c>
      <c r="N24" s="8">
        <f>G24*F24</f>
        <v>30</v>
      </c>
      <c r="P24" s="1897"/>
      <c r="Q24" s="501">
        <f>IF(OR(C24=" ",$P$26="")," ",IF(O$26&gt;=$P$38,IF(H24&gt;=7,U24," ")," "))</f>
        <v>0</v>
      </c>
      <c r="R24" s="501">
        <f>IF(OR(D24=" ",$P$26="")," ",IF(O$26&gt;=$P$38,IF(H24&gt;=7,V24," ")," "))</f>
        <v>0</v>
      </c>
      <c r="S24" s="2239"/>
      <c r="T24" s="25"/>
      <c r="U24" s="2304"/>
      <c r="V24" s="2304"/>
      <c r="W24" s="16"/>
      <c r="X24" s="2051">
        <v>0</v>
      </c>
      <c r="Y24" s="2052">
        <v>3</v>
      </c>
      <c r="Z24" s="7">
        <v>4</v>
      </c>
      <c r="AA24" s="7">
        <v>6</v>
      </c>
      <c r="AB24" s="590">
        <v>7</v>
      </c>
      <c r="AC24" s="590">
        <v>10</v>
      </c>
      <c r="AD24" s="7">
        <v>10</v>
      </c>
      <c r="AE24" s="2053">
        <v>10</v>
      </c>
    </row>
    <row r="25" spans="1:42" s="7" customFormat="1" ht="102" customHeight="1">
      <c r="A25" s="287"/>
      <c r="B25" s="7" t="str">
        <f>BIBLE!E130</f>
        <v>PFA28a</v>
      </c>
      <c r="C25" s="25" t="str">
        <f>Test_Bible!B219</f>
        <v xml:space="preserve">L’autre parent jette les cadeaux que vous avez offerts à votre enfant ou proscrit les photographies de vous dans sa demeure. </v>
      </c>
      <c r="D25" s="2229"/>
      <c r="F25" s="2074">
        <f>Test_Bible!D219</f>
        <v>3</v>
      </c>
      <c r="G25" s="2075">
        <f>Test_Bible!P219</f>
        <v>0</v>
      </c>
      <c r="H25" s="1857">
        <f>G25</f>
        <v>0</v>
      </c>
      <c r="I25" s="1860">
        <v>0</v>
      </c>
      <c r="J25" s="1860">
        <v>1</v>
      </c>
      <c r="K25" s="1860" t="s">
        <v>1785</v>
      </c>
      <c r="L25" s="1860" t="s">
        <v>1795</v>
      </c>
      <c r="M25" s="2069">
        <v>10</v>
      </c>
      <c r="N25" s="8">
        <f>G25*F25</f>
        <v>0</v>
      </c>
      <c r="P25" s="1897"/>
      <c r="Q25" s="501" t="str">
        <f>IF(OR(C25=" ",$P$26="")," ",IF(O$26&gt;=$P$38,IF(H25&gt;=7,U25," ")," "))</f>
        <v xml:space="preserve"> </v>
      </c>
      <c r="R25" s="501" t="str">
        <f>IF(OR(D25=" ",$P$26="")," ",IF(O$26&gt;=$P$38,IF(H25&gt;=7,V25," ")," "))</f>
        <v xml:space="preserve"> </v>
      </c>
      <c r="S25" s="2239"/>
      <c r="T25" s="25"/>
      <c r="U25" s="2304"/>
      <c r="V25" s="2396" t="s">
        <v>1977</v>
      </c>
      <c r="W25" s="16"/>
      <c r="X25" s="2051">
        <v>0</v>
      </c>
      <c r="Y25" s="2052">
        <v>0</v>
      </c>
      <c r="Z25" s="7">
        <v>1</v>
      </c>
      <c r="AA25" s="7">
        <v>1</v>
      </c>
      <c r="AB25" s="590">
        <v>2</v>
      </c>
      <c r="AC25" s="590">
        <v>3</v>
      </c>
      <c r="AD25" s="7">
        <v>4</v>
      </c>
      <c r="AE25" s="2053">
        <v>10</v>
      </c>
      <c r="AO25" s="8"/>
      <c r="AP25" s="8"/>
    </row>
    <row r="26" spans="1:42" s="7" customFormat="1" ht="94" customHeight="1">
      <c r="C26" s="25"/>
      <c r="D26" s="2065"/>
      <c r="E26" s="2065"/>
      <c r="F26" s="2076"/>
      <c r="G26" s="2078"/>
      <c r="H26" s="2079"/>
      <c r="I26" s="2036"/>
      <c r="J26" s="2036"/>
      <c r="K26" s="2036"/>
      <c r="L26" s="2036"/>
      <c r="M26" s="2036"/>
      <c r="N26" s="2038"/>
      <c r="O26" s="2040">
        <f>AVERAGE(N22:N25)</f>
        <v>8.5</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1978</v>
      </c>
      <c r="T26" s="2240" t="s">
        <v>1978</v>
      </c>
      <c r="U26" s="2304"/>
      <c r="V26" s="2321"/>
      <c r="X26" s="2051"/>
      <c r="Y26" s="2052"/>
      <c r="AB26" s="590"/>
      <c r="AC26" s="590"/>
      <c r="AE26" s="2053"/>
      <c r="AO26" s="8"/>
      <c r="AP26" s="8"/>
    </row>
    <row r="27" spans="1:42" s="7" customFormat="1" ht="32" customHeight="1">
      <c r="A27" s="287"/>
      <c r="B27" s="7" t="str">
        <f>BIBLE!E122</f>
        <v>PFA23</v>
      </c>
      <c r="C27" s="25" t="str">
        <f>Test_Bible!B208</f>
        <v>L'identité et la valeur sociale de l'autre parent passe par sa paternité ou sa maternité.</v>
      </c>
      <c r="D27" s="2322" t="s">
        <v>1979</v>
      </c>
      <c r="F27" s="2074">
        <f>Test_Bible!D208</f>
        <v>1</v>
      </c>
      <c r="G27" s="2075" t="str">
        <f>Test_Bible!P208</f>
        <v>2</v>
      </c>
      <c r="H27" s="1857" t="str">
        <f>G27</f>
        <v>2</v>
      </c>
      <c r="I27" s="1860" t="s">
        <v>1784</v>
      </c>
      <c r="J27" s="1860" t="s">
        <v>1785</v>
      </c>
      <c r="K27" s="1860" t="s">
        <v>1974</v>
      </c>
      <c r="L27" s="1860" t="s">
        <v>1975</v>
      </c>
      <c r="M27" s="2063">
        <v>10</v>
      </c>
      <c r="N27" s="8">
        <f>G27*F27</f>
        <v>2</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c r="A28" s="1914"/>
      <c r="B28" s="7" t="str">
        <f>Test_Bible!A101</f>
        <v>H04a</v>
      </c>
      <c r="C28" s="25" t="str">
        <f>Test_Bible!B101</f>
        <v>Dans quelle mesure diriez-vous que leur relation était fusionnelle ?</v>
      </c>
      <c r="D28" s="2229"/>
      <c r="F28" s="2074">
        <f>Test_Bible!D101</f>
        <v>1</v>
      </c>
      <c r="G28" s="2075">
        <f>Test_Bible!P101</f>
        <v>0</v>
      </c>
      <c r="H28" s="1857">
        <f>G28</f>
        <v>0</v>
      </c>
      <c r="I28" s="1860" t="s">
        <v>1784</v>
      </c>
      <c r="J28" s="1860" t="s">
        <v>1785</v>
      </c>
      <c r="K28" s="1860" t="s">
        <v>1974</v>
      </c>
      <c r="L28" s="1860" t="s">
        <v>1975</v>
      </c>
      <c r="M28" s="2069">
        <v>10</v>
      </c>
      <c r="N28" s="8">
        <f>G28*F28</f>
        <v>0</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c r="A29" s="1914"/>
      <c r="B29" s="7" t="str">
        <f>Test_Bible!A166</f>
        <v>PFA02</v>
      </c>
      <c r="C29" s="25" t="str">
        <f>Test_Bible!B166</f>
        <v>Selon vous, dans quelle mesure l'autre parent entretien une relation fusionnelle avec votre enfant ?</v>
      </c>
      <c r="D29" s="2229"/>
      <c r="F29" s="2074">
        <f>Test_Bible!D166</f>
        <v>1</v>
      </c>
      <c r="G29" s="2075" t="str">
        <f>Test_Bible!P166</f>
        <v>8</v>
      </c>
      <c r="H29" s="1857" t="str">
        <f>G29</f>
        <v>8</v>
      </c>
      <c r="I29" s="1860" t="s">
        <v>1784</v>
      </c>
      <c r="J29" s="1860" t="s">
        <v>1785</v>
      </c>
      <c r="K29" s="1860" t="s">
        <v>1974</v>
      </c>
      <c r="L29" s="1860" t="s">
        <v>1975</v>
      </c>
      <c r="M29" s="2069">
        <v>10</v>
      </c>
      <c r="N29" s="8">
        <f>G29*F29</f>
        <v>8</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c r="C30" s="25"/>
      <c r="D30" s="2065"/>
      <c r="E30" s="2065"/>
      <c r="F30" s="2065"/>
      <c r="G30" s="2036"/>
      <c r="H30" s="2067"/>
      <c r="I30" s="2036"/>
      <c r="J30" s="2036"/>
      <c r="K30" s="2036"/>
      <c r="L30" s="2036"/>
      <c r="M30" s="2036"/>
      <c r="N30" s="2038"/>
      <c r="O30" s="2040">
        <f>AVERAGE(N27:N29)</f>
        <v>3.3333333333333335</v>
      </c>
      <c r="P30" s="1897" t="str">
        <f>IF(O30&gt;=AVERAGE($O$17,$O$21,$O$26,$O$30,$O$34),HLOOKUP(1,$S$11:$T$42,20),"")</f>
        <v/>
      </c>
      <c r="Q30" s="2407" t="str">
        <f>IF(P30="","",U30)</f>
        <v/>
      </c>
      <c r="R30" s="2407" t="str">
        <f>IF(P30="","",V30)</f>
        <v/>
      </c>
      <c r="S30" s="2240" t="s">
        <v>1980</v>
      </c>
      <c r="T30" s="2240" t="s">
        <v>1981</v>
      </c>
      <c r="U30" s="2304"/>
      <c r="V30" s="2321"/>
      <c r="X30" s="2051"/>
      <c r="Y30" s="2052"/>
      <c r="Z30" s="8"/>
      <c r="AA30" s="8"/>
      <c r="AB30" s="2052"/>
      <c r="AC30" s="2052"/>
      <c r="AD30" s="8"/>
      <c r="AE30" s="2066"/>
    </row>
    <row r="31" spans="1:42" s="7" customFormat="1" ht="41" customHeight="1">
      <c r="A31" s="1914"/>
      <c r="B31" s="21" t="str">
        <f>BIBLE!E95</f>
        <v>PFA09a</v>
      </c>
      <c r="C31" s="692" t="str">
        <f>Test_Bible!B181</f>
        <v>Est-ce que l'autre parent fait ou a déjà fait des menaces (claires ou voilées) de vous enlever les enfants ?</v>
      </c>
      <c r="D31" s="2565" t="s">
        <v>1982</v>
      </c>
      <c r="F31" s="2074">
        <f>Test_Bible!D181</f>
        <v>3</v>
      </c>
      <c r="G31" s="2075" t="str">
        <f>Test_Bible!P181</f>
        <v>2</v>
      </c>
      <c r="H31" s="1857" t="str">
        <f>G31</f>
        <v>2</v>
      </c>
      <c r="I31" s="553">
        <v>0</v>
      </c>
      <c r="J31" s="553">
        <v>1</v>
      </c>
      <c r="K31" s="553" t="s">
        <v>1785</v>
      </c>
      <c r="L31" s="553" t="s">
        <v>1795</v>
      </c>
      <c r="M31" s="2063">
        <v>10</v>
      </c>
      <c r="N31" s="8">
        <f>G31*F31</f>
        <v>6</v>
      </c>
      <c r="O31" s="8"/>
      <c r="P31" s="1897"/>
      <c r="Q31" s="501">
        <f>IF(OR(C31=" ",$P$34="")," ",IF(O$34&gt;=$P$38,IF(H31&gt;=7,U31," ")," "))</f>
        <v>0</v>
      </c>
      <c r="R31" s="501" t="str">
        <f>IF(OR(C31=" ",$P$34="")," ",IF(O$21&gt;=$P$38,IF(N31&gt;=O$17,V31," ")," "))</f>
        <v xml:space="preserve"> </v>
      </c>
      <c r="S31" s="2239"/>
      <c r="T31" s="25"/>
      <c r="U31" s="2304"/>
      <c r="V31" s="2304"/>
      <c r="W31" s="16"/>
      <c r="X31" s="2051">
        <v>0</v>
      </c>
      <c r="Y31" s="2052">
        <v>0</v>
      </c>
      <c r="Z31" s="7">
        <v>1</v>
      </c>
      <c r="AA31" s="7">
        <v>1</v>
      </c>
      <c r="AB31" s="590">
        <v>2</v>
      </c>
      <c r="AC31" s="590">
        <v>3</v>
      </c>
      <c r="AD31" s="7">
        <v>4</v>
      </c>
      <c r="AE31" s="2053">
        <v>10</v>
      </c>
    </row>
    <row r="32" spans="1:42" s="7" customFormat="1" ht="41" customHeight="1">
      <c r="A32" s="287"/>
      <c r="B32" s="7" t="str">
        <f>BIBLE!E132</f>
        <v>PFA29</v>
      </c>
      <c r="C32" s="25" t="str">
        <f>Test_Bible!B221</f>
        <v>L'autre parent prend des décisions sans vous consulter.</v>
      </c>
      <c r="D32" s="2509"/>
      <c r="F32" s="2074">
        <f>Test_Bible!D221</f>
        <v>2</v>
      </c>
      <c r="G32" s="2075" t="str">
        <f>Test_Bible!P221</f>
        <v>7</v>
      </c>
      <c r="H32" s="1857" t="str">
        <f>G32</f>
        <v>7</v>
      </c>
      <c r="I32" s="1860">
        <v>0</v>
      </c>
      <c r="J32" s="1860" t="s">
        <v>1796</v>
      </c>
      <c r="K32" s="1860" t="s">
        <v>1983</v>
      </c>
      <c r="L32" s="1860" t="s">
        <v>1984</v>
      </c>
      <c r="M32" s="2069">
        <v>10</v>
      </c>
      <c r="N32" s="8">
        <f>G32*F32</f>
        <v>14</v>
      </c>
      <c r="O32" s="8"/>
      <c r="P32" s="1897"/>
      <c r="Q32" s="501">
        <f>IF(OR(C32=" ",$P$34="")," ",IF(O$34&gt;=$P$38,IF(H32&gt;=7,U32," ")," "))</f>
        <v>0</v>
      </c>
      <c r="R32" s="501" t="str">
        <f>IF(OR(C32=" ",$P$34="")," ",IF(O$21&gt;=$P$38,IF(N32&gt;=O$17,V32," ")," "))</f>
        <v xml:space="preserve"> </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c r="A33" s="1914"/>
      <c r="B33" s="7" t="str">
        <f>BIBLE!E136</f>
        <v>PFA30a</v>
      </c>
      <c r="C33" s="25" t="str">
        <f>Test_Bible!B235</f>
        <v>L’autre parent cherche à vous exclure de la vie de votre enfant.</v>
      </c>
      <c r="D33" s="2510"/>
      <c r="F33" s="2074">
        <f>Test_Bible!D235</f>
        <v>3</v>
      </c>
      <c r="G33" s="2075" t="str">
        <f>Test_Bible!P235</f>
        <v>4</v>
      </c>
      <c r="H33" s="1857" t="str">
        <f>G33</f>
        <v>4</v>
      </c>
      <c r="I33" s="553">
        <v>0</v>
      </c>
      <c r="J33" s="553" t="s">
        <v>1796</v>
      </c>
      <c r="K33" s="553" t="s">
        <v>1983</v>
      </c>
      <c r="L33" s="553" t="s">
        <v>1984</v>
      </c>
      <c r="M33" s="2071">
        <v>10</v>
      </c>
      <c r="N33" s="8">
        <f>G33*F33</f>
        <v>12</v>
      </c>
      <c r="O33" s="8"/>
      <c r="P33" s="1897"/>
      <c r="Q33" s="501">
        <f>IF(OR(C33=" ",$P$34="")," ",IF(O$34&gt;=$P$38,IF(H33&gt;=7,U33," ")," "))</f>
        <v>0</v>
      </c>
      <c r="R33" s="501" t="str">
        <f>IF(OR(C33=" ",$P$34="")," ",IF(O$21&gt;=$P$38,IF(N33&gt;=O$17,V33," ")," "))</f>
        <v xml:space="preserve"> </v>
      </c>
      <c r="S33" s="2239"/>
      <c r="T33" s="25"/>
      <c r="U33" s="2304"/>
      <c r="V33" s="2304"/>
      <c r="W33" s="16"/>
      <c r="X33" s="2051">
        <v>0</v>
      </c>
      <c r="Y33" s="2052">
        <v>0</v>
      </c>
      <c r="Z33" s="7">
        <v>1</v>
      </c>
      <c r="AA33" s="7">
        <v>2</v>
      </c>
      <c r="AB33" s="590">
        <v>3</v>
      </c>
      <c r="AC33" s="590">
        <v>4</v>
      </c>
      <c r="AD33" s="7">
        <v>5</v>
      </c>
      <c r="AE33" s="2053">
        <v>10</v>
      </c>
    </row>
    <row r="34" spans="1:31" s="7" customFormat="1" ht="102" customHeight="1">
      <c r="C34" s="25"/>
      <c r="D34" s="2064"/>
      <c r="E34" s="2065"/>
      <c r="F34" s="2076"/>
      <c r="G34" s="2076"/>
      <c r="H34" s="2037"/>
      <c r="I34" s="2036"/>
      <c r="J34" s="2036"/>
      <c r="K34" s="2036"/>
      <c r="L34" s="2036"/>
      <c r="M34" s="2036"/>
      <c r="N34" s="2038"/>
      <c r="O34" s="2040">
        <f>AVERAGE(N31:N33)</f>
        <v>10.666666666666666</v>
      </c>
      <c r="P34" s="1897"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407">
        <f>IF(P34="","",U34)</f>
        <v>0</v>
      </c>
      <c r="R34" s="2407">
        <f>IF(P34="","",V34)</f>
        <v>0</v>
      </c>
      <c r="S34" s="2240" t="s">
        <v>1985</v>
      </c>
      <c r="T34" s="2240" t="s">
        <v>1986</v>
      </c>
      <c r="U34" s="2304"/>
      <c r="V34" s="2321"/>
      <c r="X34" s="2051"/>
      <c r="Y34" s="2052"/>
      <c r="AB34" s="590"/>
      <c r="AC34" s="590"/>
      <c r="AE34" s="2053"/>
    </row>
    <row r="35" spans="1:31" s="7" customFormat="1" ht="56" customHeight="1">
      <c r="A35" s="1914"/>
      <c r="B35" s="21" t="str">
        <f>Test_Bible!A167</f>
        <v>PFA02a</v>
      </c>
      <c r="C35" s="692" t="str">
        <f>Test_Bible!B167</f>
        <v>Diriez-vous que la relation fusionnelle entre votre enfant et l'autre parent est consciente (intentionnelle) ou inconsciente ?</v>
      </c>
      <c r="D35" s="2230"/>
      <c r="F35" s="1275" t="str">
        <f>IF(C35="","",IF(Test_Bible!E167=1,"intentionnelle","inconsciente"))</f>
        <v>inconsciente</v>
      </c>
      <c r="G35" s="2075" t="str">
        <f>Test_Bible!P167</f>
        <v>1</v>
      </c>
      <c r="H35" s="2033">
        <f>IF(OR(J35="V",K35="V"),10,0)</f>
        <v>0</v>
      </c>
      <c r="I35" s="1275"/>
      <c r="J35" s="1275"/>
      <c r="K35" s="1275" t="str">
        <f>IF($F35="intentionnelle","V","F")</f>
        <v>F</v>
      </c>
      <c r="L35" s="1275" t="str">
        <f>IF($F35="intentionnelle","V","F")</f>
        <v>F</v>
      </c>
      <c r="M35" s="2070">
        <v>10</v>
      </c>
      <c r="N35" s="1275">
        <f>M35</f>
        <v>10</v>
      </c>
      <c r="O35" s="2068"/>
      <c r="P35" s="1897"/>
      <c r="Q35" s="501" t="str">
        <f>IF(C35=" ","",IF(F35="intentionnelle",U35,""))</f>
        <v/>
      </c>
      <c r="R35" s="501" t="str">
        <f>IF(C35=" ","",IF(F35="intentionnelle",V35,""))</f>
        <v/>
      </c>
      <c r="S35" s="2239"/>
      <c r="T35" s="25"/>
      <c r="U35" s="2304"/>
      <c r="V35" s="2304"/>
      <c r="W35" s="16"/>
      <c r="X35" s="2051"/>
      <c r="Y35" s="2052"/>
      <c r="Z35" s="8"/>
      <c r="AA35" s="8"/>
      <c r="AB35" s="2052">
        <v>10</v>
      </c>
      <c r="AC35" s="2052">
        <v>10</v>
      </c>
      <c r="AD35" s="8">
        <v>10</v>
      </c>
      <c r="AE35" s="2066">
        <v>10</v>
      </c>
    </row>
    <row r="36" spans="1:31" s="7" customFormat="1" ht="83" customHeight="1">
      <c r="A36" s="1914"/>
      <c r="B36" s="21" t="str">
        <f>BIBLE!E126</f>
        <v>PFA25a</v>
      </c>
      <c r="C36" s="692" t="str">
        <f>Test_Bible!B212</f>
        <v>Cette façon de s'adresser à vous devant votre enfant (prénom versus maman ou papa) est-elle habituelle ou est-ce nouveau depuis la séparation ?</v>
      </c>
      <c r="D36" s="2230"/>
      <c r="F36" s="1275" t="str">
        <f>IF(C36="","",IF(Test_Bible!P212=1,"normal","nouveau"))</f>
        <v>nouveau</v>
      </c>
      <c r="G36" s="2075" t="str">
        <f>Test_Bible!P212</f>
        <v>1</v>
      </c>
      <c r="H36" s="2033">
        <f>IF(OR(J36="V",K36="V"),10,0)</f>
        <v>10</v>
      </c>
      <c r="I36" s="1275"/>
      <c r="J36" s="1275"/>
      <c r="K36" s="1275" t="str">
        <f>IF($F36="nouveau","V","F")</f>
        <v>V</v>
      </c>
      <c r="L36" s="1275" t="str">
        <f>IF($F36="nouveau","V","F")</f>
        <v>V</v>
      </c>
      <c r="M36" s="2070">
        <v>10</v>
      </c>
      <c r="N36" s="1275">
        <f>M36</f>
        <v>10</v>
      </c>
      <c r="O36" s="21"/>
      <c r="P36" s="1897"/>
      <c r="Q36" s="501">
        <f>IF(C36=" ","",IF(F36="nouveau",U36,""))</f>
        <v>0</v>
      </c>
      <c r="R36" s="501" t="str">
        <f>IF(C36=" ","",IF(F36="nouveau",V36,""))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S36" s="2239"/>
      <c r="T36" s="25"/>
      <c r="U36" s="2304"/>
      <c r="V36" s="2304" t="s">
        <v>1987</v>
      </c>
      <c r="W36" s="16"/>
      <c r="X36" s="2051"/>
      <c r="Y36" s="2052"/>
      <c r="Z36" s="8"/>
      <c r="AA36" s="8"/>
      <c r="AB36" s="2052">
        <v>10</v>
      </c>
      <c r="AC36" s="2052">
        <v>10</v>
      </c>
      <c r="AD36" s="8">
        <v>10</v>
      </c>
      <c r="AE36" s="2066">
        <v>10</v>
      </c>
    </row>
    <row r="37" spans="1:31" ht="23" customHeight="1" thickBot="1">
      <c r="G37" s="1903"/>
      <c r="H37" s="1311">
        <f>SUM(H13:H35)</f>
        <v>0</v>
      </c>
      <c r="I37" s="2559" t="s">
        <v>1811</v>
      </c>
      <c r="J37" s="2560"/>
      <c r="K37" s="2560"/>
      <c r="L37" s="2560"/>
      <c r="M37" s="2561"/>
      <c r="U37" s="2060" t="s">
        <v>1814</v>
      </c>
      <c r="X37" s="1908"/>
      <c r="Y37" s="1810"/>
      <c r="Z37" s="5"/>
      <c r="AA37" s="5"/>
      <c r="AB37" s="1810"/>
      <c r="AC37" s="1810"/>
      <c r="AD37" s="5"/>
      <c r="AE37" s="1905"/>
    </row>
    <row r="38" spans="1:31" ht="23" customHeight="1">
      <c r="H38" s="2149" t="str">
        <f>VLOOKUP(H37,AG14:AI30,3)</f>
        <v>Aucun signe</v>
      </c>
      <c r="I38" s="1904" t="str">
        <f>AG14&amp;" - "&amp;AH14</f>
        <v>0 - 27</v>
      </c>
      <c r="J38" s="1374" t="str">
        <f>AG15&amp;" - "&amp;AH15</f>
        <v>28 - 63</v>
      </c>
      <c r="K38" s="1374" t="str">
        <f>AG16&amp;" - "&amp;AH16</f>
        <v>64 - 122</v>
      </c>
      <c r="L38" s="1374" t="str">
        <f>AG17&amp;" - "&amp;AH17</f>
        <v>123 - 180</v>
      </c>
      <c r="M38" s="1298" t="s">
        <v>1812</v>
      </c>
      <c r="O38" t="s">
        <v>1815</v>
      </c>
      <c r="P38" s="90">
        <f>AVERAGE(O17,O21,O26,O30,O34)</f>
        <v>5.4166666666666661</v>
      </c>
      <c r="U38" s="2060"/>
      <c r="X38" s="1908"/>
      <c r="Y38" s="1810"/>
      <c r="Z38" s="5"/>
      <c r="AA38" s="5"/>
      <c r="AB38" s="1810"/>
      <c r="AC38" s="1810"/>
      <c r="AD38" s="5"/>
      <c r="AE38" s="1905"/>
    </row>
    <row r="39" spans="1:31" ht="23" customHeight="1" thickBot="1">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c r="R40" s="57"/>
      <c r="S40" s="1253" t="str">
        <f>S10</f>
        <v>Résultat : "Possible"</v>
      </c>
      <c r="T40" s="1253" t="str">
        <f>T10</f>
        <v>Résultat : "Probable"</v>
      </c>
    </row>
    <row r="41" spans="1:31" ht="108" customHeight="1">
      <c r="I41" s="90"/>
      <c r="M41" s="7" t="s">
        <v>1943</v>
      </c>
      <c r="P41" s="1897">
        <f>IF(HLOOKUP(1,$S$11:$T$42,31),"",HLOOKUP(1,$S$11:$T$42,31))</f>
        <v>0</v>
      </c>
      <c r="Q41" s="2408"/>
      <c r="R41" s="2408"/>
      <c r="S41" s="2190"/>
      <c r="T41" s="2190"/>
    </row>
    <row r="42" spans="1:31" ht="105" customHeight="1">
      <c r="I42" s="90"/>
      <c r="M42" t="s">
        <v>1885</v>
      </c>
      <c r="S42" s="2416" t="s">
        <v>1988</v>
      </c>
      <c r="T42" s="2417" t="s">
        <v>1988</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44"/>
  <sheetViews>
    <sheetView topLeftCell="B1" workbookViewId="0">
      <selection activeCell="C9" sqref="C9"/>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2"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1904</v>
      </c>
    </row>
    <row r="2" spans="1:26" ht="53" customHeight="1">
      <c r="A2" s="407" t="s">
        <v>1736</v>
      </c>
      <c r="C2" s="2162" t="s">
        <v>1989</v>
      </c>
      <c r="D2" s="1446"/>
      <c r="E2" s="1447"/>
      <c r="F2" s="1446"/>
      <c r="G2" s="1446"/>
      <c r="H2" s="2422"/>
      <c r="I2" s="1752"/>
      <c r="J2" s="1752"/>
      <c r="K2" s="1752"/>
      <c r="L2" s="1752"/>
      <c r="M2" s="1752"/>
    </row>
    <row r="3" spans="1:26" ht="18" customHeight="1">
      <c r="A3" s="407"/>
      <c r="C3" s="80"/>
      <c r="H3" s="1752"/>
      <c r="I3" s="1752"/>
      <c r="J3" s="1752"/>
      <c r="K3" s="1752"/>
      <c r="L3" s="1752"/>
      <c r="M3" s="1752"/>
    </row>
    <row r="4" spans="1:26" ht="23" customHeight="1">
      <c r="A4" s="1717"/>
      <c r="D4" s="3" t="s">
        <v>1551</v>
      </c>
      <c r="E4" s="3"/>
      <c r="F4" s="3"/>
      <c r="G4" s="3"/>
      <c r="H4" s="3"/>
      <c r="I4" s="2148"/>
      <c r="J4" s="2148"/>
      <c r="K4" s="2148"/>
      <c r="L4" s="3"/>
      <c r="M4" s="3"/>
      <c r="N4" s="2424"/>
      <c r="O4" s="2424"/>
      <c r="P4" s="2424"/>
      <c r="Q4" s="5"/>
      <c r="R4" s="700"/>
      <c r="S4" s="2574" t="s">
        <v>1990</v>
      </c>
      <c r="T4" s="2124" t="s">
        <v>1991</v>
      </c>
      <c r="U4" s="277"/>
      <c r="V4" s="2124"/>
      <c r="W4" s="2195"/>
      <c r="X4" s="2124"/>
      <c r="Y4" s="2124"/>
      <c r="Z4" s="1752"/>
    </row>
    <row r="5" spans="1:26" ht="23" customHeight="1">
      <c r="A5" s="1717"/>
      <c r="C5" s="4"/>
      <c r="D5" s="700" t="s">
        <v>1511</v>
      </c>
      <c r="E5" s="700" t="s">
        <v>1512</v>
      </c>
      <c r="F5" s="5"/>
      <c r="G5" s="5"/>
      <c r="H5" s="291" t="s">
        <v>1313</v>
      </c>
      <c r="I5" s="1902"/>
      <c r="J5" s="1902"/>
      <c r="K5" s="1902"/>
      <c r="L5" s="291"/>
      <c r="M5" s="291"/>
      <c r="N5" s="831"/>
      <c r="O5" s="831"/>
      <c r="P5" s="831"/>
      <c r="Q5" s="5"/>
      <c r="R5" s="700"/>
      <c r="S5" s="2468"/>
      <c r="T5" s="2124"/>
      <c r="U5" s="277"/>
      <c r="V5" s="2196" t="s">
        <v>1992</v>
      </c>
      <c r="W5" s="2196" t="s">
        <v>1993</v>
      </c>
      <c r="X5" s="2196" t="s">
        <v>1994</v>
      </c>
      <c r="Y5" s="2124"/>
      <c r="Z5" s="1752"/>
    </row>
    <row r="6" spans="1:26" ht="23" customHeight="1">
      <c r="A6" s="1717"/>
      <c r="C6" s="4"/>
      <c r="D6" s="700"/>
      <c r="E6" s="1798">
        <v>0.25</v>
      </c>
      <c r="F6" s="1798">
        <v>0.38</v>
      </c>
      <c r="G6" s="1798">
        <f>1-E6-F6</f>
        <v>0.37</v>
      </c>
      <c r="H6" s="291"/>
      <c r="I6" s="1902"/>
      <c r="J6" s="1902"/>
      <c r="K6" s="1902"/>
      <c r="L6" s="291"/>
      <c r="M6" s="291"/>
      <c r="N6" s="831"/>
      <c r="O6" s="831"/>
      <c r="P6" s="831"/>
      <c r="Q6" s="5"/>
      <c r="R6" s="700"/>
      <c r="S6" s="2468"/>
      <c r="T6" s="2124"/>
      <c r="U6" s="277" t="s">
        <v>1995</v>
      </c>
      <c r="V6" s="2195">
        <f>'Modèle Calcul A-R + Sommaire'!AG28</f>
        <v>0</v>
      </c>
      <c r="W6" s="2195">
        <f>'Modèle Calcul A-R + Sommaire'!AH28</f>
        <v>0</v>
      </c>
      <c r="X6" s="2195">
        <f>'Modèle Calcul A-R + Sommaire'!AI28</f>
        <v>0</v>
      </c>
      <c r="Y6" s="2124"/>
      <c r="Z6" s="1752"/>
    </row>
    <row r="7" spans="1:26" ht="23" customHeight="1">
      <c r="A7" s="1717"/>
      <c r="C7" s="589" t="s">
        <v>2</v>
      </c>
      <c r="D7" s="700" t="s">
        <v>1517</v>
      </c>
      <c r="E7" s="700" t="s">
        <v>1518</v>
      </c>
      <c r="F7" s="5" t="s">
        <v>1519</v>
      </c>
      <c r="G7" s="5" t="s">
        <v>1520</v>
      </c>
      <c r="H7" s="1757"/>
      <c r="I7" s="2426"/>
      <c r="J7" s="2426"/>
      <c r="K7" s="2426"/>
      <c r="L7" s="1757"/>
      <c r="M7" s="1757"/>
      <c r="N7" s="700"/>
      <c r="O7" s="700"/>
      <c r="P7" s="700"/>
      <c r="Q7" s="5"/>
      <c r="R7" s="700"/>
      <c r="S7" s="2468"/>
      <c r="T7" s="2124"/>
      <c r="U7" s="2124" t="s">
        <v>1541</v>
      </c>
      <c r="V7" s="2195">
        <f>'Modèle Calcul A-R + Sommaire'!AG27</f>
        <v>0</v>
      </c>
      <c r="W7" s="2195">
        <f>'Modèle Calcul A-R + Sommaire'!AH27</f>
        <v>0</v>
      </c>
      <c r="X7" s="2195">
        <f>'Modèle Calcul A-R + Sommaire'!AI27</f>
        <v>0</v>
      </c>
      <c r="Y7" s="2124"/>
    </row>
    <row r="8" spans="1:26" ht="23" customHeight="1">
      <c r="A8" s="1717"/>
      <c r="B8" t="s">
        <v>1552</v>
      </c>
      <c r="C8" s="1672">
        <f>G39</f>
        <v>110</v>
      </c>
      <c r="D8" s="90">
        <v>0</v>
      </c>
      <c r="E8" s="90">
        <f>'Modèle Calcul A-R + Sommaire'!AI40</f>
        <v>125</v>
      </c>
      <c r="F8" s="90">
        <f>'Modèle Calcul A-R + Sommaire'!AJ40</f>
        <v>161.25</v>
      </c>
      <c r="G8" s="90">
        <f>'Modèle Calcul A-R + Sommaire'!AK40</f>
        <v>202.57499999999999</v>
      </c>
      <c r="H8" s="90">
        <f>'Modèle Calcul A-R + Sommaire'!AL40</f>
        <v>270</v>
      </c>
      <c r="I8" s="2426">
        <f>IF(AND($C$8&gt;=E8,$C$8&lt;F8),2,IF(AND($C$8&gt;=F8,$C$8&lt;G8),3,IF($C$8&gt;=G8,4,1)))</f>
        <v>1</v>
      </c>
      <c r="J8" s="2426"/>
      <c r="K8" s="2426"/>
      <c r="L8" s="1757"/>
      <c r="M8" s="1757"/>
      <c r="N8" s="700"/>
      <c r="O8" s="700"/>
      <c r="P8" s="700"/>
      <c r="Q8" s="5"/>
      <c r="R8" s="700"/>
    </row>
    <row r="9" spans="1:26" ht="33" customHeight="1">
      <c r="A9" s="1717"/>
      <c r="C9" s="1885" t="str">
        <f>IF(I8=2,"Stade léger",IF(I8=3,"Stade modéré",IF(I8=4,"Stade sévère","Ne semble pas contribuer négativement à la dynamique de coparentalité")))</f>
        <v>Ne semble pas contribuer négativement à la dynamique de coparentalité</v>
      </c>
      <c r="I9" s="1752"/>
      <c r="J9" s="1752"/>
      <c r="K9" s="1752"/>
      <c r="L9" s="1752"/>
      <c r="M9" s="1752"/>
    </row>
    <row r="10" spans="1:26" ht="50" customHeight="1">
      <c r="A10" s="407" t="s">
        <v>1739</v>
      </c>
      <c r="C10" s="1446" t="s">
        <v>1996</v>
      </c>
      <c r="D10" s="1446"/>
      <c r="E10" s="1447"/>
      <c r="F10" s="2423"/>
      <c r="G10" s="2423"/>
      <c r="H10" s="2423"/>
      <c r="I10" s="2549" t="s">
        <v>1747</v>
      </c>
      <c r="J10" s="2571"/>
      <c r="K10" s="2515"/>
      <c r="L10" s="2151"/>
      <c r="M10" s="2151"/>
      <c r="Q10" s="2575"/>
      <c r="R10" s="2571"/>
    </row>
    <row r="11" spans="1:26" ht="21" customHeight="1">
      <c r="H11" s="291"/>
      <c r="I11" s="2186" t="s">
        <v>151</v>
      </c>
      <c r="J11" s="2186" t="s">
        <v>152</v>
      </c>
      <c r="K11" s="2186" t="s">
        <v>1910</v>
      </c>
      <c r="L11" s="2364"/>
      <c r="M11" s="2425" t="s">
        <v>1832</v>
      </c>
      <c r="N11" s="2425" t="s">
        <v>1832</v>
      </c>
      <c r="O11" s="2425" t="s">
        <v>1832</v>
      </c>
      <c r="P11" s="2425" t="s">
        <v>1832</v>
      </c>
      <c r="Q11" s="2558" t="s">
        <v>1833</v>
      </c>
      <c r="R11" s="2571"/>
      <c r="S11" s="16"/>
      <c r="T11" s="2188"/>
      <c r="U11" s="5"/>
      <c r="V11" s="13"/>
    </row>
    <row r="12" spans="1:26" ht="62" customHeight="1">
      <c r="B12" t="s">
        <v>87</v>
      </c>
      <c r="C12" s="8" t="s">
        <v>1545</v>
      </c>
      <c r="D12" s="2072" t="s">
        <v>1950</v>
      </c>
      <c r="E12" s="2073" t="s">
        <v>252</v>
      </c>
      <c r="F12" s="2185" t="s">
        <v>1997</v>
      </c>
      <c r="G12" s="2185" t="s">
        <v>1997</v>
      </c>
      <c r="H12" s="54" t="s">
        <v>1998</v>
      </c>
      <c r="I12" s="2269"/>
      <c r="J12" s="2269"/>
      <c r="K12" s="2269"/>
      <c r="L12" s="2269"/>
      <c r="M12" s="2353" t="s">
        <v>2512</v>
      </c>
      <c r="N12" s="16" t="s">
        <v>102</v>
      </c>
      <c r="O12" s="16" t="s">
        <v>103</v>
      </c>
      <c r="P12" s="16" t="s">
        <v>104</v>
      </c>
      <c r="Q12" s="8" t="s">
        <v>152</v>
      </c>
      <c r="R12" s="16" t="s">
        <v>1910</v>
      </c>
      <c r="T12" s="16"/>
      <c r="U12" s="16"/>
      <c r="V12" s="13"/>
    </row>
    <row r="13" spans="1:26" ht="18" customHeight="1">
      <c r="C13" s="8"/>
      <c r="D13" s="2072"/>
      <c r="E13" s="2073"/>
      <c r="F13" s="2185"/>
      <c r="G13" s="2185"/>
      <c r="H13" s="54"/>
      <c r="I13" s="2269"/>
      <c r="J13" s="2269"/>
      <c r="K13" s="2269"/>
      <c r="L13" s="2269"/>
      <c r="M13" s="2353">
        <v>1</v>
      </c>
      <c r="N13" s="16">
        <v>2</v>
      </c>
      <c r="O13" s="16">
        <v>3</v>
      </c>
      <c r="P13" s="16">
        <v>4</v>
      </c>
      <c r="Q13" s="8"/>
      <c r="R13" s="16"/>
      <c r="T13" s="16"/>
      <c r="U13" s="16"/>
      <c r="V13" s="13"/>
    </row>
    <row r="14" spans="1:26" ht="170" customHeight="1">
      <c r="C14" s="8"/>
      <c r="D14" s="2072"/>
      <c r="E14" s="2073"/>
      <c r="F14" s="2185"/>
      <c r="G14" s="2270" t="s">
        <v>1425</v>
      </c>
      <c r="H14" s="54"/>
      <c r="I14" s="2409" t="str">
        <f>IF($I$8,HLOOKUP($I$8,$M$13:$P$42,2),"")</f>
        <v>L’analyse des réponses obtenues aux questionnaires révèle une &lt;strong&gt;  implication saine  &lt;strong&gt; de la part du nouveau ou de la nouvelle conjoint·e (NC) dans la dynamique familiale. &lt;br/&gt;</v>
      </c>
      <c r="J14" s="25"/>
      <c r="K14" s="25"/>
      <c r="L14" s="25"/>
      <c r="M14" s="272" t="s">
        <v>2513</v>
      </c>
      <c r="N14" s="272" t="s">
        <v>1999</v>
      </c>
      <c r="O14" s="272" t="s">
        <v>2000</v>
      </c>
      <c r="P14" s="272" t="s">
        <v>2001</v>
      </c>
      <c r="Q14" s="8"/>
      <c r="R14" s="16"/>
      <c r="T14" s="16"/>
      <c r="U14" s="16"/>
      <c r="V14" s="13"/>
    </row>
    <row r="15" spans="1:26" s="82" customFormat="1" ht="34" customHeight="1">
      <c r="A15" s="82" t="s">
        <v>1173</v>
      </c>
      <c r="B15" s="82" t="str">
        <f>BIBLE!V217</f>
        <v>A:Alliance</v>
      </c>
      <c r="C15" s="1838" t="str">
        <f>BIBLE!R217</f>
        <v>Le nouveau ou nouvelle conjointe·e joue un rôle de confident</v>
      </c>
      <c r="D15" s="2173">
        <f>Test_Bible!D404</f>
        <v>1</v>
      </c>
      <c r="E15" s="2173" t="str">
        <f>Test_Bible!P404</f>
        <v>2</v>
      </c>
      <c r="F15" s="2174">
        <f>BIBLE!Q217</f>
        <v>2</v>
      </c>
      <c r="G15" s="2174">
        <f>MAX(F15:F16)</f>
        <v>2</v>
      </c>
      <c r="H15" s="2576" t="s">
        <v>2002</v>
      </c>
      <c r="I15" s="826"/>
      <c r="J15" s="2409" t="str">
        <f>IF(OR($I$17="",Q15=""),"",Q15)</f>
        <v/>
      </c>
      <c r="K15" s="2409" t="str">
        <f>IF(OR($I$17="",R15=""),"",R15)</f>
        <v/>
      </c>
      <c r="M15" s="11"/>
      <c r="N15" s="826"/>
      <c r="O15" s="826"/>
      <c r="P15" s="826"/>
      <c r="Q15" s="826"/>
      <c r="R15" s="2174"/>
      <c r="S15" s="2174"/>
      <c r="T15" s="2174"/>
      <c r="U15" s="2174"/>
    </row>
    <row r="16" spans="1:26" s="82" customFormat="1" ht="68" customHeight="1">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10"/>
      <c r="I16" s="1838"/>
      <c r="J16" s="2409" t="str">
        <f>IF(OR($I$17="",Q16=""),"",Q16)</f>
        <v/>
      </c>
      <c r="K16" s="2409" t="str">
        <f>IF(OR($I$17="",R16=""),"",R16)</f>
        <v/>
      </c>
      <c r="L16" s="2173"/>
      <c r="M16" s="2174"/>
      <c r="N16" s="826"/>
      <c r="O16" s="826"/>
      <c r="P16" s="826"/>
      <c r="Q16" s="826"/>
      <c r="R16" s="2286" t="s">
        <v>2003</v>
      </c>
      <c r="S16" s="2174"/>
      <c r="T16" s="2174"/>
      <c r="U16" s="2174"/>
    </row>
    <row r="17" spans="1:21" s="82" customFormat="1" ht="68" customHeight="1">
      <c r="A17" s="2175"/>
      <c r="B17" s="2175"/>
      <c r="C17" s="2176"/>
      <c r="D17" s="2176"/>
      <c r="E17" s="2176"/>
      <c r="F17" s="2177"/>
      <c r="G17" s="2174"/>
      <c r="H17" s="2172">
        <f>AVERAGE(G15:G16)</f>
        <v>2</v>
      </c>
      <c r="I17" s="2409" t="str">
        <f>IF(H17&gt;=$H$40,HLOOKUP($I$8,$M$13:$P$42,5),"")</f>
        <v/>
      </c>
      <c r="J17" s="2409" t="str">
        <f>IF(OR(I17="",Q17=""),"",Q17)</f>
        <v/>
      </c>
      <c r="K17" s="2409" t="str">
        <f>IF(OR(I17="",R17=""),"",R17)</f>
        <v/>
      </c>
      <c r="L17" s="2173"/>
      <c r="M17" s="2174"/>
      <c r="N17" s="2286" t="s">
        <v>2004</v>
      </c>
      <c r="O17" s="2286" t="s">
        <v>2005</v>
      </c>
      <c r="P17" s="2286" t="s">
        <v>2006</v>
      </c>
      <c r="Q17" s="826"/>
      <c r="R17" s="2174"/>
      <c r="S17" s="2174"/>
      <c r="T17" s="2174"/>
      <c r="U17" s="2174"/>
    </row>
    <row r="18" spans="1:21" s="82" customFormat="1" ht="49" customHeight="1">
      <c r="A18" s="2410" t="s">
        <v>1183</v>
      </c>
      <c r="B18" s="2178" t="str">
        <f>BIBLE!V87</f>
        <v>Altération ou dévoiement de la réalité</v>
      </c>
      <c r="C18" s="2179" t="str">
        <f>BIBLE!R87</f>
        <v>Laisse entendre à l'enfant qu'il n'est pas en sécurité avec l'autre parent</v>
      </c>
      <c r="D18" s="2180">
        <f>Test_Bible!D406</f>
        <v>2</v>
      </c>
      <c r="E18" s="2180" t="str">
        <f>Test_Bible!P406</f>
        <v>4</v>
      </c>
      <c r="F18" s="2181">
        <f>BIBLE!Q219</f>
        <v>8</v>
      </c>
      <c r="G18" s="2181">
        <f>F18</f>
        <v>8</v>
      </c>
      <c r="H18" s="2182" t="s">
        <v>2007</v>
      </c>
      <c r="I18" s="826"/>
      <c r="J18" s="2409" t="str">
        <f>IF(OR($I$19="",Q18=""),"",Q18)</f>
        <v/>
      </c>
      <c r="K18" s="2409" t="str">
        <f>IF(OR($I$19="",R18=""),"",R18)</f>
        <v xml:space="preserve">Les questions de sécurité sont par ailleurs très délicates et doivent être  Laisser entendre à votre enfant qu'il ou elle n'est pas en sécurité avec vous peut </v>
      </c>
      <c r="M18" s="11"/>
      <c r="N18" s="826"/>
      <c r="O18" s="826"/>
      <c r="P18" s="826"/>
      <c r="Q18" s="826"/>
      <c r="R18" s="2286" t="s">
        <v>2008</v>
      </c>
      <c r="S18" s="2174"/>
      <c r="T18" s="2174"/>
      <c r="U18" s="2174"/>
    </row>
    <row r="19" spans="1:21" s="82" customFormat="1" ht="51" customHeight="1">
      <c r="A19" s="2178"/>
      <c r="B19" s="2178"/>
      <c r="C19" s="2179"/>
      <c r="D19" s="2180"/>
      <c r="E19" s="2180"/>
      <c r="F19" s="2181"/>
      <c r="G19" s="2174"/>
      <c r="H19" s="2172">
        <f>AVERAGE(G18)</f>
        <v>8</v>
      </c>
      <c r="I19" s="2409">
        <f>IF(H19&gt;=$H$40,HLOOKUP($I$8,$M$13:$P$42,7),"")</f>
        <v>0</v>
      </c>
      <c r="J19" s="2409" t="str">
        <f>IF(OR(I19="",Q19=""),"",Q19)</f>
        <v/>
      </c>
      <c r="K19" s="2409" t="str">
        <f>IF(OR(I19="",R19=""),"",R19)</f>
        <v/>
      </c>
      <c r="L19" s="2173"/>
      <c r="M19" s="2174"/>
      <c r="N19" s="826"/>
      <c r="O19" s="2286" t="s">
        <v>2009</v>
      </c>
      <c r="P19" s="2286" t="s">
        <v>2010</v>
      </c>
      <c r="Q19" s="826"/>
      <c r="R19" s="2174"/>
      <c r="S19" s="2174"/>
      <c r="T19" s="2174"/>
      <c r="U19" s="2174"/>
    </row>
    <row r="20" spans="1:21" s="82" customFormat="1" ht="153" customHeight="1">
      <c r="A20" s="2178" t="s">
        <v>1188</v>
      </c>
      <c r="B20" s="2178" t="str">
        <f>BIBLE!V56</f>
        <v>Chantage affectif, manipulation</v>
      </c>
      <c r="C20" s="2183" t="str">
        <f>BIBLE!R56</f>
        <v>Ne salue pas l'autre arent lorsqu'il ou elle le croise</v>
      </c>
      <c r="D20" s="2178">
        <f>Test_Bible!D407</f>
        <v>1</v>
      </c>
      <c r="E20" s="2180" t="str">
        <f>Test_Bible!P407</f>
        <v>2</v>
      </c>
      <c r="F20" s="2181">
        <f>BIBLE!Q220</f>
        <v>2</v>
      </c>
      <c r="G20" s="2181">
        <f>F20</f>
        <v>2</v>
      </c>
      <c r="H20" s="2182" t="s">
        <v>2011</v>
      </c>
      <c r="I20" s="826"/>
      <c r="J20" s="2409" t="str">
        <f>IF(OR($I$21="non prioritaire",Q20=""),"",Q20)</f>
        <v/>
      </c>
      <c r="K20" s="2409" t="str">
        <f>IF(OR($I$21="non prioritaire",R20=""),"",R20)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11"/>
      <c r="N20" s="826"/>
      <c r="O20" s="826"/>
      <c r="P20" s="826"/>
      <c r="Q20" s="826"/>
      <c r="R20" s="2450" t="s">
        <v>2012</v>
      </c>
      <c r="S20" s="2174"/>
      <c r="T20" s="2174"/>
      <c r="U20" s="2174"/>
    </row>
    <row r="21" spans="1:21" s="82" customFormat="1" ht="119" customHeight="1">
      <c r="C21" s="826"/>
      <c r="F21" s="2174"/>
      <c r="G21" s="2174"/>
      <c r="H21" s="2172">
        <f>AVERAGE(G20)</f>
        <v>2</v>
      </c>
      <c r="I21" s="2409" t="str">
        <f>IF(H21&gt;=$H$40,HLOOKUP($I$8,$M$13:$P$42,9),"")</f>
        <v/>
      </c>
      <c r="J21" s="2409" t="str">
        <f>IF(OR(I21="",Q21=""),"",Q21)</f>
        <v/>
      </c>
      <c r="K21" s="2409" t="str">
        <f>IF(OR(I21="",R21=""),"",R21)</f>
        <v/>
      </c>
      <c r="L21" s="2173"/>
      <c r="M21" s="2174"/>
      <c r="N21" s="2286" t="s">
        <v>2013</v>
      </c>
      <c r="O21" s="2286" t="s">
        <v>2014</v>
      </c>
      <c r="P21" s="2286" t="s">
        <v>2015</v>
      </c>
      <c r="Q21" s="2451"/>
      <c r="R21" s="2174"/>
      <c r="S21" s="2174"/>
      <c r="T21" s="2174"/>
      <c r="U21" s="2174"/>
    </row>
    <row r="22" spans="1:21" s="82" customFormat="1" ht="34" customHeight="1">
      <c r="A22" s="82" t="s">
        <v>1197</v>
      </c>
      <c r="B22" s="82" t="str">
        <f>BIBLE!V222</f>
        <v>Dénigrement</v>
      </c>
      <c r="C22" s="1838" t="str">
        <f>BIBLE!R222</f>
        <v>Dénigre les compétences parentales de l'autre</v>
      </c>
      <c r="D22" s="2173">
        <f>Test_Bible!D414</f>
        <v>3</v>
      </c>
      <c r="E22" s="2173" t="str">
        <f>Test_Bible!P414</f>
        <v>2</v>
      </c>
      <c r="F22" s="2174">
        <f>BIBLE!Q222</f>
        <v>12</v>
      </c>
      <c r="G22" s="2174">
        <f>MAX(F22:F23)</f>
        <v>12</v>
      </c>
      <c r="H22" s="2565" t="s">
        <v>2016</v>
      </c>
      <c r="I22" s="1838"/>
      <c r="J22" s="2409" t="str">
        <f t="shared" ref="J22:K24" si="0">IF(OR($I$25="",Q22=""),"",Q22)</f>
        <v/>
      </c>
      <c r="K22" s="2409" t="str">
        <f t="shared" si="0"/>
        <v/>
      </c>
      <c r="L22" s="2173"/>
      <c r="M22" s="2174"/>
      <c r="N22" s="826"/>
      <c r="O22" s="826"/>
      <c r="P22" s="826"/>
      <c r="Q22" s="826"/>
      <c r="R22" s="2174"/>
      <c r="S22" s="2174"/>
      <c r="T22" s="2174"/>
      <c r="U22" s="2174"/>
    </row>
    <row r="23" spans="1:21" s="82" customFormat="1" ht="68" customHeight="1">
      <c r="A23" s="2411" t="s">
        <v>1203</v>
      </c>
      <c r="B23" s="2201" t="str">
        <f>BIBLE!V100</f>
        <v>Dénigrement</v>
      </c>
      <c r="C23" s="2202" t="str">
        <f>BIBLE!R100</f>
        <v>Dénigre l'autre parent devant l'enfant</v>
      </c>
      <c r="D23" s="2203">
        <f>Test_Bible!D415</f>
        <v>3</v>
      </c>
      <c r="E23" s="2203" t="str">
        <f>Test_Bible!P415</f>
        <v>4</v>
      </c>
      <c r="F23" s="2204">
        <f>BIBLE!Q223</f>
        <v>6</v>
      </c>
      <c r="G23" s="2204"/>
      <c r="H23" s="2509"/>
      <c r="I23" s="826"/>
      <c r="J23" s="2409" t="str">
        <f t="shared" si="0"/>
        <v/>
      </c>
      <c r="K23" s="2409" t="str">
        <f t="shared" si="0"/>
        <v>Lorem ipsum – DRAPEAU ROUGE PAR COMPORTEMENT TYPIQUEMENT AP – similique sed deserunt aperiam ad eligendi tempora! Est voluptas omnis cum expedita autem aut quod illum qui consequatur cumque qui incidunt doloribus.</v>
      </c>
      <c r="M23" s="11"/>
      <c r="N23" s="826"/>
      <c r="O23" s="826"/>
      <c r="P23" s="826"/>
      <c r="Q23" s="826"/>
      <c r="R23" s="2286" t="s">
        <v>2017</v>
      </c>
      <c r="S23" s="2174"/>
      <c r="T23" s="2174"/>
      <c r="U23" s="2174"/>
    </row>
    <row r="24" spans="1:21" s="82" customFormat="1" ht="34" customHeight="1">
      <c r="A24" s="2175" t="s">
        <v>1210</v>
      </c>
      <c r="B24" s="2175" t="str">
        <f>BIBLE!V104</f>
        <v>Dénigrement</v>
      </c>
      <c r="C24" s="2184" t="str">
        <f>BIBLE!R104</f>
        <v>Dénigre la nouvelle famille</v>
      </c>
      <c r="D24" s="2176">
        <f>Test_Bible!D416</f>
        <v>3</v>
      </c>
      <c r="E24" s="2176" t="str">
        <f>Test_Bible!P416</f>
        <v>2</v>
      </c>
      <c r="F24" s="2177">
        <f>BIBLE!Q224</f>
        <v>6</v>
      </c>
      <c r="G24" s="2177">
        <f>F24</f>
        <v>6</v>
      </c>
      <c r="H24" s="2510"/>
      <c r="I24" s="826"/>
      <c r="J24" s="2409" t="str">
        <f t="shared" si="0"/>
        <v/>
      </c>
      <c r="K24" s="2409" t="str">
        <f t="shared" si="0"/>
        <v/>
      </c>
      <c r="M24" s="11"/>
      <c r="N24" s="826"/>
      <c r="O24" s="826"/>
      <c r="P24" s="826"/>
      <c r="Q24" s="826"/>
      <c r="R24" s="2174"/>
      <c r="S24" s="2174"/>
      <c r="T24" s="2174"/>
      <c r="U24" s="2174"/>
    </row>
    <row r="25" spans="1:21" s="82" customFormat="1" ht="102" customHeight="1">
      <c r="C25" s="1838"/>
      <c r="D25" s="2173"/>
      <c r="E25" s="2173"/>
      <c r="F25" s="2174"/>
      <c r="G25" s="2174"/>
      <c r="H25" s="2172">
        <f>AVERAGE(G22:G24)</f>
        <v>9</v>
      </c>
      <c r="I25" s="2409">
        <f>IF(H25&gt;=$H$40,HLOOKUP($I$8,$M$13:$P$42,13),"")</f>
        <v>0</v>
      </c>
      <c r="J25" s="2409" t="str">
        <f>IF(OR(I25="",Q25=""),"",Q25)</f>
        <v/>
      </c>
      <c r="K25" s="2409" t="str">
        <f>IF(OR(I25="",R25=""),"",R25)</f>
        <v/>
      </c>
      <c r="L25" s="2173"/>
      <c r="M25" s="2174"/>
      <c r="N25" s="826"/>
      <c r="O25" s="2286" t="s">
        <v>2018</v>
      </c>
      <c r="P25" s="2286" t="s">
        <v>2018</v>
      </c>
      <c r="Q25" s="826"/>
      <c r="R25" s="2174"/>
      <c r="S25" s="2174"/>
      <c r="T25" s="2174"/>
      <c r="U25" s="2174"/>
    </row>
    <row r="26" spans="1:21" s="82" customFormat="1" ht="34" customHeight="1">
      <c r="A26" s="2412" t="s">
        <v>1214</v>
      </c>
      <c r="B26" s="82" t="str">
        <f>BIBLE!V107</f>
        <v>Interférence temps et/ou communication</v>
      </c>
      <c r="C26" s="1838" t="str">
        <f>BIBLE!R107</f>
        <v>Change les horaires sans consulter l'autre parent</v>
      </c>
      <c r="D26" s="2173">
        <f>Test_Bible!D417</f>
        <v>2</v>
      </c>
      <c r="E26" s="2173" t="str">
        <f>Test_Bible!P417</f>
        <v>7</v>
      </c>
      <c r="F26" s="2174">
        <f>BIBLE!Q225</f>
        <v>14</v>
      </c>
      <c r="G26" s="2174">
        <f>MAX(F26:F27)</f>
        <v>14</v>
      </c>
      <c r="H26" s="2573" t="s">
        <v>2019</v>
      </c>
      <c r="I26" s="826"/>
      <c r="J26" s="2409" t="str">
        <f t="shared" ref="J26:K32" si="1">IF(OR($I$33="",Q26=""),"",Q26)</f>
        <v/>
      </c>
      <c r="K26" s="2409" t="str">
        <f t="shared" si="1"/>
        <v/>
      </c>
      <c r="M26" s="11"/>
      <c r="N26" s="826"/>
      <c r="O26" s="826"/>
      <c r="P26" s="826"/>
      <c r="Q26" s="826"/>
      <c r="R26" s="2174"/>
      <c r="S26" s="2174"/>
      <c r="T26" s="2174"/>
      <c r="U26" s="2174"/>
    </row>
    <row r="27" spans="1:21" s="82" customFormat="1" ht="102" customHeight="1">
      <c r="A27" s="2411" t="s">
        <v>1219</v>
      </c>
      <c r="B27" s="2201" t="str">
        <f>BIBLE!V110</f>
        <v>Interférence temps et/ou communication</v>
      </c>
      <c r="C27" s="2202" t="str">
        <f>BIBLE!R110</f>
        <v>Organisme des activités irrésistibles lors du temps de garde de l'autre</v>
      </c>
      <c r="D27" s="2203">
        <f>Test_Bible!D418</f>
        <v>2</v>
      </c>
      <c r="E27" s="2203" t="str">
        <f>Test_Bible!P418</f>
        <v>4</v>
      </c>
      <c r="F27" s="2204">
        <f>BIBLE!Q226</f>
        <v>8</v>
      </c>
      <c r="G27" s="2204"/>
      <c r="H27" s="2509"/>
      <c r="I27" s="826"/>
      <c r="J27" s="2409" t="str">
        <f t="shared" si="1"/>
        <v/>
      </c>
      <c r="K27" s="2409" t="str">
        <f t="shared" si="1"/>
        <v>Lorem ipsum – DRAPEAU ROUGE PAR COMPORTEMENT TYPIQUEMENT AP – similique sed deserunt aperiam ad eligendi tempora! Est voluptas omnis cum expedita autem aut quod illum qui consequatur cumque qui incidunt doloribus.</v>
      </c>
      <c r="M27" s="11"/>
      <c r="N27" s="826"/>
      <c r="O27" s="826"/>
      <c r="P27" s="826"/>
      <c r="Q27" s="826"/>
      <c r="R27" s="2286" t="s">
        <v>2017</v>
      </c>
      <c r="S27" s="2174"/>
      <c r="T27" s="2174"/>
      <c r="U27" s="2174"/>
    </row>
    <row r="28" spans="1:21" s="82" customFormat="1" ht="34" customHeight="1">
      <c r="A28" s="82" t="s">
        <v>1223</v>
      </c>
      <c r="B28" s="82" t="str">
        <f>BIBLE!V111</f>
        <v>Interférence temps et/ou communication</v>
      </c>
      <c r="C28" s="1838" t="str">
        <f>BIBLE!R111</f>
        <v>Se présente à la sortie des classes sur le temps de garde de l'autre</v>
      </c>
      <c r="D28" s="2173">
        <f>Test_Bible!D419</f>
        <v>2</v>
      </c>
      <c r="E28" s="2173" t="str">
        <f>Test_Bible!P419</f>
        <v>2</v>
      </c>
      <c r="F28" s="2174">
        <f>BIBLE!Q227</f>
        <v>4</v>
      </c>
      <c r="G28" s="2174">
        <f>F28</f>
        <v>4</v>
      </c>
      <c r="H28" s="2509"/>
      <c r="I28" s="826"/>
      <c r="J28" s="2409" t="str">
        <f t="shared" si="1"/>
        <v/>
      </c>
      <c r="K28" s="2409" t="str">
        <f t="shared" si="1"/>
        <v/>
      </c>
      <c r="M28" s="11"/>
      <c r="N28" s="826"/>
      <c r="O28" s="826"/>
      <c r="P28" s="826"/>
      <c r="Q28" s="826"/>
      <c r="R28" s="2174"/>
      <c r="S28" s="2174"/>
      <c r="T28" s="2174"/>
      <c r="U28" s="2174"/>
    </row>
    <row r="29" spans="1:21" s="82" customFormat="1" ht="34" customHeight="1">
      <c r="A29" s="2412" t="s">
        <v>1226</v>
      </c>
      <c r="B29" s="82" t="str">
        <f>BIBLE!V116</f>
        <v>Interférence temps et/ou communication</v>
      </c>
      <c r="C29" s="1838" t="str">
        <f>BIBLE!R116</f>
        <v xml:space="preserve">Contrôle les conversations téléphoniques </v>
      </c>
      <c r="D29" s="2173">
        <f>Test_Bible!D420</f>
        <v>2</v>
      </c>
      <c r="E29" s="2173" t="str">
        <f>Test_Bible!P420</f>
        <v>4</v>
      </c>
      <c r="F29" s="2174">
        <f>BIBLE!Q228</f>
        <v>8</v>
      </c>
      <c r="G29" s="2174">
        <f>F29</f>
        <v>8</v>
      </c>
      <c r="H29" s="2509"/>
      <c r="I29" s="826"/>
      <c r="J29" s="2409" t="str">
        <f t="shared" si="1"/>
        <v/>
      </c>
      <c r="K29" s="2409" t="str">
        <f t="shared" si="1"/>
        <v/>
      </c>
      <c r="M29" s="11"/>
      <c r="N29" s="826"/>
      <c r="O29" s="826"/>
      <c r="P29" s="826"/>
      <c r="Q29" s="826"/>
      <c r="R29" s="2174"/>
      <c r="S29" s="2174"/>
      <c r="T29" s="2174"/>
      <c r="U29" s="2174"/>
    </row>
    <row r="30" spans="1:21" s="82" customFormat="1" ht="34" customHeight="1">
      <c r="A30" s="2412" t="s">
        <v>1229</v>
      </c>
      <c r="B30" s="82" t="str">
        <f>BIBLE!V229</f>
        <v>Interférence temps et/ou communication</v>
      </c>
      <c r="C30" s="1838" t="str">
        <f>BIBLE!R229</f>
        <v>S'impose responsable de la logistique familiale</v>
      </c>
      <c r="D30" s="2173">
        <f>Test_Bible!D421</f>
        <v>2</v>
      </c>
      <c r="E30" s="2173" t="str">
        <f>Test_Bible!P421</f>
        <v>4</v>
      </c>
      <c r="F30" s="2174">
        <f>BIBLE!Q229</f>
        <v>8</v>
      </c>
      <c r="G30" s="2174">
        <f>F30</f>
        <v>8</v>
      </c>
      <c r="H30" s="2509"/>
      <c r="I30" s="826"/>
      <c r="J30" s="2409" t="str">
        <f t="shared" si="1"/>
        <v/>
      </c>
      <c r="K30" s="2409" t="str">
        <f t="shared" si="1"/>
        <v/>
      </c>
      <c r="M30" s="11"/>
      <c r="N30" s="826"/>
      <c r="O30" s="826"/>
      <c r="P30" s="826"/>
      <c r="Q30" s="826"/>
      <c r="R30" s="2174"/>
      <c r="S30" s="2174"/>
      <c r="T30" s="2174"/>
      <c r="U30" s="2174"/>
    </row>
    <row r="31" spans="1:21" s="82" customFormat="1" ht="34" customHeight="1">
      <c r="A31" s="82" t="s">
        <v>1233</v>
      </c>
      <c r="B31" s="82" t="str">
        <f>BIBLE!V61</f>
        <v>Interférence temps et/ou communication</v>
      </c>
      <c r="C31" s="826" t="str">
        <f>BIBLE!R61</f>
        <v>Communique fréquemment avec l'enfant lorsqu'il est chez l'autre</v>
      </c>
      <c r="D31" s="2173">
        <f>Test_Bible!D422</f>
        <v>3</v>
      </c>
      <c r="E31" s="2173" t="str">
        <f>Test_Bible!P422</f>
        <v>4</v>
      </c>
      <c r="F31" s="2174">
        <f>BIBLE!Q230</f>
        <v>12</v>
      </c>
      <c r="G31" s="2174">
        <f>F31</f>
        <v>12</v>
      </c>
      <c r="H31" s="2509"/>
      <c r="I31" s="826"/>
      <c r="J31" s="2409" t="str">
        <f t="shared" si="1"/>
        <v/>
      </c>
      <c r="K31" s="2409" t="str">
        <f t="shared" si="1"/>
        <v/>
      </c>
      <c r="M31" s="11"/>
      <c r="N31" s="826"/>
      <c r="O31" s="826"/>
      <c r="P31" s="826"/>
      <c r="Q31" s="826"/>
      <c r="R31" s="2174"/>
      <c r="S31" s="2174"/>
      <c r="T31" s="2174"/>
      <c r="U31" s="2174"/>
    </row>
    <row r="32" spans="1:21" s="82" customFormat="1" ht="34" customHeight="1">
      <c r="A32" s="2413" t="s">
        <v>1237</v>
      </c>
      <c r="B32" s="2175" t="str">
        <f>BIBLE!V114</f>
        <v>Interférence temps et/ou communication</v>
      </c>
      <c r="C32" s="2184" t="str">
        <f>BIBLE!R114</f>
        <v>Bloque les communications de l'entourage de l'enfant à l'autre parent</v>
      </c>
      <c r="D32" s="2176">
        <f>Test_Bible!D423</f>
        <v>3</v>
      </c>
      <c r="E32" s="2176" t="str">
        <f>Test_Bible!P423</f>
        <v>10</v>
      </c>
      <c r="F32" s="2177">
        <f>BIBLE!Q231</f>
        <v>30</v>
      </c>
      <c r="G32" s="2177">
        <f>F32</f>
        <v>30</v>
      </c>
      <c r="H32" s="2510"/>
      <c r="I32" s="1838"/>
      <c r="J32" s="2409" t="str">
        <f t="shared" si="1"/>
        <v/>
      </c>
      <c r="K32" s="2409" t="str">
        <f t="shared" si="1"/>
        <v/>
      </c>
      <c r="L32" s="2173"/>
      <c r="M32" s="2174"/>
      <c r="N32" s="826"/>
      <c r="O32" s="826"/>
      <c r="P32" s="826"/>
      <c r="Q32" s="826"/>
      <c r="R32" s="2174"/>
      <c r="S32" s="2174"/>
      <c r="T32" s="2174"/>
      <c r="U32" s="2174"/>
    </row>
    <row r="33" spans="1:21" s="82" customFormat="1" ht="102" customHeight="1">
      <c r="C33" s="1838"/>
      <c r="D33" s="2173"/>
      <c r="E33" s="2173"/>
      <c r="F33" s="2174"/>
      <c r="G33" s="2174"/>
      <c r="H33" s="2172">
        <f>AVERAGE(G26:G32)</f>
        <v>12.666666666666666</v>
      </c>
      <c r="I33" s="2409">
        <f>IF(H33&gt;=$H$40,HLOOKUP($I$8,$M$13:$P$42,21),"")</f>
        <v>0</v>
      </c>
      <c r="J33" s="2409" t="str">
        <f>IF(OR(I33="",Q33=""),"",Q33)</f>
        <v/>
      </c>
      <c r="K33" s="2409" t="str">
        <f>IF(OR(I33="",R33=""),"",R33)</f>
        <v/>
      </c>
      <c r="L33" s="2173"/>
      <c r="M33" s="2174"/>
      <c r="N33" s="2329" t="s">
        <v>2020</v>
      </c>
      <c r="O33" s="2329" t="s">
        <v>2021</v>
      </c>
      <c r="P33" s="2329" t="s">
        <v>2022</v>
      </c>
      <c r="Q33" s="826"/>
      <c r="R33" s="2174"/>
      <c r="S33" s="2174"/>
      <c r="T33" s="2174"/>
      <c r="U33" s="2174"/>
    </row>
    <row r="34" spans="1:21" s="82" customFormat="1" ht="34" customHeight="1">
      <c r="A34" s="2412" t="s">
        <v>1240</v>
      </c>
      <c r="B34" s="82" t="str">
        <f>BIBLE!V232</f>
        <v>Interférence lien affectif ou symbolique</v>
      </c>
      <c r="C34" s="1838" t="str">
        <f>BIBLE!R232</f>
        <v>Le nouveau ou la nouvelle conjoint·e demande de se faire appeler maman ou papa</v>
      </c>
      <c r="D34" s="2173">
        <f>Test_Bible!D424</f>
        <v>2</v>
      </c>
      <c r="E34" s="2173" t="str">
        <f>Test_Bible!P424</f>
        <v>1</v>
      </c>
      <c r="F34" s="2174">
        <f>BIBLE!Q232</f>
        <v>2</v>
      </c>
      <c r="G34" s="2174">
        <f>F34</f>
        <v>2</v>
      </c>
      <c r="H34" s="2565" t="s">
        <v>2023</v>
      </c>
      <c r="I34" s="826"/>
      <c r="J34" s="2409" t="str">
        <f>IF(OR($I$36="",Q34=""),"",Q34)</f>
        <v/>
      </c>
      <c r="K34" s="2409" t="str">
        <f>IF(OR($I$36="",R34=""),"",R34)</f>
        <v/>
      </c>
      <c r="M34" s="11"/>
      <c r="N34" s="826"/>
      <c r="O34" s="826"/>
      <c r="P34" s="826"/>
      <c r="Q34" s="826"/>
      <c r="R34" s="2174"/>
      <c r="S34" s="2174"/>
      <c r="T34" s="2174"/>
      <c r="U34" s="2174"/>
    </row>
    <row r="35" spans="1:21" s="82" customFormat="1" ht="102" customHeight="1">
      <c r="A35" s="2414" t="s">
        <v>1245</v>
      </c>
      <c r="B35" s="2175" t="str">
        <f>BIBLE!V233</f>
        <v>Interférence lien affectif ou symbolique</v>
      </c>
      <c r="C35" s="2184" t="str">
        <f>BIBLE!R233</f>
        <v>Le nouveau ou la nouvelle conjoint·e fragilise la relation de l'enfant avec l'autre parent</v>
      </c>
      <c r="D35" s="2176">
        <f>Test_Bible!D425</f>
        <v>2</v>
      </c>
      <c r="E35" s="2176" t="str">
        <f>Test_Bible!P425</f>
        <v>1</v>
      </c>
      <c r="F35" s="2177">
        <f>BIBLE!Q233</f>
        <v>2</v>
      </c>
      <c r="G35" s="2177">
        <f>F35</f>
        <v>2</v>
      </c>
      <c r="H35" s="2510"/>
      <c r="I35" s="1838"/>
      <c r="J35" s="2409" t="str">
        <f>IF(OR($I$36="",Q35=""),"",Q35)</f>
        <v/>
      </c>
      <c r="K35" s="2409" t="str">
        <f>IF(OR($I$36="",R35=""),"",R35)</f>
        <v/>
      </c>
      <c r="L35" s="2173"/>
      <c r="M35" s="2174"/>
      <c r="N35" s="826"/>
      <c r="O35" s="826"/>
      <c r="P35" s="826"/>
      <c r="Q35" s="826"/>
      <c r="R35" s="2286" t="s">
        <v>2017</v>
      </c>
      <c r="S35" s="2174"/>
      <c r="T35" s="2174"/>
      <c r="U35" s="2174"/>
    </row>
    <row r="36" spans="1:21" s="82" customFormat="1" ht="82" customHeight="1">
      <c r="C36" s="1838"/>
      <c r="D36" s="2173"/>
      <c r="E36" s="2173"/>
      <c r="F36" s="2174"/>
      <c r="G36" s="2174"/>
      <c r="H36" s="2172">
        <f>AVERAGE(G34:G35)</f>
        <v>2</v>
      </c>
      <c r="I36" s="2409" t="str">
        <f>IF(H36&gt;=$H$40,HLOOKUP($I$8,$M$13:$P$42,24),"")</f>
        <v/>
      </c>
      <c r="J36" s="2409" t="str">
        <f>IF(OR(I36="",Q36=""),"",Q36)</f>
        <v/>
      </c>
      <c r="K36" s="2409" t="str">
        <f>IF(OR(I36="",R36=""),"",R36)</f>
        <v/>
      </c>
      <c r="L36" s="2173"/>
      <c r="M36" s="2174"/>
      <c r="N36" s="2286" t="s">
        <v>2024</v>
      </c>
      <c r="O36" s="2286" t="s">
        <v>2025</v>
      </c>
      <c r="P36" s="2286" t="s">
        <v>2026</v>
      </c>
      <c r="Q36" s="826"/>
      <c r="R36" s="2174"/>
      <c r="S36" s="2174"/>
      <c r="T36" s="2174"/>
      <c r="U36" s="2174"/>
    </row>
    <row r="37" spans="1:21" s="82" customFormat="1" ht="38" customHeight="1">
      <c r="A37" s="2175" t="s">
        <v>1250</v>
      </c>
      <c r="B37" s="2175" t="str">
        <f>BIBLE!V98</f>
        <v>Rôle actif de l'enfant</v>
      </c>
      <c r="C37" s="2184" t="str">
        <f>BIBLE!R98</f>
        <v xml:space="preserve">Demande à ce que les désirs de l'enfant soient respectés </v>
      </c>
      <c r="D37" s="2176">
        <f>Test_Bible!D426</f>
        <v>2</v>
      </c>
      <c r="E37" s="2176">
        <f>Test_Bible!P426</f>
        <v>0</v>
      </c>
      <c r="F37" s="2177">
        <f>BIBLE!Q234</f>
        <v>0</v>
      </c>
      <c r="G37" s="2177">
        <f>F37</f>
        <v>0</v>
      </c>
      <c r="H37" s="37" t="s">
        <v>2027</v>
      </c>
      <c r="I37" s="826"/>
      <c r="J37" s="2409" t="str">
        <f>IF(OR($I$38="",Q37=""),"",Q37)</f>
        <v/>
      </c>
      <c r="K37" s="2409" t="str">
        <f>IF(OR($I$38="",R37=""),"",R37)</f>
        <v/>
      </c>
      <c r="M37" s="11"/>
      <c r="N37" s="826"/>
      <c r="O37" s="826"/>
      <c r="P37" s="826"/>
      <c r="Q37" s="826"/>
      <c r="R37" s="2174"/>
      <c r="S37" s="2174"/>
      <c r="T37" s="2174"/>
      <c r="U37" s="2174"/>
    </row>
    <row r="38" spans="1:21" ht="98" customHeight="1">
      <c r="H38" s="1057">
        <f>AVERAGE(G37)</f>
        <v>0</v>
      </c>
      <c r="I38" s="2409" t="str">
        <f>IF(H38&gt;=$H$40,HLOOKUP($I$8,$M$13:$P$42,26),"")</f>
        <v/>
      </c>
      <c r="J38" s="2409" t="str">
        <f>IF(OR(I38="",Q38=""),"",Q38)</f>
        <v/>
      </c>
      <c r="K38" s="2409" t="str">
        <f>IF(OR(I38="",R38=""),"",R38)</f>
        <v/>
      </c>
      <c r="L38" s="2173"/>
      <c r="M38" s="2174"/>
      <c r="N38" s="2329"/>
      <c r="O38" s="2329" t="s">
        <v>2028</v>
      </c>
      <c r="P38" s="2329" t="s">
        <v>2028</v>
      </c>
      <c r="Q38" s="826"/>
      <c r="R38" s="2174"/>
      <c r="S38" s="90"/>
      <c r="T38" s="90"/>
      <c r="U38" s="90"/>
    </row>
    <row r="39" spans="1:21" ht="21" customHeight="1">
      <c r="E39" t="s">
        <v>148</v>
      </c>
      <c r="F39" s="6"/>
      <c r="G39" s="6">
        <f>SUM(G15:G37)</f>
        <v>110</v>
      </c>
      <c r="H39" s="5"/>
      <c r="M39" s="5"/>
    </row>
    <row r="40" spans="1:21" ht="24" customHeight="1">
      <c r="D40" s="2170"/>
      <c r="E40" s="55"/>
      <c r="G40" t="s">
        <v>1815</v>
      </c>
      <c r="H40" s="2171">
        <f>AVERAGE(H17,H19,H21,H25,H33,H36,H38)</f>
        <v>5.0952380952380949</v>
      </c>
      <c r="J40" s="1803"/>
      <c r="K40" s="1803"/>
      <c r="L40" s="57" t="s">
        <v>2029</v>
      </c>
      <c r="M40" s="4"/>
      <c r="N40" s="32"/>
      <c r="O40" s="32"/>
      <c r="P40" s="32"/>
      <c r="Q40" s="32"/>
    </row>
    <row r="41" spans="1:21" ht="114" customHeight="1">
      <c r="H41" t="s">
        <v>2030</v>
      </c>
      <c r="I41" s="2409" t="str">
        <f>IF(HLOOKUP($I$8,$M$13:$P$42,29)="","",HLOOKUP($I$8,$N$13:$P$42,29))</f>
        <v/>
      </c>
      <c r="J41" s="25"/>
      <c r="K41" s="25"/>
      <c r="L41" s="7" t="s">
        <v>1943</v>
      </c>
      <c r="M41" s="8"/>
      <c r="N41" s="1824"/>
      <c r="O41" s="1824"/>
      <c r="P41" s="1824"/>
    </row>
    <row r="42" spans="1:21" ht="104" customHeight="1">
      <c r="J42" s="32"/>
      <c r="K42" s="32"/>
      <c r="L42" s="2323" t="s">
        <v>1885</v>
      </c>
      <c r="M42" s="15"/>
      <c r="N42" s="2388" t="s">
        <v>2031</v>
      </c>
      <c r="O42" s="2388" t="s">
        <v>2031</v>
      </c>
      <c r="P42" s="2388" t="s">
        <v>2031</v>
      </c>
    </row>
    <row r="43" spans="1:21" ht="104" customHeight="1"/>
    <row r="44" spans="1:21" ht="104" customHeight="1"/>
  </sheetData>
  <mergeCells count="8">
    <mergeCell ref="H34:H35"/>
    <mergeCell ref="H26:H32"/>
    <mergeCell ref="H22:H24"/>
    <mergeCell ref="I10:K10"/>
    <mergeCell ref="S4:S7"/>
    <mergeCell ref="Q10:R10"/>
    <mergeCell ref="Q11:R11"/>
    <mergeCell ref="H15:H1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zoomScale="119" zoomScaleNormal="119" workbookViewId="0">
      <selection activeCell="AK15" sqref="AK15"/>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c r="BA1" s="34" t="s">
        <v>1736</v>
      </c>
      <c r="BB1" s="49"/>
      <c r="BC1" s="49"/>
      <c r="BD1" s="2277" t="s">
        <v>2032</v>
      </c>
      <c r="BE1" s="1446"/>
      <c r="BF1" s="1446"/>
      <c r="BG1" s="1446"/>
      <c r="BH1" s="1446"/>
      <c r="BI1" s="1446"/>
    </row>
    <row r="2" spans="3:95">
      <c r="BA2" s="49"/>
      <c r="BB2" s="49"/>
      <c r="BC2" s="49"/>
      <c r="BD2" s="49"/>
    </row>
    <row r="3" spans="3:95">
      <c r="BA3" s="34" t="s">
        <v>2033</v>
      </c>
      <c r="BB3" s="49"/>
      <c r="BC3" s="49"/>
      <c r="BD3" s="2427" t="s">
        <v>2034</v>
      </c>
      <c r="BE3" s="1446"/>
      <c r="BF3" s="1446"/>
      <c r="BG3" s="1446"/>
      <c r="BH3" s="1446"/>
      <c r="BI3" s="1446"/>
    </row>
    <row r="5" spans="3:95">
      <c r="BL5" s="2429" t="s">
        <v>1741</v>
      </c>
      <c r="BM5" s="2429"/>
    </row>
    <row r="6" spans="3:95">
      <c r="C6" s="522"/>
      <c r="D6" s="36"/>
      <c r="E6" s="36"/>
      <c r="F6" s="36"/>
      <c r="G6" s="36"/>
      <c r="H6" s="36"/>
      <c r="I6" s="36"/>
      <c r="J6" s="36"/>
      <c r="K6" s="36"/>
      <c r="L6" s="36"/>
      <c r="M6" s="36"/>
      <c r="N6" s="49"/>
      <c r="AY6" s="288" t="s">
        <v>2035</v>
      </c>
      <c r="BC6" s="49" t="s">
        <v>2036</v>
      </c>
      <c r="BF6" s="49"/>
      <c r="BI6" s="49"/>
      <c r="BL6" s="2593" t="s">
        <v>2037</v>
      </c>
      <c r="BM6" s="2592"/>
      <c r="BN6" s="2571"/>
      <c r="BO6" s="2592"/>
      <c r="BP6" s="2166"/>
      <c r="BQ6" s="2166"/>
      <c r="BR6" s="2166"/>
      <c r="BS6" s="2166"/>
      <c r="BT6" s="2166"/>
      <c r="BU6" s="2166"/>
      <c r="BV6" s="2166"/>
      <c r="BW6" s="2166"/>
      <c r="BX6" s="2166"/>
      <c r="BY6" s="2166"/>
      <c r="BZ6" s="2166"/>
      <c r="CA6" s="73"/>
      <c r="CB6" s="49" t="s">
        <v>2038</v>
      </c>
      <c r="CL6" s="470"/>
      <c r="CM6" s="470"/>
      <c r="CN6" s="470"/>
      <c r="CO6" s="470"/>
      <c r="CP6" s="471"/>
      <c r="CQ6" s="471"/>
    </row>
    <row r="7" spans="3:95" ht="119" customHeight="1">
      <c r="C7" s="522" t="s">
        <v>2039</v>
      </c>
      <c r="D7" s="36"/>
      <c r="E7" s="36"/>
      <c r="F7" s="36"/>
      <c r="G7" s="36"/>
      <c r="H7" s="36"/>
      <c r="I7" s="36"/>
      <c r="J7" s="36"/>
      <c r="K7" s="36"/>
      <c r="L7" s="36"/>
      <c r="M7" s="36"/>
      <c r="N7" s="49"/>
      <c r="AV7" s="591" t="s">
        <v>2040</v>
      </c>
      <c r="AX7" s="591"/>
      <c r="BC7" s="49"/>
      <c r="BF7" s="49"/>
      <c r="BI7" s="49"/>
      <c r="BK7" s="80" t="s">
        <v>2041</v>
      </c>
      <c r="BL7" s="25" t="s">
        <v>2042</v>
      </c>
      <c r="BP7" s="591"/>
      <c r="BQ7" s="591"/>
      <c r="BR7" s="591"/>
      <c r="BS7" s="591"/>
      <c r="BT7" s="591"/>
      <c r="BU7" s="591"/>
      <c r="BV7" s="591"/>
      <c r="BW7" s="591"/>
      <c r="BX7" s="591"/>
      <c r="BY7" s="591"/>
      <c r="BZ7" s="591"/>
      <c r="CA7" s="73"/>
      <c r="CB7" s="49"/>
      <c r="CL7" s="470"/>
      <c r="CM7" s="470"/>
      <c r="CN7" s="470"/>
      <c r="CO7" s="470"/>
      <c r="CP7" s="471"/>
      <c r="CQ7" s="471"/>
    </row>
    <row r="8" spans="3:95" ht="40" customHeight="1">
      <c r="C8" s="36" t="s">
        <v>2043</v>
      </c>
      <c r="D8" s="36"/>
      <c r="E8" s="36"/>
      <c r="F8" s="36"/>
      <c r="G8" s="36"/>
      <c r="H8" s="36"/>
      <c r="I8" s="36"/>
      <c r="J8" s="36"/>
      <c r="K8" s="36"/>
      <c r="L8" s="36"/>
      <c r="M8" s="36"/>
      <c r="N8" s="49"/>
      <c r="AT8" s="1" t="s">
        <v>1992</v>
      </c>
      <c r="AU8" s="1" t="s">
        <v>1993</v>
      </c>
      <c r="AV8" s="1" t="s">
        <v>1994</v>
      </c>
      <c r="AX8" s="1"/>
      <c r="AY8" t="s">
        <v>124</v>
      </c>
      <c r="AZ8" s="1" t="s">
        <v>2044</v>
      </c>
      <c r="BB8" s="730" t="s">
        <v>125</v>
      </c>
      <c r="BC8" s="441" t="s">
        <v>126</v>
      </c>
      <c r="BD8" s="7"/>
      <c r="BE8" s="730" t="s">
        <v>125</v>
      </c>
      <c r="BF8" s="729" t="s">
        <v>2045</v>
      </c>
      <c r="BG8" s="728"/>
      <c r="BH8" s="730" t="s">
        <v>125</v>
      </c>
      <c r="BI8" s="430" t="s">
        <v>128</v>
      </c>
      <c r="BL8" s="2591" t="s">
        <v>1992</v>
      </c>
      <c r="BM8" s="2592"/>
      <c r="BN8" s="2571"/>
      <c r="BO8" s="2592"/>
      <c r="BP8" s="2167"/>
      <c r="BQ8" s="2167"/>
      <c r="BR8" s="2167"/>
      <c r="BS8" s="2167"/>
      <c r="BT8" s="2167"/>
      <c r="BU8" s="2167"/>
      <c r="BV8" s="2167"/>
      <c r="BW8" s="2167"/>
      <c r="BX8" s="2167"/>
      <c r="BY8" s="2167"/>
      <c r="BZ8" s="2167"/>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1561</v>
      </c>
      <c r="BM9" s="2430" t="s">
        <v>178</v>
      </c>
      <c r="BN9" s="2415" t="s">
        <v>152</v>
      </c>
      <c r="BO9" s="2430" t="s">
        <v>1910</v>
      </c>
      <c r="BP9" s="406"/>
      <c r="BQ9" s="406"/>
      <c r="BR9" s="406"/>
      <c r="BS9" s="406"/>
      <c r="BT9" s="406"/>
      <c r="BU9" s="406"/>
      <c r="BV9" s="406"/>
      <c r="BW9" s="406"/>
      <c r="BX9" s="406"/>
      <c r="BY9" s="406"/>
      <c r="BZ9" s="406"/>
      <c r="CA9" s="74"/>
      <c r="CL9" s="470"/>
      <c r="CM9" s="470"/>
      <c r="CN9" s="470"/>
      <c r="CO9" s="470"/>
      <c r="CP9" s="471"/>
      <c r="CQ9" s="471"/>
    </row>
    <row r="10" spans="3:95" ht="61" customHeight="1">
      <c r="C10" s="36" t="s">
        <v>2046</v>
      </c>
      <c r="M10" s="36"/>
      <c r="N10" s="49"/>
      <c r="AS10" s="2" t="str">
        <f>D49</f>
        <v>Demande de garder des secrets</v>
      </c>
      <c r="AT10">
        <f>AD66</f>
        <v>0</v>
      </c>
      <c r="AU10">
        <f>AE66</f>
        <v>0</v>
      </c>
      <c r="AV10">
        <f>AF66</f>
        <v>0</v>
      </c>
      <c r="AX10" s="90">
        <v>1</v>
      </c>
      <c r="AY10" s="733" t="str">
        <f>D49</f>
        <v>Demande de garder des secrets</v>
      </c>
      <c r="AZ10" s="2136">
        <f>H61</f>
        <v>8</v>
      </c>
      <c r="BA10" s="732" t="s">
        <v>2047</v>
      </c>
      <c r="BB10" s="734" t="str">
        <f t="shared" ref="BB10:BB35" si="0">IF(BC10&lt;&gt;"",AZ10,"")</f>
        <v/>
      </c>
      <c r="BC10" s="733" t="str">
        <f>IF(L61="","",L61)</f>
        <v/>
      </c>
      <c r="BD10" s="734" t="s">
        <v>2048</v>
      </c>
      <c r="BE10" s="734" t="str">
        <f t="shared" ref="BE10:BE39" si="1">IF(BF10&lt;&gt;"",AZ10,"")</f>
        <v/>
      </c>
      <c r="BF10" s="733" t="str">
        <f>IF(N61="","",N61)</f>
        <v/>
      </c>
      <c r="BG10" s="735" t="s">
        <v>2049</v>
      </c>
      <c r="BH10" s="734" t="str">
        <f t="shared" ref="BH10:BH35" si="2">IF(BI10&lt;&gt;"",AZ10,"")</f>
        <v/>
      </c>
      <c r="BI10" s="733" t="str">
        <f>IF(M61="","",M61)</f>
        <v/>
      </c>
      <c r="BL10" s="2431" t="s">
        <v>2050</v>
      </c>
      <c r="BM10" s="2435"/>
      <c r="BN10" s="2428"/>
      <c r="BO10" s="2329"/>
      <c r="CA10" s="15"/>
      <c r="CB10" s="81" t="s">
        <v>2051</v>
      </c>
      <c r="CL10" s="470"/>
      <c r="CM10" s="470"/>
      <c r="CN10" s="470"/>
      <c r="CO10" s="470"/>
      <c r="CP10" s="471"/>
      <c r="CQ10" s="471"/>
    </row>
    <row r="11" spans="3:95" ht="100" customHeight="1">
      <c r="C11" s="36"/>
      <c r="D11" s="36" t="s">
        <v>2052</v>
      </c>
      <c r="E11" s="523"/>
      <c r="N11" s="49"/>
      <c r="AS11" s="2" t="str">
        <f>D69</f>
        <v>Abandon de la famille</v>
      </c>
      <c r="AT11">
        <f>AD86</f>
        <v>0</v>
      </c>
      <c r="AU11">
        <f>AE86</f>
        <v>0</v>
      </c>
      <c r="AV11">
        <f>AF86</f>
        <v>0</v>
      </c>
      <c r="AX11" s="5">
        <v>2</v>
      </c>
      <c r="AY11" s="737" t="str">
        <f>D69</f>
        <v>Abandon de la famille</v>
      </c>
      <c r="AZ11" s="2137">
        <f>H81</f>
        <v>8</v>
      </c>
      <c r="BA11" s="736" t="s">
        <v>2047</v>
      </c>
      <c r="BB11" s="734" t="str">
        <f t="shared" si="0"/>
        <v/>
      </c>
      <c r="BC11" s="737" t="str">
        <f>IF(L81="","",L81)</f>
        <v/>
      </c>
      <c r="BD11" s="738" t="s">
        <v>2048</v>
      </c>
      <c r="BE11" s="734" t="str">
        <f t="shared" si="1"/>
        <v/>
      </c>
      <c r="BF11" s="737" t="str">
        <f>IF(N81="","",N81)</f>
        <v/>
      </c>
      <c r="BG11" s="739" t="s">
        <v>2049</v>
      </c>
      <c r="BH11" s="734" t="str">
        <f t="shared" si="2"/>
        <v/>
      </c>
      <c r="BI11" s="737" t="str">
        <f>IF(M81="","",M81)</f>
        <v/>
      </c>
      <c r="BJ11" s="55"/>
      <c r="BL11" s="2432" t="s">
        <v>2053</v>
      </c>
      <c r="BM11" s="2436"/>
      <c r="BN11" s="2428"/>
      <c r="BO11" s="2439"/>
      <c r="CA11" s="76" t="s">
        <v>2054</v>
      </c>
      <c r="CB11" s="72" t="s">
        <v>2055</v>
      </c>
      <c r="CC11" s="10"/>
      <c r="CD11" s="72" t="s">
        <v>2056</v>
      </c>
      <c r="CE11" s="10"/>
      <c r="CF11" s="10"/>
      <c r="CG11" s="72" t="s">
        <v>2</v>
      </c>
      <c r="CH11" s="10"/>
    </row>
    <row r="12" spans="3:95" ht="104" customHeight="1">
      <c r="C12" s="36"/>
      <c r="D12" s="36"/>
      <c r="E12" s="36"/>
      <c r="F12" s="36" t="s">
        <v>2057</v>
      </c>
      <c r="G12" s="36"/>
      <c r="H12" s="36"/>
      <c r="I12" s="36"/>
      <c r="J12" s="36"/>
      <c r="K12" s="36"/>
      <c r="L12" s="36" t="s">
        <v>2058</v>
      </c>
      <c r="M12" s="36" t="s">
        <v>2059</v>
      </c>
      <c r="N12" s="49"/>
      <c r="X12" s="36" t="s">
        <v>2060</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7">
        <f>H100</f>
        <v>12</v>
      </c>
      <c r="BA12" s="736" t="s">
        <v>2047</v>
      </c>
      <c r="BB12" s="734" t="str">
        <f t="shared" si="0"/>
        <v/>
      </c>
      <c r="BC12" s="737" t="str">
        <f>IF(L100="","",L100)</f>
        <v/>
      </c>
      <c r="BD12" s="738" t="s">
        <v>2048</v>
      </c>
      <c r="BE12" s="734" t="str">
        <f t="shared" si="1"/>
        <v/>
      </c>
      <c r="BF12" s="737" t="str">
        <f>IF(N100="","",N100)</f>
        <v/>
      </c>
      <c r="BG12" s="739" t="s">
        <v>2049</v>
      </c>
      <c r="BH12" s="734" t="str">
        <f t="shared" si="2"/>
        <v/>
      </c>
      <c r="BI12" s="737" t="str">
        <f>IF(M100="","",M100)</f>
        <v/>
      </c>
      <c r="BJ12" s="55"/>
      <c r="BL12" s="2432" t="s">
        <v>2061</v>
      </c>
      <c r="BM12" s="2436"/>
      <c r="BN12" s="2428"/>
      <c r="BO12" s="2439"/>
      <c r="CA12" s="75"/>
      <c r="CB12" s="16" t="s">
        <v>2062</v>
      </c>
      <c r="CC12" s="7"/>
      <c r="CD12" s="68" t="s">
        <v>2063</v>
      </c>
      <c r="CE12" s="7"/>
      <c r="CF12" s="7"/>
      <c r="CG12" s="7" t="s">
        <v>2064</v>
      </c>
      <c r="CH12" s="7"/>
      <c r="CI12" s="7"/>
      <c r="CJ12" s="2586" t="s">
        <v>2065</v>
      </c>
      <c r="CK12" s="2474" t="b">
        <v>1</v>
      </c>
    </row>
    <row r="13" spans="3:95" ht="41" customHeight="1" thickBot="1">
      <c r="C13" s="36"/>
      <c r="F13" s="36" t="s">
        <v>2066</v>
      </c>
      <c r="G13" s="36"/>
      <c r="H13" s="36"/>
      <c r="I13" s="36"/>
      <c r="J13" s="36"/>
      <c r="K13" s="36"/>
      <c r="L13" s="36" t="s">
        <v>2067</v>
      </c>
      <c r="M13" s="36" t="s">
        <v>2068</v>
      </c>
      <c r="N13" s="49"/>
      <c r="AB13" s="2" t="s">
        <v>2069</v>
      </c>
      <c r="AG13" s="1" t="s">
        <v>1992</v>
      </c>
      <c r="AH13" s="1" t="s">
        <v>1993</v>
      </c>
      <c r="AI13" s="1" t="s">
        <v>1994</v>
      </c>
      <c r="AJ13" s="1729" t="s">
        <v>1410</v>
      </c>
      <c r="AK13" s="1729" t="s">
        <v>1313</v>
      </c>
      <c r="AL13" s="1730" t="s">
        <v>1410</v>
      </c>
      <c r="AM13" s="1730" t="s">
        <v>1313</v>
      </c>
      <c r="AN13" s="1731" t="s">
        <v>1410</v>
      </c>
      <c r="AO13" s="1731" t="s">
        <v>1313</v>
      </c>
      <c r="AS13" s="2" t="str">
        <f>D107</f>
        <v>Manque de sécurité</v>
      </c>
      <c r="AT13">
        <f>AD124</f>
        <v>0</v>
      </c>
      <c r="AU13">
        <f>AE124</f>
        <v>0</v>
      </c>
      <c r="AV13">
        <f>AF124</f>
        <v>0</v>
      </c>
      <c r="AX13" s="5">
        <v>4</v>
      </c>
      <c r="AY13" s="737" t="str">
        <f>D107</f>
        <v>Manque de sécurité</v>
      </c>
      <c r="AZ13" s="2137">
        <f>H119</f>
        <v>8</v>
      </c>
      <c r="BA13" s="736" t="s">
        <v>2047</v>
      </c>
      <c r="BB13" s="734" t="str">
        <f t="shared" si="0"/>
        <v/>
      </c>
      <c r="BC13" s="737" t="str">
        <f>IF(L119="","",L119)</f>
        <v/>
      </c>
      <c r="BD13" s="738" t="s">
        <v>2048</v>
      </c>
      <c r="BE13" s="734" t="str">
        <f t="shared" si="1"/>
        <v/>
      </c>
      <c r="BF13" s="737" t="str">
        <f>IF(N119="","",N119)</f>
        <v/>
      </c>
      <c r="BG13" s="739" t="s">
        <v>2049</v>
      </c>
      <c r="BH13" s="734" t="str">
        <f t="shared" si="2"/>
        <v/>
      </c>
      <c r="BI13" s="737" t="str">
        <f>IF(M119="","",M119)</f>
        <v/>
      </c>
      <c r="BJ13" s="55"/>
      <c r="BL13" s="2432" t="s">
        <v>2070</v>
      </c>
      <c r="BM13" s="2436"/>
      <c r="BN13" s="2428"/>
      <c r="BO13" s="2329"/>
      <c r="CA13" s="7"/>
      <c r="CD13" s="68" t="s">
        <v>2071</v>
      </c>
      <c r="CE13" s="7"/>
      <c r="CF13" s="7"/>
      <c r="CG13" s="7" t="s">
        <v>2072</v>
      </c>
      <c r="CH13" s="7" t="s">
        <v>2073</v>
      </c>
      <c r="CJ13" s="2468"/>
      <c r="CK13" s="2468"/>
    </row>
    <row r="14" spans="3:95" ht="34" customHeight="1">
      <c r="C14" s="36"/>
      <c r="D14" s="36" t="s">
        <v>2074</v>
      </c>
      <c r="N14" s="49"/>
      <c r="X14" s="1732"/>
      <c r="Y14" s="620"/>
      <c r="Z14" s="1733" t="s">
        <v>1541</v>
      </c>
      <c r="AA14" s="620"/>
      <c r="AB14" s="1741">
        <f>H53+H73+H92+H111+H130+H150+H169+H188+H207+H226+H245+H264+H283+H302+H321+H340+H359+H378+H397+H417+H437+H456+H475+H494+H513+H532+H555+H575+H595+H615+H635+H656+H679+H698+H717+H737+H756</f>
        <v>209</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261</v>
      </c>
      <c r="AK14" s="1774">
        <f t="shared" si="3"/>
        <v>600</v>
      </c>
      <c r="AL14" s="1775">
        <f t="shared" si="3"/>
        <v>109</v>
      </c>
      <c r="AM14" s="1775">
        <f t="shared" si="3"/>
        <v>319</v>
      </c>
      <c r="AN14" s="1776">
        <f t="shared" si="3"/>
        <v>187</v>
      </c>
      <c r="AO14" s="1777">
        <f t="shared" si="3"/>
        <v>353</v>
      </c>
      <c r="AS14" s="2" t="str">
        <f>D126</f>
        <v>Modifications des faits et souvenirs</v>
      </c>
      <c r="AT14">
        <f>AD143</f>
        <v>0</v>
      </c>
      <c r="AU14">
        <f>AE143</f>
        <v>0</v>
      </c>
      <c r="AV14">
        <f>AF143</f>
        <v>0</v>
      </c>
      <c r="AX14" s="5">
        <v>5</v>
      </c>
      <c r="AY14" s="737" t="str">
        <f>D126</f>
        <v>Modifications des faits et souvenirs</v>
      </c>
      <c r="AZ14" s="2137">
        <f>H138</f>
        <v>6</v>
      </c>
      <c r="BA14" s="736" t="s">
        <v>2047</v>
      </c>
      <c r="BB14" s="734" t="str">
        <f t="shared" si="0"/>
        <v/>
      </c>
      <c r="BC14" s="737" t="str">
        <f>IF(L138="","",L138)</f>
        <v/>
      </c>
      <c r="BD14" s="738" t="s">
        <v>2048</v>
      </c>
      <c r="BE14" s="734" t="str">
        <f t="shared" si="1"/>
        <v/>
      </c>
      <c r="BF14" s="737" t="str">
        <f>IF(N138="","",N138)</f>
        <v/>
      </c>
      <c r="BG14" s="739" t="s">
        <v>2049</v>
      </c>
      <c r="BH14" s="734" t="str">
        <f t="shared" si="2"/>
        <v/>
      </c>
      <c r="BI14" s="737" t="str">
        <f>IF(M138="","",M138)</f>
        <v/>
      </c>
      <c r="BJ14" s="55"/>
      <c r="BL14" s="2432" t="s">
        <v>1571</v>
      </c>
      <c r="BM14" s="2436"/>
      <c r="BN14" s="2428"/>
      <c r="BO14" s="2329"/>
      <c r="CA14" s="75"/>
      <c r="CD14" s="38" t="s">
        <v>2075</v>
      </c>
      <c r="CG14" s="7" t="s">
        <v>2076</v>
      </c>
      <c r="CH14" s="7"/>
      <c r="CI14" s="7"/>
      <c r="CJ14" s="2587" t="s">
        <v>2077</v>
      </c>
      <c r="CK14" s="2474" t="b">
        <v>0</v>
      </c>
      <c r="CL14" s="7"/>
    </row>
    <row r="15" spans="3:95" ht="120" customHeight="1">
      <c r="C15" s="36"/>
      <c r="E15" s="36"/>
      <c r="F15" s="36" t="s">
        <v>2078</v>
      </c>
      <c r="G15" s="36"/>
      <c r="H15" s="36"/>
      <c r="I15" s="36"/>
      <c r="J15" s="36"/>
      <c r="K15" s="36"/>
      <c r="L15" s="36" t="s">
        <v>2079</v>
      </c>
      <c r="M15" s="36" t="s">
        <v>2080</v>
      </c>
      <c r="N15" s="49"/>
      <c r="X15" s="122"/>
      <c r="Z15" s="2" t="s">
        <v>90</v>
      </c>
      <c r="AB15" s="55">
        <f>H56+H76+H95+H114+H133+H153+H172+H191+H210+H229+H248+H267+H286+H305+H324+H343+H362+H381+H400+H421+H440+H459+H478+H497+H516+H535+H558+H578+H598+H618+H638+H659+H682+H701+H720+H740+H759</f>
        <v>86</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125</v>
      </c>
      <c r="AK15" s="1778">
        <f t="shared" si="4"/>
        <v>270</v>
      </c>
      <c r="AL15" s="1779">
        <f t="shared" si="4"/>
        <v>63</v>
      </c>
      <c r="AM15" s="1779">
        <f t="shared" si="4"/>
        <v>148</v>
      </c>
      <c r="AN15" s="1780">
        <f t="shared" si="4"/>
        <v>94</v>
      </c>
      <c r="AO15" s="1781">
        <f t="shared" si="4"/>
        <v>204</v>
      </c>
      <c r="AS15" s="2" t="str">
        <f>D145</f>
        <v>Culpabilise l'enfant de son amour envers vous</v>
      </c>
      <c r="AT15">
        <f>AD163</f>
        <v>0</v>
      </c>
      <c r="AU15">
        <f>AE163</f>
        <v>0</v>
      </c>
      <c r="AV15">
        <f>AF163</f>
        <v>0</v>
      </c>
      <c r="AX15" s="5">
        <v>6</v>
      </c>
      <c r="AY15" s="737" t="str">
        <f>D145</f>
        <v>Culpabilise l'enfant de son amour envers vous</v>
      </c>
      <c r="AZ15" s="2137">
        <f>H158</f>
        <v>21</v>
      </c>
      <c r="BA15" s="736" t="s">
        <v>2047</v>
      </c>
      <c r="BB15" s="734" t="str">
        <f t="shared" si="0"/>
        <v/>
      </c>
      <c r="BC15" s="737" t="str">
        <f>IF(L158="","",L158)</f>
        <v/>
      </c>
      <c r="BD15" s="738" t="s">
        <v>2048</v>
      </c>
      <c r="BE15" s="734" t="str">
        <f t="shared" si="1"/>
        <v/>
      </c>
      <c r="BF15" s="737" t="str">
        <f>IF(N158="","",N158)</f>
        <v/>
      </c>
      <c r="BG15" s="739" t="s">
        <v>2049</v>
      </c>
      <c r="BH15" s="734" t="str">
        <f t="shared" si="2"/>
        <v/>
      </c>
      <c r="BI15" s="737" t="str">
        <f>IF(M158="","",M158)</f>
        <v/>
      </c>
      <c r="BJ15" s="55"/>
      <c r="BL15" s="2432" t="s">
        <v>2081</v>
      </c>
      <c r="BM15" s="2436"/>
      <c r="BN15" s="2428"/>
      <c r="BO15" s="2439"/>
      <c r="CA15" s="6"/>
      <c r="CB15" s="35"/>
      <c r="CD15" s="38" t="s">
        <v>2071</v>
      </c>
      <c r="CG15" s="2590" t="s">
        <v>2082</v>
      </c>
      <c r="CH15" s="2468"/>
      <c r="CI15" s="2468"/>
      <c r="CJ15" s="2468"/>
      <c r="CK15" s="2468"/>
      <c r="CL15" s="7"/>
    </row>
    <row r="16" spans="3:95" ht="90" customHeight="1" thickBot="1">
      <c r="C16" s="36"/>
      <c r="D16" s="36"/>
      <c r="E16" s="36"/>
      <c r="F16" s="36" t="s">
        <v>2083</v>
      </c>
      <c r="G16" s="36"/>
      <c r="H16" s="36"/>
      <c r="I16" s="36"/>
      <c r="J16" s="36"/>
      <c r="K16" s="36"/>
      <c r="L16" s="36" t="s">
        <v>2084</v>
      </c>
      <c r="M16" s="36" t="s">
        <v>2085</v>
      </c>
      <c r="N16" s="49"/>
      <c r="X16" s="293"/>
      <c r="Y16" s="294"/>
      <c r="Z16" s="1734" t="s">
        <v>2086</v>
      </c>
      <c r="AA16" s="294"/>
      <c r="AB16" s="1735">
        <f>H57+H77+H96+H115+H134+H154+H173+H192+H211+H230+H249+H268+H287+H306+H325+H344+H363+H382+H401+H422+H441+H460+H479+H498+H517+H536+H559+H579+H599+H619+H639+H660+H683+H702+H721+H741+H760</f>
        <v>235</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291</v>
      </c>
      <c r="AK16" s="1782">
        <f t="shared" si="5"/>
        <v>660</v>
      </c>
      <c r="AL16" s="1783">
        <f t="shared" si="5"/>
        <v>149</v>
      </c>
      <c r="AM16" s="1783">
        <f t="shared" si="5"/>
        <v>397</v>
      </c>
      <c r="AN16" s="1784">
        <f t="shared" si="5"/>
        <v>225</v>
      </c>
      <c r="AO16" s="1785">
        <f t="shared" si="5"/>
        <v>430</v>
      </c>
      <c r="AS16" s="2" t="str">
        <f>D165</f>
        <v>Intervention à la suite d'un retour de garde</v>
      </c>
      <c r="AT16">
        <f>AD182</f>
        <v>0</v>
      </c>
      <c r="AU16">
        <f>AE182</f>
        <v>0</v>
      </c>
      <c r="AV16">
        <f>AF182</f>
        <v>0</v>
      </c>
      <c r="AX16" s="5">
        <v>7</v>
      </c>
      <c r="AY16" s="737" t="str">
        <f>D165</f>
        <v>Intervention à la suite d'un retour de garde</v>
      </c>
      <c r="AZ16" s="2137">
        <f>H177</f>
        <v>12</v>
      </c>
      <c r="BA16" s="736" t="s">
        <v>2047</v>
      </c>
      <c r="BB16" s="734" t="str">
        <f t="shared" si="0"/>
        <v/>
      </c>
      <c r="BC16" s="737" t="str">
        <f>IF(L177="","",L177)</f>
        <v/>
      </c>
      <c r="BD16" s="738" t="s">
        <v>2048</v>
      </c>
      <c r="BE16" s="734" t="str">
        <f t="shared" si="1"/>
        <v/>
      </c>
      <c r="BF16" s="737" t="str">
        <f>IF(N177="","",N177)</f>
        <v/>
      </c>
      <c r="BG16" s="739" t="s">
        <v>2049</v>
      </c>
      <c r="BH16" s="734" t="str">
        <f t="shared" si="2"/>
        <v/>
      </c>
      <c r="BI16" s="737" t="str">
        <f>IF(M177="","",M177)</f>
        <v/>
      </c>
      <c r="BL16" s="2432" t="s">
        <v>2087</v>
      </c>
      <c r="BM16" s="2436"/>
      <c r="BN16" s="2428"/>
      <c r="BO16" s="2439"/>
      <c r="CB16" s="16"/>
      <c r="CD16" s="68" t="s">
        <v>2063</v>
      </c>
      <c r="CG16" s="7" t="s">
        <v>2064</v>
      </c>
      <c r="CJ16" s="2586" t="s">
        <v>2088</v>
      </c>
      <c r="CK16" s="2474" t="b">
        <v>1</v>
      </c>
    </row>
    <row r="17" spans="3:89" ht="175" customHeight="1" thickBot="1">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248</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26</v>
      </c>
      <c r="AK17" s="1786">
        <f t="shared" si="7"/>
        <v>50</v>
      </c>
      <c r="AL17" s="1787">
        <f t="shared" si="7"/>
        <v>10</v>
      </c>
      <c r="AM17" s="1787">
        <f t="shared" si="7"/>
        <v>35</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7">
        <f>H196</f>
        <v>14</v>
      </c>
      <c r="BA17" s="736" t="s">
        <v>2047</v>
      </c>
      <c r="BB17" s="734" t="str">
        <f t="shared" si="0"/>
        <v/>
      </c>
      <c r="BC17" s="737" t="str">
        <f>IF(L196="","",L196)</f>
        <v/>
      </c>
      <c r="BD17" s="738" t="s">
        <v>2048</v>
      </c>
      <c r="BE17" s="734" t="str">
        <f t="shared" si="1"/>
        <v/>
      </c>
      <c r="BF17" s="737" t="str">
        <f>IF(N196="","",N196)</f>
        <v/>
      </c>
      <c r="BG17" s="739" t="s">
        <v>2049</v>
      </c>
      <c r="BH17" s="734" t="str">
        <f t="shared" si="2"/>
        <v/>
      </c>
      <c r="BI17" s="737" t="str">
        <f>IF(M196="","",M196)</f>
        <v/>
      </c>
      <c r="BL17" s="2432" t="s">
        <v>1567</v>
      </c>
      <c r="BM17" s="2436"/>
      <c r="BN17" s="2428"/>
      <c r="BO17" s="2439"/>
      <c r="CA17" s="15"/>
      <c r="CD17" s="69" t="s">
        <v>2089</v>
      </c>
      <c r="CG17" s="7" t="s">
        <v>2076</v>
      </c>
      <c r="CJ17" s="2468"/>
      <c r="CK17" s="2468"/>
    </row>
    <row r="18" spans="3:89" ht="85" customHeight="1">
      <c r="C18" s="36" t="s">
        <v>2090</v>
      </c>
      <c r="D18" s="36"/>
      <c r="E18" s="36"/>
      <c r="F18" s="36"/>
      <c r="G18" s="36"/>
      <c r="H18" s="36"/>
      <c r="I18" s="36"/>
      <c r="J18" s="36"/>
      <c r="K18" s="36"/>
      <c r="L18" s="36"/>
      <c r="M18" s="36"/>
      <c r="N18" s="49"/>
      <c r="X18" s="1732"/>
      <c r="Y18" s="1739"/>
      <c r="Z18" s="1740" t="s">
        <v>2091</v>
      </c>
      <c r="AA18" s="620"/>
      <c r="AB18" s="1741">
        <f>H61+H81+H100+H119+H138+H158+H177+H196+H215+H234+H253+H272+H291+H310+H329+H348+H367+H386+H406+H426+H445+H464+H483+H502+H521+H541+H563+H583+H603+H623+H643+H664+H687+H706+H726+H745+H764</f>
        <v>376</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7">
        <f>H215</f>
        <v>14</v>
      </c>
      <c r="BA18" s="736" t="s">
        <v>2047</v>
      </c>
      <c r="BB18" s="734" t="str">
        <f t="shared" si="0"/>
        <v/>
      </c>
      <c r="BC18" s="737" t="str">
        <f>IF(L215="","",L215)</f>
        <v/>
      </c>
      <c r="BD18" s="738" t="s">
        <v>2048</v>
      </c>
      <c r="BE18" s="734" t="str">
        <f t="shared" si="1"/>
        <v/>
      </c>
      <c r="BF18" s="737" t="str">
        <f>IF(N215="","",N215)</f>
        <v/>
      </c>
      <c r="BG18" s="739" t="s">
        <v>2049</v>
      </c>
      <c r="BH18" s="734" t="str">
        <f t="shared" si="2"/>
        <v/>
      </c>
      <c r="BI18" s="737" t="str">
        <f>IF(M215="","",M215)</f>
        <v/>
      </c>
      <c r="BL18" s="2432" t="s">
        <v>2092</v>
      </c>
      <c r="BM18" s="2436"/>
      <c r="BN18" s="2428"/>
      <c r="BO18" s="2439"/>
      <c r="CA18" s="32"/>
      <c r="CB18" s="291"/>
      <c r="CD18" s="38" t="s">
        <v>2075</v>
      </c>
      <c r="CG18" s="7" t="s">
        <v>2076</v>
      </c>
      <c r="CJ18" s="2587" t="s">
        <v>2093</v>
      </c>
      <c r="CK18" s="2474" t="b">
        <v>0</v>
      </c>
    </row>
    <row r="19" spans="3:89" ht="34" customHeight="1">
      <c r="C19" s="522" t="s">
        <v>2094</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66</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90</v>
      </c>
      <c r="AK19" s="1790">
        <f t="shared" si="9"/>
        <v>180</v>
      </c>
      <c r="AL19" s="1791">
        <f t="shared" si="9"/>
        <v>16</v>
      </c>
      <c r="AM19" s="1791">
        <f t="shared" si="9"/>
        <v>58</v>
      </c>
      <c r="AN19" s="1792">
        <f t="shared" si="9"/>
        <v>103</v>
      </c>
      <c r="AO19" s="1793">
        <f t="shared" si="9"/>
        <v>192</v>
      </c>
      <c r="AS19" s="2" t="str">
        <f>D222</f>
        <v>Dénigre la nouvelle famille</v>
      </c>
      <c r="AT19">
        <f>AD239</f>
        <v>0</v>
      </c>
      <c r="AU19">
        <f>AE239</f>
        <v>0</v>
      </c>
      <c r="AV19">
        <f>AF239</f>
        <v>0</v>
      </c>
      <c r="AX19" s="5">
        <v>10</v>
      </c>
      <c r="AY19" s="737" t="str">
        <f>D222</f>
        <v>Dénigre la nouvelle famille</v>
      </c>
      <c r="AZ19" s="2137">
        <f>H234</f>
        <v>14</v>
      </c>
      <c r="BA19" s="736" t="s">
        <v>2047</v>
      </c>
      <c r="BB19" s="734" t="str">
        <f t="shared" si="0"/>
        <v/>
      </c>
      <c r="BC19" s="737" t="str">
        <f>IF(L234="","",L234)</f>
        <v/>
      </c>
      <c r="BD19" s="738" t="s">
        <v>2048</v>
      </c>
      <c r="BE19" s="734" t="str">
        <f t="shared" si="1"/>
        <v/>
      </c>
      <c r="BF19" s="737" t="str">
        <f>IF(N234="","",N234)</f>
        <v/>
      </c>
      <c r="BG19" s="739" t="s">
        <v>2049</v>
      </c>
      <c r="BH19" s="734" t="str">
        <f t="shared" si="2"/>
        <v/>
      </c>
      <c r="BI19" s="737" t="str">
        <f>IF(M234="","",M234)</f>
        <v/>
      </c>
      <c r="BL19" s="2432" t="s">
        <v>2095</v>
      </c>
      <c r="BM19" s="2436"/>
      <c r="BN19" s="2428"/>
      <c r="BO19" s="2329"/>
      <c r="CA19" s="75"/>
      <c r="CD19" s="38" t="s">
        <v>2089</v>
      </c>
      <c r="CG19" s="7" t="s">
        <v>2076</v>
      </c>
      <c r="CJ19" s="2468"/>
      <c r="CK19" s="2468"/>
    </row>
    <row r="20" spans="3:89" ht="61" customHeight="1" thickBot="1">
      <c r="C20" s="36" t="s">
        <v>2096</v>
      </c>
      <c r="D20" s="36"/>
      <c r="E20" s="36"/>
      <c r="F20" s="36"/>
      <c r="G20" s="36"/>
      <c r="H20" s="36"/>
      <c r="I20" s="36"/>
      <c r="J20" s="36"/>
      <c r="K20" s="36"/>
      <c r="L20" s="36"/>
      <c r="M20" s="36"/>
      <c r="N20" s="49"/>
      <c r="X20" s="293"/>
      <c r="Y20" s="294"/>
      <c r="Z20" s="1734" t="s">
        <v>2097</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7">
        <f>H253</f>
        <v>2</v>
      </c>
      <c r="BA20" s="736" t="s">
        <v>2047</v>
      </c>
      <c r="BB20" s="734" t="str">
        <f t="shared" si="0"/>
        <v/>
      </c>
      <c r="BC20" s="737" t="str">
        <f>IF(L253="","",L253)</f>
        <v/>
      </c>
      <c r="BD20" s="738" t="s">
        <v>2048</v>
      </c>
      <c r="BE20" s="734" t="str">
        <f t="shared" si="1"/>
        <v/>
      </c>
      <c r="BF20" s="737" t="str">
        <f>IF(N253="","",N253)</f>
        <v/>
      </c>
      <c r="BG20" s="739" t="s">
        <v>2049</v>
      </c>
      <c r="BH20" s="734" t="str">
        <f t="shared" si="2"/>
        <v/>
      </c>
      <c r="BI20" s="737" t="str">
        <f>IF(M253="","",M253)</f>
        <v/>
      </c>
      <c r="BL20" s="2432" t="s">
        <v>2098</v>
      </c>
      <c r="BM20" s="2436"/>
      <c r="BN20" s="2428"/>
      <c r="BO20" s="2329"/>
      <c r="CA20" s="75"/>
      <c r="CB20" s="70" t="s">
        <v>2099</v>
      </c>
      <c r="CC20" s="62"/>
      <c r="CD20" s="71" t="s">
        <v>2056</v>
      </c>
      <c r="CE20" s="62"/>
      <c r="CF20" s="62"/>
      <c r="CG20" s="71" t="s">
        <v>2</v>
      </c>
      <c r="CH20" s="62"/>
      <c r="CI20" s="62"/>
      <c r="CJ20" s="71" t="s">
        <v>2100</v>
      </c>
      <c r="CK20" s="7" t="s">
        <v>2101</v>
      </c>
    </row>
    <row r="21" spans="3:89" ht="40" customHeight="1">
      <c r="C21" s="36" t="s">
        <v>2102</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21</v>
      </c>
      <c r="BA21" s="736" t="s">
        <v>2047</v>
      </c>
      <c r="BB21" s="734" t="str">
        <f t="shared" si="0"/>
        <v/>
      </c>
      <c r="BC21" s="737" t="str">
        <f>IF(L272="","",L272)</f>
        <v/>
      </c>
      <c r="BD21" s="738" t="s">
        <v>2048</v>
      </c>
      <c r="BE21" s="734" t="str">
        <f t="shared" si="1"/>
        <v/>
      </c>
      <c r="BF21" s="737" t="str">
        <f>IF(N272="","",N272)</f>
        <v/>
      </c>
      <c r="BG21" s="739" t="s">
        <v>2049</v>
      </c>
      <c r="BH21" s="734" t="str">
        <f t="shared" si="2"/>
        <v/>
      </c>
      <c r="BI21" s="737" t="str">
        <f>IF(M272="","",M272)</f>
        <v/>
      </c>
      <c r="BL21" s="2432" t="s">
        <v>2103</v>
      </c>
      <c r="BM21" s="2436"/>
      <c r="BN21" s="2428"/>
      <c r="BO21" s="2329"/>
      <c r="CA21" s="75"/>
      <c r="CB21" s="35"/>
      <c r="CD21" s="68" t="s">
        <v>2063</v>
      </c>
      <c r="CE21" s="7"/>
      <c r="CF21" s="7"/>
      <c r="CG21" s="7" t="s">
        <v>2104</v>
      </c>
      <c r="CH21" s="7"/>
      <c r="CI21" s="7"/>
      <c r="CJ21" s="2586" t="s">
        <v>2105</v>
      </c>
      <c r="CK21" s="2474" t="b">
        <v>0</v>
      </c>
    </row>
    <row r="22" spans="3:89" ht="8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7">
        <f>H291</f>
        <v>14</v>
      </c>
      <c r="BA22" s="736" t="s">
        <v>2047</v>
      </c>
      <c r="BB22" s="734" t="str">
        <f t="shared" si="0"/>
        <v/>
      </c>
      <c r="BC22" s="737" t="str">
        <f>IF(L291="","",L291)</f>
        <v/>
      </c>
      <c r="BD22" s="738" t="s">
        <v>2048</v>
      </c>
      <c r="BE22" s="734" t="str">
        <f t="shared" si="1"/>
        <v/>
      </c>
      <c r="BF22" s="737" t="str">
        <f>IF(N291="","",N291)</f>
        <v/>
      </c>
      <c r="BG22" s="739" t="s">
        <v>2049</v>
      </c>
      <c r="BH22" s="734" t="str">
        <f t="shared" si="2"/>
        <v/>
      </c>
      <c r="BI22" s="737" t="str">
        <f>IF(M291="","",M291)</f>
        <v/>
      </c>
      <c r="BL22" s="2432" t="s">
        <v>2106</v>
      </c>
      <c r="BM22" s="2436"/>
      <c r="BN22" s="2428"/>
      <c r="BO22" s="2439"/>
      <c r="CA22" s="6"/>
      <c r="CD22" s="68" t="s">
        <v>2071</v>
      </c>
      <c r="CE22" s="7"/>
      <c r="CF22" s="7"/>
      <c r="CG22" s="7" t="s">
        <v>2107</v>
      </c>
      <c r="CH22" s="7"/>
      <c r="CJ22" s="2468"/>
      <c r="CK22" s="2468"/>
    </row>
    <row r="23" spans="3:89" ht="34"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7">
        <f>H310</f>
        <v>8</v>
      </c>
      <c r="BA23" s="736" t="s">
        <v>2047</v>
      </c>
      <c r="BB23" s="734" t="str">
        <f t="shared" si="0"/>
        <v/>
      </c>
      <c r="BC23" s="737" t="str">
        <f>IF(L310="","",L310)</f>
        <v/>
      </c>
      <c r="BD23" s="738" t="s">
        <v>2048</v>
      </c>
      <c r="BE23" s="734" t="str">
        <f t="shared" si="1"/>
        <v/>
      </c>
      <c r="BF23" s="737" t="str">
        <f>IF(N310="","",N310)</f>
        <v/>
      </c>
      <c r="BG23" s="739" t="s">
        <v>2049</v>
      </c>
      <c r="BH23" s="734" t="str">
        <f t="shared" si="2"/>
        <v/>
      </c>
      <c r="BI23" s="737" t="str">
        <f>IF(M310="","",M310)</f>
        <v/>
      </c>
      <c r="BL23" s="2432" t="s">
        <v>1575</v>
      </c>
      <c r="BM23" s="2436"/>
      <c r="BN23" s="2428"/>
      <c r="BO23" s="2439"/>
      <c r="CD23" s="38" t="s">
        <v>2075</v>
      </c>
      <c r="CG23" s="7" t="s">
        <v>2076</v>
      </c>
      <c r="CH23" s="7"/>
      <c r="CI23" s="7"/>
      <c r="CJ23" s="2587" t="s">
        <v>2108</v>
      </c>
      <c r="CK23" s="2474" t="b">
        <v>0</v>
      </c>
    </row>
    <row r="24" spans="3:89" ht="40" customHeight="1">
      <c r="C24" s="49"/>
      <c r="D24" s="49"/>
      <c r="E24" s="49"/>
      <c r="F24" s="49"/>
      <c r="G24" s="49"/>
      <c r="H24" s="49"/>
      <c r="I24" s="49"/>
      <c r="J24" s="49"/>
      <c r="K24" s="49"/>
      <c r="L24" s="49"/>
      <c r="M24" s="49"/>
      <c r="N24" s="49"/>
      <c r="X24" s="1717" t="s">
        <v>2109</v>
      </c>
      <c r="AS24" s="2" t="str">
        <f>D317</f>
        <v>Impose sa présence (appel, texto)</v>
      </c>
      <c r="AT24">
        <f>AD334</f>
        <v>0</v>
      </c>
      <c r="AU24">
        <f>AE334</f>
        <v>0</v>
      </c>
      <c r="AV24">
        <f>AF334</f>
        <v>0</v>
      </c>
      <c r="AX24" s="5">
        <v>15</v>
      </c>
      <c r="AY24" s="737" t="str">
        <f>D317</f>
        <v>Impose sa présence (appel, texto)</v>
      </c>
      <c r="AZ24" s="2137">
        <f>H329</f>
        <v>14</v>
      </c>
      <c r="BA24" s="736" t="s">
        <v>2047</v>
      </c>
      <c r="BB24" s="734" t="str">
        <f t="shared" si="0"/>
        <v/>
      </c>
      <c r="BC24" s="737" t="str">
        <f>IF(L329="","",L329)</f>
        <v/>
      </c>
      <c r="BD24" s="738" t="s">
        <v>2048</v>
      </c>
      <c r="BE24" s="734" t="str">
        <f t="shared" si="1"/>
        <v/>
      </c>
      <c r="BF24" s="737" t="str">
        <f>IF(N329="","",N329)</f>
        <v/>
      </c>
      <c r="BG24" s="739" t="s">
        <v>2049</v>
      </c>
      <c r="BH24" s="734" t="str">
        <f t="shared" si="2"/>
        <v/>
      </c>
      <c r="BI24" s="737" t="str">
        <f>IF(M329="","",M329)</f>
        <v/>
      </c>
      <c r="BL24" s="2432" t="s">
        <v>2110</v>
      </c>
      <c r="BM24" s="2436"/>
      <c r="BN24" s="2428"/>
      <c r="BO24" s="2439"/>
      <c r="CA24" s="15"/>
      <c r="CD24" s="38" t="s">
        <v>2071</v>
      </c>
      <c r="CG24" s="2590" t="s">
        <v>2082</v>
      </c>
      <c r="CH24" s="2468"/>
      <c r="CI24" s="2468"/>
      <c r="CJ24" s="2468"/>
      <c r="CK24" s="2468"/>
    </row>
    <row r="25" spans="3:89" ht="40" customHeight="1">
      <c r="C25" s="49"/>
      <c r="D25" s="49"/>
      <c r="E25" s="49"/>
      <c r="F25" s="49"/>
      <c r="G25" s="49"/>
      <c r="H25" s="49"/>
      <c r="I25" s="49"/>
      <c r="J25" s="49"/>
      <c r="K25" s="49"/>
      <c r="L25" s="49"/>
      <c r="M25" s="49"/>
      <c r="N25" s="49"/>
      <c r="X25" s="49" t="s">
        <v>2111</v>
      </c>
      <c r="AS25" s="2" t="str">
        <f>D336</f>
        <v>Contrôle des communications</v>
      </c>
      <c r="AT25">
        <f>AD353</f>
        <v>0</v>
      </c>
      <c r="AU25">
        <f>AE353</f>
        <v>0</v>
      </c>
      <c r="AV25">
        <f>AF353</f>
        <v>0</v>
      </c>
      <c r="AX25" s="5">
        <v>16</v>
      </c>
      <c r="AY25" s="737" t="str">
        <f>D336</f>
        <v>Contrôle des communications</v>
      </c>
      <c r="AZ25" s="2137">
        <f>H348</f>
        <v>14</v>
      </c>
      <c r="BA25" s="736" t="s">
        <v>2047</v>
      </c>
      <c r="BB25" s="734" t="str">
        <f t="shared" si="0"/>
        <v/>
      </c>
      <c r="BC25" s="737" t="str">
        <f>IF(L348="","",L348)</f>
        <v/>
      </c>
      <c r="BD25" s="738" t="s">
        <v>2048</v>
      </c>
      <c r="BE25" s="734" t="str">
        <f t="shared" si="1"/>
        <v/>
      </c>
      <c r="BF25" s="737" t="str">
        <f>IF(N348="","",N348)</f>
        <v/>
      </c>
      <c r="BG25" s="739" t="s">
        <v>2049</v>
      </c>
      <c r="BH25" s="734" t="str">
        <f t="shared" si="2"/>
        <v/>
      </c>
      <c r="BI25" s="737" t="str">
        <f>IF(M348="","",M348)</f>
        <v/>
      </c>
      <c r="BL25" s="2432" t="s">
        <v>2112</v>
      </c>
      <c r="BM25" s="2436"/>
      <c r="BN25" s="2428"/>
      <c r="BO25" s="2439"/>
      <c r="CA25" s="32"/>
      <c r="CD25" s="68" t="s">
        <v>2063</v>
      </c>
      <c r="CG25" s="7" t="s">
        <v>2104</v>
      </c>
      <c r="CJ25" s="2586" t="s">
        <v>2105</v>
      </c>
      <c r="CK25" s="2474" t="b">
        <v>0</v>
      </c>
    </row>
    <row r="26" spans="3:89" ht="35" customHeight="1" thickBot="1">
      <c r="C26" s="49"/>
      <c r="D26" s="49"/>
      <c r="E26" s="49"/>
      <c r="F26" s="49"/>
      <c r="G26" s="49"/>
      <c r="H26" s="49"/>
      <c r="I26" s="49"/>
      <c r="J26" s="49"/>
      <c r="K26" s="49"/>
      <c r="L26" s="49"/>
      <c r="M26" s="49"/>
      <c r="N26" s="49"/>
      <c r="AB26" s="2" t="s">
        <v>2069</v>
      </c>
      <c r="AG26" s="1" t="s">
        <v>1992</v>
      </c>
      <c r="AH26" s="1" t="s">
        <v>1993</v>
      </c>
      <c r="AI26" s="1" t="s">
        <v>1994</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8</v>
      </c>
      <c r="BA26" s="736" t="s">
        <v>2047</v>
      </c>
      <c r="BB26" s="734" t="str">
        <f t="shared" si="0"/>
        <v/>
      </c>
      <c r="BC26" s="737" t="str">
        <f>IF(L367="","",L367)</f>
        <v/>
      </c>
      <c r="BD26" s="738" t="s">
        <v>2048</v>
      </c>
      <c r="BE26" s="734" t="str">
        <f t="shared" si="1"/>
        <v/>
      </c>
      <c r="BF26" s="737" t="str">
        <f>IF(N367="","",N367)</f>
        <v/>
      </c>
      <c r="BG26" s="739" t="s">
        <v>2049</v>
      </c>
      <c r="BH26" s="734" t="str">
        <f t="shared" si="2"/>
        <v/>
      </c>
      <c r="BI26" s="737" t="str">
        <f>IF(M367="","",M367)</f>
        <v/>
      </c>
      <c r="BL26" s="2432" t="s">
        <v>2113</v>
      </c>
      <c r="BM26" s="2436"/>
      <c r="BN26" s="2428"/>
      <c r="BO26" s="2329"/>
      <c r="CA26" s="32"/>
      <c r="CD26" s="68"/>
      <c r="CG26" s="7"/>
      <c r="CJ26" s="2468"/>
      <c r="CK26" s="2468"/>
    </row>
    <row r="27" spans="3:89">
      <c r="C27" s="49"/>
      <c r="D27" s="49"/>
      <c r="E27" s="49"/>
      <c r="F27" s="49"/>
      <c r="G27" s="49"/>
      <c r="H27" s="49"/>
      <c r="I27" s="49"/>
      <c r="J27" s="49"/>
      <c r="K27" s="49"/>
      <c r="L27" s="49"/>
      <c r="M27" s="49"/>
      <c r="N27" s="49"/>
      <c r="X27" s="1732"/>
      <c r="Y27" s="620"/>
      <c r="Z27" s="1733" t="s">
        <v>1541</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112</v>
      </c>
      <c r="AK27" s="1774">
        <f t="shared" si="11"/>
        <v>230</v>
      </c>
      <c r="AL27" s="1775">
        <f t="shared" si="11"/>
        <v>27</v>
      </c>
      <c r="AM27" s="1775">
        <f t="shared" si="11"/>
        <v>90</v>
      </c>
      <c r="AN27" s="1776">
        <f t="shared" si="11"/>
        <v>68</v>
      </c>
      <c r="AO27" s="1777">
        <f t="shared" si="11"/>
        <v>131</v>
      </c>
      <c r="AR27" s="3"/>
      <c r="AS27" s="2" t="str">
        <f>D374</f>
        <v>Sujet personnel|intime partagé à l'enfant</v>
      </c>
      <c r="AT27">
        <f>AD391</f>
        <v>0</v>
      </c>
      <c r="AU27">
        <f>AE391</f>
        <v>0</v>
      </c>
      <c r="AV27">
        <f>AF391</f>
        <v>0</v>
      </c>
      <c r="AX27" s="5">
        <v>18</v>
      </c>
      <c r="AY27" s="737" t="str">
        <f>D374</f>
        <v>Sujet personnel|intime partagé à l'enfant</v>
      </c>
      <c r="AZ27" s="2137">
        <f>H386</f>
        <v>4</v>
      </c>
      <c r="BA27" s="736" t="s">
        <v>2047</v>
      </c>
      <c r="BB27" s="734" t="str">
        <f t="shared" si="0"/>
        <v/>
      </c>
      <c r="BC27" s="737" t="str">
        <f>IF(L386="","",L386)</f>
        <v/>
      </c>
      <c r="BD27" s="738" t="s">
        <v>2048</v>
      </c>
      <c r="BE27" s="734" t="str">
        <f t="shared" si="1"/>
        <v/>
      </c>
      <c r="BF27" s="737" t="str">
        <f>IF(N386="","",N386)</f>
        <v/>
      </c>
      <c r="BG27" s="739" t="s">
        <v>2049</v>
      </c>
      <c r="BH27" s="734" t="str">
        <f t="shared" si="2"/>
        <v/>
      </c>
      <c r="BI27" s="737" t="str">
        <f>IF(M386="","",M386)</f>
        <v/>
      </c>
      <c r="BL27" s="2432" t="s">
        <v>2114</v>
      </c>
      <c r="BM27" s="2436"/>
      <c r="BN27" s="2428"/>
      <c r="BO27" s="2439"/>
      <c r="CA27" s="32"/>
      <c r="CD27" s="68"/>
      <c r="CG27" s="7"/>
      <c r="CJ27" s="2468"/>
      <c r="CK27" s="2468"/>
    </row>
    <row r="28" spans="3:89" ht="35" customHeight="1" thickBot="1">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125</v>
      </c>
      <c r="AK28" s="1782">
        <f t="shared" si="12"/>
        <v>270</v>
      </c>
      <c r="AL28" s="1783">
        <f t="shared" si="12"/>
        <v>63</v>
      </c>
      <c r="AM28" s="1783">
        <f t="shared" si="12"/>
        <v>148</v>
      </c>
      <c r="AN28" s="1784">
        <f t="shared" si="12"/>
        <v>94</v>
      </c>
      <c r="AO28" s="1785">
        <f t="shared" si="12"/>
        <v>204</v>
      </c>
      <c r="AS28" s="2" t="str">
        <f>D393</f>
        <v>Fait lire les communications à l'enfant</v>
      </c>
      <c r="AT28">
        <f>AD411</f>
        <v>0</v>
      </c>
      <c r="AU28">
        <f>AE411</f>
        <v>0</v>
      </c>
      <c r="AV28">
        <f>AF411</f>
        <v>0</v>
      </c>
      <c r="AX28" s="5">
        <v>19</v>
      </c>
      <c r="AY28" s="737" t="str">
        <f>D393</f>
        <v>Fait lire les communications à l'enfant</v>
      </c>
      <c r="AZ28" s="2137">
        <f>H406</f>
        <v>8</v>
      </c>
      <c r="BA28" s="736" t="s">
        <v>2047</v>
      </c>
      <c r="BB28" s="734" t="str">
        <f t="shared" si="0"/>
        <v/>
      </c>
      <c r="BC28" s="737" t="str">
        <f>IF(L406="","",L406)</f>
        <v/>
      </c>
      <c r="BD28" s="738" t="s">
        <v>2048</v>
      </c>
      <c r="BE28" s="734" t="str">
        <f t="shared" si="1"/>
        <v/>
      </c>
      <c r="BF28" s="737" t="str">
        <f>IF(N406="","",N406)</f>
        <v/>
      </c>
      <c r="BG28" s="739" t="s">
        <v>2049</v>
      </c>
      <c r="BH28" s="734" t="str">
        <f t="shared" si="2"/>
        <v/>
      </c>
      <c r="BI28" s="737" t="str">
        <f>IF(M406="","",M406)</f>
        <v/>
      </c>
      <c r="BL28" s="2432" t="s">
        <v>1573</v>
      </c>
      <c r="BM28" s="2436"/>
      <c r="BN28" s="2428"/>
      <c r="BO28" s="2439"/>
      <c r="CA28" s="32"/>
      <c r="CD28" s="68"/>
      <c r="CG28" s="7"/>
      <c r="CJ28" s="2468"/>
      <c r="CK28" s="2468"/>
    </row>
    <row r="29" spans="3:89" ht="40"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7">
        <f>H426</f>
        <v>12</v>
      </c>
      <c r="BA29" s="736" t="s">
        <v>2047</v>
      </c>
      <c r="BB29" s="734" t="str">
        <f t="shared" si="0"/>
        <v/>
      </c>
      <c r="BC29" s="737" t="str">
        <f>IF(L426="","",L426)</f>
        <v/>
      </c>
      <c r="BD29" s="738" t="s">
        <v>2048</v>
      </c>
      <c r="BE29" s="734" t="str">
        <f t="shared" si="1"/>
        <v/>
      </c>
      <c r="BF29" s="737" t="str">
        <f>IF(N426="","",N426)</f>
        <v/>
      </c>
      <c r="BG29" s="739" t="s">
        <v>2049</v>
      </c>
      <c r="BH29" s="734" t="str">
        <f t="shared" si="2"/>
        <v/>
      </c>
      <c r="BI29" s="737" t="str">
        <f>IF(M426="","",M426)</f>
        <v/>
      </c>
      <c r="BL29" s="2432" t="s">
        <v>2115</v>
      </c>
      <c r="BM29" s="2437"/>
      <c r="BN29" s="2428"/>
      <c r="BO29" s="2439"/>
      <c r="CA29" s="32"/>
      <c r="CD29" s="68"/>
      <c r="CG29" s="7"/>
      <c r="CJ29" s="2468"/>
      <c r="CK29" s="2468"/>
    </row>
    <row r="30" spans="3:89" ht="34" customHeight="1">
      <c r="C30" s="49"/>
      <c r="D30" s="49"/>
      <c r="E30" s="49"/>
      <c r="F30" s="49"/>
      <c r="G30" s="49"/>
      <c r="H30" s="49"/>
      <c r="I30" s="49"/>
      <c r="J30" s="49"/>
      <c r="K30" s="49"/>
      <c r="L30" s="49"/>
      <c r="M30" s="49"/>
      <c r="N30" s="49"/>
      <c r="X30" s="36" t="s">
        <v>2116</v>
      </c>
      <c r="AG30" s="589" t="s">
        <v>2</v>
      </c>
      <c r="AH30" s="3" t="s">
        <v>1551</v>
      </c>
      <c r="AI30" s="3"/>
      <c r="AJ30" s="3"/>
      <c r="AK30" s="3"/>
      <c r="AL30" s="3"/>
      <c r="AS30" s="2" t="str">
        <f>D433</f>
        <v>Liberté du choix de l'enfant</v>
      </c>
      <c r="AT30">
        <f>AD450</f>
        <v>0</v>
      </c>
      <c r="AU30">
        <f>AE450</f>
        <v>0</v>
      </c>
      <c r="AV30">
        <f>AF450</f>
        <v>0</v>
      </c>
      <c r="AX30" s="5">
        <v>21</v>
      </c>
      <c r="AY30" s="737" t="str">
        <f>D433</f>
        <v>Liberté du choix de l'enfant</v>
      </c>
      <c r="AZ30" s="2137">
        <f>H445</f>
        <v>6</v>
      </c>
      <c r="BA30" s="736" t="s">
        <v>2047</v>
      </c>
      <c r="BB30" s="734" t="str">
        <f t="shared" si="0"/>
        <v/>
      </c>
      <c r="BC30" s="737" t="str">
        <f>IF(L445="","",L445)</f>
        <v/>
      </c>
      <c r="BD30" s="738" t="s">
        <v>2048</v>
      </c>
      <c r="BE30" s="734" t="str">
        <f t="shared" si="1"/>
        <v/>
      </c>
      <c r="BF30" s="737" t="str">
        <f>IF(N445="","",N445)</f>
        <v/>
      </c>
      <c r="BG30" s="739" t="s">
        <v>2049</v>
      </c>
      <c r="BH30" s="734" t="str">
        <f t="shared" si="2"/>
        <v/>
      </c>
      <c r="BI30" s="737" t="str">
        <f>IF(M445="","",M445)</f>
        <v/>
      </c>
      <c r="BL30" s="2432" t="s">
        <v>2117</v>
      </c>
      <c r="BM30" s="2436"/>
      <c r="BN30" s="2428"/>
      <c r="BO30" s="2329"/>
      <c r="CA30" s="75"/>
      <c r="CD30" s="69" t="s">
        <v>2089</v>
      </c>
      <c r="CG30" s="7" t="s">
        <v>2076</v>
      </c>
      <c r="CJ30" s="2468"/>
      <c r="CK30" s="2468"/>
    </row>
    <row r="31" spans="3:89" ht="85" customHeight="1">
      <c r="C31" s="49"/>
      <c r="D31" s="49"/>
      <c r="E31" s="49"/>
      <c r="F31" s="49"/>
      <c r="G31" s="49"/>
      <c r="H31" s="49"/>
      <c r="I31" s="49"/>
      <c r="J31" s="49"/>
      <c r="K31" s="49"/>
      <c r="L31" s="49"/>
      <c r="M31" s="49"/>
      <c r="N31" s="49"/>
      <c r="X31" s="36"/>
      <c r="AG31" s="589"/>
      <c r="AH31" s="700" t="s">
        <v>1511</v>
      </c>
      <c r="AI31" s="700" t="s">
        <v>1512</v>
      </c>
      <c r="AL31" s="5" t="s">
        <v>1313</v>
      </c>
      <c r="AS31" s="2" t="str">
        <f>D452</f>
        <v>Maturité de l'enfant de choisir</v>
      </c>
      <c r="AT31">
        <f>AD469</f>
        <v>0</v>
      </c>
      <c r="AU31">
        <f>AE469</f>
        <v>0</v>
      </c>
      <c r="AV31">
        <f>AF469</f>
        <v>0</v>
      </c>
      <c r="AX31" s="5">
        <v>22</v>
      </c>
      <c r="AY31" s="737" t="str">
        <f>D452</f>
        <v>Maturité de l'enfant de choisir</v>
      </c>
      <c r="AZ31" s="2137">
        <f>H464</f>
        <v>4</v>
      </c>
      <c r="BA31" s="736" t="s">
        <v>2047</v>
      </c>
      <c r="BB31" s="734" t="str">
        <f t="shared" si="0"/>
        <v/>
      </c>
      <c r="BC31" s="737" t="str">
        <f>IF(L464="","",L464)</f>
        <v/>
      </c>
      <c r="BD31" s="738" t="s">
        <v>2048</v>
      </c>
      <c r="BE31" s="734" t="str">
        <f t="shared" si="1"/>
        <v/>
      </c>
      <c r="BF31" s="737" t="str">
        <f>IF(N464="","",N464)</f>
        <v/>
      </c>
      <c r="BG31" s="739" t="s">
        <v>2049</v>
      </c>
      <c r="BH31" s="734" t="str">
        <f t="shared" si="2"/>
        <v/>
      </c>
      <c r="BI31" s="737" t="str">
        <f>IF(M464="","",M464)</f>
        <v/>
      </c>
      <c r="BL31" s="2432" t="s">
        <v>2118</v>
      </c>
      <c r="BM31" s="2436"/>
      <c r="BN31" s="2428"/>
      <c r="BO31" s="2329" t="s">
        <v>2119</v>
      </c>
      <c r="CA31" s="75"/>
      <c r="CD31" s="69"/>
      <c r="CG31" s="7"/>
      <c r="CJ31" s="698"/>
      <c r="CK31" s="8"/>
    </row>
    <row r="32" spans="3:89" ht="40"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7">
        <f>H483</f>
        <v>6</v>
      </c>
      <c r="BA32" s="736" t="s">
        <v>2047</v>
      </c>
      <c r="BB32" s="734" t="str">
        <f t="shared" si="0"/>
        <v/>
      </c>
      <c r="BC32" s="737" t="str">
        <f>IF(L483="","",L483)</f>
        <v/>
      </c>
      <c r="BD32" s="738" t="s">
        <v>2048</v>
      </c>
      <c r="BE32" s="734" t="str">
        <f t="shared" si="1"/>
        <v/>
      </c>
      <c r="BF32" s="737" t="str">
        <f>IF(N483="","",N483)</f>
        <v/>
      </c>
      <c r="BG32" s="739" t="s">
        <v>2049</v>
      </c>
      <c r="BH32" s="734" t="str">
        <f t="shared" si="2"/>
        <v/>
      </c>
      <c r="BI32" s="737" t="str">
        <f>IF(M483="","",M483)</f>
        <v/>
      </c>
      <c r="BL32" s="2432" t="s">
        <v>2120</v>
      </c>
      <c r="BM32" s="2436"/>
      <c r="BN32" s="2428"/>
      <c r="BO32" s="2329"/>
      <c r="CA32" s="75"/>
      <c r="CD32" s="69"/>
      <c r="CG32" s="7"/>
      <c r="CJ32" s="698"/>
      <c r="CK32" s="8"/>
    </row>
    <row r="33" spans="1:105" ht="34" customHeight="1">
      <c r="C33" s="49"/>
      <c r="D33" s="49"/>
      <c r="E33" s="49"/>
      <c r="F33" s="49"/>
      <c r="G33" s="49"/>
      <c r="H33" s="49"/>
      <c r="I33" s="49"/>
      <c r="J33" s="49"/>
      <c r="K33" s="49"/>
      <c r="L33" s="49"/>
      <c r="M33" s="49"/>
      <c r="N33" s="49"/>
      <c r="X33" s="36"/>
      <c r="AG33" s="1672"/>
      <c r="AH33" s="700" t="s">
        <v>1517</v>
      </c>
      <c r="AI33" s="700" t="s">
        <v>1518</v>
      </c>
      <c r="AJ33" s="5" t="s">
        <v>1519</v>
      </c>
      <c r="AK33" s="5" t="s">
        <v>1520</v>
      </c>
      <c r="AL33" s="90"/>
      <c r="AS33" s="2" t="str">
        <f>D490</f>
        <v>Demande / force l'enfant à choisir</v>
      </c>
      <c r="AT33">
        <f>AD507</f>
        <v>0</v>
      </c>
      <c r="AU33">
        <f>AE507</f>
        <v>0</v>
      </c>
      <c r="AV33">
        <f>AF507</f>
        <v>0</v>
      </c>
      <c r="AX33" s="5">
        <v>24</v>
      </c>
      <c r="AY33" s="737" t="str">
        <f>D490</f>
        <v>Demande / force l'enfant à choisir</v>
      </c>
      <c r="AZ33" s="2137">
        <f>H502</f>
        <v>12</v>
      </c>
      <c r="BA33" s="736" t="s">
        <v>2047</v>
      </c>
      <c r="BB33" s="734" t="str">
        <f t="shared" si="0"/>
        <v/>
      </c>
      <c r="BC33" s="737" t="str">
        <f>IF(L502="","",L502)</f>
        <v/>
      </c>
      <c r="BD33" s="738" t="s">
        <v>2048</v>
      </c>
      <c r="BE33" s="734" t="str">
        <f t="shared" si="1"/>
        <v/>
      </c>
      <c r="BF33" s="737" t="str">
        <f>IF(N502="","",N502)</f>
        <v/>
      </c>
      <c r="BG33" s="739" t="s">
        <v>2049</v>
      </c>
      <c r="BH33" s="734" t="str">
        <f t="shared" si="2"/>
        <v/>
      </c>
      <c r="BI33" s="737" t="str">
        <f>IF(M502="","",M502)</f>
        <v/>
      </c>
      <c r="BL33" s="2432" t="s">
        <v>2121</v>
      </c>
      <c r="BM33" s="2436"/>
      <c r="BN33" s="2428"/>
      <c r="BO33" s="2439"/>
      <c r="CA33" s="75"/>
      <c r="CD33" s="69"/>
      <c r="CG33" s="7"/>
      <c r="CJ33" s="698"/>
      <c r="CK33" s="8"/>
    </row>
    <row r="34" spans="1:105" ht="34" customHeight="1">
      <c r="C34" s="49"/>
      <c r="D34" s="49"/>
      <c r="E34" s="49"/>
      <c r="F34" s="49"/>
      <c r="G34" s="49"/>
      <c r="H34" s="49"/>
      <c r="I34" s="49"/>
      <c r="J34" s="49"/>
      <c r="K34" s="49"/>
      <c r="L34" s="49"/>
      <c r="M34" s="49"/>
      <c r="N34" s="49"/>
      <c r="X34" s="36"/>
      <c r="AG34" s="1672">
        <f>AG17</f>
        <v>0</v>
      </c>
      <c r="AH34" s="90">
        <v>0</v>
      </c>
      <c r="AI34" s="90">
        <f>AJ17</f>
        <v>26</v>
      </c>
      <c r="AJ34" s="90">
        <f>AI34+((AL34-AI34)*(AI32))</f>
        <v>32</v>
      </c>
      <c r="AK34" s="90">
        <f>AJ34+((AL34-AJ34)*(AJ32))</f>
        <v>38.840000000000003</v>
      </c>
      <c r="AL34" s="90">
        <f>AK17</f>
        <v>50</v>
      </c>
      <c r="AS34" s="2" t="str">
        <f>D509</f>
        <v>Transport d'objets d'un domicile à l'autre</v>
      </c>
      <c r="AT34">
        <f>AD526</f>
        <v>0</v>
      </c>
      <c r="AU34">
        <f>AE526</f>
        <v>0</v>
      </c>
      <c r="AV34">
        <f>AF526</f>
        <v>0</v>
      </c>
      <c r="AX34" s="5">
        <v>25</v>
      </c>
      <c r="AY34" s="737" t="str">
        <f>D509</f>
        <v>Transport d'objets d'un domicile à l'autre</v>
      </c>
      <c r="AZ34" s="2137">
        <f>H521</f>
        <v>14</v>
      </c>
      <c r="BA34" s="736" t="s">
        <v>2047</v>
      </c>
      <c r="BB34" s="734" t="str">
        <f t="shared" si="0"/>
        <v/>
      </c>
      <c r="BC34" s="737" t="str">
        <f>IF(L521="","",L521)</f>
        <v/>
      </c>
      <c r="BD34" s="738" t="s">
        <v>2048</v>
      </c>
      <c r="BE34" s="734" t="str">
        <f t="shared" si="1"/>
        <v/>
      </c>
      <c r="BF34" s="737" t="str">
        <f>IF(N521="","",N521)</f>
        <v/>
      </c>
      <c r="BG34" s="739" t="s">
        <v>2049</v>
      </c>
      <c r="BH34" s="734" t="str">
        <f t="shared" si="2"/>
        <v/>
      </c>
      <c r="BI34" s="737" t="str">
        <f>IF(M521="","",M521)</f>
        <v/>
      </c>
      <c r="BL34" s="2432" t="s">
        <v>1569</v>
      </c>
      <c r="BM34" s="2436"/>
      <c r="BN34" s="2428"/>
      <c r="BO34" s="2439"/>
      <c r="CA34" s="75"/>
      <c r="CD34" s="38" t="s">
        <v>2075</v>
      </c>
      <c r="CG34" s="7" t="s">
        <v>2076</v>
      </c>
      <c r="CJ34" s="2587" t="s">
        <v>2122</v>
      </c>
      <c r="CK34" s="2474" t="b">
        <v>0</v>
      </c>
      <c r="CY34" s="36" t="s">
        <v>2123</v>
      </c>
    </row>
    <row r="35" spans="1:105" ht="51"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7">
        <f>H541</f>
        <v>8</v>
      </c>
      <c r="BA35" s="736" t="s">
        <v>2047</v>
      </c>
      <c r="BB35" s="734" t="str">
        <f t="shared" si="0"/>
        <v/>
      </c>
      <c r="BC35" s="737" t="str">
        <f>IF(L541="","",L541)</f>
        <v/>
      </c>
      <c r="BD35" s="738" t="s">
        <v>2048</v>
      </c>
      <c r="BE35" s="734" t="str">
        <f t="shared" si="1"/>
        <v/>
      </c>
      <c r="BF35" s="737" t="str">
        <f>IF(N541="","",N541)</f>
        <v/>
      </c>
      <c r="BG35" s="739" t="s">
        <v>2049</v>
      </c>
      <c r="BH35" s="734" t="str">
        <f t="shared" si="2"/>
        <v/>
      </c>
      <c r="BI35" s="737" t="str">
        <f>IF(M541="","",M541)</f>
        <v/>
      </c>
      <c r="BL35" s="2432" t="s">
        <v>2124</v>
      </c>
      <c r="BM35" s="2436"/>
      <c r="BN35" s="2428"/>
      <c r="BO35" s="2439"/>
      <c r="CA35" s="6"/>
      <c r="CD35" s="38" t="s">
        <v>2089</v>
      </c>
      <c r="CG35" s="7" t="s">
        <v>2076</v>
      </c>
      <c r="CJ35" s="2468"/>
      <c r="CK35" s="2468"/>
    </row>
    <row r="36" spans="1:105" ht="51" customHeight="1">
      <c r="C36" s="49"/>
      <c r="D36" s="49"/>
      <c r="E36" s="49"/>
      <c r="F36" s="49"/>
      <c r="G36" s="49"/>
      <c r="H36" s="49"/>
      <c r="I36" s="49"/>
      <c r="J36" s="49"/>
      <c r="K36" s="49"/>
      <c r="L36" s="49"/>
      <c r="M36" s="49"/>
      <c r="N36" s="49"/>
      <c r="X36" s="36" t="s">
        <v>2125</v>
      </c>
      <c r="AG36" s="589" t="s">
        <v>2</v>
      </c>
      <c r="AH36" s="3" t="s">
        <v>1551</v>
      </c>
      <c r="AI36" s="3"/>
      <c r="AJ36" s="3"/>
      <c r="AK36" s="3"/>
      <c r="AL36" s="1"/>
      <c r="AS36" s="2" t="e">
        <f>D551</f>
        <v>#REF!</v>
      </c>
      <c r="AT36">
        <f>AD568</f>
        <v>0</v>
      </c>
      <c r="AU36">
        <f>AE568</f>
        <v>0</v>
      </c>
      <c r="AV36">
        <f>AF568</f>
        <v>0</v>
      </c>
      <c r="AX36" s="5">
        <v>27</v>
      </c>
      <c r="AY36" s="89" t="str">
        <f>D694</f>
        <v>Défenseur du parent</v>
      </c>
      <c r="AZ36" s="2138">
        <f>H706</f>
        <v>0</v>
      </c>
      <c r="BA36" s="87"/>
      <c r="BB36" s="438"/>
      <c r="BC36" s="737"/>
      <c r="BD36" s="738" t="s">
        <v>2048</v>
      </c>
      <c r="BE36" s="734" t="str">
        <f t="shared" si="1"/>
        <v/>
      </c>
      <c r="BF36" s="737" t="str">
        <f>IF(N706="","",N706)</f>
        <v/>
      </c>
      <c r="BG36" s="443"/>
      <c r="BH36" s="734"/>
      <c r="BI36" s="737"/>
      <c r="BL36" s="2432" t="s">
        <v>2124</v>
      </c>
      <c r="BM36" s="2436"/>
      <c r="BN36" s="2428"/>
      <c r="BO36" s="2329"/>
      <c r="CY36" t="s">
        <v>2126</v>
      </c>
      <c r="CZ36" t="s">
        <v>2127</v>
      </c>
      <c r="DA36" t="s">
        <v>2128</v>
      </c>
    </row>
    <row r="37" spans="1:105" ht="53" customHeight="1">
      <c r="C37" s="49"/>
      <c r="D37" s="49"/>
      <c r="E37" s="49"/>
      <c r="F37" s="49"/>
      <c r="G37" s="49"/>
      <c r="H37" s="49"/>
      <c r="I37" s="49"/>
      <c r="J37" s="49"/>
      <c r="K37" s="49"/>
      <c r="L37" s="49"/>
      <c r="M37" s="49"/>
      <c r="N37" s="49"/>
      <c r="X37" s="36"/>
      <c r="AG37" s="589"/>
      <c r="AH37" s="700" t="s">
        <v>1511</v>
      </c>
      <c r="AI37" s="700" t="s">
        <v>1512</v>
      </c>
      <c r="AL37" s="5" t="s">
        <v>1313</v>
      </c>
      <c r="AS37" s="2" t="e">
        <f>D571</f>
        <v>#REF!</v>
      </c>
      <c r="AT37">
        <f>AD588</f>
        <v>0</v>
      </c>
      <c r="AU37">
        <f>AE588</f>
        <v>0</v>
      </c>
      <c r="AV37">
        <f>AF588</f>
        <v>0</v>
      </c>
      <c r="AX37" s="5">
        <v>28</v>
      </c>
      <c r="AY37" s="89" t="str">
        <f>D713</f>
        <v>Manque d'ambivalence</v>
      </c>
      <c r="AZ37" s="2138">
        <f>H726</f>
        <v>21</v>
      </c>
      <c r="BA37" s="87"/>
      <c r="BB37" s="438"/>
      <c r="BC37" s="737"/>
      <c r="BD37" s="738" t="s">
        <v>2048</v>
      </c>
      <c r="BE37" s="734" t="str">
        <f t="shared" si="1"/>
        <v/>
      </c>
      <c r="BF37" s="737" t="str">
        <f>IF(N726="","",N726)</f>
        <v/>
      </c>
      <c r="BG37" s="443"/>
      <c r="BH37" s="734"/>
      <c r="BI37" s="737"/>
      <c r="BL37" s="2432" t="s">
        <v>2129</v>
      </c>
      <c r="BM37" s="2436"/>
      <c r="BN37" s="2428"/>
      <c r="BO37" s="2329"/>
      <c r="CZ37" t="s">
        <v>2130</v>
      </c>
    </row>
    <row r="38" spans="1:105" ht="51" customHeight="1">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0</v>
      </c>
      <c r="AX38" s="5">
        <v>29</v>
      </c>
      <c r="AY38" s="89" t="str">
        <f>D733</f>
        <v>Propos d'adulte</v>
      </c>
      <c r="AZ38" s="2138">
        <f>H745</f>
        <v>14</v>
      </c>
      <c r="BA38" s="87"/>
      <c r="BB38" s="438"/>
      <c r="BC38" s="737"/>
      <c r="BD38" s="738" t="s">
        <v>2048</v>
      </c>
      <c r="BE38" s="734" t="str">
        <f t="shared" si="1"/>
        <v/>
      </c>
      <c r="BF38" s="737" t="str">
        <f>IF(N745="","",N745)</f>
        <v/>
      </c>
      <c r="BG38" s="443"/>
      <c r="BH38" s="734"/>
      <c r="BI38" s="737"/>
      <c r="BL38" s="2432" t="s">
        <v>2131</v>
      </c>
      <c r="BM38" s="2436"/>
      <c r="BO38" s="2329"/>
      <c r="CY38" t="s">
        <v>2132</v>
      </c>
    </row>
    <row r="39" spans="1:105" ht="34" customHeight="1">
      <c r="C39" s="49"/>
      <c r="D39" s="49"/>
      <c r="E39" s="49"/>
      <c r="F39" s="49"/>
      <c r="G39" s="49"/>
      <c r="H39" s="49"/>
      <c r="I39" s="49"/>
      <c r="J39" s="49"/>
      <c r="K39" s="49"/>
      <c r="L39" s="49"/>
      <c r="M39" s="49"/>
      <c r="N39" s="49"/>
      <c r="AG39" s="1672"/>
      <c r="AH39" s="700" t="s">
        <v>1517</v>
      </c>
      <c r="AI39" s="700" t="s">
        <v>1518</v>
      </c>
      <c r="AJ39" s="5" t="s">
        <v>1519</v>
      </c>
      <c r="AK39" s="5" t="s">
        <v>1520</v>
      </c>
      <c r="AL39" s="90"/>
      <c r="AS39" s="2" t="e">
        <f>D611</f>
        <v>#REF!</v>
      </c>
      <c r="AT39">
        <f>AD628</f>
        <v>0</v>
      </c>
      <c r="AU39">
        <f>AE628</f>
        <v>0</v>
      </c>
      <c r="AV39">
        <f>AF628</f>
        <v>0</v>
      </c>
      <c r="AX39" s="5">
        <v>30</v>
      </c>
      <c r="AY39" s="89" t="str">
        <f>D752</f>
        <v>Changement des ses valeurs</v>
      </c>
      <c r="AZ39" s="2138">
        <f>H764</f>
        <v>21</v>
      </c>
      <c r="BA39" s="87"/>
      <c r="BB39" s="438"/>
      <c r="BC39" s="2193"/>
      <c r="BD39" s="2194" t="s">
        <v>2048</v>
      </c>
      <c r="BE39" s="442" t="str">
        <f t="shared" si="1"/>
        <v/>
      </c>
      <c r="BF39" s="2193" t="str">
        <f>IF(N764="","",N764)</f>
        <v/>
      </c>
      <c r="BG39" s="443"/>
      <c r="BH39" s="442"/>
      <c r="BI39" s="2193"/>
      <c r="BL39" s="2433" t="s">
        <v>2133</v>
      </c>
      <c r="BM39" s="2438"/>
      <c r="BO39" s="2329"/>
    </row>
    <row r="40" spans="1:105">
      <c r="C40" s="49"/>
      <c r="D40" s="49"/>
      <c r="E40" s="49"/>
      <c r="F40" s="49"/>
      <c r="G40" s="49"/>
      <c r="H40" s="49"/>
      <c r="I40" s="49"/>
      <c r="J40" s="49"/>
      <c r="K40" s="49"/>
      <c r="L40" s="49"/>
      <c r="M40" s="49"/>
      <c r="N40" s="49"/>
      <c r="AG40" s="1672">
        <f>'Modèle Calcul A-R + Sommaire'!BK46</f>
        <v>0</v>
      </c>
      <c r="AH40" s="90">
        <v>0</v>
      </c>
      <c r="AI40" s="90">
        <f>AJ15</f>
        <v>125</v>
      </c>
      <c r="AJ40" s="90">
        <f>AI40+((AL40-AI40)*(AI38))</f>
        <v>161.25</v>
      </c>
      <c r="AK40" s="90">
        <f>AJ40+((AL40-AJ40)*(AJ38))</f>
        <v>202.57499999999999</v>
      </c>
      <c r="AL40" s="90">
        <f>AK15</f>
        <v>270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2134</v>
      </c>
      <c r="BM40" s="2434"/>
    </row>
    <row r="41" spans="1:105" ht="136"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8">
        <f>AVERAGE(AZ10:AZ39)</f>
        <v>10.933333333333334</v>
      </c>
      <c r="AZ41" s="728"/>
      <c r="BA41" s="87"/>
      <c r="BB41" s="438"/>
      <c r="BC41" s="89"/>
      <c r="BD41" s="442"/>
      <c r="BE41" s="442"/>
      <c r="BF41" s="89"/>
      <c r="BG41" s="443"/>
      <c r="BH41" s="443"/>
      <c r="BI41" s="439"/>
      <c r="BL41" s="25" t="s">
        <v>2135</v>
      </c>
      <c r="BN41" s="25"/>
      <c r="BO41" s="2440"/>
      <c r="BP41" s="7"/>
      <c r="BQ41" s="7"/>
      <c r="BR41" s="7"/>
      <c r="BS41" s="7"/>
      <c r="BT41" s="7"/>
      <c r="BU41" s="7"/>
      <c r="BV41" s="7"/>
      <c r="BW41" s="7"/>
      <c r="BX41" s="7"/>
      <c r="BY41" s="7"/>
      <c r="BZ41" s="7"/>
      <c r="CY41" t="s">
        <v>2136</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525" t="s">
        <v>2137</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6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c r="A47" s="2468"/>
      <c r="C47" s="429" t="s">
        <v>2138</v>
      </c>
      <c r="F47" s="91"/>
      <c r="G47" s="1046"/>
      <c r="H47" s="91"/>
      <c r="AB47" s="9" t="s">
        <v>2139</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68"/>
      <c r="E48" s="85" t="s">
        <v>2140</v>
      </c>
      <c r="F48" s="1326"/>
      <c r="G48" s="1326"/>
      <c r="H48" s="1326"/>
      <c r="I48" s="2589" t="s">
        <v>2141</v>
      </c>
      <c r="J48" s="2552"/>
      <c r="K48" s="2555"/>
      <c r="L48" s="2582"/>
      <c r="M48" s="2552"/>
      <c r="N48" s="2552"/>
      <c r="O48" s="1333"/>
      <c r="P48" s="2584" t="s">
        <v>2142</v>
      </c>
      <c r="Q48" s="2552"/>
      <c r="R48" s="2555"/>
      <c r="S48" s="1380" t="s">
        <v>2143</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77" t="s">
        <v>1992</v>
      </c>
      <c r="J49" s="2468"/>
      <c r="K49" s="2468"/>
      <c r="L49" s="2581" t="s">
        <v>2144</v>
      </c>
      <c r="M49" s="2468"/>
      <c r="N49" s="2468"/>
      <c r="O49" s="2580"/>
      <c r="P49" s="2579" t="s">
        <v>1993</v>
      </c>
      <c r="Q49" s="2468"/>
      <c r="R49" s="2580"/>
      <c r="S49" s="2583" t="s">
        <v>1994</v>
      </c>
      <c r="T49" s="2468"/>
      <c r="U49" s="2580"/>
      <c r="V49" s="15"/>
      <c r="W49" s="809"/>
      <c r="X49" s="809"/>
      <c r="Y49" s="809"/>
      <c r="Z49" s="809"/>
      <c r="AA49" s="809"/>
      <c r="AB49" s="810"/>
      <c r="AD49" s="10"/>
      <c r="AE49" s="10"/>
      <c r="AF49" s="10"/>
      <c r="AG49" s="1372" t="s">
        <v>1992</v>
      </c>
      <c r="AH49" s="1372" t="s">
        <v>1993</v>
      </c>
      <c r="AI49" s="1372" t="s">
        <v>1994</v>
      </c>
      <c r="AJ49" s="2578" t="s">
        <v>1992</v>
      </c>
      <c r="AK49" s="2469"/>
      <c r="AL49" s="2578" t="s">
        <v>1993</v>
      </c>
      <c r="AM49" s="2469"/>
      <c r="AN49" s="2578" t="s">
        <v>1994</v>
      </c>
      <c r="AO49" s="2469"/>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c r="B50" s="1686"/>
      <c r="D50" s="79" t="s">
        <v>2145</v>
      </c>
      <c r="E50" s="827" t="s">
        <v>2146</v>
      </c>
      <c r="F50" s="26" t="s">
        <v>252</v>
      </c>
      <c r="G50" s="26" t="s">
        <v>235</v>
      </c>
      <c r="H50" s="26" t="s">
        <v>2147</v>
      </c>
      <c r="I50" s="1334" t="s">
        <v>2148</v>
      </c>
      <c r="J50" s="29" t="s">
        <v>2149</v>
      </c>
      <c r="K50" s="29" t="s">
        <v>2150</v>
      </c>
      <c r="L50" s="29" t="s">
        <v>2151</v>
      </c>
      <c r="M50" s="29" t="s">
        <v>2152</v>
      </c>
      <c r="N50" s="29" t="s">
        <v>2153</v>
      </c>
      <c r="O50" s="1335" t="s">
        <v>2154</v>
      </c>
      <c r="P50" s="1334" t="s">
        <v>2148</v>
      </c>
      <c r="Q50" s="29" t="s">
        <v>2149</v>
      </c>
      <c r="R50" s="1335" t="s">
        <v>2150</v>
      </c>
      <c r="S50" s="1334" t="s">
        <v>2148</v>
      </c>
      <c r="T50" s="29" t="s">
        <v>2149</v>
      </c>
      <c r="U50" s="1335" t="s">
        <v>2150</v>
      </c>
      <c r="V50" s="730"/>
      <c r="W50" s="819" t="s">
        <v>1992</v>
      </c>
      <c r="X50" s="820" t="s">
        <v>2155</v>
      </c>
      <c r="Y50" s="819" t="s">
        <v>1993</v>
      </c>
      <c r="Z50" s="820" t="s">
        <v>2156</v>
      </c>
      <c r="AA50" s="819" t="s">
        <v>1994</v>
      </c>
      <c r="AB50" s="820" t="s">
        <v>2157</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2158</v>
      </c>
      <c r="F51" s="703" t="str">
        <f>'Cpts AR +indép + Sommaire'!E8</f>
        <v>4</v>
      </c>
      <c r="G51" s="702">
        <f>'Cpts AR +indép + Sommaire'!F8</f>
        <v>2</v>
      </c>
      <c r="H51" s="703">
        <f>F51*G51</f>
        <v>8</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8</v>
      </c>
      <c r="AK51" s="1476">
        <f>IF(OR(J51=11,A51="F"),0,G51*J51)</f>
        <v>20</v>
      </c>
      <c r="AL51" s="1476">
        <f>IF(OR(P51=11,A51="F"),0,G51*P51)</f>
        <v>4</v>
      </c>
      <c r="AM51" s="1476">
        <f>IF(OR(Q51=11,A51="F"),0,G51*Q51)</f>
        <v>14</v>
      </c>
      <c r="AN51" s="1476">
        <f>IF(OR(S51=11,A51="F"),0,S51*G51)</f>
        <v>0</v>
      </c>
      <c r="AO51" s="1476">
        <f>IF(OR(T51=11,A51="F"),0,T51*G51)</f>
        <v>0</v>
      </c>
      <c r="AY51" s="728"/>
      <c r="AZ51" s="728"/>
      <c r="BA51" s="87"/>
      <c r="BB51" s="438"/>
      <c r="BC51" s="89"/>
      <c r="BD51" s="442"/>
      <c r="BE51" s="442"/>
      <c r="BF51" s="89"/>
      <c r="BG51" s="443"/>
      <c r="BH51" s="443"/>
      <c r="BI51" s="439"/>
    </row>
    <row r="52" spans="1:78" ht="19"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c r="B53" s="1686"/>
      <c r="C53" s="704" t="s">
        <v>2159</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8</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8</v>
      </c>
      <c r="AK53" s="1725">
        <f t="shared" si="13"/>
        <v>20</v>
      </c>
      <c r="AL53" s="1725">
        <f t="shared" si="13"/>
        <v>4</v>
      </c>
      <c r="AM53" s="1725">
        <f t="shared" si="13"/>
        <v>14</v>
      </c>
      <c r="AN53" s="1725">
        <f t="shared" si="13"/>
        <v>0</v>
      </c>
      <c r="AO53" s="1725">
        <f t="shared" si="13"/>
        <v>0</v>
      </c>
      <c r="AY53" s="728"/>
      <c r="AZ53" s="728"/>
      <c r="BA53" s="87"/>
      <c r="BB53" s="438"/>
      <c r="BC53" s="89"/>
      <c r="BD53" s="442"/>
      <c r="BE53" s="442"/>
      <c r="BF53" s="89"/>
      <c r="BG53" s="443"/>
      <c r="BH53" s="443"/>
      <c r="BI53" s="439"/>
    </row>
    <row r="54" spans="1:78" ht="19"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c r="B56" s="1686"/>
      <c r="C56" s="710" t="s">
        <v>2160</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c r="B57" s="1686"/>
      <c r="C57" s="716" t="s">
        <v>2161</v>
      </c>
      <c r="D57" s="717"/>
      <c r="E57" s="717" t="str">
        <f>IF(H57=H53,E53,E56)</f>
        <v>demande de garder des secrets | cacher des choses</v>
      </c>
      <c r="F57" s="718"/>
      <c r="G57" s="718"/>
      <c r="H57" s="718">
        <f>IF(AND($K53=TRUE,$K56=FALSE),H53,IF(AND($K53=FALSE,$K56=TRUE),H56,IF(AND($K53=TRUE,$K56=TRUE),H53+H56,MAX(H53,H56))))</f>
        <v>8</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8</v>
      </c>
      <c r="AK57" s="587">
        <f>IF(AND($K53=TRUE,$K56=FALSE),AK53,IF(AND($K53=FALSE,$K56=TRUE),AK56,IF(AND($K53=TRUE,$K56=TRUE),AK53+AK56,MAX(AK53,AK56))))</f>
        <v>20</v>
      </c>
      <c r="AL57" s="587">
        <f>IF(AND($R53=TRUE,$R56=FALSE),AL53,IF(AND($R53=FALSE,$R56=TRUE),AL56,IF(AND($R53=TRUE,$R56=TRUE),AL53+AL56,MAX(AL53,AL56))))</f>
        <v>4</v>
      </c>
      <c r="AM57" s="587">
        <f>IF(AND($R53=TRUE,$R56=FALSE),AM53,IF(AND($R53=FALSE,$R56=TRUE),AM56,IF(AND($R53=TRUE,$R56=TRUE),AM53+AM56,MAX(AM53,AM56))))</f>
        <v>14</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2162</v>
      </c>
      <c r="F58" s="703" t="str">
        <f>'Cpts AR +indép + Sommaire'!Q8</f>
        <v>2</v>
      </c>
      <c r="G58" s="703">
        <f>'Cpts AR +indép + Sommaire'!R8</f>
        <v>1</v>
      </c>
      <c r="H58" s="703">
        <f>F58*G58</f>
        <v>2</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c r="X58" s="814"/>
      <c r="Y58" s="813"/>
      <c r="Z58" s="814"/>
      <c r="AA58" s="813"/>
      <c r="AB58" s="814"/>
      <c r="AD58" s="10"/>
      <c r="AE58" s="10"/>
      <c r="AF58" s="10"/>
      <c r="AG58" s="824">
        <f>IF($K58=TRUE,H58,0)</f>
        <v>0</v>
      </c>
      <c r="AH58" s="824">
        <f>IF($R58=TRUE,H58,0)</f>
        <v>0</v>
      </c>
      <c r="AI58" s="824"/>
      <c r="AJ58" s="1476">
        <f>IF(OR(I58=11,A58="F"),0,G58*I58)</f>
        <v>4</v>
      </c>
      <c r="AK58" s="1476">
        <f>IF(OR(J58=11,A58="F"),0,G58*J58)</f>
        <v>10</v>
      </c>
      <c r="AL58" s="1476">
        <f>IF(OR(P58=11,A58="F"),0,G58*P58)</f>
        <v>2</v>
      </c>
      <c r="AM58" s="1476">
        <f>IF(OR(Q58=11,A58="F"),0,G58*Q58)</f>
        <v>7</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c r="A59" t="str">
        <f>IF(Test_Bible!B268="","F","O")</f>
        <v>O</v>
      </c>
      <c r="B59" s="1686" t="str">
        <f>'Cpts AR +indép + Sommaire'!S9</f>
        <v>A:Alliance</v>
      </c>
      <c r="C59" s="287" t="str">
        <f>'Cpts AR +indép + Sommaire'!O9</f>
        <v>E03a</v>
      </c>
      <c r="D59" s="692" t="str">
        <f>'Cpts AR +indép + Sommaire'!P9</f>
        <v>Votre enfant a reçu l’ordre de ne pas vous raconter ce qui se passe chez l’autre parent.</v>
      </c>
      <c r="E59" s="48" t="s">
        <v>2163</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8</v>
      </c>
      <c r="AK59" s="1476">
        <f>IF(OR(J59=11,A59="F"),0,G59*J59)</f>
        <v>20</v>
      </c>
      <c r="AL59" s="1476">
        <f>IF(OR(P59=11,A59="F"),0,G59*P59)</f>
        <v>4</v>
      </c>
      <c r="AM59" s="1476">
        <f>IF(OR(Q59=11,A59="F"),0,G59*Q59)</f>
        <v>14</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c r="B60" s="1686"/>
      <c r="C60" s="721" t="s">
        <v>2164</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2</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68" customHeight="1">
      <c r="B61" s="1686"/>
      <c r="D61" s="383" t="s">
        <v>2165</v>
      </c>
      <c r="E61" s="699"/>
      <c r="F61" s="435" t="s">
        <v>2166</v>
      </c>
      <c r="G61" s="33"/>
      <c r="H61" s="33">
        <f>IF(AND(K57=TRUE,K60=FALSE),H57,IF(AND(K57=FALSE,K60=TRUE),H60,IF(AND(K57=TRUE,K60=TRUE),H57+H60,MAX(H57,H60))))</f>
        <v>8</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1849</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c r="C65" s="1354"/>
      <c r="D65" s="1355"/>
      <c r="E65" s="1356"/>
      <c r="F65" s="435" t="s">
        <v>2166</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9" t="s">
        <v>2141</v>
      </c>
      <c r="J68" s="2552"/>
      <c r="K68" s="2555"/>
      <c r="L68" s="2582"/>
      <c r="M68" s="2552"/>
      <c r="N68" s="2552"/>
      <c r="O68" s="1333"/>
      <c r="P68" s="2584" t="s">
        <v>2142</v>
      </c>
      <c r="Q68" s="2552"/>
      <c r="R68" s="2555"/>
      <c r="S68" s="1380" t="s">
        <v>2143</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77" t="s">
        <v>1992</v>
      </c>
      <c r="J69" s="2468"/>
      <c r="K69" s="2468"/>
      <c r="L69" s="2581" t="s">
        <v>2144</v>
      </c>
      <c r="M69" s="2468"/>
      <c r="N69" s="2468"/>
      <c r="O69" s="2580"/>
      <c r="P69" s="2579" t="s">
        <v>1993</v>
      </c>
      <c r="Q69" s="2468"/>
      <c r="R69" s="2580"/>
      <c r="S69" s="2583" t="s">
        <v>1994</v>
      </c>
      <c r="T69" s="2468"/>
      <c r="U69" s="2580"/>
      <c r="V69" s="15"/>
      <c r="W69" s="809"/>
      <c r="X69" s="809"/>
      <c r="Y69" s="809"/>
      <c r="Z69" s="809"/>
      <c r="AA69" s="809"/>
      <c r="AB69" s="810"/>
      <c r="AD69" s="10"/>
      <c r="AE69" s="10"/>
      <c r="AF69" s="10"/>
      <c r="AG69" s="1372" t="s">
        <v>1992</v>
      </c>
      <c r="AH69" s="1372" t="s">
        <v>1993</v>
      </c>
      <c r="AI69" s="1372" t="s">
        <v>1994</v>
      </c>
      <c r="AJ69" s="2578" t="s">
        <v>1992</v>
      </c>
      <c r="AK69" s="2469"/>
      <c r="AL69" s="2578" t="s">
        <v>1993</v>
      </c>
      <c r="AM69" s="2469"/>
      <c r="AN69" s="2578" t="s">
        <v>1994</v>
      </c>
      <c r="AO69" s="2469"/>
      <c r="AY69" s="728"/>
      <c r="AZ69" s="728"/>
      <c r="BA69" s="87"/>
      <c r="BB69" s="438"/>
      <c r="BC69" s="89"/>
      <c r="BD69" s="442"/>
      <c r="BE69" s="442"/>
      <c r="BF69" s="89"/>
      <c r="BG69" s="443"/>
      <c r="BH69" s="443"/>
      <c r="BI69" s="439"/>
    </row>
    <row r="70" spans="1:78" ht="34" customHeight="1">
      <c r="B70" s="1686"/>
      <c r="D70" s="79" t="s">
        <v>2145</v>
      </c>
      <c r="E70" s="827" t="s">
        <v>2146</v>
      </c>
      <c r="F70" s="26" t="s">
        <v>252</v>
      </c>
      <c r="G70" s="26" t="s">
        <v>235</v>
      </c>
      <c r="H70" s="26" t="s">
        <v>2147</v>
      </c>
      <c r="I70" s="1334" t="s">
        <v>2148</v>
      </c>
      <c r="J70" s="29" t="s">
        <v>2149</v>
      </c>
      <c r="K70" s="29" t="s">
        <v>2150</v>
      </c>
      <c r="L70" s="29" t="s">
        <v>2151</v>
      </c>
      <c r="M70" s="29" t="s">
        <v>2152</v>
      </c>
      <c r="N70" s="29" t="s">
        <v>2153</v>
      </c>
      <c r="O70" s="1335" t="s">
        <v>2154</v>
      </c>
      <c r="P70" s="1334" t="s">
        <v>2148</v>
      </c>
      <c r="Q70" s="29" t="s">
        <v>2149</v>
      </c>
      <c r="R70" s="1335" t="s">
        <v>2150</v>
      </c>
      <c r="S70" s="1334" t="s">
        <v>2148</v>
      </c>
      <c r="T70" s="29" t="s">
        <v>2149</v>
      </c>
      <c r="U70" s="1335" t="s">
        <v>2150</v>
      </c>
      <c r="V70" s="730"/>
      <c r="W70" s="819" t="s">
        <v>1992</v>
      </c>
      <c r="X70" s="820" t="s">
        <v>2155</v>
      </c>
      <c r="Y70" s="819" t="s">
        <v>1993</v>
      </c>
      <c r="Z70" s="820" t="s">
        <v>2156</v>
      </c>
      <c r="AA70" s="819" t="s">
        <v>1994</v>
      </c>
      <c r="AB70" s="820" t="s">
        <v>2157</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2167</v>
      </c>
      <c r="F71" s="703" t="str">
        <f>'Cpts AR +indép + Sommaire'!E11</f>
        <v>2</v>
      </c>
      <c r="G71" s="703">
        <f>'Cpts AR +indép + Sommaire'!F11</f>
        <v>1</v>
      </c>
      <c r="H71" s="703">
        <f>F71*G71</f>
        <v>2</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c r="A72" t="str">
        <f>IF(Test_Bible!B172="","F","O")</f>
        <v>O</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2168</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8</v>
      </c>
      <c r="AK72" s="1476">
        <f>IF(OR(J72=11,A72="F"),0,G72*J72)</f>
        <v>20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c r="B73" s="1517"/>
      <c r="C73" s="704" t="s">
        <v>2159</v>
      </c>
      <c r="D73" s="705" t="str">
        <f>INDEX(D71:D72, MATCH(H73, H71:H72, 0), 1)</f>
        <v>L’autre parent laisse entendre à votre enfant que vous avez abandonné la famille.</v>
      </c>
      <c r="E73" s="706" t="str">
        <f>INDEX(E71:E72, MATCH(H73, H71:H72, 0), 1)</f>
        <v>laisse entendre que vous avez abandonné la famille</v>
      </c>
      <c r="F73" s="707"/>
      <c r="G73" s="707"/>
      <c r="H73" s="707">
        <f>IF(AND(K71=TRUE,K72=FALSE),H71,IF(AND(K71=FALSE,K72=TRUE),H72,MAX(H71,H72)))</f>
        <v>2</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8</v>
      </c>
      <c r="AK73" s="1725">
        <f t="shared" si="15"/>
        <v>20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c r="B76" s="1686"/>
      <c r="C76" s="710" t="s">
        <v>2160</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c r="B77" s="1686"/>
      <c r="C77" s="716" t="s">
        <v>2161</v>
      </c>
      <c r="D77" s="717"/>
      <c r="E77" s="717" t="str">
        <f>IF(H77=H73,E73,E76)</f>
        <v>laisse entendre que vous avez abandonné la famille</v>
      </c>
      <c r="F77" s="718"/>
      <c r="G77" s="718"/>
      <c r="H77" s="718">
        <f>IF(AND(K73=TRUE,K76=FALSE),H73,IF(AND(K73=FALSE,K76=TRUE),H76,IF(AND(K73=TRUE,K76=TRUE),H73+H76,MAX(H73,H76))))</f>
        <v>2</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8</v>
      </c>
      <c r="AK77" s="587">
        <f>IF(AND($K73=TRUE,$K76=FALSE),AK73,IF(AND($K73=FALSE,$K76=TRUE),AK76,IF(AND($K73=TRUE,$K76=TRUE),AK73+AK76,MAX(AK73,AK76))))</f>
        <v>20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2169</v>
      </c>
      <c r="F78" s="703" t="str">
        <f>'Cpts AR +indép + Sommaire'!Q11</f>
        <v>4</v>
      </c>
      <c r="G78" s="702">
        <f>'Cpts AR +indép + Sommaire'!R11</f>
        <v>2</v>
      </c>
      <c r="H78" s="703">
        <f>F78*G78</f>
        <v>8</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8</v>
      </c>
      <c r="AK78" s="1476">
        <f>IF(OR(J78=11,A78="F"),0,G78*J78)</f>
        <v>20</v>
      </c>
      <c r="AL78" s="1476">
        <f>IF(OR(P78=11,A78="F"),0,G78*P78)</f>
        <v>4</v>
      </c>
      <c r="AM78" s="1476">
        <f>IF(OR(Q78=11,A78="F"),0,G78*Q78)</f>
        <v>14</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c r="B80" s="1686"/>
      <c r="C80" s="721" t="s">
        <v>2164</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8</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c r="B81" s="1686"/>
      <c r="D81" s="383" t="s">
        <v>2165</v>
      </c>
      <c r="E81" s="699"/>
      <c r="F81" s="435" t="s">
        <v>2166</v>
      </c>
      <c r="G81" s="33"/>
      <c r="H81" s="33">
        <f>IF(AND(K77=TRUE,K80=FALSE),H77,IF(AND(K77=FALSE,K80=TRUE),H80,IF(AND(K77=TRUE,K80=TRUE),H77+H80,MAX(H77,H80))))</f>
        <v>8</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9" customHeight="1">
      <c r="B82" s="1686"/>
      <c r="C82" t="s">
        <v>1849</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9" t="s">
        <v>2141</v>
      </c>
      <c r="J87" s="2552"/>
      <c r="K87" s="2555"/>
      <c r="L87" s="2582"/>
      <c r="M87" s="2552"/>
      <c r="N87" s="2552"/>
      <c r="O87" s="1333"/>
      <c r="P87" s="2584" t="s">
        <v>2142</v>
      </c>
      <c r="Q87" s="2552"/>
      <c r="R87" s="2555"/>
      <c r="S87" s="1380" t="s">
        <v>2143</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77" t="s">
        <v>1992</v>
      </c>
      <c r="J88" s="2468"/>
      <c r="K88" s="2468"/>
      <c r="L88" s="2581" t="s">
        <v>2144</v>
      </c>
      <c r="M88" s="2468"/>
      <c r="N88" s="2468"/>
      <c r="O88" s="2580"/>
      <c r="P88" s="2579" t="s">
        <v>1993</v>
      </c>
      <c r="Q88" s="2468"/>
      <c r="R88" s="2580"/>
      <c r="S88" s="2583" t="s">
        <v>1994</v>
      </c>
      <c r="T88" s="2468"/>
      <c r="U88" s="2580"/>
      <c r="V88" s="15"/>
      <c r="W88" s="809"/>
      <c r="X88" s="809"/>
      <c r="Y88" s="809"/>
      <c r="Z88" s="809"/>
      <c r="AA88" s="809"/>
      <c r="AB88" s="810"/>
      <c r="AD88" s="10"/>
      <c r="AE88" s="10"/>
      <c r="AF88" s="10"/>
      <c r="AG88" s="1372" t="s">
        <v>1992</v>
      </c>
      <c r="AH88" s="1372" t="s">
        <v>1993</v>
      </c>
      <c r="AI88" s="1372" t="s">
        <v>1994</v>
      </c>
      <c r="AJ88" s="2578" t="s">
        <v>1992</v>
      </c>
      <c r="AK88" s="2469"/>
      <c r="AL88" s="2578" t="s">
        <v>1993</v>
      </c>
      <c r="AM88" s="2469"/>
      <c r="AN88" s="2578" t="s">
        <v>1994</v>
      </c>
      <c r="AO88" s="2469"/>
      <c r="AY88" s="728"/>
      <c r="AZ88" s="728"/>
      <c r="BA88" s="87"/>
      <c r="BB88" s="438"/>
      <c r="BC88" s="89"/>
      <c r="BD88" s="442"/>
      <c r="BE88" s="442"/>
      <c r="BF88" s="89"/>
      <c r="BG88" s="443"/>
      <c r="BH88" s="443"/>
      <c r="BI88" s="439"/>
    </row>
    <row r="89" spans="1:78" ht="34" customHeight="1">
      <c r="B89" s="1686"/>
      <c r="D89" s="79" t="s">
        <v>2145</v>
      </c>
      <c r="E89" s="827" t="s">
        <v>2146</v>
      </c>
      <c r="F89" s="26" t="s">
        <v>252</v>
      </c>
      <c r="G89" s="26" t="s">
        <v>235</v>
      </c>
      <c r="H89" s="26" t="s">
        <v>2147</v>
      </c>
      <c r="I89" s="1334" t="s">
        <v>2148</v>
      </c>
      <c r="J89" s="29" t="s">
        <v>2149</v>
      </c>
      <c r="K89" s="29" t="s">
        <v>2150</v>
      </c>
      <c r="L89" s="29" t="s">
        <v>2151</v>
      </c>
      <c r="M89" s="29" t="s">
        <v>2152</v>
      </c>
      <c r="N89" s="29" t="s">
        <v>2153</v>
      </c>
      <c r="O89" s="1335" t="s">
        <v>2154</v>
      </c>
      <c r="P89" s="1334" t="s">
        <v>2148</v>
      </c>
      <c r="Q89" s="29" t="s">
        <v>2149</v>
      </c>
      <c r="R89" s="1335" t="s">
        <v>2150</v>
      </c>
      <c r="S89" s="1334" t="s">
        <v>2148</v>
      </c>
      <c r="T89" s="29" t="s">
        <v>2149</v>
      </c>
      <c r="U89" s="1335" t="s">
        <v>2150</v>
      </c>
      <c r="V89" s="730"/>
      <c r="W89" s="819" t="s">
        <v>1992</v>
      </c>
      <c r="X89" s="820" t="s">
        <v>2155</v>
      </c>
      <c r="Y89" s="819" t="s">
        <v>1993</v>
      </c>
      <c r="Z89" s="820" t="s">
        <v>2156</v>
      </c>
      <c r="AA89" s="819" t="s">
        <v>1994</v>
      </c>
      <c r="AB89" s="820" t="s">
        <v>2157</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c r="A90" t="str">
        <f>IF(Test_Bible!B174="","F","O")</f>
        <v>O</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2170</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8</v>
      </c>
      <c r="AK90" s="1476">
        <f>IF(OR(J90=11,A90="F"),0,G90*J90)</f>
        <v>20</v>
      </c>
      <c r="AL90" s="1476">
        <f>IF(OR(P90=11,A90="F"),0,G90*P90)</f>
        <v>0</v>
      </c>
      <c r="AM90" s="1476">
        <f>IF(OR(Q90=11,A90="F"),0,G90*Q90)</f>
        <v>0</v>
      </c>
      <c r="AN90" s="1476">
        <f>IF(OR(S90=11,A90="F"),0,S90*G90)</f>
        <v>4</v>
      </c>
      <c r="AO90" s="1476">
        <f>IF(OR(T90=11,A90="F"),0,T90*G90)</f>
        <v>14</v>
      </c>
      <c r="AY90" s="728"/>
      <c r="AZ90" s="728"/>
      <c r="BA90" s="87"/>
      <c r="BB90" s="438"/>
      <c r="BC90" s="89"/>
      <c r="BD90" s="442"/>
      <c r="BE90" s="442"/>
      <c r="BF90" s="89"/>
      <c r="BG90" s="443"/>
      <c r="BH90" s="443"/>
      <c r="BI90" s="439"/>
    </row>
    <row r="91" spans="1:78" ht="19"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c r="B92" s="1517"/>
      <c r="C92" s="704" t="s">
        <v>2159</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8</v>
      </c>
      <c r="AK92" s="1725">
        <f t="shared" si="17"/>
        <v>20</v>
      </c>
      <c r="AL92" s="1725">
        <f t="shared" si="17"/>
        <v>0</v>
      </c>
      <c r="AM92" s="1725">
        <f t="shared" si="17"/>
        <v>0</v>
      </c>
      <c r="AN92" s="1725">
        <f t="shared" si="17"/>
        <v>4</v>
      </c>
      <c r="AO92" s="1725">
        <f t="shared" si="17"/>
        <v>14</v>
      </c>
      <c r="AY92" s="728"/>
      <c r="AZ92" s="728"/>
      <c r="BA92" s="87"/>
      <c r="BB92" s="438"/>
      <c r="BC92" s="89"/>
      <c r="BD92" s="442"/>
      <c r="BE92" s="442"/>
      <c r="BF92" s="89"/>
      <c r="BG92" s="443"/>
      <c r="BH92" s="443"/>
      <c r="BI92" s="439"/>
    </row>
    <row r="93" spans="1:78" ht="19"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c r="B95" s="1686"/>
      <c r="C95" s="710" t="s">
        <v>2160</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c r="B96" s="1686"/>
      <c r="C96" s="716" t="s">
        <v>2161</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8</v>
      </c>
      <c r="AK96" s="587">
        <f>IF(AND($K92=TRUE,$K95=FALSE),AK92,IF(AND($K92=FALSE,$K95=TRUE),AK95,IF(AND($K92=TRUE,$K95=TRUE),AK92+AK95,MAX(AK92,AK95))))</f>
        <v>20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4</v>
      </c>
      <c r="AO96" s="587">
        <f>IF(AND($U92=TRUE,$U95=FALSE),AO92,IF(AND($U92=FALSE,$U95=TRUE),AO95,IF(AND($U92=TRUE,$U95=TRUE),AO92+AO95,MAX(AO92,AO95))))</f>
        <v>14</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c r="A97" t="str">
        <f>IF(Test_Bible!B279="","F","O")</f>
        <v>O</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2171</v>
      </c>
      <c r="F97" s="703" t="str">
        <f>'Cpts AR +indép + Sommaire'!Q14</f>
        <v>4</v>
      </c>
      <c r="G97" s="703">
        <f>'Cpts AR +indép + Sommaire'!R14</f>
        <v>3</v>
      </c>
      <c r="H97" s="703">
        <f>F97*G97</f>
        <v>12</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12</v>
      </c>
      <c r="AK97" s="1476">
        <f>IF(OR(J97=11,A97="F"),0,G97*J97)</f>
        <v>30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c r="B99" s="1686"/>
      <c r="C99" s="721" t="s">
        <v>2164</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12</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c r="B100" s="1686"/>
      <c r="D100" s="383" t="s">
        <v>2165</v>
      </c>
      <c r="E100" s="699"/>
      <c r="F100" s="435" t="s">
        <v>2166</v>
      </c>
      <c r="G100" s="33"/>
      <c r="H100" s="33">
        <f>IF(AND(K96=TRUE,K99=FALSE),H96,IF(AND(K96=FALSE,K99=TRUE),H99,IF(AND(K96=TRUE,K99=TRUE),H96+H99,MAX(H96,H99))))</f>
        <v>12</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c r="B101" s="1686"/>
      <c r="C101" t="s">
        <v>1849</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9" t="s">
        <v>2141</v>
      </c>
      <c r="J106" s="2552"/>
      <c r="K106" s="2555"/>
      <c r="L106" s="2582"/>
      <c r="M106" s="2552"/>
      <c r="N106" s="2552"/>
      <c r="O106" s="1333"/>
      <c r="P106" s="2584" t="s">
        <v>2142</v>
      </c>
      <c r="Q106" s="2552"/>
      <c r="R106" s="2555"/>
      <c r="S106" s="1380" t="s">
        <v>2143</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77" t="s">
        <v>1992</v>
      </c>
      <c r="J107" s="2468"/>
      <c r="K107" s="2468"/>
      <c r="L107" s="2581" t="s">
        <v>2144</v>
      </c>
      <c r="M107" s="2468"/>
      <c r="N107" s="2468"/>
      <c r="O107" s="2580"/>
      <c r="P107" s="2579" t="s">
        <v>1993</v>
      </c>
      <c r="Q107" s="2468"/>
      <c r="R107" s="2580"/>
      <c r="S107" s="2583" t="s">
        <v>1994</v>
      </c>
      <c r="T107" s="2468"/>
      <c r="U107" s="2580"/>
      <c r="V107" s="15"/>
      <c r="W107" s="809"/>
      <c r="X107" s="809"/>
      <c r="Y107" s="809"/>
      <c r="Z107" s="809"/>
      <c r="AA107" s="809"/>
      <c r="AB107" s="810"/>
      <c r="AD107" s="10"/>
      <c r="AE107" s="10"/>
      <c r="AF107" s="10"/>
      <c r="AG107" s="1372" t="s">
        <v>1992</v>
      </c>
      <c r="AH107" s="1372" t="s">
        <v>1993</v>
      </c>
      <c r="AI107" s="1372" t="s">
        <v>1994</v>
      </c>
      <c r="AJ107" s="2578" t="s">
        <v>1992</v>
      </c>
      <c r="AK107" s="2469"/>
      <c r="AL107" s="2578" t="s">
        <v>1993</v>
      </c>
      <c r="AM107" s="2469"/>
      <c r="AN107" s="2578" t="s">
        <v>1994</v>
      </c>
      <c r="AO107" s="2469"/>
      <c r="AY107" s="728"/>
      <c r="AZ107" s="728"/>
      <c r="BA107" s="87"/>
      <c r="BB107" s="438"/>
      <c r="BC107" s="89"/>
      <c r="BD107" s="442"/>
      <c r="BE107" s="442"/>
      <c r="BF107" s="89"/>
      <c r="BG107" s="443"/>
      <c r="BH107" s="443"/>
      <c r="BI107" s="439"/>
    </row>
    <row r="108" spans="1:61" ht="36" customHeight="1">
      <c r="D108" s="79" t="s">
        <v>2145</v>
      </c>
      <c r="E108" s="827" t="s">
        <v>2146</v>
      </c>
      <c r="F108" s="26" t="s">
        <v>252</v>
      </c>
      <c r="G108" s="26" t="s">
        <v>235</v>
      </c>
      <c r="H108" s="26" t="s">
        <v>2147</v>
      </c>
      <c r="I108" s="1334" t="s">
        <v>2148</v>
      </c>
      <c r="J108" s="29" t="s">
        <v>2149</v>
      </c>
      <c r="K108" s="29" t="s">
        <v>2150</v>
      </c>
      <c r="L108" s="29" t="s">
        <v>2151</v>
      </c>
      <c r="M108" s="29" t="s">
        <v>2152</v>
      </c>
      <c r="N108" s="29" t="s">
        <v>2153</v>
      </c>
      <c r="O108" s="1335" t="s">
        <v>2154</v>
      </c>
      <c r="P108" s="1334" t="s">
        <v>2148</v>
      </c>
      <c r="Q108" s="29" t="s">
        <v>2149</v>
      </c>
      <c r="R108" s="1335" t="s">
        <v>2150</v>
      </c>
      <c r="S108" s="1334" t="s">
        <v>2148</v>
      </c>
      <c r="T108" s="29" t="s">
        <v>2149</v>
      </c>
      <c r="U108" s="1335" t="s">
        <v>2150</v>
      </c>
      <c r="V108" s="730"/>
      <c r="W108" s="819" t="s">
        <v>1992</v>
      </c>
      <c r="X108" s="820" t="s">
        <v>2155</v>
      </c>
      <c r="Y108" s="819" t="s">
        <v>1993</v>
      </c>
      <c r="Z108" s="820" t="s">
        <v>2156</v>
      </c>
      <c r="AA108" s="819" t="s">
        <v>1994</v>
      </c>
      <c r="AB108" s="820" t="s">
        <v>2157</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2172</v>
      </c>
      <c r="F109" s="703" t="str">
        <f>'Cpts AR +indép + Sommaire'!E16</f>
        <v>2</v>
      </c>
      <c r="G109" s="703">
        <f>'Cpts AR +indép + Sommaire'!F16</f>
        <v>2</v>
      </c>
      <c r="H109" s="703">
        <f>F109*G109</f>
        <v>4</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c r="B111" s="1688"/>
      <c r="C111" s="704" t="s">
        <v>2159</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4</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c r="A112" t="str">
        <f>IF(Test_Bible!B406="","F","O")</f>
        <v>O</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2173</v>
      </c>
      <c r="F112" s="703" t="str">
        <f>'Cpts AR +indép + Sommaire'!K16</f>
        <v>4</v>
      </c>
      <c r="G112" s="702">
        <f>'Cpts AR +indép + Sommaire'!L16</f>
        <v>2</v>
      </c>
      <c r="H112" s="703">
        <f>F112*G112</f>
        <v>8</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8</v>
      </c>
      <c r="AK112" s="1476">
        <f>IF(OR(J112=11,A112="F"),0,G112*J112)</f>
        <v>20</v>
      </c>
      <c r="AL112" s="1476">
        <f>IF(OR(P112=11,A112="F"),0,G112*P112)</f>
        <v>14</v>
      </c>
      <c r="AM112" s="1476">
        <f>IF(OR(Q112=11,A112="F"),0,G112*Q112)</f>
        <v>20</v>
      </c>
      <c r="AN112" s="1476">
        <f>IF(OR(S112=11,A112="F"),0,S112*G112)</f>
        <v>8</v>
      </c>
      <c r="AO112" s="1476">
        <f>IF(OR(T112=11,A112="F"),0,T112*G112)</f>
        <v>20</v>
      </c>
      <c r="AY112" s="728"/>
      <c r="AZ112" s="728"/>
      <c r="BA112" s="87"/>
      <c r="BB112" s="438"/>
      <c r="BC112" s="89"/>
      <c r="BD112" s="442"/>
      <c r="BE112" s="442"/>
      <c r="BF112" s="89"/>
      <c r="BG112" s="443"/>
      <c r="BH112" s="443"/>
      <c r="BI112" s="439"/>
    </row>
    <row r="113" spans="1:78" ht="19"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c r="B114" s="1686"/>
      <c r="C114" s="710" t="s">
        <v>2160</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8</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8</v>
      </c>
      <c r="AK114" s="1725">
        <f t="shared" si="20"/>
        <v>20</v>
      </c>
      <c r="AL114" s="1725">
        <f t="shared" si="20"/>
        <v>14</v>
      </c>
      <c r="AM114" s="1725">
        <f t="shared" si="20"/>
        <v>20</v>
      </c>
      <c r="AN114" s="1725">
        <f t="shared" si="20"/>
        <v>8</v>
      </c>
      <c r="AO114" s="1725">
        <f t="shared" si="20"/>
        <v>20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c r="B115" s="1686"/>
      <c r="C115" s="716" t="s">
        <v>2161</v>
      </c>
      <c r="D115" s="717"/>
      <c r="E115" s="717" t="str">
        <f>IF(H115=H111,E111,E114)</f>
        <v>Le nouveau conjoint.e laisse entendre que l'enfant n'est pas en sécurité</v>
      </c>
      <c r="F115" s="718"/>
      <c r="G115" s="718"/>
      <c r="H115" s="718">
        <f>IF(AND(K111=TRUE,K114=FALSE),H111,IF(AND(K111=FALSE,K114=TRUE),H114,IF(AND(K111=TRUE,K114=TRUE),H111+H114,MAX(H111,H114))))</f>
        <v>8</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14</v>
      </c>
      <c r="AM115" s="587">
        <f>IF(AND($R111=TRUE,$R114=FALSE),AM111,IF(AND($R111=FALSE,$R114=TRUE),AM114,IF(AND($R111=TRUE,$R114=TRUE),AM111+AM114,MAX(AM111,AM114))))</f>
        <v>20</v>
      </c>
      <c r="AN115" s="587">
        <f>IF(AND($U111=TRUE,$U114=FALSE),AN111,IF(AND($U111=FALSE,$U114=TRUE),AN114,IF(AND($U111=TRUE,$U114=TRUE),AN111+AN114,MAX(AN111,AN114))))</f>
        <v>8</v>
      </c>
      <c r="AO115" s="587">
        <f>IF(AND($U111=TRUE,$U114=FALSE),AO111,IF(AND($U111=FALSE,$U114=TRUE),AO114,IF(AND($U111=TRUE,$U114=TRUE),AO111+AO114,MAX(AO111,AO114))))</f>
        <v>20</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c r="A116" t="str">
        <f>IF(Test_Bible!B280="","F","O")</f>
        <v>O</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2174</v>
      </c>
      <c r="F116" s="703" t="str">
        <f>'Cpts AR +indép + Sommaire'!Q16</f>
        <v>1</v>
      </c>
      <c r="G116" s="702">
        <f>'Cpts AR +indép + Sommaire'!R16</f>
        <v>3</v>
      </c>
      <c r="H116" s="703">
        <f>F116*G116</f>
        <v>3</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12</v>
      </c>
      <c r="AK116" s="1476">
        <f>IF(OR(J116=11,A116="F"),0,G116*J116)</f>
        <v>30</v>
      </c>
      <c r="AL116" s="1476">
        <f>IF(OR(P116=11,A116="F"),0,G116*P116)</f>
        <v>6</v>
      </c>
      <c r="AM116" s="1476">
        <f>IF(OR(Q116=11,A116="F"),0,G116*Q116)</f>
        <v>21</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c r="B117" s="1686"/>
      <c r="C117" s="287" t="s">
        <v>2175</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c r="B118" s="1686"/>
      <c r="C118" s="721" t="s">
        <v>2164</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3</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c r="B119" s="1686"/>
      <c r="D119" s="383" t="s">
        <v>2165</v>
      </c>
      <c r="E119" s="699"/>
      <c r="F119" s="435" t="s">
        <v>2166</v>
      </c>
      <c r="G119" s="33"/>
      <c r="H119" s="33">
        <f>IF(AND(K115=TRUE,K118=FALSE),H115,IF(AND(K115=FALSE,K118=TRUE),H118,IF(AND(K115=TRUE,K118=TRUE),H115+H118,MAX(H115,H118))))</f>
        <v>8</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9" customHeight="1">
      <c r="B120" s="1686"/>
      <c r="C120" t="s">
        <v>1849</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9" t="s">
        <v>2141</v>
      </c>
      <c r="J125" s="2552"/>
      <c r="K125" s="2555"/>
      <c r="L125" s="2582"/>
      <c r="M125" s="2552"/>
      <c r="N125" s="2552"/>
      <c r="O125" s="1333"/>
      <c r="P125" s="2584" t="s">
        <v>2142</v>
      </c>
      <c r="Q125" s="2552"/>
      <c r="R125" s="2555"/>
      <c r="S125" s="1380" t="s">
        <v>2143</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77" t="s">
        <v>1992</v>
      </c>
      <c r="J126" s="2468"/>
      <c r="K126" s="2468"/>
      <c r="L126" s="2581" t="s">
        <v>2144</v>
      </c>
      <c r="M126" s="2468"/>
      <c r="N126" s="2468"/>
      <c r="O126" s="2580"/>
      <c r="P126" s="2579" t="s">
        <v>1993</v>
      </c>
      <c r="Q126" s="2468"/>
      <c r="R126" s="2580"/>
      <c r="S126" s="2583" t="s">
        <v>1994</v>
      </c>
      <c r="T126" s="2468"/>
      <c r="U126" s="2580"/>
      <c r="V126" s="15"/>
      <c r="W126" s="809"/>
      <c r="X126" s="809"/>
      <c r="Y126" s="809"/>
      <c r="Z126" s="809"/>
      <c r="AA126" s="809"/>
      <c r="AB126" s="810"/>
      <c r="AD126" s="10"/>
      <c r="AE126" s="10"/>
      <c r="AF126" s="10"/>
      <c r="AG126" s="1372" t="s">
        <v>1992</v>
      </c>
      <c r="AH126" s="1372" t="s">
        <v>1993</v>
      </c>
      <c r="AI126" s="1372" t="s">
        <v>1994</v>
      </c>
      <c r="AJ126" s="2578" t="s">
        <v>1992</v>
      </c>
      <c r="AK126" s="2469"/>
      <c r="AL126" s="2578" t="s">
        <v>1993</v>
      </c>
      <c r="AM126" s="2469"/>
      <c r="AN126" s="2578" t="s">
        <v>1994</v>
      </c>
      <c r="AO126" s="2469"/>
      <c r="AY126" s="728"/>
      <c r="AZ126" s="728"/>
      <c r="BA126" s="87"/>
      <c r="BB126" s="438"/>
      <c r="BC126" s="89"/>
      <c r="BD126" s="442"/>
      <c r="BE126" s="442"/>
      <c r="BF126" s="89"/>
      <c r="BG126" s="443"/>
      <c r="BH126" s="443"/>
      <c r="BI126" s="439"/>
    </row>
    <row r="127" spans="1:78" ht="34" customHeight="1">
      <c r="B127" s="1686"/>
      <c r="D127" s="79" t="s">
        <v>2145</v>
      </c>
      <c r="E127" s="827" t="s">
        <v>2146</v>
      </c>
      <c r="F127" s="26" t="s">
        <v>252</v>
      </c>
      <c r="G127" s="26" t="s">
        <v>235</v>
      </c>
      <c r="H127" s="26" t="s">
        <v>2147</v>
      </c>
      <c r="I127" s="1334" t="s">
        <v>2148</v>
      </c>
      <c r="J127" s="29" t="s">
        <v>2149</v>
      </c>
      <c r="K127" s="29" t="s">
        <v>2150</v>
      </c>
      <c r="L127" s="29" t="s">
        <v>2151</v>
      </c>
      <c r="M127" s="29" t="s">
        <v>2152</v>
      </c>
      <c r="N127" s="29" t="s">
        <v>2153</v>
      </c>
      <c r="O127" s="1335" t="s">
        <v>2154</v>
      </c>
      <c r="P127" s="1334" t="s">
        <v>2148</v>
      </c>
      <c r="Q127" s="29" t="s">
        <v>2149</v>
      </c>
      <c r="R127" s="1335" t="s">
        <v>2150</v>
      </c>
      <c r="S127" s="1334" t="s">
        <v>2148</v>
      </c>
      <c r="T127" s="29" t="s">
        <v>2149</v>
      </c>
      <c r="U127" s="1335" t="s">
        <v>2150</v>
      </c>
      <c r="V127" s="730"/>
      <c r="W127" s="819" t="s">
        <v>1992</v>
      </c>
      <c r="X127" s="820" t="s">
        <v>2155</v>
      </c>
      <c r="Y127" s="819" t="s">
        <v>1993</v>
      </c>
      <c r="Z127" s="820" t="s">
        <v>2156</v>
      </c>
      <c r="AA127" s="819" t="s">
        <v>1994</v>
      </c>
      <c r="AB127" s="820" t="s">
        <v>2157</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2176</v>
      </c>
      <c r="F128" s="703" t="str">
        <f>'Cpts AR +indép + Sommaire'!E18</f>
        <v>1</v>
      </c>
      <c r="G128" s="703">
        <f>'Cpts AR +indép + Sommaire'!F18</f>
        <v>2</v>
      </c>
      <c r="H128" s="703">
        <f>F128*G128</f>
        <v>2</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c r="A129" t="str">
        <f>IF(Test_Bible!B176="","F","O")</f>
        <v>O</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2177</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6</v>
      </c>
      <c r="AK129" s="1476">
        <f>IF(OR(J129=11,A129="F"),0,G129*J129)</f>
        <v>30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c r="B130" s="1517"/>
      <c r="C130" s="704" t="s">
        <v>2159</v>
      </c>
      <c r="D130" s="705" t="str">
        <f>INDEX(D128:D129, MATCH(H130, H128:H129, 0), 1)</f>
        <v>L'autre parent modifie certains faits concernant votre passé à son avantage ou à votre désavantage.</v>
      </c>
      <c r="E130" s="706" t="str">
        <f>INDEX(E128:E129, MATCH(H130, H128:H129, 0), 1)</f>
        <v>modifie des faits concernant votre passé</v>
      </c>
      <c r="F130" s="707"/>
      <c r="G130" s="707"/>
      <c r="H130" s="707">
        <f>IF(AND(K128=TRUE,K129=FALSE),H128,IF(AND(K128=FALSE,K129=TRUE),H129,MAX(H128,H129)))</f>
        <v>2</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30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c r="B133" s="1686"/>
      <c r="C133" s="710" t="s">
        <v>2160</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c r="B134" s="1686"/>
      <c r="C134" s="716" t="s">
        <v>2161</v>
      </c>
      <c r="D134" s="717"/>
      <c r="E134" s="717" t="str">
        <f>IF(H134=H130,E130,E133)</f>
        <v>modifie des faits concernant votre passé</v>
      </c>
      <c r="F134" s="718"/>
      <c r="G134" s="718"/>
      <c r="H134" s="718">
        <f>IF(AND(K130=TRUE,K133=FALSE),H130,IF(AND(K130=FALSE,K133=TRUE),H133,IF(AND(K130=TRUE,K133=TRUE),H130+H133,MAX(H130,H133))))</f>
        <v>2</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30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c r="A135" t="str">
        <f>IF(Test_Bible!B305="","F","O")</f>
        <v>O</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2177</v>
      </c>
      <c r="F135" s="703" t="str">
        <f>'Cpts AR +indép + Sommaire'!Q18</f>
        <v>2</v>
      </c>
      <c r="G135" s="703">
        <f>'Cpts AR +indép + Sommaire'!R18</f>
        <v>3</v>
      </c>
      <c r="H135" s="703">
        <f>F135*G135</f>
        <v>6</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0</v>
      </c>
      <c r="AH135" s="824">
        <f>IF($R135=TRUE,H135,0)</f>
        <v>0</v>
      </c>
      <c r="AI135" s="824"/>
      <c r="AJ135" s="1476">
        <f>IF(OR(I135=11,A135="F"),0,G135*I135)</f>
        <v>6</v>
      </c>
      <c r="AK135" s="1476">
        <f>IF(OR(J135=11,A135="F"),0,G135*J135)</f>
        <v>30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c r="B137" s="1686"/>
      <c r="C137" s="721" t="s">
        <v>2164</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6</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c r="B138" s="1686"/>
      <c r="D138" s="383" t="s">
        <v>2165</v>
      </c>
      <c r="E138" s="699"/>
      <c r="F138" s="435" t="s">
        <v>2166</v>
      </c>
      <c r="G138" s="33"/>
      <c r="H138" s="33">
        <f>IF(AND(K134=TRUE,K137=FALSE),H134,IF(AND(K134=FALSE,K137=TRUE),H137,IF(AND(K134=TRUE,K137=TRUE),H134+H137,MAX(H134,H137))))</f>
        <v>6</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9" customHeight="1">
      <c r="B139" s="1686"/>
      <c r="C139" t="s">
        <v>1849</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9" t="s">
        <v>2141</v>
      </c>
      <c r="J144" s="2552"/>
      <c r="K144" s="2555"/>
      <c r="L144" s="2582"/>
      <c r="M144" s="2552"/>
      <c r="N144" s="2552"/>
      <c r="O144" s="1333"/>
      <c r="P144" s="2584" t="s">
        <v>2142</v>
      </c>
      <c r="Q144" s="2552"/>
      <c r="R144" s="2555"/>
      <c r="S144" s="1380" t="s">
        <v>2143</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77" t="s">
        <v>1992</v>
      </c>
      <c r="J145" s="2468"/>
      <c r="K145" s="2468"/>
      <c r="L145" s="2581" t="s">
        <v>2144</v>
      </c>
      <c r="M145" s="2468"/>
      <c r="N145" s="2468"/>
      <c r="O145" s="2580"/>
      <c r="P145" s="2579" t="s">
        <v>1993</v>
      </c>
      <c r="Q145" s="2468"/>
      <c r="R145" s="2580"/>
      <c r="S145" s="2583" t="s">
        <v>1994</v>
      </c>
      <c r="T145" s="2468"/>
      <c r="U145" s="2580"/>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c r="B146" s="1686"/>
      <c r="D146" s="79" t="s">
        <v>2145</v>
      </c>
      <c r="E146" s="827" t="s">
        <v>2146</v>
      </c>
      <c r="F146" s="26" t="s">
        <v>252</v>
      </c>
      <c r="G146" s="26" t="s">
        <v>235</v>
      </c>
      <c r="H146" s="26" t="s">
        <v>2147</v>
      </c>
      <c r="I146" s="1334" t="s">
        <v>2148</v>
      </c>
      <c r="J146" s="29" t="s">
        <v>2149</v>
      </c>
      <c r="K146" s="29" t="s">
        <v>2150</v>
      </c>
      <c r="L146" s="29" t="s">
        <v>2151</v>
      </c>
      <c r="M146" s="29" t="s">
        <v>2152</v>
      </c>
      <c r="N146" s="29" t="s">
        <v>2153</v>
      </c>
      <c r="O146" s="1335" t="s">
        <v>2154</v>
      </c>
      <c r="P146" s="1334" t="s">
        <v>2148</v>
      </c>
      <c r="Q146" s="29" t="s">
        <v>2149</v>
      </c>
      <c r="R146" s="1335" t="s">
        <v>2150</v>
      </c>
      <c r="S146" s="1334" t="s">
        <v>2148</v>
      </c>
      <c r="T146" s="29" t="s">
        <v>2149</v>
      </c>
      <c r="U146" s="1335" t="s">
        <v>2150</v>
      </c>
      <c r="V146" s="730"/>
      <c r="W146" s="819" t="s">
        <v>1992</v>
      </c>
      <c r="X146" s="820" t="s">
        <v>2155</v>
      </c>
      <c r="Y146" s="819" t="s">
        <v>1993</v>
      </c>
      <c r="Z146" s="820" t="s">
        <v>2156</v>
      </c>
      <c r="AA146" s="819" t="s">
        <v>1994</v>
      </c>
      <c r="AB146" s="820" t="s">
        <v>2157</v>
      </c>
      <c r="AD146" s="10"/>
      <c r="AE146" s="10"/>
      <c r="AF146" s="10"/>
      <c r="AY146" s="728"/>
      <c r="AZ146" s="728"/>
      <c r="BA146" s="87"/>
      <c r="BB146" s="438"/>
      <c r="BC146" s="89"/>
      <c r="BD146" s="442"/>
      <c r="BE146" s="442"/>
      <c r="BF146" s="89"/>
      <c r="BG146" s="443"/>
      <c r="BH146" s="443"/>
      <c r="BI146" s="439"/>
    </row>
    <row r="147" spans="1:78" ht="34"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2178</v>
      </c>
      <c r="F147" s="703" t="str">
        <f>'Cpts AR +indép + Sommaire'!E21</f>
        <v>7</v>
      </c>
      <c r="G147" s="703">
        <f>'Cpts AR +indép + Sommaire'!F21</f>
        <v>1</v>
      </c>
      <c r="H147" s="703">
        <f>F147*G147</f>
        <v>7</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c r="A148" t="str">
        <f>IF(Test_Bible!B178="","F","O")</f>
        <v>O</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2179</v>
      </c>
      <c r="F148" s="703" t="str">
        <f>'Cpts AR +indép + Sommaire'!E22</f>
        <v>7</v>
      </c>
      <c r="G148" s="703">
        <f>'Cpts AR +indép + Sommaire'!F22</f>
        <v>2</v>
      </c>
      <c r="H148" s="703">
        <f>F148*G148</f>
        <v>14</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8</v>
      </c>
      <c r="AK148" s="1476">
        <f>IF(OR(J148=11,A148="F"),0,G148*J148)</f>
        <v>20</v>
      </c>
      <c r="AL148" s="1476">
        <f>IF(OR(P148=11,A148="F"),0,G148*P148)</f>
        <v>4</v>
      </c>
      <c r="AM148" s="1476">
        <f>IF(OR(Q148=11,A148="F"),0,G148*Q148)</f>
        <v>20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c r="A149" t="str">
        <f>IF(Test_Bible!B179="","F","O")</f>
        <v>O</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2180</v>
      </c>
      <c r="F149" s="703" t="str">
        <f>'Cpts AR +indép + Sommaire'!E23</f>
        <v>7</v>
      </c>
      <c r="G149" s="703">
        <f>'Cpts AR +indép + Sommaire'!F23</f>
        <v>3</v>
      </c>
      <c r="H149" s="703">
        <f>F149*G149</f>
        <v>21</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6</v>
      </c>
      <c r="AK149" s="1476">
        <f>IF(OR(J149=11,A149="F"),0,G149*J149)</f>
        <v>30</v>
      </c>
      <c r="AL149" s="1476">
        <f>IF(OR(P149=11,A149="F"),0,G149*P149)</f>
        <v>6</v>
      </c>
      <c r="AM149" s="1476">
        <f>IF(OR(Q149=11,A149="F"),0,G149*Q149)</f>
        <v>30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c r="B150" s="1686"/>
      <c r="C150" s="704" t="s">
        <v>2159</v>
      </c>
      <c r="D150" s="705" t="str">
        <f>INDEX(D147:D149, MATCH(H150, H147:H149, 0), 1)</f>
        <v xml:space="preserve">Il arrive à l’autre parent de se fâcher contre votre enfant lorsqu'il ou elle exprime de l'affection pour vous. </v>
      </c>
      <c r="E150" s="706" t="str">
        <f>INDEX(E147:E149, MATCH(H150, H147:H149, 0), 1)</f>
        <v>se fâche contre votre enfant s'il exprime de l'Affection pour vous</v>
      </c>
      <c r="F150" s="707"/>
      <c r="G150" s="707"/>
      <c r="H150" s="707">
        <f>IF(AND(K147=TRUE,K148=FALSE,K149=FALSE),H147,IF(AND(K147=FALSE,K148=TRUE,K149=FALSE),H148,IF(AND(K147=FALSE,K148=FALSE,K149=TRUE),H149,MAX(H147:H149))))</f>
        <v>21</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8</v>
      </c>
      <c r="AK150" s="1725">
        <f t="shared" si="23"/>
        <v>30</v>
      </c>
      <c r="AL150" s="1725">
        <f t="shared" si="23"/>
        <v>6</v>
      </c>
      <c r="AM150" s="1725">
        <f t="shared" si="23"/>
        <v>30</v>
      </c>
      <c r="AN150" s="1725">
        <f t="shared" si="23"/>
        <v>0</v>
      </c>
      <c r="AO150" s="1725">
        <f t="shared" si="23"/>
        <v>0</v>
      </c>
      <c r="AY150" s="728"/>
      <c r="AZ150" s="728"/>
      <c r="BA150" s="87"/>
      <c r="BB150" s="438"/>
      <c r="BC150" s="89"/>
      <c r="BD150" s="442"/>
      <c r="BE150" s="442"/>
      <c r="BF150" s="89"/>
      <c r="BG150" s="443"/>
      <c r="BH150" s="443"/>
      <c r="BI150" s="439"/>
    </row>
    <row r="151" spans="1:78" ht="19"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c r="B153" s="1686"/>
      <c r="C153" s="710" t="s">
        <v>2160</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c r="B154" s="1686"/>
      <c r="C154" s="716" t="s">
        <v>2161</v>
      </c>
      <c r="D154" s="717"/>
      <c r="E154" s="717" t="str">
        <f>IF(H154=H150,E150,E153)</f>
        <v>se fâche contre votre enfant s'il exprime de l'Affection pour vous</v>
      </c>
      <c r="F154" s="718"/>
      <c r="G154" s="718"/>
      <c r="H154" s="718">
        <f>IF(AND(K150=TRUE,K153=FALSE),H150,IF(AND(K150=FALSE,K153=TRUE),H153,IF(AND(K150=TRUE,K153=TRUE),H150+H153,MAX(H150,H153))))</f>
        <v>21</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8</v>
      </c>
      <c r="AK154" s="587">
        <f>IF(AND($K150=TRUE,$K153=FALSE),AK150,IF(AND($K150=FALSE,$K153=TRUE),AK153,IF(AND($K150=TRUE,$K153=TRUE),AK150+AK153,MAX(AK150,AK153))))</f>
        <v>30</v>
      </c>
      <c r="AL154" s="587">
        <f>IF(AND($R150=TRUE,$R153=FALSE),AL150,IF(AND($R150=FALSE,$R153=TRUE),AL153,IF(AND($R150=TRUE,$R153=TRUE),AL150+AL153,MAX(AL150,AL153))))</f>
        <v>6</v>
      </c>
      <c r="AM154" s="587">
        <f>IF(AND($R150=TRUE,$R153=FALSE),AM150,IF(AND($R150=FALSE,$R153=TRUE),AM153,IF(AND($R150=TRUE,$R153=TRUE),AM150+AM153,MAX(AM150,AM153))))</f>
        <v>30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2181</v>
      </c>
      <c r="F155" s="703" t="str">
        <f>'Cpts AR +indép + Sommaire'!Q21</f>
        <v>7</v>
      </c>
      <c r="G155" s="703">
        <f>'Cpts AR +indép + Sommaire'!R21</f>
        <v>1</v>
      </c>
      <c r="H155" s="703">
        <f>F155*G155</f>
        <v>7</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c r="B157" s="1686"/>
      <c r="C157" s="721" t="s">
        <v>2164</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7</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c r="B158" s="1686"/>
      <c r="D158" s="383" t="s">
        <v>2165</v>
      </c>
      <c r="E158" s="699"/>
      <c r="F158" s="435" t="s">
        <v>2166</v>
      </c>
      <c r="G158" s="33"/>
      <c r="H158" s="33">
        <f>IF(AND(K154=TRUE,K157=FALSE),H154,IF(AND(K154=FALSE,K157=TRUE),H157,IF(AND(K154=TRUE,K157=TRUE),H154+H157,MAX(H154,H157))))</f>
        <v>21</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9" customHeight="1">
      <c r="B159" s="1686"/>
      <c r="C159" t="s">
        <v>1849</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9" t="s">
        <v>2141</v>
      </c>
      <c r="J164" s="2552"/>
      <c r="K164" s="2555"/>
      <c r="L164" s="2582"/>
      <c r="M164" s="2552"/>
      <c r="N164" s="2552"/>
      <c r="O164" s="1333"/>
      <c r="P164" s="2584" t="s">
        <v>2142</v>
      </c>
      <c r="Q164" s="2552"/>
      <c r="R164" s="2555"/>
      <c r="S164" s="1380" t="s">
        <v>2143</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77" t="s">
        <v>1992</v>
      </c>
      <c r="J165" s="2468"/>
      <c r="K165" s="2468"/>
      <c r="L165" s="2581" t="s">
        <v>2144</v>
      </c>
      <c r="M165" s="2468"/>
      <c r="N165" s="2468"/>
      <c r="O165" s="2580"/>
      <c r="P165" s="2579" t="s">
        <v>1993</v>
      </c>
      <c r="Q165" s="2468"/>
      <c r="R165" s="2580"/>
      <c r="S165" s="2583" t="s">
        <v>1994</v>
      </c>
      <c r="T165" s="2468"/>
      <c r="U165" s="2580"/>
      <c r="V165" s="15"/>
      <c r="W165" s="809"/>
      <c r="X165" s="809"/>
      <c r="Y165" s="809"/>
      <c r="Z165" s="809"/>
      <c r="AA165" s="809"/>
      <c r="AB165" s="810"/>
      <c r="AD165" s="10"/>
      <c r="AE165" s="10"/>
      <c r="AF165" s="10"/>
      <c r="AG165" s="1372" t="s">
        <v>1992</v>
      </c>
      <c r="AH165" s="1372" t="s">
        <v>1993</v>
      </c>
      <c r="AI165" s="1372" t="s">
        <v>1994</v>
      </c>
      <c r="AJ165" s="2578" t="s">
        <v>1992</v>
      </c>
      <c r="AK165" s="2469"/>
      <c r="AL165" s="2578" t="s">
        <v>1993</v>
      </c>
      <c r="AM165" s="2469"/>
      <c r="AN165" s="2578" t="s">
        <v>1994</v>
      </c>
      <c r="AO165" s="2469"/>
      <c r="AY165" s="728"/>
      <c r="AZ165" s="728"/>
      <c r="BA165" s="87"/>
      <c r="BB165" s="438"/>
      <c r="BC165" s="89"/>
      <c r="BD165" s="442"/>
      <c r="BE165" s="442"/>
      <c r="BF165" s="89"/>
      <c r="BG165" s="443"/>
      <c r="BH165" s="443"/>
      <c r="BI165" s="439"/>
    </row>
    <row r="166" spans="1:78" ht="34" customHeight="1">
      <c r="B166" s="1686"/>
      <c r="D166" s="79" t="s">
        <v>2145</v>
      </c>
      <c r="E166" s="827" t="s">
        <v>2146</v>
      </c>
      <c r="F166" s="26" t="s">
        <v>252</v>
      </c>
      <c r="G166" s="26" t="s">
        <v>235</v>
      </c>
      <c r="H166" s="26" t="s">
        <v>2147</v>
      </c>
      <c r="I166" s="1334" t="s">
        <v>2148</v>
      </c>
      <c r="J166" s="29" t="s">
        <v>2149</v>
      </c>
      <c r="K166" s="29" t="s">
        <v>2150</v>
      </c>
      <c r="L166" s="29" t="s">
        <v>2151</v>
      </c>
      <c r="M166" s="29" t="s">
        <v>2152</v>
      </c>
      <c r="N166" s="29" t="s">
        <v>2153</v>
      </c>
      <c r="O166" s="1335" t="s">
        <v>2154</v>
      </c>
      <c r="P166" s="1334" t="s">
        <v>2148</v>
      </c>
      <c r="Q166" s="29" t="s">
        <v>2149</v>
      </c>
      <c r="R166" s="1335" t="s">
        <v>2150</v>
      </c>
      <c r="S166" s="1334" t="s">
        <v>2148</v>
      </c>
      <c r="T166" s="29" t="s">
        <v>2149</v>
      </c>
      <c r="U166" s="1335" t="s">
        <v>2150</v>
      </c>
      <c r="V166" s="730"/>
      <c r="W166" s="819" t="s">
        <v>1992</v>
      </c>
      <c r="X166" s="820" t="s">
        <v>2155</v>
      </c>
      <c r="Y166" s="819" t="s">
        <v>1993</v>
      </c>
      <c r="Z166" s="820" t="s">
        <v>2156</v>
      </c>
      <c r="AA166" s="819" t="s">
        <v>1994</v>
      </c>
      <c r="AB166" s="820" t="s">
        <v>2157</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2182</v>
      </c>
      <c r="F167" s="703" t="str">
        <f>'Cpts AR +indép + Sommaire'!E25</f>
        <v>4</v>
      </c>
      <c r="G167" s="703">
        <f>'Cpts AR +indép + Sommaire'!F25</f>
        <v>1</v>
      </c>
      <c r="H167" s="703">
        <f>F167*G167</f>
        <v>4</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c r="B169" s="1517"/>
      <c r="C169" s="704" t="s">
        <v>2159</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4</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c r="B172" s="1686"/>
      <c r="C172" s="710" t="s">
        <v>2160</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c r="B173" s="1686"/>
      <c r="C173" s="716" t="s">
        <v>2161</v>
      </c>
      <c r="D173" s="717"/>
      <c r="E173" s="717" t="str">
        <f>IF(H173=H169,E169,E172)</f>
        <v>accable de reproches par courriel ou texto au retour de garde</v>
      </c>
      <c r="F173" s="718"/>
      <c r="G173" s="718"/>
      <c r="H173" s="718">
        <f>IF(AND(K169=TRUE,K172=FALSE),H169,IF(AND(K169=FALSE,K172=TRUE),H172,IF(AND(K169=TRUE,K172=TRUE),H169+H172,MAX(H169,H172))))</f>
        <v>4</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2183</v>
      </c>
      <c r="F174" s="703" t="str">
        <f>'Cpts AR +indép + Sommaire'!Q25</f>
        <v>4</v>
      </c>
      <c r="G174" s="703">
        <f>'Cpts AR +indép + Sommaire'!R25</f>
        <v>2</v>
      </c>
      <c r="H174" s="703">
        <f>F174*G174</f>
        <v>8</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c r="A175" t="str">
        <f>IF(Test_Bible!B320="","F","O")</f>
        <v>O</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2184</v>
      </c>
      <c r="F175" s="703" t="str">
        <f>'Cpts AR +indép + Sommaire'!Q26</f>
        <v>4</v>
      </c>
      <c r="G175" s="703">
        <f>'Cpts AR +indép + Sommaire'!R26</f>
        <v>3</v>
      </c>
      <c r="H175" s="703">
        <f>F175*G175</f>
        <v>12</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12</v>
      </c>
      <c r="AK175" s="1476">
        <f>IF(OR(J175=11,A175="F"),0,G175*J175)</f>
        <v>30</v>
      </c>
      <c r="AL175" s="1476">
        <f>IF(OR(P175=11,A175="F"),0,G175*P175)</f>
        <v>12</v>
      </c>
      <c r="AM175" s="1476">
        <f>IF(OR(Q175=11,A175="F"),0,G175*Q175)</f>
        <v>21</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c r="B176" s="1686"/>
      <c r="C176" s="721" t="s">
        <v>2164</v>
      </c>
      <c r="D176" s="722" t="str">
        <f>INDEX(D174:D175, MATCH(H176, H174:H175, 0), 1)</f>
        <v>Au retour d’un séjour chez l’autre parent, votre enfant vous questionne sur vos décisions présentes ou passsées ou vous accable de reproches.</v>
      </c>
      <c r="E176" s="722" t="str">
        <f>INDEX(E174:E175, MATCH(H176, H174:H175, 0), 1)</f>
        <v>accable de reproches à son retour de garde chez l'autre</v>
      </c>
      <c r="F176" s="723"/>
      <c r="G176" s="723"/>
      <c r="H176" s="723">
        <f>IF(AND(K174=TRUE,K175=FALSE),H174,IF(AND(K174=FALSE,K175=TRUE),H175,MAX(H174,H175)))</f>
        <v>12</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c r="B177" s="1686"/>
      <c r="D177" s="383" t="s">
        <v>2165</v>
      </c>
      <c r="E177" s="699"/>
      <c r="F177" s="435" t="s">
        <v>2166</v>
      </c>
      <c r="G177" s="33"/>
      <c r="H177" s="33">
        <f>IF(AND(K173=TRUE,K176=FALSE),H173,IF(AND(K173=FALSE,K176=TRUE),H176,IF(AND(K173=TRUE,K176=TRUE),H173+H176,MAX(H173,H176))))</f>
        <v>12</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c r="B178" s="1686"/>
      <c r="C178" t="s">
        <v>1849</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t="str">
        <f>'Cpts AR +indép + Sommaire'!W25</f>
        <v>4</v>
      </c>
      <c r="G180" s="822">
        <f>'Cpts AR +indép + Sommaire'!X25</f>
        <v>1</v>
      </c>
      <c r="H180" s="822">
        <f>F180*G180</f>
        <v>4</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c r="C181" s="7"/>
      <c r="D181" s="272"/>
      <c r="E181" s="272"/>
      <c r="F181" s="67"/>
      <c r="G181" s="16"/>
      <c r="H181" s="33">
        <f>IF(AND(K179=TRUE,K180=FALSE),H179,IF(AND(K179=FALSE,K180=TRUE),H180,MAX(H179,H180)))</f>
        <v>4</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0</v>
      </c>
      <c r="Y182" s="2139"/>
      <c r="Z182" s="2140">
        <f>IF(OR(Y173="V",Y176="V",Y181="V"),1,0)</f>
        <v>0</v>
      </c>
      <c r="AA182" s="2139"/>
      <c r="AB182" s="2140">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9" t="s">
        <v>2141</v>
      </c>
      <c r="J183" s="2552"/>
      <c r="K183" s="2555"/>
      <c r="L183" s="2582"/>
      <c r="M183" s="2552"/>
      <c r="N183" s="2552"/>
      <c r="O183" s="1333"/>
      <c r="P183" s="2584" t="s">
        <v>2142</v>
      </c>
      <c r="Q183" s="2552"/>
      <c r="R183" s="2555"/>
      <c r="S183" s="1380" t="s">
        <v>2143</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77" t="s">
        <v>1992</v>
      </c>
      <c r="J184" s="2468"/>
      <c r="K184" s="2468"/>
      <c r="L184" s="2581" t="s">
        <v>2144</v>
      </c>
      <c r="M184" s="2468"/>
      <c r="N184" s="2468"/>
      <c r="O184" s="2580"/>
      <c r="P184" s="2579" t="s">
        <v>1993</v>
      </c>
      <c r="Q184" s="2468"/>
      <c r="R184" s="2580"/>
      <c r="S184" s="2583" t="s">
        <v>1994</v>
      </c>
      <c r="T184" s="2468"/>
      <c r="U184" s="2580"/>
      <c r="V184" s="15"/>
      <c r="W184" s="809"/>
      <c r="X184" s="809"/>
      <c r="Y184" s="809"/>
      <c r="Z184" s="809"/>
      <c r="AA184" s="809"/>
      <c r="AB184" s="810"/>
      <c r="AC184" s="9"/>
      <c r="AD184" s="10"/>
      <c r="AE184" s="10"/>
      <c r="AF184" s="10"/>
      <c r="AG184" s="1372" t="s">
        <v>1992</v>
      </c>
      <c r="AH184" s="1372" t="s">
        <v>1993</v>
      </c>
      <c r="AI184" s="1372" t="s">
        <v>1994</v>
      </c>
      <c r="AJ184" s="2578" t="s">
        <v>1992</v>
      </c>
      <c r="AK184" s="2469"/>
      <c r="AL184" s="2578" t="s">
        <v>1993</v>
      </c>
      <c r="AM184" s="2469"/>
      <c r="AN184" s="2578" t="s">
        <v>1994</v>
      </c>
      <c r="AO184" s="2469"/>
      <c r="AY184" s="728"/>
      <c r="AZ184" s="728"/>
      <c r="BA184" s="87"/>
      <c r="BB184" s="438"/>
      <c r="BC184" s="89"/>
      <c r="BD184" s="442"/>
      <c r="BE184" s="442"/>
      <c r="BF184" s="89"/>
      <c r="BG184" s="443"/>
      <c r="BH184" s="443"/>
      <c r="BI184" s="439"/>
    </row>
    <row r="185" spans="1:78" ht="34" customHeight="1">
      <c r="B185" s="1686"/>
      <c r="D185" s="79" t="s">
        <v>2145</v>
      </c>
      <c r="E185" s="827" t="s">
        <v>2146</v>
      </c>
      <c r="F185" s="26" t="s">
        <v>252</v>
      </c>
      <c r="G185" s="26" t="s">
        <v>235</v>
      </c>
      <c r="H185" s="26" t="s">
        <v>2147</v>
      </c>
      <c r="I185" s="1334" t="s">
        <v>2148</v>
      </c>
      <c r="J185" s="29" t="s">
        <v>2149</v>
      </c>
      <c r="K185" s="29" t="s">
        <v>2150</v>
      </c>
      <c r="L185" s="29" t="s">
        <v>2151</v>
      </c>
      <c r="M185" s="29" t="s">
        <v>2152</v>
      </c>
      <c r="N185" s="29" t="s">
        <v>2153</v>
      </c>
      <c r="O185" s="1335" t="s">
        <v>2154</v>
      </c>
      <c r="P185" s="1334" t="s">
        <v>2148</v>
      </c>
      <c r="Q185" s="29" t="s">
        <v>2149</v>
      </c>
      <c r="R185" s="1335" t="s">
        <v>2150</v>
      </c>
      <c r="S185" s="1334" t="s">
        <v>2148</v>
      </c>
      <c r="T185" s="29" t="s">
        <v>2149</v>
      </c>
      <c r="U185" s="1335" t="s">
        <v>2150</v>
      </c>
      <c r="V185" s="730"/>
      <c r="W185" s="819" t="s">
        <v>1992</v>
      </c>
      <c r="X185" s="820" t="s">
        <v>2155</v>
      </c>
      <c r="Y185" s="819" t="s">
        <v>1993</v>
      </c>
      <c r="Z185" s="820" t="s">
        <v>2156</v>
      </c>
      <c r="AA185" s="819" t="s">
        <v>1994</v>
      </c>
      <c r="AB185" s="820" t="s">
        <v>2157</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2185</v>
      </c>
      <c r="F186" s="703" t="str">
        <f>'Cpts AR +indép + Sommaire'!E28</f>
        <v>4</v>
      </c>
      <c r="G186" s="703">
        <f>'Cpts AR +indép + Sommaire'!F28</f>
        <v>1</v>
      </c>
      <c r="H186" s="703">
        <f>F186*G186</f>
        <v>4</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c r="B187" s="1688"/>
      <c r="C187" s="376" t="s">
        <v>1848</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c r="B188" s="1517"/>
      <c r="C188" s="704" t="s">
        <v>2159</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4</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2186</v>
      </c>
      <c r="F189" s="703" t="str">
        <f>'Cpts AR +indép + Sommaire'!K28</f>
        <v>2</v>
      </c>
      <c r="G189" s="703">
        <f>'Cpts AR +indép + Sommaire'!L28</f>
        <v>1</v>
      </c>
      <c r="H189" s="703">
        <f>F189*G189</f>
        <v>2</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c r="B191" s="1686"/>
      <c r="C191" s="710" t="s">
        <v>2160</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2</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c r="B192" s="1686"/>
      <c r="C192" s="716" t="s">
        <v>2161</v>
      </c>
      <c r="D192" s="717"/>
      <c r="E192" s="717" t="str">
        <f>IF(H192=H188,E188,E191)</f>
        <v>vous salue lorsqu'il vous croise à l'école</v>
      </c>
      <c r="F192" s="718"/>
      <c r="G192" s="718"/>
      <c r="H192" s="718">
        <f>IF(AND(K188=TRUE,K191=FALSE),H188,IF(AND(K188=FALSE,K191=TRUE),H191,IF(AND(K188=TRUE,K191=TRUE),H188+H191,MAX(H188,H191))))</f>
        <v>4</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2185</v>
      </c>
      <c r="F193" s="703" t="str">
        <f>'Cpts AR +indép + Sommaire'!Q28</f>
        <v>4</v>
      </c>
      <c r="G193" s="703">
        <f>'Cpts AR +indép + Sommaire'!R28</f>
        <v>2</v>
      </c>
      <c r="H193" s="703">
        <f>F193*G193</f>
        <v>8</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8</v>
      </c>
      <c r="AK193" s="1476">
        <f>IF(OR(J193=11,A193="F"),0,G193*J193)</f>
        <v>20</v>
      </c>
      <c r="AL193" s="1476">
        <f>IF(OR(P193=11,A193="F"),0,G193*P193)</f>
        <v>4</v>
      </c>
      <c r="AM193" s="1476">
        <f>IF(OR(Q193=11,A193="F"),0,G193*Q193)</f>
        <v>8</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2187</v>
      </c>
      <c r="F194" s="703" t="str">
        <f>'Cpts AR +indép + Sommaire'!Q29</f>
        <v>7</v>
      </c>
      <c r="G194" s="703">
        <f>'Cpts AR +indép + Sommaire'!R29</f>
        <v>2</v>
      </c>
      <c r="H194" s="703">
        <f>F194*G194</f>
        <v>14</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c r="B195" s="1686"/>
      <c r="C195" s="721" t="s">
        <v>2164</v>
      </c>
      <c r="D195" s="722" t="str">
        <f>INDEX(D193:D194, MATCH(H195, H193:H194, 0), 1)</f>
        <v>Le comportement ou l'attitude de votre enfant change en présence de l’autre parent.</v>
      </c>
      <c r="E195" s="722" t="str">
        <f>INDEX(E193:E194, MATCH(H195, H193:H194, 0), 1)</f>
        <v>change d'attitude lorsqu'il est en présence des deux parents</v>
      </c>
      <c r="F195" s="723"/>
      <c r="G195" s="723"/>
      <c r="H195" s="723">
        <f>IF(AND(K193=TRUE,K194=FALSE),H193,IF(AND(K193=FALSE,K194=TRUE),H194,MAX(H193,H194)))</f>
        <v>14</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4" customHeight="1">
      <c r="B196" s="1686"/>
      <c r="D196" s="383" t="s">
        <v>2165</v>
      </c>
      <c r="E196" s="699"/>
      <c r="F196" s="435" t="s">
        <v>2166</v>
      </c>
      <c r="G196" s="33"/>
      <c r="H196" s="33">
        <f>IF(AND(K192=TRUE,K195=FALSE),H192,IF(AND(K192=FALSE,K195=TRUE),H195,IF(AND(K192=TRUE,K195=TRUE),H192+H195,MAX(H192,H195))))</f>
        <v>14</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9" customHeight="1">
      <c r="B197" s="1686"/>
      <c r="C197" t="s">
        <v>1849</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2185</v>
      </c>
      <c r="F198" s="822" t="str">
        <f>'Cpts AR +indép + Sommaire'!W28</f>
        <v>2</v>
      </c>
      <c r="G198" s="822">
        <f>'Cpts AR +indép + Sommaire'!X28</f>
        <v>1</v>
      </c>
      <c r="H198" s="822">
        <f>F198*G198</f>
        <v>2</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c r="D200" s="16"/>
      <c r="E200" s="16"/>
      <c r="F200" s="67"/>
      <c r="G200" s="434"/>
      <c r="H200" s="33">
        <f>IF(AND(K198=TRUE,K199=FALSE),H198,IF(AND(K198=FALSE,K199=TRUE),H199,MAX(H198,H199)))</f>
        <v>2</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c r="D201" s="16" t="s">
        <v>2188</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2189</v>
      </c>
      <c r="E202" s="16"/>
      <c r="F202" s="67"/>
      <c r="G202" s="434"/>
      <c r="H202" s="434"/>
      <c r="I202" s="2589" t="s">
        <v>2141</v>
      </c>
      <c r="J202" s="2552"/>
      <c r="K202" s="2555"/>
      <c r="L202" s="2582"/>
      <c r="M202" s="2552"/>
      <c r="N202" s="2552"/>
      <c r="O202" s="1333"/>
      <c r="P202" s="2584" t="s">
        <v>2142</v>
      </c>
      <c r="Q202" s="2552"/>
      <c r="R202" s="2555"/>
      <c r="S202" s="1380" t="s">
        <v>2143</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77" t="s">
        <v>1992</v>
      </c>
      <c r="J203" s="2468"/>
      <c r="K203" s="2468"/>
      <c r="L203" s="2581" t="s">
        <v>2144</v>
      </c>
      <c r="M203" s="2468"/>
      <c r="N203" s="2468"/>
      <c r="O203" s="2580"/>
      <c r="P203" s="2579" t="s">
        <v>1993</v>
      </c>
      <c r="Q203" s="2468"/>
      <c r="R203" s="2580"/>
      <c r="S203" s="2583" t="s">
        <v>1994</v>
      </c>
      <c r="T203" s="2468"/>
      <c r="U203" s="2580"/>
      <c r="V203" s="15"/>
      <c r="W203" s="809"/>
      <c r="X203" s="809"/>
      <c r="Y203" s="809"/>
      <c r="Z203" s="809"/>
      <c r="AA203" s="809"/>
      <c r="AB203" s="810"/>
      <c r="AD203" s="10"/>
      <c r="AE203" s="10"/>
      <c r="AF203" s="10"/>
      <c r="AG203" s="1372" t="s">
        <v>1992</v>
      </c>
      <c r="AH203" s="1372" t="s">
        <v>1993</v>
      </c>
      <c r="AI203" s="1372" t="s">
        <v>1994</v>
      </c>
      <c r="AJ203" s="2578" t="s">
        <v>1992</v>
      </c>
      <c r="AK203" s="2469"/>
      <c r="AL203" s="2578" t="s">
        <v>1993</v>
      </c>
      <c r="AM203" s="2469"/>
      <c r="AN203" s="2578" t="s">
        <v>1994</v>
      </c>
      <c r="AO203" s="2469"/>
      <c r="AY203" s="728"/>
      <c r="AZ203" s="728"/>
      <c r="BA203" s="87"/>
      <c r="BB203" s="438"/>
      <c r="BC203" s="89"/>
      <c r="BD203" s="442"/>
      <c r="BE203" s="442"/>
      <c r="BF203" s="89"/>
      <c r="BG203" s="443"/>
      <c r="BH203" s="443"/>
      <c r="BI203" s="439"/>
    </row>
    <row r="204" spans="1:78" ht="34" customHeight="1">
      <c r="B204" s="1686"/>
      <c r="D204" s="79" t="s">
        <v>2145</v>
      </c>
      <c r="E204" s="827" t="s">
        <v>2146</v>
      </c>
      <c r="F204" s="26" t="s">
        <v>252</v>
      </c>
      <c r="G204" s="26" t="s">
        <v>235</v>
      </c>
      <c r="H204" s="26" t="s">
        <v>2147</v>
      </c>
      <c r="I204" s="1334" t="s">
        <v>2148</v>
      </c>
      <c r="J204" s="29" t="s">
        <v>2149</v>
      </c>
      <c r="K204" s="29" t="s">
        <v>2150</v>
      </c>
      <c r="L204" s="29" t="s">
        <v>2151</v>
      </c>
      <c r="M204" s="29" t="s">
        <v>2152</v>
      </c>
      <c r="N204" s="29" t="s">
        <v>2153</v>
      </c>
      <c r="O204" s="1335" t="s">
        <v>2154</v>
      </c>
      <c r="P204" s="1334" t="s">
        <v>2148</v>
      </c>
      <c r="Q204" s="29" t="s">
        <v>2149</v>
      </c>
      <c r="R204" s="1335" t="s">
        <v>2150</v>
      </c>
      <c r="S204" s="1334" t="s">
        <v>2148</v>
      </c>
      <c r="T204" s="29" t="s">
        <v>2149</v>
      </c>
      <c r="U204" s="1335" t="s">
        <v>2150</v>
      </c>
      <c r="V204" s="730"/>
      <c r="W204" s="819" t="s">
        <v>1992</v>
      </c>
      <c r="X204" s="820" t="s">
        <v>2155</v>
      </c>
      <c r="Y204" s="819" t="s">
        <v>1993</v>
      </c>
      <c r="Z204" s="820" t="s">
        <v>2156</v>
      </c>
      <c r="AA204" s="819" t="s">
        <v>1994</v>
      </c>
      <c r="AB204" s="820" t="s">
        <v>2157</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2190</v>
      </c>
      <c r="F205" s="703" t="str">
        <f>'Cpts AR +indép + Sommaire'!E31</f>
        <v>10</v>
      </c>
      <c r="G205" s="703">
        <f>'Cpts AR +indép + Sommaire'!F31</f>
        <v>1</v>
      </c>
      <c r="H205" s="703">
        <f>F205*G205</f>
        <v>10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c r="B206" s="1688"/>
      <c r="C206" s="376" t="s">
        <v>1848</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c r="B207" s="1517"/>
      <c r="C207" s="704" t="s">
        <v>2159</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10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c r="A208" t="str">
        <f>IF(Test_Bible!B415="","F","O")</f>
        <v>O</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2191</v>
      </c>
      <c r="F208" s="703" t="str">
        <f>'Cpts AR +indép + Sommaire'!K31</f>
        <v>4</v>
      </c>
      <c r="G208" s="703">
        <f>'Cpts AR +indép + Sommaire'!L31</f>
        <v>3</v>
      </c>
      <c r="H208" s="703">
        <f>F208*G208</f>
        <v>12</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12</v>
      </c>
      <c r="AK208" s="1476">
        <f>IF(OR(J208=11,A208="F"),0,G208*J208)</f>
        <v>30</v>
      </c>
      <c r="AL208" s="1476">
        <f>IF(OR(P208=11,A208="F"),0,G208*P208)</f>
        <v>6</v>
      </c>
      <c r="AM208" s="1476">
        <f>IF(OR(Q208=11,A208="F"),0,G208*Q208)</f>
        <v>30</v>
      </c>
      <c r="AN208" s="1476">
        <f>IF(OR(S208=11,A208="F"),0,S208*G208)</f>
        <v>12</v>
      </c>
      <c r="AO208" s="1476">
        <f>IF(OR(T208=11,A208="F"),0,T208*G208)</f>
        <v>30</v>
      </c>
      <c r="AY208" s="728"/>
      <c r="AZ208" s="728"/>
      <c r="BA208" s="87"/>
      <c r="BB208" s="438"/>
      <c r="BC208" s="89"/>
      <c r="BD208" s="442"/>
      <c r="BE208" s="442"/>
      <c r="BF208" s="89"/>
      <c r="BG208" s="443"/>
      <c r="BH208" s="443"/>
      <c r="BI208" s="439"/>
    </row>
    <row r="209" spans="1:78" ht="34" customHeight="1">
      <c r="A209" t="str">
        <f>IF(Test_Bible!B414="","F","O")</f>
        <v>O</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2192</v>
      </c>
      <c r="F209" s="703" t="str">
        <f>'Cpts AR +indép + Sommaire'!K32</f>
        <v>2</v>
      </c>
      <c r="G209" s="703">
        <f>'Cpts AR +indép + Sommaire'!L32</f>
        <v>3</v>
      </c>
      <c r="H209" s="27">
        <f>F209*G209</f>
        <v>6</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12</v>
      </c>
      <c r="AK209" s="1476">
        <f>IF(OR(J209=11,A209="F"),0,G209*J209)</f>
        <v>30</v>
      </c>
      <c r="AL209" s="1476">
        <f>IF(OR(P209=11,A209="F"),0,G209*P209)</f>
        <v>0</v>
      </c>
      <c r="AM209" s="1476">
        <f>IF(OR(Q209=11,A209="F"),0,G209*Q209)</f>
        <v>0</v>
      </c>
      <c r="AN209" s="1476">
        <f>IF(OR(S209=11,A209="F"),0,S209*G209)</f>
        <v>6</v>
      </c>
      <c r="AO209" s="1476">
        <f>IF(OR(T209=11,A209="F"),0,T209*G209)</f>
        <v>30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c r="B210" s="1686"/>
      <c r="C210" s="710" t="s">
        <v>2160</v>
      </c>
      <c r="D210" s="711" t="str">
        <f>INDEX(D208:D209, MATCH(H210, H208:H209, 0), 1)</f>
        <v>Arrive-t-il que le nouveau ou nouvelle conjoint·e vous critique ou dénigre vos compétences parentales devant votre enfant ?</v>
      </c>
      <c r="E210" s="712" t="str">
        <f>INDEX(E208:E209, MATCH(H210, H208:H209, 0), 1)</f>
        <v>dénigre vos compétences parentales devant l'enfant</v>
      </c>
      <c r="F210" s="713"/>
      <c r="G210" s="713"/>
      <c r="H210" s="707">
        <f>IF(AND(K208=TRUE,K209=FALSE),H208,IF(AND(K208=FALSE,K209=TRUE),H209,MAX(H208,H209)))</f>
        <v>12</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12</v>
      </c>
      <c r="AK210" s="1725">
        <f t="shared" si="30"/>
        <v>30</v>
      </c>
      <c r="AL210" s="1725">
        <f t="shared" si="30"/>
        <v>6</v>
      </c>
      <c r="AM210" s="1725">
        <f t="shared" si="30"/>
        <v>30</v>
      </c>
      <c r="AN210" s="1725">
        <f t="shared" si="30"/>
        <v>12</v>
      </c>
      <c r="AO210" s="1725">
        <f t="shared" si="30"/>
        <v>30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c r="B211" s="1686"/>
      <c r="C211" s="716" t="s">
        <v>2161</v>
      </c>
      <c r="D211" s="717"/>
      <c r="E211" s="717" t="str">
        <f>IF(H211=H207,E207,E210)</f>
        <v>dénigre vos compétences parentales devant l'enfant</v>
      </c>
      <c r="F211" s="718"/>
      <c r="G211" s="718"/>
      <c r="H211" s="718">
        <f>IF(AND(K207=TRUE,K210=FALSE),H207,IF(AND(K207=FALSE,K210=TRUE),H210,IF(AND(K207=TRUE,K210=TRUE),H207+H210,MAX(H207,H210))))</f>
        <v>12</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12</v>
      </c>
      <c r="AK211" s="587">
        <f>IF(AND($K207=TRUE,$K210=FALSE),AK207,IF(AND($K207=FALSE,$K210=TRUE),AK210,IF(AND($K207=TRUE,$K210=TRUE),AK207+AK210,MAX(AK207,AK210))))</f>
        <v>30</v>
      </c>
      <c r="AL211" s="587">
        <f>IF(AND($R207=TRUE,$R210=FALSE),AL207,IF(AND($R207=FALSE,$R210=TRUE),AL210,IF(AND($R207=TRUE,$R210=TRUE),AL207+AL210,MAX(AL207,AL210))))</f>
        <v>6</v>
      </c>
      <c r="AM211" s="587">
        <f>IF(AND($R207=TRUE,$R210=FALSE),AM207,IF(AND($R207=FALSE,$R210=TRUE),AM210,IF(AND($R207=TRUE,$R210=TRUE),AM207+AM210,MAX(AM207,AM210))))</f>
        <v>30</v>
      </c>
      <c r="AN211" s="587">
        <f>IF(AND($U207=TRUE,$U210=FALSE),AN207,IF(AND($U207=FALSE,$U210=TRUE),AN210,IF(AND($U207=TRUE,$U210=TRUE),AN207+AN210,MAX(AN207,AN210))))</f>
        <v>12</v>
      </c>
      <c r="AO211" s="587">
        <f>IF(AND($U207=TRUE,$U210=FALSE),AO207,IF(AND($U207=FALSE,$U210=TRUE),AO210,IF(AND($U207=TRUE,$U210=TRUE),AO207+AO210,MAX(AO207,AO210))))</f>
        <v>30</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c r="A212" t="str">
        <f>IF(Test_Bible!B311="","F","O")</f>
        <v>O</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2193</v>
      </c>
      <c r="F212" s="703" t="str">
        <f>'Cpts AR +indép + Sommaire'!Q31</f>
        <v>7</v>
      </c>
      <c r="G212" s="703">
        <f>'Cpts AR +indép + Sommaire'!R31</f>
        <v>2</v>
      </c>
      <c r="H212" s="703">
        <f>F212*G212</f>
        <v>14</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c r="X212" s="814"/>
      <c r="Y212" s="813"/>
      <c r="Z212" s="814"/>
      <c r="AA212" s="813"/>
      <c r="AB212" s="814"/>
      <c r="AD212" s="10"/>
      <c r="AE212" s="10"/>
      <c r="AF212" s="10"/>
      <c r="AG212" s="824">
        <f>IF($K212=TRUE,H212,0)</f>
        <v>0</v>
      </c>
      <c r="AH212" s="824">
        <f>IF($R212=TRUE,H212,0)</f>
        <v>0</v>
      </c>
      <c r="AI212" s="824"/>
      <c r="AJ212" s="1476">
        <f>IF(OR(I212=11,A212="F"),0,G212*I212)</f>
        <v>4</v>
      </c>
      <c r="AK212" s="1476">
        <f>IF(OR(J212=11,A212="F"),0,G212*J212)</f>
        <v>20</v>
      </c>
      <c r="AL212" s="1476">
        <f>IF(OR(P212=11,A212="F"),0,G212*P212)</f>
        <v>2</v>
      </c>
      <c r="AM212" s="1476">
        <f>IF(OR(Q212=11,A212="F"),0,G212*Q212)</f>
        <v>8</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c r="B213" s="1686"/>
      <c r="C213" s="287" t="s">
        <v>2175</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c r="B214" s="1686"/>
      <c r="C214" s="721" t="s">
        <v>2164</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14</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8" customHeight="1">
      <c r="B215" s="1686"/>
      <c r="D215" s="383" t="s">
        <v>2165</v>
      </c>
      <c r="E215" s="699"/>
      <c r="F215" s="435" t="s">
        <v>2166</v>
      </c>
      <c r="G215" s="33"/>
      <c r="H215" s="33">
        <f>IF(AND(K211=TRUE,K214=FALSE),H211,IF(AND(K211=FALSE,K214=TRUE),H214,IF(AND(K211=TRUE,K214=TRUE),H211+H214,MAX(H211,H214))))</f>
        <v>14</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9" customHeight="1">
      <c r="B216" s="1686"/>
      <c r="C216" t="s">
        <v>1849</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t="str">
        <f>'Cpts AR +indép + Sommaire'!W31</f>
        <v>4</v>
      </c>
      <c r="G217" s="822">
        <f>'Cpts AR +indép + Sommaire'!X31</f>
        <v>1</v>
      </c>
      <c r="H217" s="822">
        <f>F217*G217</f>
        <v>4</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c r="D219" s="16"/>
      <c r="E219" s="16"/>
      <c r="F219" s="67"/>
      <c r="G219" s="434"/>
      <c r="H219" s="33">
        <f>IF(AND(K217=TRUE,K218=FALSE),H217,IF(AND(K217=FALSE,K218=TRUE),H218,MAX(H217,H218)))</f>
        <v>4</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2"/>
      <c r="M221" s="2552"/>
      <c r="N221" s="2552"/>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77" t="s">
        <v>1992</v>
      </c>
      <c r="J222" s="2468"/>
      <c r="K222" s="2468"/>
      <c r="L222" s="2581" t="s">
        <v>2144</v>
      </c>
      <c r="M222" s="2468"/>
      <c r="N222" s="2468"/>
      <c r="O222" s="2580"/>
      <c r="P222" s="2579" t="s">
        <v>1993</v>
      </c>
      <c r="Q222" s="2468"/>
      <c r="R222" s="2580"/>
      <c r="S222" s="2583" t="s">
        <v>1994</v>
      </c>
      <c r="T222" s="2468"/>
      <c r="U222" s="2580"/>
      <c r="V222" s="15"/>
      <c r="W222" s="809"/>
      <c r="X222" s="809"/>
      <c r="Y222" s="809"/>
      <c r="Z222" s="809"/>
      <c r="AA222" s="809"/>
      <c r="AB222" s="810"/>
      <c r="AD222" s="10"/>
      <c r="AE222" s="10"/>
      <c r="AF222" s="10"/>
      <c r="AG222" s="1372" t="s">
        <v>1992</v>
      </c>
      <c r="AH222" s="1372" t="s">
        <v>1993</v>
      </c>
      <c r="AI222" s="1372" t="s">
        <v>1994</v>
      </c>
      <c r="AJ222" s="2578" t="s">
        <v>1992</v>
      </c>
      <c r="AK222" s="2469"/>
      <c r="AL222" s="2578" t="s">
        <v>1993</v>
      </c>
      <c r="AM222" s="2469"/>
      <c r="AN222" s="2578" t="s">
        <v>1994</v>
      </c>
      <c r="AO222" s="2469"/>
      <c r="AY222" s="728"/>
      <c r="AZ222" s="728"/>
      <c r="BA222" s="87"/>
      <c r="BB222" s="438"/>
      <c r="BC222" s="89"/>
      <c r="BD222" s="442"/>
      <c r="BE222" s="442"/>
      <c r="BF222" s="89"/>
      <c r="BG222" s="443"/>
      <c r="BH222" s="443"/>
      <c r="BI222" s="439"/>
    </row>
    <row r="223" spans="1:78" ht="34" customHeight="1">
      <c r="B223" s="1686"/>
      <c r="D223" s="79" t="s">
        <v>2145</v>
      </c>
      <c r="E223" s="827" t="s">
        <v>2146</v>
      </c>
      <c r="F223" s="26" t="s">
        <v>252</v>
      </c>
      <c r="G223" s="26" t="s">
        <v>235</v>
      </c>
      <c r="H223" s="26" t="s">
        <v>2147</v>
      </c>
      <c r="I223" s="1334" t="s">
        <v>2148</v>
      </c>
      <c r="J223" s="29" t="s">
        <v>2149</v>
      </c>
      <c r="K223" s="29" t="s">
        <v>2150</v>
      </c>
      <c r="L223" s="29" t="s">
        <v>2151</v>
      </c>
      <c r="M223" s="29" t="s">
        <v>2152</v>
      </c>
      <c r="N223" s="29" t="s">
        <v>2153</v>
      </c>
      <c r="O223" s="1335" t="s">
        <v>2154</v>
      </c>
      <c r="P223" s="1334" t="s">
        <v>2148</v>
      </c>
      <c r="Q223" s="29" t="s">
        <v>2149</v>
      </c>
      <c r="R223" s="1335" t="s">
        <v>2150</v>
      </c>
      <c r="S223" s="1334" t="s">
        <v>2148</v>
      </c>
      <c r="T223" s="29" t="s">
        <v>2149</v>
      </c>
      <c r="U223" s="1335" t="s">
        <v>2150</v>
      </c>
      <c r="V223" s="730"/>
      <c r="W223" s="819" t="s">
        <v>1992</v>
      </c>
      <c r="X223" s="820" t="s">
        <v>2155</v>
      </c>
      <c r="Y223" s="819" t="s">
        <v>1993</v>
      </c>
      <c r="Z223" s="820" t="s">
        <v>2156</v>
      </c>
      <c r="AA223" s="819" t="s">
        <v>1994</v>
      </c>
      <c r="AB223" s="820" t="s">
        <v>2157</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2194</v>
      </c>
      <c r="F224" s="703" t="str">
        <f>'Cpts AR +indép + Sommaire'!E34</f>
        <v>2</v>
      </c>
      <c r="G224" s="703">
        <f>'Cpts AR +indép + Sommaire'!F34</f>
        <v>1</v>
      </c>
      <c r="H224" s="703">
        <f>F224*G224</f>
        <v>2</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34"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2195</v>
      </c>
      <c r="F225" s="703" t="str">
        <f>'Cpts AR +indép + Sommaire'!E35</f>
        <v>7</v>
      </c>
      <c r="G225" s="703">
        <f>'Cpts AR +indép + Sommaire'!F35</f>
        <v>2</v>
      </c>
      <c r="H225" s="703">
        <f>F225*G225</f>
        <v>14</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51" customHeight="1">
      <c r="B226" s="1517"/>
      <c r="C226" s="704" t="s">
        <v>2159</v>
      </c>
      <c r="D226" s="705" t="str">
        <f>INDEX(D224:D225, MATCH(H226, H224:H225, 0), 1)</f>
        <v>L'autre parent encourage ou entretient un discours dénigrant ou haineux à l’égard de votre nouveau ou nouvelle conjoint·e.</v>
      </c>
      <c r="E226" s="706" t="str">
        <f>INDEX(E224:E225, MATCH(H226, H224:H225, 0), 1)</f>
        <v>entretient un discours haineux à l'égard de votre nouveau conjoint.e</v>
      </c>
      <c r="F226" s="707"/>
      <c r="G226" s="707"/>
      <c r="H226" s="707">
        <f>IF(AND(K224=TRUE,K225=FALSE),H224,IF(AND(K224=FALSE,K225=TRUE),H225,MAX(H224,H225)))</f>
        <v>14</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51" customHeight="1">
      <c r="A227" t="str">
        <f>IF(Test_Bible!B416="","F","O")</f>
        <v>O</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2196</v>
      </c>
      <c r="F227" s="703" t="str">
        <f>'Cpts AR +indép + Sommaire'!K34</f>
        <v>2</v>
      </c>
      <c r="G227" s="702">
        <f>'Cpts AR +indép + Sommaire'!L34</f>
        <v>3</v>
      </c>
      <c r="H227" s="703">
        <f>F227*G227</f>
        <v>6</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12</v>
      </c>
      <c r="AK227" s="1476">
        <f>IF(OR(J227=11,A227="F"),0,G227*J227)</f>
        <v>30</v>
      </c>
      <c r="AL227" s="1476">
        <f>IF(OR(P227=11,A227="F"),0,G227*P227)</f>
        <v>6</v>
      </c>
      <c r="AM227" s="1476">
        <f>IF(OR(Q227=11,A227="F"),0,G227*Q227)</f>
        <v>30</v>
      </c>
      <c r="AN227" s="1476">
        <f>IF(OR(S227=11,A227="F"),0,S227*G227)</f>
        <v>12</v>
      </c>
      <c r="AO227" s="1476">
        <f>IF(OR(T227=11,A227="F"),0,T227*G227)</f>
        <v>30</v>
      </c>
      <c r="AY227" s="728"/>
      <c r="AZ227" s="728"/>
      <c r="BA227" s="87"/>
      <c r="BB227" s="438"/>
      <c r="BC227" s="89"/>
      <c r="BD227" s="442"/>
      <c r="BE227" s="442"/>
      <c r="BF227" s="89"/>
      <c r="BG227" s="443"/>
      <c r="BH227" s="443"/>
      <c r="BI227" s="439"/>
    </row>
    <row r="228" spans="1:78" ht="19" customHeight="1">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c r="B229" s="1686"/>
      <c r="C229" s="710" t="s">
        <v>2160</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6</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12</v>
      </c>
      <c r="AK229" s="1725">
        <f t="shared" si="32"/>
        <v>30</v>
      </c>
      <c r="AL229" s="1725">
        <f t="shared" si="32"/>
        <v>6</v>
      </c>
      <c r="AM229" s="1725">
        <f t="shared" si="32"/>
        <v>30</v>
      </c>
      <c r="AN229" s="1725">
        <f t="shared" si="32"/>
        <v>12</v>
      </c>
      <c r="AO229" s="1725">
        <f t="shared" si="32"/>
        <v>30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c r="B230" s="1686"/>
      <c r="C230" s="716" t="s">
        <v>2161</v>
      </c>
      <c r="D230" s="717"/>
      <c r="E230" s="717" t="str">
        <f>IF(H230=H226,E226,E229)</f>
        <v>entretient un discours haineux à l'égard de votre nouveau conjoint.e</v>
      </c>
      <c r="F230" s="718"/>
      <c r="G230" s="718"/>
      <c r="H230" s="718">
        <f>IF(AND(K226=TRUE,K229=FALSE),H226,IF(AND(K226=FALSE,K229=TRUE),H229,IF(AND(K226=TRUE,K229=TRUE),H226+H229,MAX(H226,H229))))</f>
        <v>14</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12</v>
      </c>
      <c r="AK230" s="587">
        <f>IF(AND($K226=TRUE,$K229=FALSE),AK226,IF(AND($K226=FALSE,$K229=TRUE),AK229,IF(AND($K226=TRUE,$K229=TRUE),AK226+AK229,MAX(AK226,AK229))))</f>
        <v>30</v>
      </c>
      <c r="AL230" s="587">
        <f>IF(AND($R226=TRUE,$R229=FALSE),AL226,IF(AND($R226=FALSE,$R229=TRUE),AL229,IF(AND($R226=TRUE,$R229=TRUE),AL226+AL229,MAX(AL226,AL229))))</f>
        <v>6</v>
      </c>
      <c r="AM230" s="587">
        <f>IF(AND($R226=TRUE,$R229=FALSE),AM226,IF(AND($R226=FALSE,$R229=TRUE),AM229,IF(AND($R226=TRUE,$R229=TRUE),AM226+AM229,MAX(AM226,AM229))))</f>
        <v>30</v>
      </c>
      <c r="AN230" s="587">
        <f>IF(AND($U226=TRUE,$U229=FALSE),AN226,IF(AND($U226=FALSE,$U229=TRUE),AN229,IF(AND($U226=TRUE,$U229=TRUE),AN226+AN229,MAX(AN226,AN229))))</f>
        <v>12</v>
      </c>
      <c r="AO230" s="587">
        <f>IF(AND($U226=TRUE,$U229=FALSE),AO226,IF(AND($U226=FALSE,$U229=TRUE),AO229,IF(AND($U226=TRUE,$U229=TRUE),AO226+AO229,MAX(AO226,AO229))))</f>
        <v>30</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2194</v>
      </c>
      <c r="F231" s="703" t="str">
        <f>'Cpts AR +indép + Sommaire'!Q34</f>
        <v>1</v>
      </c>
      <c r="G231" s="703">
        <f>'Cpts AR +indép + Sommaire'!R34</f>
        <v>2</v>
      </c>
      <c r="H231" s="703">
        <f>F231*G231</f>
        <v>2</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c r="B232" s="1686"/>
      <c r="C232" s="287" t="s">
        <v>2175</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c r="B233" s="1686"/>
      <c r="C233" s="721" t="s">
        <v>2164</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2</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c r="B234" s="1686"/>
      <c r="D234" s="383" t="s">
        <v>2165</v>
      </c>
      <c r="E234" s="699"/>
      <c r="F234" s="435" t="s">
        <v>2166</v>
      </c>
      <c r="G234" s="33"/>
      <c r="H234" s="33">
        <f>IF(AND(K230=TRUE,K233=FALSE),H230,IF(AND(K230=FALSE,K233=TRUE),H233,IF(AND(K230=TRUE,K233=TRUE),H230+H233,MAX(H230,H233))))</f>
        <v>14</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c r="B235" s="1686"/>
      <c r="C235" t="s">
        <v>1849</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2"/>
      <c r="M240" s="2552"/>
      <c r="N240" s="2552"/>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77" t="s">
        <v>1992</v>
      </c>
      <c r="J241" s="2468"/>
      <c r="K241" s="2468"/>
      <c r="L241" s="2581" t="s">
        <v>2144</v>
      </c>
      <c r="M241" s="2468"/>
      <c r="N241" s="2468"/>
      <c r="O241" s="2580"/>
      <c r="P241" s="2579" t="s">
        <v>1993</v>
      </c>
      <c r="Q241" s="2468"/>
      <c r="R241" s="2580"/>
      <c r="S241" s="2583" t="s">
        <v>1994</v>
      </c>
      <c r="T241" s="2468"/>
      <c r="U241" s="2580"/>
      <c r="V241" s="15"/>
      <c r="W241" s="809"/>
      <c r="X241" s="809"/>
      <c r="Y241" s="809"/>
      <c r="Z241" s="809"/>
      <c r="AA241" s="809"/>
      <c r="AB241" s="810"/>
      <c r="AD241" s="10"/>
      <c r="AE241" s="10"/>
      <c r="AF241" s="10"/>
      <c r="AG241" s="1372" t="s">
        <v>1992</v>
      </c>
      <c r="AH241" s="1372" t="s">
        <v>1993</v>
      </c>
      <c r="AI241" s="1372" t="s">
        <v>1994</v>
      </c>
      <c r="AJ241" s="2578" t="s">
        <v>1992</v>
      </c>
      <c r="AK241" s="2469"/>
      <c r="AL241" s="2578" t="s">
        <v>1993</v>
      </c>
      <c r="AM241" s="2469"/>
      <c r="AN241" s="2578" t="s">
        <v>1994</v>
      </c>
      <c r="AO241" s="2469"/>
      <c r="AY241" s="728"/>
      <c r="AZ241" s="728"/>
      <c r="BA241" s="87"/>
      <c r="BB241" s="438"/>
      <c r="BC241" s="89"/>
      <c r="BD241" s="442"/>
      <c r="BE241" s="442"/>
      <c r="BF241" s="89"/>
      <c r="BG241" s="443"/>
      <c r="BH241" s="443"/>
      <c r="BI241" s="439"/>
    </row>
    <row r="242" spans="1:78" ht="36" customHeight="1">
      <c r="D242" s="79" t="s">
        <v>2145</v>
      </c>
      <c r="E242" s="827" t="s">
        <v>2146</v>
      </c>
      <c r="F242" s="26" t="s">
        <v>252</v>
      </c>
      <c r="G242" s="26" t="s">
        <v>235</v>
      </c>
      <c r="H242" s="26" t="s">
        <v>2147</v>
      </c>
      <c r="I242" s="1334" t="s">
        <v>2148</v>
      </c>
      <c r="J242" s="29" t="s">
        <v>2149</v>
      </c>
      <c r="K242" s="29" t="s">
        <v>2150</v>
      </c>
      <c r="L242" s="29" t="s">
        <v>2151</v>
      </c>
      <c r="M242" s="29" t="s">
        <v>2152</v>
      </c>
      <c r="N242" s="29" t="s">
        <v>2153</v>
      </c>
      <c r="O242" s="1335" t="s">
        <v>2154</v>
      </c>
      <c r="P242" s="1334" t="s">
        <v>2148</v>
      </c>
      <c r="Q242" s="29" t="s">
        <v>2149</v>
      </c>
      <c r="R242" s="1335" t="s">
        <v>2150</v>
      </c>
      <c r="S242" s="1334" t="s">
        <v>2148</v>
      </c>
      <c r="T242" s="29" t="s">
        <v>2149</v>
      </c>
      <c r="U242" s="1335" t="s">
        <v>2150</v>
      </c>
      <c r="V242" s="730"/>
      <c r="W242" s="819" t="s">
        <v>1992</v>
      </c>
      <c r="X242" s="820" t="s">
        <v>2155</v>
      </c>
      <c r="Y242" s="819" t="s">
        <v>1993</v>
      </c>
      <c r="Z242" s="820" t="s">
        <v>2156</v>
      </c>
      <c r="AA242" s="819" t="s">
        <v>1994</v>
      </c>
      <c r="AB242" s="820" t="s">
        <v>2157</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2197</v>
      </c>
      <c r="F243" s="703" t="str">
        <f>'Cpts AR +indép + Sommaire'!E37</f>
        <v>1</v>
      </c>
      <c r="G243" s="703">
        <f>'Cpts AR +indép + Sommaire'!F37</f>
        <v>2</v>
      </c>
      <c r="H243" s="703">
        <f>F243*G243</f>
        <v>2</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c r="B244" s="1517"/>
      <c r="C244" s="376" t="s">
        <v>1848</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c r="B245" s="1688"/>
      <c r="C245" s="704" t="s">
        <v>2159</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2</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c r="B248" s="1686"/>
      <c r="C248" s="710" t="s">
        <v>2160</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c r="B249" s="1686"/>
      <c r="C249" s="716" t="s">
        <v>2161</v>
      </c>
      <c r="D249" s="717"/>
      <c r="E249" s="717" t="str">
        <f>IF(H249=H245,E245,E248)</f>
        <v>laisse entendre que la vraie famille est celle de l'autre parent</v>
      </c>
      <c r="F249" s="718"/>
      <c r="G249" s="718"/>
      <c r="H249" s="718">
        <f>IF(AND(K245=TRUE,K248=FALSE),H245,IF(AND(K245=FALSE,K248=TRUE),H248,IF(AND(K245=TRUE,K248=TRUE),H245+H248,MAX(H245,H248))))</f>
        <v>2</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2197</v>
      </c>
      <c r="F250" s="703" t="str">
        <f>'Cpts AR +indép + Sommaire'!Q37</f>
        <v>1</v>
      </c>
      <c r="G250" s="703">
        <f>'Cpts AR +indép + Sommaire'!R37</f>
        <v>2</v>
      </c>
      <c r="H250" s="703">
        <f>F250*G250</f>
        <v>2</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c r="A251" t="str">
        <f>IF(Test_Bible!B287="","F","O")</f>
        <v>O</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2198</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21</v>
      </c>
      <c r="AK251" s="1476">
        <f>IF(OR(J251=11,A251="F"),0,G251*J251)</f>
        <v>30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c r="B252" s="1686"/>
      <c r="C252" s="721" t="s">
        <v>2164</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2</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8" customHeight="1">
      <c r="B253" s="1686"/>
      <c r="D253" s="383" t="s">
        <v>2165</v>
      </c>
      <c r="E253" s="699"/>
      <c r="F253" s="435" t="s">
        <v>2166</v>
      </c>
      <c r="G253" s="33"/>
      <c r="H253" s="33">
        <f>IF(AND(K249=TRUE,K252=FALSE),H249,IF(AND(K249=FALSE,K252=TRUE),H252,IF(AND(K249=TRUE,K252=TRUE),H249+H252,MAX(H249,H252))))</f>
        <v>2</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9" customHeight="1">
      <c r="B254" s="1686"/>
      <c r="C254" t="s">
        <v>1849</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2"/>
      <c r="M259" s="2552"/>
      <c r="N259" s="2552"/>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77" t="s">
        <v>1992</v>
      </c>
      <c r="J260" s="2468"/>
      <c r="K260" s="2468"/>
      <c r="L260" s="2581" t="s">
        <v>2144</v>
      </c>
      <c r="M260" s="2468"/>
      <c r="N260" s="2468"/>
      <c r="O260" s="2580"/>
      <c r="P260" s="2579" t="s">
        <v>1993</v>
      </c>
      <c r="Q260" s="2468"/>
      <c r="R260" s="2580"/>
      <c r="S260" s="2583" t="s">
        <v>1994</v>
      </c>
      <c r="T260" s="2468"/>
      <c r="U260" s="2580"/>
      <c r="V260" s="15"/>
      <c r="W260" s="809"/>
      <c r="X260" s="809"/>
      <c r="Y260" s="809"/>
      <c r="Z260" s="809"/>
      <c r="AA260" s="809"/>
      <c r="AB260" s="810"/>
      <c r="AD260" s="10"/>
      <c r="AE260" s="10"/>
      <c r="AF260" s="10"/>
      <c r="AG260" s="1372" t="s">
        <v>1992</v>
      </c>
      <c r="AH260" s="1372" t="s">
        <v>1993</v>
      </c>
      <c r="AI260" s="1372" t="s">
        <v>1994</v>
      </c>
      <c r="AJ260" s="2578" t="s">
        <v>1992</v>
      </c>
      <c r="AK260" s="2469"/>
      <c r="AL260" s="2578" t="s">
        <v>1993</v>
      </c>
      <c r="AM260" s="2469"/>
      <c r="AN260" s="2578" t="s">
        <v>1994</v>
      </c>
      <c r="AO260" s="2469"/>
      <c r="BA260" s="87"/>
      <c r="BB260" s="438"/>
      <c r="BC260" s="86"/>
      <c r="BD260" s="440"/>
      <c r="BE260" s="440"/>
      <c r="BF260" s="86"/>
      <c r="BG260" s="87"/>
      <c r="BH260" s="87"/>
      <c r="BI260" s="86"/>
    </row>
    <row r="261" spans="1:89" ht="36" customHeight="1">
      <c r="D261" s="79" t="s">
        <v>2145</v>
      </c>
      <c r="E261" s="827" t="s">
        <v>2146</v>
      </c>
      <c r="F261" s="26" t="s">
        <v>252</v>
      </c>
      <c r="G261" s="26" t="s">
        <v>235</v>
      </c>
      <c r="H261" s="26" t="s">
        <v>2147</v>
      </c>
      <c r="I261" s="1334" t="s">
        <v>2148</v>
      </c>
      <c r="J261" s="29" t="s">
        <v>2149</v>
      </c>
      <c r="K261" s="29" t="s">
        <v>2150</v>
      </c>
      <c r="L261" s="29" t="s">
        <v>2151</v>
      </c>
      <c r="M261" s="29" t="s">
        <v>2152</v>
      </c>
      <c r="N261" s="29" t="s">
        <v>2153</v>
      </c>
      <c r="O261" s="1335" t="s">
        <v>2154</v>
      </c>
      <c r="P261" s="1334" t="s">
        <v>2148</v>
      </c>
      <c r="Q261" s="29" t="s">
        <v>2149</v>
      </c>
      <c r="R261" s="1335" t="s">
        <v>2150</v>
      </c>
      <c r="S261" s="1334" t="s">
        <v>2148</v>
      </c>
      <c r="T261" s="29" t="s">
        <v>2149</v>
      </c>
      <c r="U261" s="1335" t="s">
        <v>2150</v>
      </c>
      <c r="V261" s="730"/>
      <c r="W261" s="819" t="s">
        <v>1992</v>
      </c>
      <c r="X261" s="820" t="s">
        <v>2155</v>
      </c>
      <c r="Y261" s="819" t="s">
        <v>1993</v>
      </c>
      <c r="Z261" s="820" t="s">
        <v>2156</v>
      </c>
      <c r="AA261" s="819" t="s">
        <v>1994</v>
      </c>
      <c r="AB261" s="820" t="s">
        <v>2157</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c r="A262" t="str">
        <f>IF(Test_Bible!B192="","F","O")</f>
        <v>O</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2199</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12</v>
      </c>
      <c r="AK262" s="1476">
        <f>IF(OR(J262=11,A262="F"),0,G262*J262)</f>
        <v>30</v>
      </c>
      <c r="AL262" s="1476">
        <f>IF(OR(P262=11,A262="F"),0,G262*P262)</f>
        <v>6</v>
      </c>
      <c r="AM262" s="1476">
        <f>IF(OR(Q262=11,A262="F"),0,G262*Q262)</f>
        <v>21</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c r="B263" s="1517"/>
      <c r="C263" s="376" t="s">
        <v>1848</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6"/>
      <c r="CK263" s="2474"/>
    </row>
    <row r="264" spans="1:89" ht="51" customHeight="1">
      <c r="B264" s="1688"/>
      <c r="C264" s="704" t="s">
        <v>2159</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12</v>
      </c>
      <c r="AK264" s="1725">
        <f t="shared" si="35"/>
        <v>30</v>
      </c>
      <c r="AL264" s="1725">
        <f t="shared" si="35"/>
        <v>6</v>
      </c>
      <c r="AM264" s="1725">
        <f t="shared" si="35"/>
        <v>21</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8"/>
      <c r="CK264" s="2468"/>
    </row>
    <row r="265" spans="1:89" ht="48"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2200</v>
      </c>
      <c r="F265" s="703" t="str">
        <f>'Cpts AR +indép + Sommaire'!K40</f>
        <v>1</v>
      </c>
      <c r="G265" s="703">
        <f>'Cpts AR +indép + Sommaire'!L40</f>
        <v>2</v>
      </c>
      <c r="H265" s="703">
        <f>F265*G265</f>
        <v>2</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c r="B267" s="1686"/>
      <c r="C267" s="710" t="s">
        <v>2160</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2</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c r="B268" s="1686"/>
      <c r="C268" s="716" t="s">
        <v>2161</v>
      </c>
      <c r="D268" s="717"/>
      <c r="E268" s="717" t="str">
        <f>IF(H268=H264,E264,E267)</f>
        <v>Le nouveau conjoint.e demande à être appelé papa ou maman</v>
      </c>
      <c r="F268" s="718"/>
      <c r="G268" s="718"/>
      <c r="H268" s="718">
        <f>IF(AND(K264=TRUE,K267=FALSE),H264,IF(AND(K264=FALSE,K267=TRUE),H267,IF(AND(K264=TRUE,K267=TRUE),H264+H267,MAX(H264,H267))))</f>
        <v>2</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30</v>
      </c>
      <c r="AL268" s="587">
        <f>IF(AND($R264=TRUE,$R267=FALSE),AL264,IF(AND($R264=FALSE,$R267=TRUE),AL267,IF(AND($R264=TRUE,$R267=TRUE),AL264+AL267,MAX(AL264,AL267))))</f>
        <v>8</v>
      </c>
      <c r="AM268" s="587">
        <f>IF(AND($R264=TRUE,$R267=FALSE),AM264,IF(AND($R264=FALSE,$R267=TRUE),AM267,IF(AND($R264=TRUE,$R267=TRUE),AM264+AM267,MAX(AM264,AM267))))</f>
        <v>21</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2201</v>
      </c>
      <c r="F269" s="703" t="str">
        <f>'Cpts AR +indép + Sommaire'!Q40</f>
        <v>7</v>
      </c>
      <c r="G269" s="703">
        <f>'Cpts AR +indép + Sommaire'!R40</f>
        <v>3</v>
      </c>
      <c r="H269" s="703">
        <f>F269*G269</f>
        <v>21</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c r="A270" t="str">
        <f>IF(Test_Bible!B301="","F","O")</f>
        <v>O</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t="str">
        <f>'Cpts AR +indép + Sommaire'!Q41</f>
        <v>4</v>
      </c>
      <c r="G270" s="703">
        <f>'Cpts AR +indép + Sommaire'!R41</f>
        <v>1</v>
      </c>
      <c r="H270" s="703">
        <f>F270*G270</f>
        <v>4</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7</v>
      </c>
      <c r="AK270" s="1476">
        <f>IF(OR(J270=11,A270="F"),0,G270*J270)</f>
        <v>10</v>
      </c>
      <c r="AL270" s="1476">
        <f>IF(OR(P270=11,A270="F"),0,G270*P270)</f>
        <v>4</v>
      </c>
      <c r="AM270" s="1476">
        <f>IF(OR(Q270=11,A270="F"),0,G270*Q270)</f>
        <v>7</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c r="B271" s="1686"/>
      <c r="C271" s="721" t="s">
        <v>2164</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21</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2202</v>
      </c>
      <c r="CG271" s="7" t="s">
        <v>2076</v>
      </c>
      <c r="CJ271" s="698" t="s">
        <v>2203</v>
      </c>
      <c r="CK271" s="8" t="b">
        <v>1</v>
      </c>
    </row>
    <row r="272" spans="1:89" ht="34" customHeight="1">
      <c r="B272" s="1686"/>
      <c r="D272" s="383" t="s">
        <v>2165</v>
      </c>
      <c r="E272" s="699"/>
      <c r="F272" s="435" t="s">
        <v>2166</v>
      </c>
      <c r="G272" s="33"/>
      <c r="H272" s="33">
        <f>IF(AND(K268=TRUE,K271=FALSE),H268,IF(AND(K268=FALSE,K271=TRUE),H271,IF(AND(K268=TRUE,K271=TRUE),H268+H271,MAX(H268,H271))))</f>
        <v>21</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c r="B273" s="1686"/>
      <c r="C273" t="s">
        <v>1849</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2"/>
      <c r="M278" s="2552"/>
      <c r="N278" s="2552"/>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77" t="s">
        <v>1992</v>
      </c>
      <c r="J279" s="2468"/>
      <c r="K279" s="2468"/>
      <c r="L279" s="2581" t="s">
        <v>2144</v>
      </c>
      <c r="M279" s="2468"/>
      <c r="N279" s="2468"/>
      <c r="O279" s="2580"/>
      <c r="P279" s="2579" t="s">
        <v>1993</v>
      </c>
      <c r="Q279" s="2468"/>
      <c r="R279" s="2580"/>
      <c r="S279" s="2583" t="s">
        <v>1994</v>
      </c>
      <c r="T279" s="2468"/>
      <c r="U279" s="2580"/>
      <c r="V279" s="15"/>
      <c r="W279" s="809"/>
      <c r="X279" s="809"/>
      <c r="Y279" s="809"/>
      <c r="Z279" s="809"/>
      <c r="AA279" s="809"/>
      <c r="AB279" s="810"/>
      <c r="AD279" s="10"/>
      <c r="AE279" s="10"/>
      <c r="AF279" s="10"/>
      <c r="AG279" s="1372" t="s">
        <v>1992</v>
      </c>
      <c r="AH279" s="1372" t="s">
        <v>1993</v>
      </c>
      <c r="AI279" s="1372" t="s">
        <v>1994</v>
      </c>
      <c r="AJ279" s="2578" t="s">
        <v>1992</v>
      </c>
      <c r="AK279" s="2469"/>
      <c r="AL279" s="2578" t="s">
        <v>1993</v>
      </c>
      <c r="AM279" s="2469"/>
      <c r="AN279" s="2578" t="s">
        <v>1994</v>
      </c>
      <c r="AO279" s="2469"/>
      <c r="AY279" s="728"/>
      <c r="AZ279" s="728"/>
      <c r="BA279" s="87"/>
      <c r="BB279" s="438"/>
      <c r="BC279" s="89"/>
      <c r="BD279" s="442"/>
      <c r="BE279" s="442"/>
      <c r="BF279" s="89"/>
      <c r="BG279" s="443"/>
      <c r="BH279" s="443"/>
      <c r="BI279" s="439"/>
    </row>
    <row r="280" spans="1:78" ht="36" customHeight="1">
      <c r="D280" s="79" t="s">
        <v>2145</v>
      </c>
      <c r="E280" s="827" t="s">
        <v>2146</v>
      </c>
      <c r="F280" s="26" t="s">
        <v>252</v>
      </c>
      <c r="G280" s="26" t="s">
        <v>235</v>
      </c>
      <c r="H280" s="26" t="s">
        <v>2147</v>
      </c>
      <c r="I280" s="1334" t="s">
        <v>2148</v>
      </c>
      <c r="J280" s="29" t="s">
        <v>2149</v>
      </c>
      <c r="K280" s="29" t="s">
        <v>2150</v>
      </c>
      <c r="L280" s="29" t="s">
        <v>2151</v>
      </c>
      <c r="M280" s="29" t="s">
        <v>2152</v>
      </c>
      <c r="N280" s="29" t="s">
        <v>2153</v>
      </c>
      <c r="O280" s="1335" t="s">
        <v>2154</v>
      </c>
      <c r="P280" s="1334" t="s">
        <v>2148</v>
      </c>
      <c r="Q280" s="29" t="s">
        <v>2149</v>
      </c>
      <c r="R280" s="1335" t="s">
        <v>2150</v>
      </c>
      <c r="S280" s="1334" t="s">
        <v>2148</v>
      </c>
      <c r="T280" s="29" t="s">
        <v>2149</v>
      </c>
      <c r="U280" s="1335" t="s">
        <v>2150</v>
      </c>
      <c r="V280" s="730"/>
      <c r="W280" s="819" t="s">
        <v>1992</v>
      </c>
      <c r="X280" s="820" t="s">
        <v>2155</v>
      </c>
      <c r="Y280" s="819" t="s">
        <v>1993</v>
      </c>
      <c r="Z280" s="820" t="s">
        <v>2156</v>
      </c>
      <c r="AA280" s="819" t="s">
        <v>1994</v>
      </c>
      <c r="AB280" s="820" t="s">
        <v>2157</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2204</v>
      </c>
      <c r="F281" s="703" t="str">
        <f>'Cpts AR +indép + Sommaire'!E43</f>
        <v>7</v>
      </c>
      <c r="G281" s="703">
        <f>'Cpts AR +indép + Sommaire'!F43</f>
        <v>2</v>
      </c>
      <c r="H281" s="703">
        <f>F281*G281</f>
        <v>14</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c r="A282" t="str">
        <f>IF(Test_Bible!B194="","F","O")</f>
        <v>O</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2205</v>
      </c>
      <c r="F282" s="703" t="str">
        <f>'Cpts AR +indép + Sommaire'!E44</f>
        <v>2</v>
      </c>
      <c r="G282" s="703">
        <f>'Cpts AR +indép + Sommaire'!F44</f>
        <v>2</v>
      </c>
      <c r="H282" s="703">
        <f>F282*G282</f>
        <v>4</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8</v>
      </c>
      <c r="AK282" s="1476">
        <f>IF(OR(J282=11,A282="F"),0,G282*J282)</f>
        <v>20</v>
      </c>
      <c r="AL282" s="1476">
        <f>IF(OR(P282=11,A282="F"),0,G282*P282)</f>
        <v>0</v>
      </c>
      <c r="AM282" s="1476">
        <f>IF(OR(Q282=11,A282="F"),0,G282*Q282)</f>
        <v>0</v>
      </c>
      <c r="AN282" s="1476">
        <f>IF(OR(S282=11,A282="F"),0,S282*G282)</f>
        <v>4</v>
      </c>
      <c r="AO282" s="1476">
        <f>IF(OR(T282=11,A282="F"),0,T282*G282)</f>
        <v>14</v>
      </c>
      <c r="AY282" s="728"/>
      <c r="AZ282" s="728"/>
      <c r="BA282" s="87"/>
      <c r="BB282" s="438"/>
      <c r="BC282" s="89"/>
      <c r="BD282" s="442"/>
      <c r="BE282" s="442"/>
      <c r="BF282" s="89"/>
      <c r="BG282" s="443"/>
      <c r="BH282" s="443"/>
      <c r="BI282" s="439"/>
    </row>
    <row r="283" spans="1:78" ht="51" customHeight="1">
      <c r="B283" s="1688"/>
      <c r="C283" s="704" t="s">
        <v>2159</v>
      </c>
      <c r="D283" s="705"/>
      <c r="E283" s="706" t="str">
        <f>INDEX(E281:E282, MATCH(H283, H281:H282, 0), 1)</f>
        <v>impose des changements d'horaire sans consultation auprès de l'autre</v>
      </c>
      <c r="F283" s="707"/>
      <c r="G283" s="707"/>
      <c r="H283" s="707">
        <f>IF(AND(K281=TRUE,K282=FALSE),H281,IF(AND(K281=FALSE,K282=TRUE),H282,MAX(H281,H282)))</f>
        <v>14</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2206</v>
      </c>
      <c r="F284" s="703" t="str">
        <f>'Cpts AR +indép + Sommaire'!K43</f>
        <v>7</v>
      </c>
      <c r="G284" s="703">
        <f>'Cpts AR +indép + Sommaire'!L43</f>
        <v>2</v>
      </c>
      <c r="H284" s="703">
        <f>F284*G284</f>
        <v>14</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c r="B286" s="1686"/>
      <c r="C286" s="710" t="s">
        <v>2160</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14</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c r="B287" s="1686"/>
      <c r="C287" s="716" t="s">
        <v>2161</v>
      </c>
      <c r="D287" s="717"/>
      <c r="E287" s="717" t="str">
        <f>IF(H287=H283,E283,E286)</f>
        <v>impose des changements d'horaire sans consultation auprès de l'autre</v>
      </c>
      <c r="F287" s="718"/>
      <c r="G287" s="718"/>
      <c r="H287" s="718">
        <f>IF(AND(K283=TRUE,K286=FALSE),H283,IF(AND(K283=FALSE,K286=TRUE),H286,IF(AND(K283=TRUE,K286=TRUE),H283+H286,MAX(H283,H286))))</f>
        <v>14</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2207</v>
      </c>
      <c r="F288" s="703" t="str">
        <f>'Cpts AR +indép + Sommaire'!Q43</f>
        <v>7</v>
      </c>
      <c r="G288" s="703">
        <f>'Cpts AR +indép + Sommaire'!R43</f>
        <v>2</v>
      </c>
      <c r="H288" s="703">
        <f>F288*G288</f>
        <v>14</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2204</v>
      </c>
      <c r="F289" s="703">
        <f>'Cpts AR +indép + Sommaire'!Q44</f>
        <v>0</v>
      </c>
      <c r="G289" s="703">
        <f>'Cpts AR +indép + Sommaire'!R44</f>
        <v>2</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c r="B290" s="1686"/>
      <c r="C290" s="721" t="s">
        <v>2164</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14</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85" customHeight="1">
      <c r="B291" s="1686"/>
      <c r="D291" s="383" t="s">
        <v>2165</v>
      </c>
      <c r="E291" s="699"/>
      <c r="F291" s="435" t="s">
        <v>2166</v>
      </c>
      <c r="G291" s="33"/>
      <c r="H291" s="33">
        <f>IF(AND(K287=TRUE,K290=FALSE),H287,IF(AND(K287=FALSE,K290=TRUE),H290,IF(AND(K287=TRUE,K290=TRUE),H287+H290,MAX(H287,H290))))</f>
        <v>14</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9" customHeight="1">
      <c r="B292" s="1686"/>
      <c r="C292" t="s">
        <v>1849</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2"/>
      <c r="M297" s="2552"/>
      <c r="N297" s="2552"/>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77" t="s">
        <v>1992</v>
      </c>
      <c r="J298" s="2468"/>
      <c r="K298" s="2468"/>
      <c r="L298" s="2581" t="s">
        <v>2144</v>
      </c>
      <c r="M298" s="2468"/>
      <c r="N298" s="2468"/>
      <c r="O298" s="2580"/>
      <c r="P298" s="2579" t="s">
        <v>1993</v>
      </c>
      <c r="Q298" s="2468"/>
      <c r="R298" s="2580"/>
      <c r="S298" s="2583" t="s">
        <v>1994</v>
      </c>
      <c r="T298" s="2468"/>
      <c r="U298" s="2580"/>
      <c r="V298" s="15"/>
      <c r="W298" s="809"/>
      <c r="X298" s="809"/>
      <c r="Y298" s="809"/>
      <c r="Z298" s="809"/>
      <c r="AA298" s="809"/>
      <c r="AB298" s="810"/>
      <c r="AD298" s="10"/>
      <c r="AE298" s="10"/>
      <c r="AF298" s="10"/>
      <c r="AG298" s="1372" t="s">
        <v>1992</v>
      </c>
      <c r="AH298" s="1372" t="s">
        <v>1993</v>
      </c>
      <c r="AI298" s="1372" t="s">
        <v>1994</v>
      </c>
      <c r="AJ298" s="2578" t="s">
        <v>1992</v>
      </c>
      <c r="AK298" s="2469"/>
      <c r="AL298" s="2578" t="s">
        <v>1993</v>
      </c>
      <c r="AM298" s="2469"/>
      <c r="AN298" s="2578" t="s">
        <v>1994</v>
      </c>
      <c r="AO298" s="2469"/>
      <c r="AY298" s="728"/>
      <c r="AZ298" s="728"/>
      <c r="BA298" s="87"/>
      <c r="BB298" s="438"/>
      <c r="BC298" s="89"/>
      <c r="BD298" s="442"/>
      <c r="BE298" s="442"/>
      <c r="BF298" s="89"/>
      <c r="BG298" s="443"/>
      <c r="BH298" s="443"/>
      <c r="BI298" s="439"/>
    </row>
    <row r="299" spans="1:78" ht="36" customHeight="1">
      <c r="D299" s="79" t="s">
        <v>2145</v>
      </c>
      <c r="E299" s="827" t="s">
        <v>2146</v>
      </c>
      <c r="F299" s="26" t="s">
        <v>252</v>
      </c>
      <c r="G299" s="26" t="s">
        <v>235</v>
      </c>
      <c r="H299" s="26" t="s">
        <v>2147</v>
      </c>
      <c r="I299" s="1334" t="s">
        <v>2148</v>
      </c>
      <c r="J299" s="29" t="s">
        <v>2149</v>
      </c>
      <c r="K299" s="29" t="s">
        <v>2150</v>
      </c>
      <c r="L299" s="29" t="s">
        <v>2151</v>
      </c>
      <c r="M299" s="29" t="s">
        <v>2152</v>
      </c>
      <c r="N299" s="29" t="s">
        <v>2153</v>
      </c>
      <c r="O299" s="1335" t="s">
        <v>2154</v>
      </c>
      <c r="P299" s="1334" t="s">
        <v>2148</v>
      </c>
      <c r="Q299" s="29" t="s">
        <v>2149</v>
      </c>
      <c r="R299" s="1335" t="s">
        <v>2150</v>
      </c>
      <c r="S299" s="1334" t="s">
        <v>2148</v>
      </c>
      <c r="T299" s="29" t="s">
        <v>2149</v>
      </c>
      <c r="U299" s="1335" t="s">
        <v>2150</v>
      </c>
      <c r="V299" s="730"/>
      <c r="W299" s="819" t="s">
        <v>1992</v>
      </c>
      <c r="X299" s="820" t="s">
        <v>2155</v>
      </c>
      <c r="Y299" s="819" t="s">
        <v>1993</v>
      </c>
      <c r="Z299" s="820" t="s">
        <v>2156</v>
      </c>
      <c r="AA299" s="819" t="s">
        <v>1994</v>
      </c>
      <c r="AB299" s="820" t="s">
        <v>2157</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c r="A300" t="str">
        <f>IF(Test_Bible!B195="","F","O")</f>
        <v>O</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2208</v>
      </c>
      <c r="F300" s="703" t="str">
        <f>'Cpts AR +indép + Sommaire'!E46</f>
        <v>4</v>
      </c>
      <c r="G300" s="703">
        <f>'Cpts AR +indép + Sommaire'!F46</f>
        <v>2</v>
      </c>
      <c r="H300" s="703">
        <f>F300*G300</f>
        <v>8</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8</v>
      </c>
      <c r="AK300" s="1476">
        <f>IF(OR(J300=11,A300="F"),0,G300*J300)</f>
        <v>20</v>
      </c>
      <c r="AL300" s="1476">
        <f>IF(OR(P300=11,A300="F"),0,G300*P300)</f>
        <v>8</v>
      </c>
      <c r="AM300" s="1476">
        <f>IF(OR(Q300=11,A300="F"),0,G300*Q300)</f>
        <v>14</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c r="A301" t="str">
        <f>IF(Test_Bible!B196="","F","O")</f>
        <v>O</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2209</v>
      </c>
      <c r="F301" s="703" t="str">
        <f>'Cpts AR +indép + Sommaire'!E47</f>
        <v>2</v>
      </c>
      <c r="G301" s="703">
        <f>'Cpts AR +indép + Sommaire'!F47</f>
        <v>3</v>
      </c>
      <c r="H301" s="703">
        <f>F301*G301</f>
        <v>6</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6</v>
      </c>
      <c r="AK301" s="1476">
        <f>IF(OR(J301=11,A301="F"),0,G301*J301)</f>
        <v>30</v>
      </c>
      <c r="AL301" s="1476">
        <f>IF(OR(P301=11,A301="F"),0,G301*P301)</f>
        <v>12</v>
      </c>
      <c r="AM301" s="1476">
        <f>IF(OR(Q301=11,A301="F"),0,G301*Q301)</f>
        <v>21</v>
      </c>
      <c r="AN301" s="1476">
        <f>IF(OR(S301=11,A301="F"),0,S301*G301)</f>
        <v>12</v>
      </c>
      <c r="AO301" s="1476">
        <f>IF(OR(T301=11,A301="F"),0,T301*G301)</f>
        <v>21</v>
      </c>
      <c r="AY301" s="728"/>
      <c r="AZ301" s="728"/>
      <c r="BA301" s="87"/>
      <c r="BB301" s="438"/>
      <c r="BC301" s="89"/>
      <c r="BD301" s="442"/>
      <c r="BE301" s="442"/>
      <c r="BF301" s="89"/>
      <c r="BG301" s="443"/>
      <c r="BH301" s="443"/>
      <c r="BI301" s="439"/>
    </row>
    <row r="302" spans="1:78" ht="51" customHeight="1">
      <c r="B302" s="1688"/>
      <c r="C302" s="704" t="s">
        <v>2159</v>
      </c>
      <c r="D302" s="705" t="str">
        <f>INDEX(D300:D301, MATCH(H302, H300:H301, 0), 1)</f>
        <v>Arrive-t-il que l’autre parent organise et propose des activités à votre enfant sur votre temps de garde ?</v>
      </c>
      <c r="E302" s="706" t="str">
        <f>INDEX(E300:E301, MATCH(H302, H300:H301, 0), 1)</f>
        <v>organise des activités hors de son temps de garde</v>
      </c>
      <c r="F302" s="707"/>
      <c r="G302" s="707"/>
      <c r="H302" s="707">
        <f>IF(AND(K300=TRUE,K301=FALSE),H300,IF(AND(K300=FALSE,K301=TRUE),H301,MAX(H300,H301)))</f>
        <v>8</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8</v>
      </c>
      <c r="AK302" s="1725">
        <f t="shared" si="39"/>
        <v>30</v>
      </c>
      <c r="AL302" s="1725">
        <f t="shared" si="39"/>
        <v>12</v>
      </c>
      <c r="AM302" s="1725">
        <f t="shared" si="39"/>
        <v>21</v>
      </c>
      <c r="AN302" s="1725">
        <f t="shared" si="39"/>
        <v>12</v>
      </c>
      <c r="AO302" s="1725">
        <f t="shared" si="39"/>
        <v>21</v>
      </c>
      <c r="AY302" s="728"/>
      <c r="AZ302" s="728"/>
      <c r="BA302" s="87"/>
      <c r="BB302" s="438"/>
      <c r="BC302" s="89"/>
      <c r="BD302" s="442"/>
      <c r="BE302" s="442"/>
      <c r="BF302" s="89"/>
      <c r="BG302" s="443"/>
      <c r="BH302" s="443"/>
      <c r="BI302" s="439"/>
    </row>
    <row r="303" spans="1:78" ht="51" customHeight="1">
      <c r="A303" t="str">
        <f>IF(Test_Bible!B418="","F","O")</f>
        <v>O</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2210</v>
      </c>
      <c r="F303" s="703" t="str">
        <f>'Cpts AR +indép + Sommaire'!K46</f>
        <v>4</v>
      </c>
      <c r="G303" s="703">
        <f>'Cpts AR +indép + Sommaire'!L46</f>
        <v>2</v>
      </c>
      <c r="H303" s="703">
        <f>F303*G303</f>
        <v>8</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8</v>
      </c>
      <c r="AK303" s="1476">
        <f>IF(OR(J303=11,A303="F"),0,G303*J303)</f>
        <v>20</v>
      </c>
      <c r="AL303" s="1476">
        <f>IF(OR(P303=11,A303="F"),0,G303*P303)</f>
        <v>0</v>
      </c>
      <c r="AM303" s="1476">
        <f>IF(OR(Q303=11,A303="F"),0,G303*Q303)</f>
        <v>0</v>
      </c>
      <c r="AN303" s="1476">
        <f>IF(OR(S303=11,A303="F"),0,S303*G303)</f>
        <v>8</v>
      </c>
      <c r="AO303" s="1476">
        <f>IF(OR(T303=11,A303="F"),0,T303*G303)</f>
        <v>20</v>
      </c>
      <c r="AY303" s="728"/>
      <c r="AZ303" s="728"/>
      <c r="BA303" s="87"/>
      <c r="BB303" s="438"/>
      <c r="BC303" s="89"/>
      <c r="BD303" s="442"/>
      <c r="BE303" s="442"/>
      <c r="BF303" s="89"/>
      <c r="BG303" s="443"/>
      <c r="BH303" s="443"/>
      <c r="BI303" s="439"/>
    </row>
    <row r="304" spans="1:78" ht="19" customHeight="1">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c r="B305" s="1686"/>
      <c r="C305" s="710" t="s">
        <v>2160</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8</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8</v>
      </c>
      <c r="AK305" s="1725">
        <f t="shared" si="40"/>
        <v>20</v>
      </c>
      <c r="AL305" s="1725">
        <f t="shared" si="40"/>
        <v>0</v>
      </c>
      <c r="AM305" s="1725">
        <f t="shared" si="40"/>
        <v>0</v>
      </c>
      <c r="AN305" s="1725">
        <f t="shared" si="40"/>
        <v>8</v>
      </c>
      <c r="AO305" s="1725">
        <f t="shared" si="40"/>
        <v>20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c r="B306" s="1686"/>
      <c r="C306" s="716" t="s">
        <v>2161</v>
      </c>
      <c r="D306" s="717"/>
      <c r="E306" s="717" t="str">
        <f>IF(H306=H302,E302,E305)</f>
        <v>organise des activités hors de son temps de garde</v>
      </c>
      <c r="F306" s="718"/>
      <c r="G306" s="718"/>
      <c r="H306" s="718">
        <f>IF(AND(K302=TRUE,K305=FALSE),H302,IF(AND(K302=FALSE,K305=TRUE),H305,IF(AND(K302=TRUE,K305=TRUE),H302+H305,MAX(H302,H305))))</f>
        <v>8</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8</v>
      </c>
      <c r="AK306" s="587">
        <f>IF(AND($K302=TRUE,$K305=FALSE),AK302,IF(AND($K302=FALSE,$K305=TRUE),AK305,IF(AND($K302=TRUE,$K305=TRUE),AK302+AK305,MAX(AK302,AK305))))</f>
        <v>30</v>
      </c>
      <c r="AL306" s="587">
        <f>IF(AND($R302=TRUE,$R305=FALSE),AL302,IF(AND($R302=FALSE,$R305=TRUE),AL305,IF(AND($R302=TRUE,$R305=TRUE),AL302+AL305,MAX(AL302,AL305))))</f>
        <v>12</v>
      </c>
      <c r="AM306" s="587">
        <f>IF(AND($R302=TRUE,$R305=FALSE),AM302,IF(AND($R302=FALSE,$R305=TRUE),AM305,IF(AND($R302=TRUE,$R305=TRUE),AM302+AM305,MAX(AM302,AM305))))</f>
        <v>21</v>
      </c>
      <c r="AN306" s="587">
        <f>IF(AND($U302=TRUE,$U305=FALSE),AN302,IF(AND($U302=FALSE,$U305=TRUE),AN305,IF(AND($U302=TRUE,$U305=TRUE),AN302+AN305,MAX(AN302,AN305))))</f>
        <v>12</v>
      </c>
      <c r="AO306" s="587">
        <f>IF(AND($U302=TRUE,$U305=FALSE),AO302,IF(AND($U302=FALSE,$U305=TRUE),AO305,IF(AND($U302=TRUE,$U305=TRUE),AO302+AO305,MAX(AO302,AO305))))</f>
        <v>21</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2211</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2212</v>
      </c>
      <c r="F308" s="703">
        <f>'Cpts AR +indép + Sommaire'!Q47</f>
        <v>0</v>
      </c>
      <c r="G308" s="703">
        <f>'Cpts AR +indép + Sommaire'!R47</f>
        <v>2</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c r="B309" s="1686"/>
      <c r="C309" s="721" t="s">
        <v>2164</v>
      </c>
      <c r="D309" s="722" t="str">
        <f>INDEX(D307:D308, MATCH(H309, H307:H308, 0), 1)</f>
        <v>Arrive-t-il à votre enfant de changer d’idée concernant une activité prévue à l’horaire avec vous ?  D’abord enthousiaste, votre enfant trouve subitement (dernière minute) des excuses pour ne pas participer à l’activité ?</v>
      </c>
      <c r="E309" s="722" t="str">
        <f>INDEX(E307:E308, MATCH(H309, H307:H308, 0), 1)</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4" customHeight="1">
      <c r="B310" s="1686"/>
      <c r="D310" s="383" t="s">
        <v>2165</v>
      </c>
      <c r="E310" s="699"/>
      <c r="F310" s="435" t="s">
        <v>2166</v>
      </c>
      <c r="G310" s="33"/>
      <c r="H310" s="33">
        <f>IF(AND(K306=TRUE,K309=FALSE),H306,IF(AND(K306=FALSE,K309=TRUE),H309,IF(AND(K306=TRUE,K309=TRUE),H306+H309,MAX(H306,H309))))</f>
        <v>8</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9" customHeight="1">
      <c r="B311" s="1686"/>
      <c r="C311" t="s">
        <v>1849</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2"/>
      <c r="M316" s="2552"/>
      <c r="N316" s="2552"/>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77" t="s">
        <v>1992</v>
      </c>
      <c r="J317" s="2468"/>
      <c r="K317" s="2468"/>
      <c r="L317" s="2581" t="s">
        <v>2144</v>
      </c>
      <c r="M317" s="2468"/>
      <c r="N317" s="2468"/>
      <c r="O317" s="2580"/>
      <c r="P317" s="2579" t="s">
        <v>1993</v>
      </c>
      <c r="Q317" s="2468"/>
      <c r="R317" s="2580"/>
      <c r="S317" s="2583" t="s">
        <v>1994</v>
      </c>
      <c r="T317" s="2468"/>
      <c r="U317" s="2580"/>
      <c r="V317" s="15"/>
      <c r="W317" s="809"/>
      <c r="X317" s="809"/>
      <c r="Y317" s="809"/>
      <c r="Z317" s="809"/>
      <c r="AA317" s="809"/>
      <c r="AB317" s="810"/>
      <c r="AD317" s="10"/>
      <c r="AE317" s="10"/>
      <c r="AF317" s="10"/>
      <c r="AG317" s="1372" t="s">
        <v>1992</v>
      </c>
      <c r="AH317" s="1372" t="s">
        <v>1993</v>
      </c>
      <c r="AI317" s="1372" t="s">
        <v>1994</v>
      </c>
      <c r="AJ317" s="2578" t="s">
        <v>1992</v>
      </c>
      <c r="AK317" s="2469"/>
      <c r="AL317" s="2578" t="s">
        <v>1993</v>
      </c>
      <c r="AM317" s="2469"/>
      <c r="AN317" s="2578" t="s">
        <v>1994</v>
      </c>
      <c r="AO317" s="2469"/>
      <c r="AY317" s="728"/>
      <c r="AZ317" s="728"/>
      <c r="BA317" s="87"/>
      <c r="BB317" s="438"/>
      <c r="BC317" s="89"/>
      <c r="BD317" s="442"/>
      <c r="BE317" s="442"/>
      <c r="BF317" s="89"/>
      <c r="BG317" s="443"/>
      <c r="BH317" s="443"/>
      <c r="BI317" s="439"/>
    </row>
    <row r="318" spans="1:78" ht="36" customHeight="1">
      <c r="D318" s="79" t="s">
        <v>2145</v>
      </c>
      <c r="E318" s="827" t="s">
        <v>2146</v>
      </c>
      <c r="F318" s="26" t="s">
        <v>252</v>
      </c>
      <c r="G318" s="26" t="s">
        <v>235</v>
      </c>
      <c r="H318" s="26" t="s">
        <v>2147</v>
      </c>
      <c r="I318" s="1334" t="s">
        <v>2148</v>
      </c>
      <c r="J318" s="29" t="s">
        <v>2149</v>
      </c>
      <c r="K318" s="29" t="s">
        <v>2150</v>
      </c>
      <c r="L318" s="29" t="s">
        <v>2151</v>
      </c>
      <c r="M318" s="29" t="s">
        <v>2152</v>
      </c>
      <c r="N318" s="29" t="s">
        <v>2153</v>
      </c>
      <c r="O318" s="1335" t="s">
        <v>2154</v>
      </c>
      <c r="P318" s="1334" t="s">
        <v>2148</v>
      </c>
      <c r="Q318" s="29" t="s">
        <v>2149</v>
      </c>
      <c r="R318" s="1335" t="s">
        <v>2150</v>
      </c>
      <c r="S318" s="1334" t="s">
        <v>2148</v>
      </c>
      <c r="T318" s="29" t="s">
        <v>2149</v>
      </c>
      <c r="U318" s="1335" t="s">
        <v>2150</v>
      </c>
      <c r="V318" s="730"/>
      <c r="W318" s="819" t="s">
        <v>1992</v>
      </c>
      <c r="X318" s="820" t="s">
        <v>2155</v>
      </c>
      <c r="Y318" s="819" t="s">
        <v>1993</v>
      </c>
      <c r="Z318" s="820" t="s">
        <v>2156</v>
      </c>
      <c r="AA318" s="819" t="s">
        <v>1994</v>
      </c>
      <c r="AB318" s="820" t="s">
        <v>2157</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2213</v>
      </c>
      <c r="F319" s="703" t="str">
        <f>'Cpts AR +indép + Sommaire'!E49</f>
        <v>2</v>
      </c>
      <c r="G319" s="703">
        <f>'Cpts AR +indép + Sommaire'!F49</f>
        <v>3</v>
      </c>
      <c r="H319" s="703">
        <f>F319*G319</f>
        <v>6</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21</v>
      </c>
      <c r="AK319" s="1476">
        <f>IF(OR(J319=11,A319="F"),0,G319*J319)</f>
        <v>30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c r="B320" s="1517"/>
      <c r="C320" s="376" t="s">
        <v>1848</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c r="B321" s="1688"/>
      <c r="C321" s="704" t="s">
        <v>2159</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6</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21</v>
      </c>
      <c r="AK321" s="1725">
        <f t="shared" si="41"/>
        <v>30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c r="A322" t="str">
        <f>IF(Test_Bible!B422="","F","O")</f>
        <v>O</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2214</v>
      </c>
      <c r="F322" s="703" t="str">
        <f>'Cpts AR +indép + Sommaire'!K49</f>
        <v>4</v>
      </c>
      <c r="G322" s="703">
        <f>'Cpts AR +indép + Sommaire'!L49</f>
        <v>3</v>
      </c>
      <c r="H322" s="703">
        <f>F322*G322</f>
        <v>12</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12</v>
      </c>
      <c r="AK322" s="1476">
        <f>IF(OR(J322=11,A322="F"),0,G322*J322)</f>
        <v>30</v>
      </c>
      <c r="AL322" s="1476">
        <f>IF(OR(P322=11,A322="F"),0,G322*P322)</f>
        <v>21</v>
      </c>
      <c r="AM322" s="1476">
        <f>IF(OR(Q322=11,A322="F"),0,G322*Q322)</f>
        <v>30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c r="B324" s="1686"/>
      <c r="C324" s="710" t="s">
        <v>2160</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12</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12</v>
      </c>
      <c r="AK324" s="1725">
        <f t="shared" si="42"/>
        <v>30</v>
      </c>
      <c r="AL324" s="1725">
        <f t="shared" si="42"/>
        <v>21</v>
      </c>
      <c r="AM324" s="1725">
        <f t="shared" si="42"/>
        <v>30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c r="B325" s="1686"/>
      <c r="C325" s="716" t="s">
        <v>2161</v>
      </c>
      <c r="D325" s="717"/>
      <c r="E325" s="717" t="str">
        <f>IF(H325=H321,E321,E324)</f>
        <v>Le nouveau conjoint.e impose sa présence régulièrement durant votre temps de garde</v>
      </c>
      <c r="F325" s="718"/>
      <c r="G325" s="718"/>
      <c r="H325" s="718">
        <f>IF(AND(K321=TRUE,K324=FALSE),H321,IF(AND(K321=FALSE,K324=TRUE),H324,IF(AND(K321=TRUE,K324=TRUE),H321+H324,MAX(H321,H324))))</f>
        <v>12</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21</v>
      </c>
      <c r="AK325" s="587">
        <f>IF(AND($K321=TRUE,$K324=FALSE),AK321,IF(AND($K321=FALSE,$K324=TRUE),AK324,IF(AND($K321=TRUE,$K324=TRUE),AK321+AK324,MAX(AK321,AK324))))</f>
        <v>30</v>
      </c>
      <c r="AL325" s="587">
        <f>IF(AND($R321=TRUE,$R324=FALSE),AL321,IF(AND($R321=FALSE,$R324=TRUE),AL324,IF(AND($R321=TRUE,$R324=TRUE),AL321+AL324,MAX(AL321,AL324))))</f>
        <v>21</v>
      </c>
      <c r="AM325" s="587">
        <f>IF(AND($R321=TRUE,$R324=FALSE),AM321,IF(AND($R321=FALSE,$R324=TRUE),AM324,IF(AND($R321=TRUE,$R324=TRUE),AM321+AM324,MAX(AM321,AM324))))</f>
        <v>30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2215</v>
      </c>
      <c r="F326" s="703" t="str">
        <f>'Cpts AR +indép + Sommaire'!Q49</f>
        <v>7</v>
      </c>
      <c r="G326" s="703">
        <f>'Cpts AR +indép + Sommaire'!R49</f>
        <v>2</v>
      </c>
      <c r="H326" s="703">
        <f>F326*G326</f>
        <v>14</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c r="B327" s="1686"/>
      <c r="C327" s="287" t="s">
        <v>2175</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c r="B328" s="1686"/>
      <c r="C328" s="721" t="s">
        <v>2164</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14</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8" customHeight="1">
      <c r="B329" s="1686"/>
      <c r="D329" s="383" t="s">
        <v>2165</v>
      </c>
      <c r="E329" s="699"/>
      <c r="F329" s="435" t="s">
        <v>2166</v>
      </c>
      <c r="G329" s="33"/>
      <c r="H329" s="33">
        <f>IF(AND(K325=TRUE,K328=FALSE),H325,IF(AND(K325=FALSE,K328=TRUE),H328,IF(AND(K325=TRUE,K328=TRUE),H325+H328,MAX(H325,H328))))</f>
        <v>14</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9" customHeight="1">
      <c r="B330" s="1686"/>
      <c r="C330" t="s">
        <v>1849</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t="str">
        <f>'Cpts AR +indép + Sommaire'!W49</f>
        <v>4</v>
      </c>
      <c r="G331" s="822">
        <f>'Cpts AR +indép + Sommaire'!X49</f>
        <v>3</v>
      </c>
      <c r="H331" s="822">
        <f>F331*G331</f>
        <v>12</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21</v>
      </c>
      <c r="AK331" s="1476">
        <f>IF(OR(J331=11,A331="F"),0,G331*J331)</f>
        <v>30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c r="B333" s="1686"/>
      <c r="D333" s="16"/>
      <c r="E333" s="16"/>
      <c r="F333" s="67"/>
      <c r="G333" s="434"/>
      <c r="H333" s="33">
        <f>IF(AND(K331=TRUE,K332=FALSE),H331,IF(AND(K331=FALSE,K332=TRUE),H332,MAX(H331,H332)))</f>
        <v>12</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21</v>
      </c>
      <c r="AK333" s="1728">
        <f>IF(AND($K331=TRUE,$K332=FALSE),AK331,IF(AND($K331=FALSE,$K332=TRUE),AK332,MAX(AK331,AK332)))</f>
        <v>30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2"/>
      <c r="M335" s="2552"/>
      <c r="N335" s="2552"/>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77" t="s">
        <v>1992</v>
      </c>
      <c r="J336" s="2468"/>
      <c r="K336" s="2468"/>
      <c r="L336" s="2581" t="s">
        <v>2144</v>
      </c>
      <c r="M336" s="2468"/>
      <c r="N336" s="2468"/>
      <c r="O336" s="2580"/>
      <c r="P336" s="2579" t="s">
        <v>1993</v>
      </c>
      <c r="Q336" s="2468"/>
      <c r="R336" s="2580"/>
      <c r="S336" s="2583" t="s">
        <v>1994</v>
      </c>
      <c r="T336" s="2468"/>
      <c r="U336" s="2580"/>
      <c r="V336" s="15"/>
      <c r="W336" s="809"/>
      <c r="X336" s="809"/>
      <c r="Y336" s="809"/>
      <c r="Z336" s="809"/>
      <c r="AA336" s="809"/>
      <c r="AB336" s="810"/>
      <c r="AD336" s="10"/>
      <c r="AE336" s="10"/>
      <c r="AF336" s="10"/>
      <c r="AG336" s="1372" t="s">
        <v>1992</v>
      </c>
      <c r="AH336" s="1372" t="s">
        <v>1993</v>
      </c>
      <c r="AI336" s="1372" t="s">
        <v>1994</v>
      </c>
      <c r="AJ336" s="2578" t="s">
        <v>1992</v>
      </c>
      <c r="AK336" s="2469"/>
      <c r="AL336" s="2578" t="s">
        <v>1993</v>
      </c>
      <c r="AM336" s="2469"/>
      <c r="AN336" s="2578" t="s">
        <v>1994</v>
      </c>
      <c r="AO336" s="2469"/>
      <c r="AY336" s="728"/>
      <c r="AZ336" s="728"/>
      <c r="BA336" s="87"/>
      <c r="BB336" s="438"/>
      <c r="BC336" s="89"/>
      <c r="BD336" s="442"/>
      <c r="BE336" s="442"/>
      <c r="BF336" s="89"/>
      <c r="BG336" s="443"/>
      <c r="BH336" s="443"/>
      <c r="BI336" s="439"/>
    </row>
    <row r="337" spans="1:78" ht="36" customHeight="1">
      <c r="D337" s="79" t="s">
        <v>2145</v>
      </c>
      <c r="E337" s="827" t="s">
        <v>2146</v>
      </c>
      <c r="F337" s="26" t="s">
        <v>252</v>
      </c>
      <c r="G337" s="26" t="s">
        <v>235</v>
      </c>
      <c r="H337" s="26" t="s">
        <v>2147</v>
      </c>
      <c r="I337" s="1334" t="s">
        <v>2148</v>
      </c>
      <c r="J337" s="29" t="s">
        <v>2149</v>
      </c>
      <c r="K337" s="29" t="s">
        <v>2150</v>
      </c>
      <c r="L337" s="29" t="s">
        <v>2151</v>
      </c>
      <c r="M337" s="29" t="s">
        <v>2152</v>
      </c>
      <c r="N337" s="29" t="s">
        <v>2153</v>
      </c>
      <c r="O337" s="1335" t="s">
        <v>2154</v>
      </c>
      <c r="P337" s="1334" t="s">
        <v>2148</v>
      </c>
      <c r="Q337" s="29" t="s">
        <v>2149</v>
      </c>
      <c r="R337" s="1335" t="s">
        <v>2150</v>
      </c>
      <c r="S337" s="1334" t="s">
        <v>2148</v>
      </c>
      <c r="T337" s="29" t="s">
        <v>2149</v>
      </c>
      <c r="U337" s="1335" t="s">
        <v>2150</v>
      </c>
      <c r="V337" s="730"/>
      <c r="W337" s="819" t="s">
        <v>1992</v>
      </c>
      <c r="X337" s="820" t="s">
        <v>2155</v>
      </c>
      <c r="Y337" s="819" t="s">
        <v>1993</v>
      </c>
      <c r="Z337" s="820" t="s">
        <v>2156</v>
      </c>
      <c r="AA337" s="819" t="s">
        <v>1994</v>
      </c>
      <c r="AB337" s="820" t="s">
        <v>2157</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2216</v>
      </c>
      <c r="F338" s="703" t="str">
        <f>'Cpts AR +indép + Sommaire'!E51</f>
        <v>2</v>
      </c>
      <c r="G338" s="703">
        <f>'Cpts AR +indép + Sommaire'!F51</f>
        <v>1</v>
      </c>
      <c r="H338" s="703">
        <f>F338*G338</f>
        <v>2</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c r="A339" t="str">
        <f>IF(Test_Bible!B202="","F","O")</f>
        <v>O</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2217</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8</v>
      </c>
      <c r="AK339" s="1476">
        <f>IF(OR(J339=11,A339="F"),0,G339*J339)</f>
        <v>20</v>
      </c>
      <c r="AL339" s="1476">
        <f>IF(OR(P339=11,A339="F"),0,G339*P339)</f>
        <v>0</v>
      </c>
      <c r="AM339" s="1476">
        <f>IF(OR(Q339=11,A339="F"),0,G339*Q339)</f>
        <v>0</v>
      </c>
      <c r="AN339" s="1476">
        <f>IF(OR(S339=11,A339="F"),0,S339*G339)</f>
        <v>8</v>
      </c>
      <c r="AO339" s="1476">
        <f>IF(OR(T339=11,A339="F"),0,T339*G339)</f>
        <v>14</v>
      </c>
      <c r="AY339" s="728"/>
      <c r="AZ339" s="728"/>
      <c r="BA339" s="87"/>
      <c r="BB339" s="438"/>
      <c r="BC339" s="89"/>
      <c r="BD339" s="442"/>
      <c r="BE339" s="442"/>
      <c r="BF339" s="89"/>
      <c r="BG339" s="443"/>
      <c r="BH339" s="443"/>
      <c r="BI339" s="439"/>
    </row>
    <row r="340" spans="1:78" ht="51" customHeight="1">
      <c r="B340" s="1688"/>
      <c r="C340" s="704" t="s">
        <v>2159</v>
      </c>
      <c r="D340" s="705" t="str">
        <f>INDEX(D338:D339, MATCH(H340, H338:H339, 0), 1)</f>
        <v>Il est facile de communiquer avec votre enfant lorsqu’il est chez l’autre parent.</v>
      </c>
      <c r="E340" s="706" t="str">
        <f>INDEX(E338:E339, MATCH(H340, H338:H339, 0), 1)</f>
        <v>complique les communications avec votre enfant</v>
      </c>
      <c r="F340" s="707"/>
      <c r="G340" s="707"/>
      <c r="H340" s="707">
        <f>IF(AND(K338=TRUE,K339=FALSE),H338,IF(AND(K338=FALSE,K339=TRUE),H339,MAX(H338,H339)))</f>
        <v>2</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8</v>
      </c>
      <c r="AK340" s="1725">
        <f t="shared" si="43"/>
        <v>20</v>
      </c>
      <c r="AL340" s="1725">
        <f t="shared" si="43"/>
        <v>0</v>
      </c>
      <c r="AM340" s="1725">
        <f t="shared" si="43"/>
        <v>0</v>
      </c>
      <c r="AN340" s="1725">
        <f t="shared" si="43"/>
        <v>8</v>
      </c>
      <c r="AO340" s="1725">
        <f t="shared" si="43"/>
        <v>14</v>
      </c>
      <c r="AY340" s="728"/>
      <c r="AZ340" s="728"/>
      <c r="BA340" s="87"/>
      <c r="BB340" s="438"/>
      <c r="BC340" s="89"/>
      <c r="BD340" s="442"/>
      <c r="BE340" s="442"/>
      <c r="BF340" s="89"/>
      <c r="BG340" s="443"/>
      <c r="BH340" s="443"/>
      <c r="BI340" s="439"/>
    </row>
    <row r="341" spans="1:78" ht="51"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2218</v>
      </c>
      <c r="F341" s="703" t="str">
        <f>'Cpts AR +indép + Sommaire'!K52</f>
        <v>4</v>
      </c>
      <c r="G341" s="703">
        <f>'Cpts AR +indép + Sommaire'!L52</f>
        <v>2</v>
      </c>
      <c r="H341" s="703">
        <f>F341*G341</f>
        <v>8</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c r="B343" s="1686"/>
      <c r="C343" s="710" t="s">
        <v>2160</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8</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c r="B344" s="1686"/>
      <c r="C344" s="716" t="s">
        <v>2161</v>
      </c>
      <c r="D344" s="717"/>
      <c r="E344" s="717" t="str">
        <f>IF(H344=H340,E340,E343)</f>
        <v>Le nouveau conjoint.e contrôle et écourte les conversations téléphoniques</v>
      </c>
      <c r="F344" s="718"/>
      <c r="G344" s="718"/>
      <c r="H344" s="718">
        <f>IF(AND(K340=TRUE,K343=FALSE),H340,IF(AND(K340=FALSE,K343=TRUE),H343,IF(AND(K340=TRUE,K343=TRUE),H340+H343,MAX(H340,H343))))</f>
        <v>8</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8</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2219</v>
      </c>
      <c r="F345" s="703" t="str">
        <f>'Cpts AR +indép + Sommaire'!Q51</f>
        <v>7</v>
      </c>
      <c r="G345" s="703">
        <f>'Cpts AR +indép + Sommaire'!R51</f>
        <v>2</v>
      </c>
      <c r="H345" s="703">
        <f>F345*G345</f>
        <v>14</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c r="A346" t="str">
        <f>IF(Test_Bible!B329="","F","O")</f>
        <v>O</v>
      </c>
      <c r="B346" s="1686"/>
      <c r="C346" s="287" t="str">
        <f>'Cpts AR +indép + Sommaire'!O52</f>
        <v>E34</v>
      </c>
      <c r="D346" s="25" t="str">
        <f>'Cpts AR +indép + Sommaire'!P52</f>
        <v xml:space="preserve">Votre enfant bloque les communications (tél., textos, réseaux sociaux, etc.). </v>
      </c>
      <c r="E346" s="78" t="s">
        <v>2220</v>
      </c>
      <c r="F346" s="703" t="str">
        <f>'Cpts AR +indép + Sommaire'!Q52</f>
        <v>2</v>
      </c>
      <c r="G346" s="703">
        <f>'Cpts AR +indép + Sommaire'!R52</f>
        <v>2</v>
      </c>
      <c r="H346" s="703">
        <f>F346*G346</f>
        <v>4</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8</v>
      </c>
      <c r="AK346" s="1476">
        <f>IF(OR(J346=11,A346="F"),0,G346*J346)</f>
        <v>20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c r="B347" s="1686"/>
      <c r="C347" s="721" t="s">
        <v>2164</v>
      </c>
      <c r="D347" s="722" t="str">
        <f>INDEX(D345:D346, MATCH(H347, H345:H346, 0), 1)</f>
        <v>Votre enfant répond à vos messages lorsqu’il est chez l’autre parent (tél., textos, réseaux sociaux, etc.).</v>
      </c>
      <c r="E347" s="722" t="str">
        <f>INDEX(E345:E346, MATCH(H347, H345:H346, 0), 1)</f>
        <v>ne répond pas à vos messages lorsqu'il est chez l'autre</v>
      </c>
      <c r="F347" s="723"/>
      <c r="G347" s="723"/>
      <c r="H347" s="723">
        <f>IF(AND(K345=TRUE,K346=FALSE),H345,IF(AND(K345=FALSE,K346=TRUE),H346,MAX(H345,H346)))</f>
        <v>14</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c r="B348" s="1686"/>
      <c r="D348" s="383" t="s">
        <v>2165</v>
      </c>
      <c r="E348" s="699"/>
      <c r="F348" s="435" t="s">
        <v>2166</v>
      </c>
      <c r="G348" s="33"/>
      <c r="H348" s="33">
        <f>IF(AND(K344=TRUE,K347=FALSE),H344,IF(AND(K344=FALSE,K347=TRUE),H347,IF(AND(K344=TRUE,K347=TRUE),H344+H347,MAX(H344,H347))))</f>
        <v>14</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c r="B349" s="1686"/>
      <c r="C349" t="s">
        <v>1849</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2"/>
      <c r="M354" s="2552"/>
      <c r="N354" s="2552"/>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77" t="s">
        <v>1992</v>
      </c>
      <c r="J355" s="2468"/>
      <c r="K355" s="2468"/>
      <c r="L355" s="2581" t="s">
        <v>2144</v>
      </c>
      <c r="M355" s="2468"/>
      <c r="N355" s="2468"/>
      <c r="O355" s="2580"/>
      <c r="P355" s="2579" t="s">
        <v>1993</v>
      </c>
      <c r="Q355" s="2468"/>
      <c r="R355" s="2580"/>
      <c r="S355" s="2583" t="s">
        <v>1994</v>
      </c>
      <c r="T355" s="2468"/>
      <c r="U355" s="2580"/>
      <c r="V355" s="15"/>
      <c r="W355" s="809"/>
      <c r="X355" s="809"/>
      <c r="Y355" s="809"/>
      <c r="Z355" s="809"/>
      <c r="AA355" s="809"/>
      <c r="AB355" s="810"/>
      <c r="AD355" s="10"/>
      <c r="AE355" s="10"/>
      <c r="AF355" s="10"/>
      <c r="AG355" s="1372" t="s">
        <v>1992</v>
      </c>
      <c r="AH355" s="1372" t="s">
        <v>1993</v>
      </c>
      <c r="AI355" s="1372" t="s">
        <v>1994</v>
      </c>
      <c r="AJ355" s="2578" t="s">
        <v>1992</v>
      </c>
      <c r="AK355" s="2469"/>
      <c r="AL355" s="2578" t="s">
        <v>1993</v>
      </c>
      <c r="AM355" s="2469"/>
      <c r="AN355" s="2578" t="s">
        <v>1994</v>
      </c>
      <c r="AO355" s="2469"/>
      <c r="AY355" s="728"/>
      <c r="AZ355" s="728"/>
      <c r="BA355" s="87"/>
      <c r="BB355" s="438"/>
      <c r="BC355" s="89"/>
      <c r="BD355" s="442"/>
      <c r="BE355" s="442"/>
      <c r="BF355" s="89"/>
      <c r="BG355" s="443"/>
      <c r="BH355" s="443"/>
      <c r="BI355" s="439"/>
    </row>
    <row r="356" spans="1:78" ht="36" customHeight="1">
      <c r="D356" s="79" t="s">
        <v>2145</v>
      </c>
      <c r="E356" s="827" t="s">
        <v>2146</v>
      </c>
      <c r="F356" s="26" t="s">
        <v>252</v>
      </c>
      <c r="G356" s="26" t="s">
        <v>235</v>
      </c>
      <c r="H356" s="26" t="s">
        <v>2147</v>
      </c>
      <c r="I356" s="1334" t="s">
        <v>2148</v>
      </c>
      <c r="J356" s="29" t="s">
        <v>2149</v>
      </c>
      <c r="K356" s="29" t="s">
        <v>2150</v>
      </c>
      <c r="L356" s="29" t="s">
        <v>2151</v>
      </c>
      <c r="M356" s="29" t="s">
        <v>2152</v>
      </c>
      <c r="N356" s="29" t="s">
        <v>2153</v>
      </c>
      <c r="O356" s="1335" t="s">
        <v>2154</v>
      </c>
      <c r="P356" s="1334" t="s">
        <v>2148</v>
      </c>
      <c r="Q356" s="29" t="s">
        <v>2149</v>
      </c>
      <c r="R356" s="1335" t="s">
        <v>2150</v>
      </c>
      <c r="S356" s="1334" t="s">
        <v>2148</v>
      </c>
      <c r="T356" s="29" t="s">
        <v>2149</v>
      </c>
      <c r="U356" s="1335" t="s">
        <v>2150</v>
      </c>
      <c r="V356" s="730"/>
      <c r="W356" s="819" t="s">
        <v>1992</v>
      </c>
      <c r="X356" s="820" t="s">
        <v>2155</v>
      </c>
      <c r="Y356" s="819" t="s">
        <v>1993</v>
      </c>
      <c r="Z356" s="820" t="s">
        <v>2156</v>
      </c>
      <c r="AA356" s="819" t="s">
        <v>1994</v>
      </c>
      <c r="AB356" s="820" t="s">
        <v>2157</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c r="A357" t="str">
        <f>IF(Test_Bible!B217="","F","O")</f>
        <v>O</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2221</v>
      </c>
      <c r="F357" s="703" t="str">
        <f>'Cpts AR +indép + Sommaire'!E54</f>
        <v>4</v>
      </c>
      <c r="G357" s="703">
        <f>'Cpts AR +indép + Sommaire'!F54</f>
        <v>2</v>
      </c>
      <c r="H357" s="703">
        <f>F357*G357</f>
        <v>8</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8</v>
      </c>
      <c r="AK357" s="1476">
        <f>IF(OR(J357=11,A357="F"),0,G357*J357)</f>
        <v>20</v>
      </c>
      <c r="AL357" s="1476">
        <f>IF(OR(P357=11,A357="F"),0,G357*P357)</f>
        <v>8</v>
      </c>
      <c r="AM357" s="1476">
        <f>IF(OR(Q357=11,A357="F"),0,G357*Q357)</f>
        <v>14</v>
      </c>
      <c r="AN357" s="1476">
        <f>IF(OR(S357=11,A357="F"),0,S357*G357)</f>
        <v>8</v>
      </c>
      <c r="AO357" s="1476">
        <f>IF(OR(T357=11,A357="F"),0,T357*G357)</f>
        <v>14</v>
      </c>
      <c r="AY357" s="728"/>
      <c r="AZ357" s="728"/>
      <c r="BA357" s="87"/>
      <c r="BB357" s="438"/>
      <c r="BC357" s="89"/>
      <c r="BD357" s="442"/>
      <c r="BE357" s="442"/>
      <c r="BF357" s="89"/>
      <c r="BG357" s="443"/>
      <c r="BH357" s="443"/>
      <c r="BI357" s="439"/>
    </row>
    <row r="358" spans="1:78" ht="19" customHeight="1">
      <c r="B358" s="1517"/>
      <c r="C358" s="376" t="s">
        <v>1848</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c r="B359" s="1688"/>
      <c r="C359" s="704" t="s">
        <v>2159</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8</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8</v>
      </c>
      <c r="AK359" s="1725">
        <f t="shared" si="45"/>
        <v>20</v>
      </c>
      <c r="AL359" s="1725">
        <f t="shared" si="45"/>
        <v>8</v>
      </c>
      <c r="AM359" s="1725">
        <f t="shared" si="45"/>
        <v>14</v>
      </c>
      <c r="AN359" s="1725">
        <f t="shared" si="45"/>
        <v>8</v>
      </c>
      <c r="AO359" s="1725">
        <f t="shared" si="45"/>
        <v>14</v>
      </c>
      <c r="AY359" s="728"/>
      <c r="AZ359" s="728"/>
      <c r="BA359" s="87"/>
      <c r="BB359" s="438"/>
      <c r="BC359" s="89"/>
      <c r="BD359" s="442"/>
      <c r="BE359" s="442"/>
      <c r="BF359" s="89"/>
      <c r="BG359" s="443"/>
      <c r="BH359" s="443"/>
      <c r="BI359" s="439"/>
    </row>
    <row r="360" spans="1:78" ht="19" customHeight="1">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c r="B362" s="1686"/>
      <c r="C362" s="710" t="s">
        <v>2160</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c r="B363" s="1686"/>
      <c r="C363" s="716" t="s">
        <v>2161</v>
      </c>
      <c r="D363" s="717"/>
      <c r="E363" s="717" t="str">
        <f>IF(H363=H359,E359,E362)</f>
        <v>limite les contacts de l'enfant avec la famille élargie</v>
      </c>
      <c r="F363" s="718"/>
      <c r="G363" s="718"/>
      <c r="H363" s="718">
        <f>IF(AND(K359=TRUE,K362=FALSE),H359,IF(AND(K359=FALSE,K362=TRUE),H362,IF(AND(K359=TRUE,K362=TRUE),H359+H362,MAX(H359,H362))))</f>
        <v>8</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8</v>
      </c>
      <c r="AK363" s="587">
        <f>IF(AND($K359=TRUE,$K362=FALSE),AK359,IF(AND($K359=FALSE,$K362=TRUE),AK362,IF(AND($K359=TRUE,$K362=TRUE),AK359+AK362,MAX(AK359,AK362))))</f>
        <v>20</v>
      </c>
      <c r="AL363" s="587">
        <f>IF(AND($R359=TRUE,$R362=FALSE),AL359,IF(AND($R359=FALSE,$R362=TRUE),AL362,IF(AND($R359=TRUE,$R362=TRUE),AL359+AL362,MAX(AL359,AL362))))</f>
        <v>8</v>
      </c>
      <c r="AM363" s="587">
        <f>IF(AND($R359=TRUE,$R362=FALSE),AM359,IF(AND($R359=FALSE,$R362=TRUE),AM362,IF(AND($R359=TRUE,$R362=TRUE),AM359+AM362,MAX(AM359,AM362))))</f>
        <v>14</v>
      </c>
      <c r="AN363" s="587">
        <f>IF(AND($U359=TRUE,$U362=FALSE),AN359,IF(AND($U359=FALSE,$U362=TRUE),AN362,IF(AND($U359=TRUE,$U362=TRUE),AN359+AN362,MAX(AN359,AN362))))</f>
        <v>8</v>
      </c>
      <c r="AO363" s="587">
        <f>IF(AND($U359=TRUE,$U362=FALSE),AO359,IF(AND($U359=FALSE,$U362=TRUE),AO362,IF(AND($U359=TRUE,$U362=TRUE),AO359+AO362,MAX(AO359,AO362))))</f>
        <v>14</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c r="A364" t="str">
        <f>IF(Test_Bible!B336="","F","O")</f>
        <v>O</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2222</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4</v>
      </c>
      <c r="AK364" s="1476">
        <f>IF(OR(J364=11,A364="F"),0,G364*J364)</f>
        <v>10</v>
      </c>
      <c r="AL364" s="1476">
        <f>IF(OR(P364=11,A364="F"),0,G364*P364)</f>
        <v>2</v>
      </c>
      <c r="AM364" s="1476">
        <f>IF(OR(Q364=11,A364="F"),0,G364*Q364)</f>
        <v>4</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c r="B365" s="1686"/>
      <c r="C365" s="287" t="s">
        <v>2175</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c r="B366" s="1686"/>
      <c r="C366" s="721" t="s">
        <v>2164</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c r="B367" s="1686"/>
      <c r="D367" s="383" t="s">
        <v>2165</v>
      </c>
      <c r="E367" s="699"/>
      <c r="F367" s="435" t="s">
        <v>2166</v>
      </c>
      <c r="G367" s="33"/>
      <c r="H367" s="33">
        <f>IF(AND(K363=TRUE,K366=FALSE),H363,IF(AND(K363=FALSE,K366=TRUE),H366,IF(AND(K363=TRUE,K366=TRUE),H363+H366,MAX(H363,H366))))</f>
        <v>8</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c r="B368" s="1686"/>
      <c r="C368" t="s">
        <v>1849</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2"/>
      <c r="M373" s="2552"/>
      <c r="N373" s="2552"/>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77" t="s">
        <v>1992</v>
      </c>
      <c r="J374" s="2468"/>
      <c r="K374" s="2468"/>
      <c r="L374" s="2581" t="s">
        <v>2144</v>
      </c>
      <c r="M374" s="2468"/>
      <c r="N374" s="2468"/>
      <c r="O374" s="2580"/>
      <c r="P374" s="2579" t="s">
        <v>1993</v>
      </c>
      <c r="Q374" s="2468"/>
      <c r="R374" s="2580"/>
      <c r="S374" s="2583" t="s">
        <v>1994</v>
      </c>
      <c r="T374" s="2468"/>
      <c r="U374" s="2580"/>
      <c r="V374" s="15"/>
      <c r="W374" s="809"/>
      <c r="X374" s="809"/>
      <c r="Y374" s="809"/>
      <c r="Z374" s="809"/>
      <c r="AA374" s="809"/>
      <c r="AB374" s="810"/>
      <c r="AD374" s="10"/>
      <c r="AE374" s="10"/>
      <c r="AF374" s="10"/>
      <c r="AG374" s="1372" t="s">
        <v>1992</v>
      </c>
      <c r="AH374" s="1372" t="s">
        <v>1993</v>
      </c>
      <c r="AI374" s="1372" t="s">
        <v>1994</v>
      </c>
      <c r="AJ374" s="2578" t="s">
        <v>1992</v>
      </c>
      <c r="AK374" s="2469"/>
      <c r="AL374" s="2578" t="s">
        <v>1993</v>
      </c>
      <c r="AM374" s="2469"/>
      <c r="AN374" s="2578" t="s">
        <v>1994</v>
      </c>
      <c r="AO374" s="2469"/>
      <c r="AY374" s="728"/>
      <c r="AZ374" s="728"/>
      <c r="BA374" s="87"/>
      <c r="BB374" s="438"/>
      <c r="BC374" s="89"/>
      <c r="BD374" s="442"/>
      <c r="BE374" s="442"/>
      <c r="BF374" s="89"/>
      <c r="BG374" s="443"/>
      <c r="BH374" s="443"/>
      <c r="BI374" s="439"/>
    </row>
    <row r="375" spans="1:78" ht="36" customHeight="1">
      <c r="D375" s="79" t="s">
        <v>2145</v>
      </c>
      <c r="E375" s="827" t="s">
        <v>2146</v>
      </c>
      <c r="F375" s="26" t="s">
        <v>252</v>
      </c>
      <c r="G375" s="26" t="s">
        <v>235</v>
      </c>
      <c r="H375" s="26" t="s">
        <v>2147</v>
      </c>
      <c r="I375" s="1334" t="s">
        <v>2148</v>
      </c>
      <c r="J375" s="29" t="s">
        <v>2149</v>
      </c>
      <c r="K375" s="29" t="s">
        <v>2150</v>
      </c>
      <c r="L375" s="29" t="s">
        <v>2151</v>
      </c>
      <c r="M375" s="29" t="s">
        <v>2152</v>
      </c>
      <c r="N375" s="29" t="s">
        <v>2153</v>
      </c>
      <c r="O375" s="1335" t="s">
        <v>2154</v>
      </c>
      <c r="P375" s="1334" t="s">
        <v>2148</v>
      </c>
      <c r="Q375" s="29" t="s">
        <v>2149</v>
      </c>
      <c r="R375" s="1335" t="s">
        <v>2150</v>
      </c>
      <c r="S375" s="1334" t="s">
        <v>2148</v>
      </c>
      <c r="T375" s="29" t="s">
        <v>2149</v>
      </c>
      <c r="U375" s="1335" t="s">
        <v>2150</v>
      </c>
      <c r="V375" s="730"/>
      <c r="W375" s="819" t="s">
        <v>1992</v>
      </c>
      <c r="X375" s="820" t="s">
        <v>2155</v>
      </c>
      <c r="Y375" s="819" t="s">
        <v>1993</v>
      </c>
      <c r="Z375" s="820" t="s">
        <v>2156</v>
      </c>
      <c r="AA375" s="819" t="s">
        <v>1994</v>
      </c>
      <c r="AB375" s="820" t="s">
        <v>2157</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c r="A376" t="str">
        <f>IF(Test_Bible!B245="","F","O")</f>
        <v>O</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2223</v>
      </c>
      <c r="F376" s="703" t="str">
        <f>'Cpts AR +indép + Sommaire'!E56</f>
        <v>2</v>
      </c>
      <c r="G376" s="703">
        <f>'Cpts AR +indép + Sommaire'!F56</f>
        <v>2</v>
      </c>
      <c r="H376" s="703">
        <f>F376*G376</f>
        <v>4</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14</v>
      </c>
      <c r="AK376" s="1476">
        <f>IF(OR(J376=11,A376="F"),0,G376*J376)</f>
        <v>20</v>
      </c>
      <c r="AL376" s="1476">
        <f>IF(OR(P376=11,A376="F"),0,G376*P376)</f>
        <v>4</v>
      </c>
      <c r="AM376" s="1476">
        <f>IF(OR(Q376=11,A376="F"),0,G376*Q376)</f>
        <v>14</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c r="B377" s="1517"/>
      <c r="C377" s="376" t="s">
        <v>1848</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c r="B378" s="1688"/>
      <c r="C378" s="704" t="s">
        <v>2159</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4</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14</v>
      </c>
      <c r="AK378" s="1725">
        <f t="shared" si="47"/>
        <v>20</v>
      </c>
      <c r="AL378" s="1725">
        <f t="shared" si="47"/>
        <v>4</v>
      </c>
      <c r="AM378" s="1725">
        <f t="shared" si="47"/>
        <v>14</v>
      </c>
      <c r="AN378" s="1725">
        <f t="shared" si="47"/>
        <v>0</v>
      </c>
      <c r="AO378" s="1725">
        <f t="shared" si="47"/>
        <v>0</v>
      </c>
      <c r="AY378" s="728"/>
      <c r="AZ378" s="728"/>
      <c r="BA378" s="87"/>
      <c r="BB378" s="438"/>
      <c r="BC378" s="89"/>
      <c r="BD378" s="442"/>
      <c r="BE378" s="442"/>
      <c r="BF378" s="89"/>
      <c r="BG378" s="443"/>
      <c r="BH378" s="443"/>
      <c r="BI378" s="439"/>
    </row>
    <row r="379" spans="1:78" ht="19" customHeight="1">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c r="B381" s="1686"/>
      <c r="C381" s="710" t="s">
        <v>2160</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c r="B382" s="1686"/>
      <c r="C382" s="716" t="s">
        <v>2161</v>
      </c>
      <c r="D382" s="717"/>
      <c r="E382" s="717" t="str">
        <f>IF(H382=H378,E378,E381)</f>
        <v>se confie à l'enfant sur des sujets personnels</v>
      </c>
      <c r="F382" s="718"/>
      <c r="G382" s="718"/>
      <c r="H382" s="718">
        <f>IF(AND(K378=TRUE,K381=FALSE),H378,IF(AND(K378=FALSE,K381=TRUE),H381,IF(AND(K378=TRUE,K381=TRUE),H378+H381,MAX(H378,H381))))</f>
        <v>4</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14</v>
      </c>
      <c r="AK382" s="587">
        <f>IF(AND($K378=TRUE,$K381=FALSE),AK378,IF(AND($K378=FALSE,$K381=TRUE),AK381,IF(AND($K378=TRUE,$K381=TRUE),AK378+AK381,MAX(AK378,AK381))))</f>
        <v>20</v>
      </c>
      <c r="AL382" s="587">
        <f>IF(AND($R378=TRUE,$R381=FALSE),AL378,IF(AND($R378=FALSE,$R381=TRUE),AL381,IF(AND($R378=TRUE,$R381=TRUE),AL378+AL381,MAX(AL378,AL381))))</f>
        <v>4</v>
      </c>
      <c r="AM382" s="587">
        <f>IF(AND($R378=TRUE,$R381=FALSE),AM378,IF(AND($R378=FALSE,$R381=TRUE),AM381,IF(AND($R378=TRUE,$R381=TRUE),AM378+AM381,MAX(AM378,AM381))))</f>
        <v>14</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2224</v>
      </c>
      <c r="F383" s="703" t="str">
        <f>'Cpts AR +indép + Sommaire'!Q56</f>
        <v>2</v>
      </c>
      <c r="G383" s="703">
        <f>'Cpts AR +indép + Sommaire'!R56</f>
        <v>2</v>
      </c>
      <c r="H383" s="703">
        <f>F383*G383</f>
        <v>4</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c r="B384" s="1686"/>
      <c r="C384" s="287" t="s">
        <v>2175</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c r="B385" s="1686"/>
      <c r="C385" s="721" t="s">
        <v>2164</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4</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c r="B386" s="1686"/>
      <c r="D386" s="383" t="s">
        <v>2165</v>
      </c>
      <c r="E386" s="699"/>
      <c r="F386" s="435" t="s">
        <v>2166</v>
      </c>
      <c r="G386" s="33"/>
      <c r="H386" s="33">
        <f>IF(AND(K382=TRUE,K385=FALSE),H382,IF(AND(K382=FALSE,K385=TRUE),H385,IF(AND(K382=TRUE,K385=TRUE),H382+H385,MAX(H382,H385))))</f>
        <v>4</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9" customHeight="1">
      <c r="B387" s="1686"/>
      <c r="C387" t="s">
        <v>1849</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2"/>
      <c r="M392" s="2552"/>
      <c r="N392" s="2552"/>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77" t="s">
        <v>1992</v>
      </c>
      <c r="J393" s="2468"/>
      <c r="K393" s="2468"/>
      <c r="L393" s="2581" t="s">
        <v>2144</v>
      </c>
      <c r="M393" s="2468"/>
      <c r="N393" s="2468"/>
      <c r="O393" s="2580"/>
      <c r="P393" s="2579" t="s">
        <v>1993</v>
      </c>
      <c r="Q393" s="2468"/>
      <c r="R393" s="2580"/>
      <c r="S393" s="2583" t="s">
        <v>1994</v>
      </c>
      <c r="T393" s="2468"/>
      <c r="U393" s="2580"/>
      <c r="V393" s="15"/>
      <c r="W393" s="809"/>
      <c r="X393" s="809"/>
      <c r="Y393" s="809"/>
      <c r="Z393" s="809"/>
      <c r="AA393" s="809"/>
      <c r="AB393" s="810"/>
      <c r="AD393" s="10"/>
      <c r="AE393" s="10"/>
      <c r="AF393" s="10"/>
      <c r="AG393" s="1372" t="s">
        <v>1992</v>
      </c>
      <c r="AH393" s="1372" t="s">
        <v>1993</v>
      </c>
      <c r="AI393" s="1372" t="s">
        <v>1994</v>
      </c>
      <c r="AJ393" s="2578" t="s">
        <v>1992</v>
      </c>
      <c r="AK393" s="2469"/>
      <c r="AL393" s="2578" t="s">
        <v>1993</v>
      </c>
      <c r="AM393" s="2469"/>
      <c r="AN393" s="2578" t="s">
        <v>1994</v>
      </c>
      <c r="AO393" s="2469"/>
      <c r="AY393" s="728"/>
      <c r="AZ393" s="728"/>
      <c r="BA393" s="87"/>
      <c r="BB393" s="438"/>
      <c r="BC393" s="89"/>
      <c r="BD393" s="442"/>
      <c r="BE393" s="442"/>
      <c r="BF393" s="89"/>
      <c r="BG393" s="443"/>
      <c r="BH393" s="443"/>
      <c r="BI393" s="439"/>
    </row>
    <row r="394" spans="1:78" ht="36" customHeight="1">
      <c r="D394" s="79" t="s">
        <v>2145</v>
      </c>
      <c r="E394" s="827" t="s">
        <v>2146</v>
      </c>
      <c r="F394" s="26" t="s">
        <v>252</v>
      </c>
      <c r="G394" s="26" t="s">
        <v>235</v>
      </c>
      <c r="H394" s="26" t="s">
        <v>2147</v>
      </c>
      <c r="I394" s="1334" t="s">
        <v>2148</v>
      </c>
      <c r="J394" s="29" t="s">
        <v>2149</v>
      </c>
      <c r="K394" s="29" t="s">
        <v>2150</v>
      </c>
      <c r="L394" s="29" t="s">
        <v>2151</v>
      </c>
      <c r="M394" s="29" t="s">
        <v>2152</v>
      </c>
      <c r="N394" s="29" t="s">
        <v>2153</v>
      </c>
      <c r="O394" s="1335" t="s">
        <v>2154</v>
      </c>
      <c r="P394" s="1334" t="s">
        <v>2148</v>
      </c>
      <c r="Q394" s="29" t="s">
        <v>2149</v>
      </c>
      <c r="R394" s="1335" t="s">
        <v>2150</v>
      </c>
      <c r="S394" s="1334" t="s">
        <v>2148</v>
      </c>
      <c r="T394" s="29" t="s">
        <v>2149</v>
      </c>
      <c r="U394" s="1335" t="s">
        <v>2150</v>
      </c>
      <c r="V394" s="730"/>
      <c r="W394" s="819" t="s">
        <v>1992</v>
      </c>
      <c r="X394" s="820" t="s">
        <v>2155</v>
      </c>
      <c r="Y394" s="819" t="s">
        <v>1993</v>
      </c>
      <c r="Z394" s="820" t="s">
        <v>2156</v>
      </c>
      <c r="AA394" s="819" t="s">
        <v>1994</v>
      </c>
      <c r="AB394" s="820" t="s">
        <v>2157</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2225</v>
      </c>
      <c r="F395" s="703" t="str">
        <f>'Cpts AR +indép + Sommaire'!E59</f>
        <v>4</v>
      </c>
      <c r="G395" s="703">
        <f>'Cpts AR +indép + Sommaire'!F59</f>
        <v>2</v>
      </c>
      <c r="H395" s="703">
        <f>F395*G395</f>
        <v>8</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8</v>
      </c>
      <c r="AK395" s="1476">
        <f>IF(OR(J395=11,A395="F"),0,G395*J395)</f>
        <v>20</v>
      </c>
      <c r="AL395" s="1476">
        <f>IF(OR(P395=11,A395="F"),0,G395*P395)</f>
        <v>4</v>
      </c>
      <c r="AM395" s="1476">
        <f>IF(OR(Q395=11,A395="F"),0,G395*Q395)</f>
        <v>14</v>
      </c>
      <c r="AN395" s="1476">
        <f>IF(OR(S395=11,A395="F"),0,S395*G395)</f>
        <v>8</v>
      </c>
      <c r="AO395" s="1476">
        <f>IF(OR(T395=11,A395="F"),0,T395*G395)</f>
        <v>14</v>
      </c>
      <c r="AY395" s="728"/>
      <c r="AZ395" s="728"/>
      <c r="BA395" s="87"/>
      <c r="BB395" s="438"/>
      <c r="BC395" s="89"/>
      <c r="BD395" s="442"/>
      <c r="BE395" s="442"/>
      <c r="BF395" s="89"/>
      <c r="BG395" s="443"/>
      <c r="BH395" s="443"/>
      <c r="BI395" s="439"/>
    </row>
    <row r="396" spans="1:78" ht="19" customHeight="1">
      <c r="B396" s="1517"/>
      <c r="C396" s="376" t="s">
        <v>1848</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c r="B397" s="1688"/>
      <c r="C397" s="704" t="s">
        <v>2159</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8</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8</v>
      </c>
      <c r="AK397" s="1725">
        <f t="shared" si="49"/>
        <v>20</v>
      </c>
      <c r="AL397" s="1725">
        <f t="shared" si="49"/>
        <v>4</v>
      </c>
      <c r="AM397" s="1725">
        <f t="shared" si="49"/>
        <v>14</v>
      </c>
      <c r="AN397" s="1725">
        <f t="shared" si="49"/>
        <v>8</v>
      </c>
      <c r="AO397" s="1725">
        <f t="shared" si="49"/>
        <v>14</v>
      </c>
      <c r="AY397" s="728"/>
      <c r="AZ397" s="728"/>
      <c r="BA397" s="87"/>
      <c r="BB397" s="438"/>
      <c r="BC397" s="89"/>
      <c r="BD397" s="442"/>
      <c r="BE397" s="442"/>
      <c r="BF397" s="89"/>
      <c r="BG397" s="443"/>
      <c r="BH397" s="443"/>
      <c r="BI397" s="439"/>
    </row>
    <row r="398" spans="1:78" ht="19" customHeight="1">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c r="B400" s="1686"/>
      <c r="C400" s="710" t="s">
        <v>2160</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c r="B401" s="1686"/>
      <c r="C401" s="716" t="s">
        <v>2161</v>
      </c>
      <c r="D401" s="717"/>
      <c r="E401" s="717" t="str">
        <f>IF(H401=H397,E397,E400)</f>
        <v>fait lire vos échanges à votre enfant</v>
      </c>
      <c r="F401" s="718"/>
      <c r="G401" s="718"/>
      <c r="H401" s="718">
        <f>IF(AND(K397=TRUE,K400=FALSE),H397,IF(AND(K397=FALSE,K400=TRUE),H400,IF(AND(K397=TRUE,K400=TRUE),H397+H400,MAX(H397,H400))))</f>
        <v>8</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8</v>
      </c>
      <c r="AK401" s="587">
        <f>IF(AND($K397=TRUE,$K400=FALSE),AK397,IF(AND($K397=FALSE,$K400=TRUE),AK400,IF(AND($K397=TRUE,$K400=TRUE),AK397+AK400,MAX(AK397,AK400))))</f>
        <v>20</v>
      </c>
      <c r="AL401" s="587">
        <f>IF(AND($R397=TRUE,$R400=FALSE),AL397,IF(AND($R397=FALSE,$R400=TRUE),AL400,IF(AND($R397=TRUE,$R400=TRUE),AL397+AL400,MAX(AL397,AL400))))</f>
        <v>4</v>
      </c>
      <c r="AM401" s="587">
        <f>IF(AND($R397=TRUE,$R400=FALSE),AM397,IF(AND($R397=FALSE,$R400=TRUE),AM400,IF(AND($R397=TRUE,$R400=TRUE),AM397+AM400,MAX(AM397,AM400))))</f>
        <v>14</v>
      </c>
      <c r="AN401" s="587">
        <f>IF(AND($U397=TRUE,$U400=FALSE),AN397,IF(AND($U397=FALSE,$U400=TRUE),AN400,IF(AND($U397=TRUE,$U400=TRUE),AN397+AN400,MAX(AN397,AN400))))</f>
        <v>8</v>
      </c>
      <c r="AO401" s="587">
        <f>IF(AND($U397=TRUE,$U400=FALSE),AO397,IF(AND($U397=FALSE,$U400=TRUE),AO400,IF(AND($U397=TRUE,$U400=TRUE),AO397+AO400,MAX(AO397,AO400))))</f>
        <v>14</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c r="A402" t="str">
        <f>IF(Test_Bible!B308="","F","O")</f>
        <v>O</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2226</v>
      </c>
      <c r="F402" s="703" t="str">
        <f>'Cpts AR +indép + Sommaire'!Q59</f>
        <v>4</v>
      </c>
      <c r="G402" s="703">
        <f>'Cpts AR +indép + Sommaire'!R59</f>
        <v>2</v>
      </c>
      <c r="H402" s="703">
        <f>F402*G402</f>
        <v>8</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0</v>
      </c>
      <c r="AH402" s="824">
        <f>IF(R402=TRUE,H402,0)</f>
        <v>0</v>
      </c>
      <c r="AI402" s="824">
        <f>IF(U402=TRUE,H402,0)</f>
        <v>0</v>
      </c>
      <c r="AJ402" s="1476">
        <f>IF(OR(I402=11,A402="F"),0,G402*I402)</f>
        <v>8</v>
      </c>
      <c r="AK402" s="1476">
        <f>IF(OR(J402=11,A402="F"),0,G402*J402)</f>
        <v>20</v>
      </c>
      <c r="AL402" s="1476">
        <f>IF(OR(P402=11,A402="F"),0,G402*P402)</f>
        <v>4</v>
      </c>
      <c r="AM402" s="1476">
        <f>IF(OR(Q402=11,A402="F"),0,G402*Q402)</f>
        <v>14</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c r="A403" t="str">
        <f>IF(Test_Bible!B289="","F","O")</f>
        <v>O</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2227</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12</v>
      </c>
      <c r="AK403" s="1476">
        <f>IF(OR(J403=11,A403="F"),0,G403*J403)</f>
        <v>30</v>
      </c>
      <c r="AL403" s="1476">
        <f>IF(OR(P403=11,A403="F"),0,G403*P403)</f>
        <v>6</v>
      </c>
      <c r="AM403" s="1476">
        <f>IF(OR(Q403=11,A403="F"),0,G403*Q403)</f>
        <v>21</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2228</v>
      </c>
      <c r="F404" s="703" t="str">
        <f>'Cpts AR +indép + Sommaire'!Q61</f>
        <v>4</v>
      </c>
      <c r="G404" s="703">
        <f>'Cpts AR +indép + Sommaire'!R61</f>
        <v>2</v>
      </c>
      <c r="H404" s="703">
        <f>F404*G404</f>
        <v>8</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c r="B405" s="1686"/>
      <c r="C405" s="721" t="s">
        <v>2164</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8</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12</v>
      </c>
      <c r="AK405" s="1728">
        <f t="shared" si="51"/>
        <v>30</v>
      </c>
      <c r="AL405" s="1728">
        <f t="shared" si="51"/>
        <v>6</v>
      </c>
      <c r="AM405" s="1728">
        <f t="shared" si="51"/>
        <v>21</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c r="B406" s="1686"/>
      <c r="D406" s="383" t="s">
        <v>2165</v>
      </c>
      <c r="E406" s="699"/>
      <c r="F406" s="435" t="s">
        <v>2166</v>
      </c>
      <c r="G406" s="33"/>
      <c r="H406" s="33">
        <f>IF(AND(K401=TRUE,K405=FALSE),H401,IF(AND(K401=FALSE,K405=TRUE),H405,IF(AND(K401=TRUE,K405=TRUE),H401+H405,MAX(H401,H405))))</f>
        <v>8</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9" customHeight="1">
      <c r="B407" s="1686"/>
      <c r="C407" t="s">
        <v>1849</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t="str">
        <f>'Cpts AR +indép + Sommaire'!W59</f>
        <v>2</v>
      </c>
      <c r="G408" s="822">
        <f>'Cpts AR +indép + Sommaire'!X59</f>
        <v>2</v>
      </c>
      <c r="H408" s="822">
        <f>F408*G408</f>
        <v>4</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8</v>
      </c>
      <c r="AK408" s="1476">
        <f>IF(OR(J408=11,A408="F"),0,G408*J408)</f>
        <v>20</v>
      </c>
      <c r="AL408" s="1476">
        <f>IF(OR(P408=11,A408="F"),0,G408*P408)</f>
        <v>0</v>
      </c>
      <c r="AM408" s="1476">
        <f>IF(OR(Q408=11,A408="F"),0,G408*Q408)</f>
        <v>0</v>
      </c>
      <c r="AN408" s="1476">
        <f>IF(OR(S408=11,A408="F"),0,S408*G408)</f>
        <v>8</v>
      </c>
      <c r="AO408" s="1476">
        <f>IF(OR(T408=11,A408="F"),0,T408*G408)</f>
        <v>14</v>
      </c>
      <c r="AY408" s="728"/>
      <c r="AZ408" s="728"/>
      <c r="BA408" s="87"/>
      <c r="BB408" s="438"/>
      <c r="BC408" s="89"/>
      <c r="BD408" s="442"/>
      <c r="BE408" s="442"/>
      <c r="BF408" s="89"/>
      <c r="BG408" s="443"/>
      <c r="BH408" s="443"/>
      <c r="BI408" s="439"/>
    </row>
    <row r="409" spans="1:78" ht="20"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c r="D410" s="16"/>
      <c r="E410" s="16"/>
      <c r="F410" s="67"/>
      <c r="G410" s="434"/>
      <c r="H410" s="33">
        <f>IF(AND(K408=TRUE,K409=FALSE),H408,IF(AND(K408=FALSE,K409=TRUE),H409,MAX(H408,H409)))</f>
        <v>4</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8</v>
      </c>
      <c r="AK410" s="1728">
        <f>IF(AND($K408=TRUE,$K409=FALSE),AK408,IF(AND($K408=FALSE,$K409=TRUE),AK409,MAX(AK408,AK409)))</f>
        <v>20</v>
      </c>
      <c r="AL410" s="1728">
        <f>IF(AND($R408=TRUE,$R409=FALSE),AL408,IF(AND($R408=FALSE,$R409=TRUE),AL409,MAX(AL408,AL409)))</f>
        <v>0</v>
      </c>
      <c r="AM410" s="1728">
        <f>IF(AND($R408=TRUE,$R409=FALSE),AM408,IF(AND($R408=FALSE,$R409=TRUE),AM409,MAX(AM408,AM409)))</f>
        <v>0</v>
      </c>
      <c r="AN410" s="1728">
        <f>IF(AND($U408=TRUE,$U409=FALSE),AN408,IF(AND($U408=FALSE,$U409=TRUE),AN409,MAX(AN408,AN409)))</f>
        <v>8</v>
      </c>
      <c r="AO410" s="1728">
        <f>IF(AND($U408=TRUE,$U409=FALSE),AO408,IF(AND($U408=FALSE,$U409=TRUE),AO409,MAX(AO408,AO409)))</f>
        <v>14</v>
      </c>
      <c r="AY410" s="728"/>
      <c r="AZ410" s="728"/>
      <c r="BA410" s="87"/>
      <c r="BB410" s="438"/>
      <c r="BC410" s="89"/>
      <c r="BD410" s="442"/>
      <c r="BE410" s="442"/>
      <c r="BF410" s="89"/>
      <c r="BG410" s="443"/>
      <c r="BH410" s="443"/>
      <c r="BI410" s="439"/>
    </row>
    <row r="411" spans="1:78" ht="27"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2"/>
      <c r="M412" s="2552"/>
      <c r="N412" s="2552"/>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77" t="s">
        <v>1992</v>
      </c>
      <c r="J413" s="2468"/>
      <c r="K413" s="2468"/>
      <c r="L413" s="2581" t="s">
        <v>2144</v>
      </c>
      <c r="M413" s="2468"/>
      <c r="N413" s="2468"/>
      <c r="O413" s="2580"/>
      <c r="P413" s="2579" t="s">
        <v>1993</v>
      </c>
      <c r="Q413" s="2468"/>
      <c r="R413" s="2580"/>
      <c r="S413" s="2583" t="s">
        <v>1994</v>
      </c>
      <c r="T413" s="2468"/>
      <c r="U413" s="2580"/>
      <c r="V413" s="15"/>
      <c r="W413" s="809"/>
      <c r="X413" s="809"/>
      <c r="Y413" s="809"/>
      <c r="Z413" s="809"/>
      <c r="AA413" s="809"/>
      <c r="AB413" s="810"/>
      <c r="AD413" s="10"/>
      <c r="AE413" s="10"/>
      <c r="AF413" s="10"/>
      <c r="AG413" s="1372" t="s">
        <v>1992</v>
      </c>
      <c r="AH413" s="1372" t="s">
        <v>1993</v>
      </c>
      <c r="AI413" s="1372" t="s">
        <v>1994</v>
      </c>
      <c r="AJ413" s="2578" t="s">
        <v>1992</v>
      </c>
      <c r="AK413" s="2469"/>
      <c r="AL413" s="2578" t="s">
        <v>1993</v>
      </c>
      <c r="AM413" s="2469"/>
      <c r="AN413" s="2578" t="s">
        <v>1994</v>
      </c>
      <c r="AO413" s="2469"/>
      <c r="AY413" s="728"/>
      <c r="AZ413" s="728"/>
      <c r="BA413" s="87"/>
      <c r="BB413" s="438"/>
      <c r="BC413" s="89"/>
      <c r="BD413" s="442"/>
      <c r="BE413" s="442"/>
      <c r="BF413" s="89"/>
      <c r="BG413" s="443"/>
      <c r="BH413" s="443"/>
      <c r="BI413" s="439"/>
    </row>
    <row r="414" spans="1:78" ht="36" customHeight="1">
      <c r="D414" s="79" t="s">
        <v>2145</v>
      </c>
      <c r="E414" s="827" t="s">
        <v>2146</v>
      </c>
      <c r="F414" s="26" t="s">
        <v>252</v>
      </c>
      <c r="G414" s="26" t="s">
        <v>235</v>
      </c>
      <c r="H414" s="26" t="s">
        <v>2147</v>
      </c>
      <c r="I414" s="1334" t="s">
        <v>2148</v>
      </c>
      <c r="J414" s="29" t="s">
        <v>2149</v>
      </c>
      <c r="K414" s="29" t="s">
        <v>2150</v>
      </c>
      <c r="L414" s="29" t="s">
        <v>2151</v>
      </c>
      <c r="M414" s="29" t="s">
        <v>2152</v>
      </c>
      <c r="N414" s="29" t="s">
        <v>2153</v>
      </c>
      <c r="O414" s="1335" t="s">
        <v>2154</v>
      </c>
      <c r="P414" s="1334" t="s">
        <v>2148</v>
      </c>
      <c r="Q414" s="29" t="s">
        <v>2149</v>
      </c>
      <c r="R414" s="1335" t="s">
        <v>2150</v>
      </c>
      <c r="S414" s="1334" t="s">
        <v>2148</v>
      </c>
      <c r="T414" s="29" t="s">
        <v>2149</v>
      </c>
      <c r="U414" s="1335" t="s">
        <v>2150</v>
      </c>
      <c r="V414" s="730"/>
      <c r="W414" s="819" t="s">
        <v>1992</v>
      </c>
      <c r="X414" s="820" t="s">
        <v>2155</v>
      </c>
      <c r="Y414" s="819" t="s">
        <v>1993</v>
      </c>
      <c r="Z414" s="820" t="s">
        <v>2156</v>
      </c>
      <c r="AA414" s="819" t="s">
        <v>1994</v>
      </c>
      <c r="AB414" s="820" t="s">
        <v>2157</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2229</v>
      </c>
      <c r="F415" s="703" t="str">
        <f>'Cpts AR +indép + Sommaire'!E63</f>
        <v>2</v>
      </c>
      <c r="G415" s="703">
        <f>'Cpts AR +indép + Sommaire'!F63</f>
        <v>3</v>
      </c>
      <c r="H415" s="703">
        <f>F415*G415</f>
        <v>6</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6</v>
      </c>
      <c r="AM415" s="1476">
        <f>IF(OR(Q415=11,A415="F"),0,G415*Q415)</f>
        <v>30</v>
      </c>
      <c r="AN415" s="1476">
        <f>IF(OR(S415=11,A415="F"),0,S415*G415)</f>
        <v>21</v>
      </c>
      <c r="AO415" s="1476">
        <f>IF(OR(T415=11,A415="F"),0,T415*G415)</f>
        <v>30</v>
      </c>
      <c r="AY415" s="728"/>
      <c r="AZ415" s="728"/>
      <c r="BA415" s="87"/>
      <c r="BB415" s="438"/>
      <c r="BC415" s="89"/>
      <c r="BD415" s="442"/>
      <c r="BE415" s="442"/>
      <c r="BF415" s="89"/>
      <c r="BG415" s="443"/>
      <c r="BH415" s="443"/>
      <c r="BI415" s="439"/>
    </row>
    <row r="416" spans="1:78" ht="19" customHeight="1">
      <c r="B416" s="1686"/>
      <c r="C416" s="376" t="s">
        <v>1848</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c r="B417" s="1686"/>
      <c r="C417" s="704" t="s">
        <v>2159</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6</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6</v>
      </c>
      <c r="AM417" s="1725">
        <f t="shared" si="52"/>
        <v>30</v>
      </c>
      <c r="AN417" s="1725">
        <f t="shared" si="52"/>
        <v>21</v>
      </c>
      <c r="AO417" s="1725">
        <f t="shared" si="52"/>
        <v>30</v>
      </c>
      <c r="AY417" s="728"/>
      <c r="AZ417" s="728"/>
      <c r="BA417" s="87"/>
      <c r="BB417" s="438"/>
      <c r="BC417" s="89"/>
      <c r="BD417" s="442"/>
      <c r="BE417" s="442"/>
      <c r="BF417" s="89"/>
      <c r="BG417" s="443"/>
      <c r="BH417" s="443"/>
      <c r="BI417" s="439"/>
    </row>
    <row r="418" spans="1:78" ht="51"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2230</v>
      </c>
      <c r="F418" s="703" t="str">
        <f>'Cpts AR +indép + Sommaire'!K63</f>
        <v>4</v>
      </c>
      <c r="G418" s="703">
        <f>'Cpts AR +indép + Sommaire'!L63</f>
        <v>2</v>
      </c>
      <c r="H418" s="703">
        <f>F418*G418</f>
        <v>8</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c r="A419" t="str">
        <f>IF(Test_Bible!B415="","F","O")</f>
        <v>O</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2231</v>
      </c>
      <c r="F419" s="703" t="str">
        <f>'Cpts AR +indép + Sommaire'!K64</f>
        <v>4</v>
      </c>
      <c r="G419" s="703">
        <f>'Cpts AR +indép + Sommaire'!L64</f>
        <v>3</v>
      </c>
      <c r="H419" s="703">
        <f>F419*G419</f>
        <v>12</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12</v>
      </c>
      <c r="AK419" s="1476">
        <f>IF(OR(J419=11,A419="F"),0,G419*J419)</f>
        <v>30</v>
      </c>
      <c r="AL419" s="1476">
        <f>IF(OR(P419=11,A419="F"),0,G419*P419)</f>
        <v>0</v>
      </c>
      <c r="AM419" s="1476">
        <f>IF(OR(Q419=11,A419="F"),0,G419*Q419)</f>
        <v>0</v>
      </c>
      <c r="AN419" s="1476">
        <f>IF(OR(S419=11,A419="F"),0,S419*G419)</f>
        <v>12</v>
      </c>
      <c r="AO419" s="1476">
        <f>IF(OR(T419=11,A419="F"),0,T419*G419)</f>
        <v>30</v>
      </c>
      <c r="AY419" s="728"/>
      <c r="AZ419" s="728"/>
      <c r="BA419" s="87"/>
      <c r="BB419" s="438"/>
      <c r="BC419" s="89"/>
      <c r="BD419" s="442"/>
      <c r="BE419" s="442"/>
      <c r="BF419" s="89"/>
      <c r="BG419" s="443"/>
      <c r="BH419" s="443"/>
      <c r="BI419" s="439"/>
    </row>
    <row r="420" spans="1:78" ht="34" customHeight="1">
      <c r="A420" t="str">
        <f>IF(Test_Bible!B414="","F","O")</f>
        <v>O</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2232</v>
      </c>
      <c r="F420" s="703" t="str">
        <f>'Cpts AR +indép + Sommaire'!K65</f>
        <v>2</v>
      </c>
      <c r="G420" s="703">
        <f>'Cpts AR +indép + Sommaire'!L65</f>
        <v>3</v>
      </c>
      <c r="H420" s="703">
        <f>F420*G420</f>
        <v>6</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12</v>
      </c>
      <c r="AK420" s="1476">
        <f>IF(OR(J420=11,A420="F"),0,G420*J420)</f>
        <v>30</v>
      </c>
      <c r="AL420" s="1476">
        <f>IF(OR(P420=11,A420="F"),0,G420*P420)</f>
        <v>0</v>
      </c>
      <c r="AM420" s="1476">
        <f>IF(OR(Q420=11,A420="F"),0,G420*Q420)</f>
        <v>0</v>
      </c>
      <c r="AN420" s="1476">
        <f>IF(OR(S420=11,A420="F"),0,S420*G420)</f>
        <v>12</v>
      </c>
      <c r="AO420" s="1476">
        <f>IF(OR(T420=11,A420="F"),0,T420*G420)</f>
        <v>30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c r="B421" s="1686"/>
      <c r="C421" s="2152" t="s">
        <v>2160</v>
      </c>
      <c r="D421" s="2157"/>
      <c r="E421" s="2157" t="str">
        <f>IF(H421=H417,E417,E420)</f>
        <v>Le nouveau conjoint.e vous dénigre</v>
      </c>
      <c r="F421" s="2153"/>
      <c r="G421" s="2153"/>
      <c r="H421" s="2153">
        <f>IF(AND(K418=TRUE,K419=FALSE,K420=FALSE),H418,IF(AND(K418=FALSE,K419=TRUE,K420=FALSE),H419,IF(AND(K418=FALSE,K419=FALSE,K420=TRUE),H420,MAX(H418:H420))))</f>
        <v>12</v>
      </c>
      <c r="I421" s="2154"/>
      <c r="J421" s="2155"/>
      <c r="K421" s="2156"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30</v>
      </c>
      <c r="AL421" s="1725">
        <f t="shared" si="53"/>
        <v>0</v>
      </c>
      <c r="AM421" s="1725">
        <f t="shared" si="53"/>
        <v>0</v>
      </c>
      <c r="AN421" s="1725">
        <f t="shared" si="53"/>
        <v>14</v>
      </c>
      <c r="AO421" s="1725">
        <f t="shared" si="53"/>
        <v>30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c r="B422" s="1686"/>
      <c r="C422" s="716" t="s">
        <v>2161</v>
      </c>
      <c r="D422" s="717"/>
      <c r="E422" s="717" t="str">
        <f>IF(H422=H417,E417,E421)</f>
        <v>Le nouveau conjoint.e vous dénigre</v>
      </c>
      <c r="F422" s="718"/>
      <c r="G422" s="718"/>
      <c r="H422" s="718">
        <f>IF(AND(K417=TRUE,K421=FALSE),H417,IF(AND(K417=FALSE,K421=TRUE),H421,IF(AND(K417=TRUE,K421=TRUE),H417+H421,MAX(H417,H421))))</f>
        <v>12</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30</v>
      </c>
      <c r="AL422" s="587">
        <f>IF(AND($R417=TRUE,$R421=FALSE),AL417,IF(AND($R417=FALSE,$R421=TRUE),AL421,IF(AND($R417=TRUE,$R421=TRUE),AL417+AL421,MAX(AL417,AL421))))</f>
        <v>6</v>
      </c>
      <c r="AM422" s="587">
        <f>IF(AND($R417=TRUE,$R421=FALSE),AM417,IF(AND($R417=FALSE,$R421=TRUE),AM421,IF(AND($R417=TRUE,$R421=TRUE),AM417+AM421,MAX(AM417,AM421))))</f>
        <v>30</v>
      </c>
      <c r="AN422" s="587">
        <f>IF(AND($U417=TRUE,$U421=FALSE),AN417,IF(AND($U417=FALSE,$U421=TRUE),AN421,IF(AND($U417=TRUE,$U421=TRUE),AN417+AN421,MAX(AN417,AN421))))</f>
        <v>21</v>
      </c>
      <c r="AO422" s="587">
        <f>IF(AND($U417=TRUE,$U421=FALSE),AO417,IF(AND($U417=FALSE,$U421=TRUE),AO421,IF(AND($U417=TRUE,$U421=TRUE),AO417+AO421,MAX(AO417,AO421))))</f>
        <v>30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2233</v>
      </c>
      <c r="F423" s="703">
        <f>'Cpts AR +indép + Sommaire'!Q63</f>
        <v>0</v>
      </c>
      <c r="G423" s="703">
        <f>'Cpts AR +indép + Sommaire'!R63</f>
        <v>1</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4</v>
      </c>
      <c r="AM423" s="1476">
        <f>IF(OR(Q423=11,A423="F"),0,G423*Q423)</f>
        <v>10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c r="B424" s="1686"/>
      <c r="C424" s="287" t="s">
        <v>2175</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c r="B425" s="1686"/>
      <c r="C425" s="721" t="s">
        <v>2164</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51" customHeight="1">
      <c r="D426" s="383" t="s">
        <v>2165</v>
      </c>
      <c r="E426" s="699"/>
      <c r="F426" s="435" t="s">
        <v>2166</v>
      </c>
      <c r="G426" s="33"/>
      <c r="H426" s="33">
        <f>IF(AND(K422=TRUE,K425=FALSE),H422,IF(AND(K422=FALSE,K425=TRUE),H425,IF(AND(K422=TRUE,K425=TRUE),H422+H425,MAX(H422,H425))))</f>
        <v>12</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9" customHeight="1">
      <c r="B427" s="1686"/>
      <c r="C427" t="s">
        <v>1849</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t="str">
        <f>'Cpts AR +indép + Sommaire'!W63</f>
        <v>4</v>
      </c>
      <c r="G428" s="822">
        <f>'Cpts AR +indép + Sommaire'!X63</f>
        <v>2</v>
      </c>
      <c r="H428" s="822">
        <f>F428*G428</f>
        <v>8</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4</v>
      </c>
      <c r="AM428" s="1476">
        <f>IF(OR(Q428=11,A428="F"),0,G428*Q428)</f>
        <v>20</v>
      </c>
      <c r="AN428" s="1476">
        <f>IF(OR(S428=11,A428="F"),0,S428*G428)</f>
        <v>14</v>
      </c>
      <c r="AO428" s="1476">
        <f>IF(OR(T428=11,A428="F"),0,T428*G428)</f>
        <v>20</v>
      </c>
      <c r="AY428" s="728"/>
      <c r="AZ428" s="728"/>
      <c r="BA428" s="87"/>
      <c r="BB428" s="438"/>
      <c r="BC428" s="89"/>
      <c r="BD428" s="442"/>
      <c r="BE428" s="442"/>
      <c r="BF428" s="89"/>
      <c r="BG428" s="443"/>
      <c r="BH428" s="443"/>
      <c r="BI428" s="439"/>
    </row>
    <row r="429" spans="1:78" ht="20"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c r="D430" s="16"/>
      <c r="E430" s="16"/>
      <c r="F430" s="67"/>
      <c r="G430" s="434"/>
      <c r="H430" s="33">
        <f>IF(AND(K428=TRUE,K429=FALSE),H428,IF(AND(K428=FALSE,K429=TRUE),H429,IF(AND(K428=TRUE,K429=TRUE),H428+H429,MAX(H428,H429))))</f>
        <v>8</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4</v>
      </c>
      <c r="AM430" s="1728">
        <f>IF(AND($R428=TRUE,$R429=FALSE),AM428,IF(AND($R428=FALSE,$R429=TRUE),AM429,MAX(AM428,AM429)))</f>
        <v>20</v>
      </c>
      <c r="AN430" s="1728">
        <f>IF(AND($U428=TRUE,$U429=FALSE),AN428,IF(AND($U428=FALSE,$U429=TRUE),AN429,MAX(AN428,AN429)))</f>
        <v>14</v>
      </c>
      <c r="AO430" s="1728">
        <f>IF(AND($U428=TRUE,$U429=FALSE),AO428,IF(AND($U428=FALSE,$U429=TRUE),AO429,MAX(AO428,AO429)))</f>
        <v>20</v>
      </c>
      <c r="AY430" s="728"/>
      <c r="AZ430" s="728"/>
      <c r="BA430" s="87"/>
      <c r="BB430" s="438"/>
      <c r="BC430" s="89"/>
      <c r="BD430" s="442"/>
      <c r="BE430" s="442"/>
      <c r="BF430" s="89"/>
      <c r="BG430" s="443"/>
      <c r="BH430" s="443"/>
      <c r="BI430" s="439"/>
    </row>
    <row r="431" spans="1:78" ht="27"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2"/>
      <c r="M432" s="2552"/>
      <c r="N432" s="2552"/>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77" t="s">
        <v>1992</v>
      </c>
      <c r="J433" s="2468"/>
      <c r="K433" s="2468"/>
      <c r="L433" s="2581" t="s">
        <v>2144</v>
      </c>
      <c r="M433" s="2468"/>
      <c r="N433" s="2468"/>
      <c r="O433" s="2580"/>
      <c r="P433" s="2579" t="s">
        <v>1993</v>
      </c>
      <c r="Q433" s="2468"/>
      <c r="R433" s="2580"/>
      <c r="S433" s="2583" t="s">
        <v>1994</v>
      </c>
      <c r="T433" s="2468"/>
      <c r="U433" s="2580"/>
      <c r="V433" s="15"/>
      <c r="W433" s="809"/>
      <c r="X433" s="809"/>
      <c r="Y433" s="809"/>
      <c r="Z433" s="809"/>
      <c r="AA433" s="809"/>
      <c r="AB433" s="810"/>
      <c r="AD433" s="10"/>
      <c r="AE433" s="10"/>
      <c r="AF433" s="10"/>
      <c r="AG433" s="1372" t="s">
        <v>1992</v>
      </c>
      <c r="AH433" s="1372" t="s">
        <v>1993</v>
      </c>
      <c r="AI433" s="1372" t="s">
        <v>1994</v>
      </c>
      <c r="AJ433" s="2578" t="s">
        <v>1992</v>
      </c>
      <c r="AK433" s="2469"/>
      <c r="AL433" s="2578" t="s">
        <v>1993</v>
      </c>
      <c r="AM433" s="2469"/>
      <c r="AN433" s="2578" t="s">
        <v>1994</v>
      </c>
      <c r="AO433" s="2469"/>
      <c r="AY433" s="728"/>
      <c r="AZ433" s="728"/>
      <c r="BA433" s="87"/>
      <c r="BB433" s="438"/>
      <c r="BC433" s="89"/>
      <c r="BD433" s="442"/>
      <c r="BE433" s="442"/>
      <c r="BF433" s="89"/>
      <c r="BG433" s="443"/>
      <c r="BH433" s="443"/>
      <c r="BI433" s="439"/>
    </row>
    <row r="434" spans="1:78" ht="34" customHeight="1">
      <c r="B434" s="1686"/>
      <c r="D434" s="79" t="s">
        <v>2145</v>
      </c>
      <c r="E434" s="827" t="s">
        <v>2146</v>
      </c>
      <c r="F434" s="26" t="s">
        <v>252</v>
      </c>
      <c r="G434" s="26" t="s">
        <v>235</v>
      </c>
      <c r="H434" s="26" t="s">
        <v>2147</v>
      </c>
      <c r="I434" s="1334" t="s">
        <v>2148</v>
      </c>
      <c r="J434" s="29" t="s">
        <v>2149</v>
      </c>
      <c r="K434" s="29" t="s">
        <v>2150</v>
      </c>
      <c r="L434" s="29" t="s">
        <v>2151</v>
      </c>
      <c r="M434" s="29" t="s">
        <v>2152</v>
      </c>
      <c r="N434" s="29" t="s">
        <v>2153</v>
      </c>
      <c r="O434" s="1335" t="s">
        <v>2154</v>
      </c>
      <c r="P434" s="1334" t="s">
        <v>2148</v>
      </c>
      <c r="Q434" s="29" t="s">
        <v>2149</v>
      </c>
      <c r="R434" s="1335" t="s">
        <v>2150</v>
      </c>
      <c r="S434" s="1334" t="s">
        <v>2148</v>
      </c>
      <c r="T434" s="29" t="s">
        <v>2149</v>
      </c>
      <c r="U434" s="1335" t="s">
        <v>2150</v>
      </c>
      <c r="V434" s="730"/>
      <c r="W434" s="819" t="s">
        <v>1992</v>
      </c>
      <c r="X434" s="820" t="s">
        <v>2155</v>
      </c>
      <c r="Y434" s="819" t="s">
        <v>1993</v>
      </c>
      <c r="Z434" s="820" t="s">
        <v>2156</v>
      </c>
      <c r="AA434" s="819" t="s">
        <v>1994</v>
      </c>
      <c r="AB434" s="820" t="s">
        <v>2157</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c r="A435" t="str">
        <f>IF(Test_Bible!B249="","F","O")</f>
        <v>O</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2234</v>
      </c>
      <c r="F435" s="703" t="str">
        <f>'Cpts AR +indép + Sommaire'!E67</f>
        <v>2</v>
      </c>
      <c r="G435" s="703">
        <f>'Cpts AR +indép + Sommaire'!F67</f>
        <v>3</v>
      </c>
      <c r="H435" s="703">
        <f>F435*G435</f>
        <v>6</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12</v>
      </c>
      <c r="AK435" s="1476">
        <f>IF(OR(J435=11,A435="F"),0,G435*J435)</f>
        <v>30</v>
      </c>
      <c r="AL435" s="1476">
        <f>IF(OR(P435=11,A435="F"),0,G435*P435)</f>
        <v>6</v>
      </c>
      <c r="AM435" s="1476">
        <f>IF(OR(Q435=11,A435="F"),0,G435*Q435)</f>
        <v>21</v>
      </c>
      <c r="AN435" s="1476">
        <f>IF(OR(S435=11,A435="F"),0,S435*G435)</f>
        <v>12</v>
      </c>
      <c r="AO435" s="1476">
        <f>IF(OR(T435=11,A435="F"),0,T435*G435)</f>
        <v>21</v>
      </c>
      <c r="AY435" s="728"/>
      <c r="AZ435" s="728"/>
      <c r="BA435" s="87"/>
      <c r="BB435" s="438"/>
      <c r="BC435" s="89"/>
      <c r="BD435" s="442"/>
      <c r="BE435" s="442"/>
      <c r="BF435" s="89"/>
      <c r="BG435" s="443"/>
      <c r="BH435" s="443"/>
      <c r="BI435" s="439"/>
    </row>
    <row r="436" spans="1:78" ht="19" customHeight="1">
      <c r="B436" s="1686"/>
      <c r="C436" s="376" t="s">
        <v>1848</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c r="B437" s="1686"/>
      <c r="C437" s="704" t="s">
        <v>2159</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6</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12</v>
      </c>
      <c r="AK437" s="1725">
        <f t="shared" si="54"/>
        <v>30</v>
      </c>
      <c r="AL437" s="1725">
        <f t="shared" si="54"/>
        <v>6</v>
      </c>
      <c r="AM437" s="1725">
        <f t="shared" si="54"/>
        <v>21</v>
      </c>
      <c r="AN437" s="1725">
        <f t="shared" si="54"/>
        <v>12</v>
      </c>
      <c r="AO437" s="1725">
        <f t="shared" si="54"/>
        <v>21</v>
      </c>
      <c r="AY437" s="728"/>
      <c r="AZ437" s="728"/>
      <c r="BA437" s="87"/>
      <c r="BB437" s="438"/>
      <c r="BC437" s="89"/>
      <c r="BD437" s="442"/>
      <c r="BE437" s="442"/>
      <c r="BF437" s="89"/>
      <c r="BG437" s="443"/>
      <c r="BH437" s="443"/>
      <c r="BI437" s="439"/>
    </row>
    <row r="438" spans="1:78" ht="19" customHeight="1">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c r="B440" s="1686"/>
      <c r="C440" s="710" t="s">
        <v>2160</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c r="B441" s="1686"/>
      <c r="C441" s="716" t="s">
        <v>2161</v>
      </c>
      <c r="D441" s="717"/>
      <c r="E441" s="717" t="str">
        <f>IF(H441=H437,E437,E440)</f>
        <v>a le droit de choisir de respecter ou non l'entente de garde</v>
      </c>
      <c r="F441" s="718"/>
      <c r="G441" s="718"/>
      <c r="H441" s="718">
        <f>IF(AND(K437=TRUE,K440=FALSE),H437,IF(AND(K437=FALSE,K440=TRUE),H440,IF(AND(K437=TRUE,K440=TRUE),H437+H440,MAX(H437,H440))))</f>
        <v>6</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12</v>
      </c>
      <c r="AK441" s="587">
        <f>IF(AND($K437=TRUE,$K440=FALSE),AK437,IF(AND($K437=FALSE,$K440=TRUE),AK440,IF(AND($K437=TRUE,$K440=TRUE),AK437+AK440,MAX(AK437,AK440))))</f>
        <v>30</v>
      </c>
      <c r="AL441" s="587">
        <f>IF(AND($R437=TRUE,$R440=FALSE),AL437,IF(AND($R437=FALSE,$R440=TRUE),AL440,IF(AND($R437=TRUE,$R440=TRUE),AL437+AL440,MAX(AL437,AL440))))</f>
        <v>6</v>
      </c>
      <c r="AM441" s="587">
        <f>IF(AND($R437=TRUE,$R440=FALSE),AM437,IF(AND($R437=FALSE,$R440=TRUE),AM440,IF(AND($R437=TRUE,$R440=TRUE),AM437+AM440,MAX(AM437,AM440))))</f>
        <v>21</v>
      </c>
      <c r="AN441" s="587">
        <f>IF(AND($U437=TRUE,$U440=FALSE),AN437,IF(AND($U437=FALSE,$U440=TRUE),AN440,IF(AND($U437=TRUE,$U440=TRUE),AN437+AN440,MAX(AN437,AN440))))</f>
        <v>12</v>
      </c>
      <c r="AO441" s="587">
        <f>IF(AND($U437=TRUE,$U440=FALSE),AO437,IF(AND($U437=FALSE,$U440=TRUE),AO440,IF(AND($U437=TRUE,$U440=TRUE),AO437+AO440,MAX(AO437,AO440))))</f>
        <v>21</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c r="A442" t="str">
        <f>IF(Test_Bible!B327="","F","O")</f>
        <v>O</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2235</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8</v>
      </c>
      <c r="AK442" s="1476">
        <f>IF(OR(J442=11,A442="F"),0,G442*J442)</f>
        <v>20</v>
      </c>
      <c r="AL442" s="1476">
        <f>IF(OR(P442=11,A442="F"),0,G442*P442)</f>
        <v>4</v>
      </c>
      <c r="AM442" s="1476">
        <f>IF(OR(Q442=11,A442="F"),0,G442*Q442)</f>
        <v>14</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c r="B444" s="1686"/>
      <c r="C444" s="721" t="s">
        <v>2164</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c r="B445" s="1686"/>
      <c r="D445" s="383" t="s">
        <v>2165</v>
      </c>
      <c r="E445" s="699"/>
      <c r="F445" s="435" t="s">
        <v>2166</v>
      </c>
      <c r="G445" s="33"/>
      <c r="H445" s="33">
        <f>IF(AND(K441=TRUE,K444=FALSE),H441,IF(AND(K441=FALSE,K444=TRUE),H444,IF(AND(K441=TRUE,K444=TRUE),H441+H444,MAX(H441,H444))))</f>
        <v>6</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c r="B446" s="1686"/>
      <c r="C446" t="s">
        <v>1849</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t="str">
        <f>'Cpts AR +indép + Sommaire'!W67</f>
        <v>2</v>
      </c>
      <c r="G447" s="822">
        <f>'Cpts AR +indép + Sommaire'!X67</f>
        <v>2</v>
      </c>
      <c r="H447" s="822">
        <f>F447*G447</f>
        <v>4</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8</v>
      </c>
      <c r="AK447" s="1476">
        <f>IF(OR(J447=11,A447="F"),0,G447*J447)</f>
        <v>20</v>
      </c>
      <c r="AL447" s="1476">
        <f>IF(OR(P447=11,A447="F"),0,G447*P447)</f>
        <v>0</v>
      </c>
      <c r="AM447" s="1476">
        <f>IF(OR(Q447=11,A447="F"),0,G447*Q447)</f>
        <v>0</v>
      </c>
      <c r="AN447" s="1476">
        <f>IF(OR(S447=11,A447="F"),0,S447*G447)</f>
        <v>8</v>
      </c>
      <c r="AO447" s="1476">
        <f>IF(OR(T447=11,A447="F"),0,T447*G447)</f>
        <v>14</v>
      </c>
      <c r="AY447" s="728"/>
      <c r="AZ447" s="728"/>
      <c r="BA447" s="87"/>
      <c r="BB447" s="438"/>
      <c r="BC447" s="89"/>
      <c r="BD447" s="442"/>
      <c r="BE447" s="442"/>
      <c r="BF447" s="89"/>
      <c r="BG447" s="443"/>
      <c r="BH447" s="443"/>
      <c r="BI447" s="439"/>
    </row>
    <row r="448" spans="1:78" ht="20"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c r="D449" s="16"/>
      <c r="E449" s="16"/>
      <c r="F449" s="67"/>
      <c r="G449" s="434"/>
      <c r="H449" s="33">
        <f>IF(AND(K447=TRUE,K448=FALSE),H447,IF(AND(K447=FALSE,K448=TRUE),H448,MAX(H447,H448)))</f>
        <v>4</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8</v>
      </c>
      <c r="AK449" s="1728">
        <f>IF(AND($K447=TRUE,$K448=FALSE),AK447,IF(AND($K447=FALSE,$K448=TRUE),AK448,MAX(AK447,AK448)))</f>
        <v>20</v>
      </c>
      <c r="AL449" s="1728">
        <f>IF(AND($R447=TRUE,$R448=FALSE),AL447,IF(AND($R447=FALSE,$R448=TRUE),AL448,MAX(AL447,AL448)))</f>
        <v>0</v>
      </c>
      <c r="AM449" s="1728">
        <f>IF(AND($R447=TRUE,$R448=FALSE),AM447,IF(AND($R447=FALSE,$R448=TRUE),AM448,MAX(AM447,AM448)))</f>
        <v>0</v>
      </c>
      <c r="AN449" s="1728">
        <f>IF(AND($U447=TRUE,$U448=FALSE),AN447,IF(AND($U447=FALSE,$U448=TRUE),AN448,MAX(AN447,AN448)))</f>
        <v>8</v>
      </c>
      <c r="AO449" s="1728">
        <f>IF(AND($U447=TRUE,$U448=FALSE),AO447,IF(AND($U447=FALSE,$U448=TRUE),AO448,MAX(AO447,AO448)))</f>
        <v>14</v>
      </c>
      <c r="AY449" s="728"/>
      <c r="AZ449" s="728"/>
      <c r="BA449" s="87"/>
      <c r="BB449" s="438"/>
      <c r="BC449" s="89"/>
      <c r="BD449" s="442"/>
      <c r="BE449" s="442"/>
      <c r="BF449" s="89"/>
      <c r="BG449" s="443"/>
      <c r="BH449" s="443"/>
      <c r="BI449" s="439"/>
    </row>
    <row r="450" spans="1:78" ht="27"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2"/>
      <c r="M451" s="2552"/>
      <c r="N451" s="2552"/>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77" t="s">
        <v>1992</v>
      </c>
      <c r="J452" s="2468"/>
      <c r="K452" s="2468"/>
      <c r="L452" s="2581" t="s">
        <v>2144</v>
      </c>
      <c r="M452" s="2468"/>
      <c r="N452" s="2468"/>
      <c r="O452" s="2580"/>
      <c r="P452" s="2579" t="s">
        <v>1993</v>
      </c>
      <c r="Q452" s="2468"/>
      <c r="R452" s="2580"/>
      <c r="S452" s="2583" t="s">
        <v>1994</v>
      </c>
      <c r="T452" s="2468"/>
      <c r="U452" s="2580"/>
      <c r="V452" s="15"/>
      <c r="W452" s="809"/>
      <c r="X452" s="809"/>
      <c r="Y452" s="809"/>
      <c r="Z452" s="809"/>
      <c r="AA452" s="809"/>
      <c r="AB452" s="810"/>
      <c r="AD452" s="10"/>
      <c r="AE452" s="10"/>
      <c r="AF452" s="10"/>
      <c r="AG452" s="1372" t="s">
        <v>1992</v>
      </c>
      <c r="AH452" s="1372" t="s">
        <v>1993</v>
      </c>
      <c r="AI452" s="1372" t="s">
        <v>1994</v>
      </c>
      <c r="AJ452" s="2578" t="s">
        <v>1992</v>
      </c>
      <c r="AK452" s="2469"/>
      <c r="AL452" s="2578" t="s">
        <v>1993</v>
      </c>
      <c r="AM452" s="2469"/>
      <c r="AN452" s="2578" t="s">
        <v>1994</v>
      </c>
      <c r="AO452" s="2469"/>
      <c r="AY452" s="728"/>
      <c r="AZ452" s="728"/>
      <c r="BA452" s="87"/>
      <c r="BB452" s="438"/>
      <c r="BC452" s="89"/>
      <c r="BD452" s="442"/>
      <c r="BE452" s="442"/>
      <c r="BF452" s="89"/>
      <c r="BG452" s="443"/>
      <c r="BH452" s="443"/>
      <c r="BI452" s="439"/>
    </row>
    <row r="453" spans="1:78" ht="34" customHeight="1">
      <c r="B453" s="1686"/>
      <c r="D453" s="79" t="s">
        <v>2145</v>
      </c>
      <c r="E453" s="827" t="s">
        <v>2146</v>
      </c>
      <c r="F453" s="26" t="s">
        <v>252</v>
      </c>
      <c r="G453" s="26" t="s">
        <v>235</v>
      </c>
      <c r="H453" s="26" t="s">
        <v>2147</v>
      </c>
      <c r="I453" s="1334" t="s">
        <v>2148</v>
      </c>
      <c r="J453" s="29" t="s">
        <v>2149</v>
      </c>
      <c r="K453" s="29" t="s">
        <v>2150</v>
      </c>
      <c r="L453" s="29" t="s">
        <v>2151</v>
      </c>
      <c r="M453" s="29" t="s">
        <v>2152</v>
      </c>
      <c r="N453" s="29" t="s">
        <v>2153</v>
      </c>
      <c r="O453" s="1335" t="s">
        <v>2154</v>
      </c>
      <c r="P453" s="1334" t="s">
        <v>2148</v>
      </c>
      <c r="Q453" s="29" t="s">
        <v>2149</v>
      </c>
      <c r="R453" s="1335" t="s">
        <v>2150</v>
      </c>
      <c r="S453" s="1334" t="s">
        <v>2148</v>
      </c>
      <c r="T453" s="29" t="s">
        <v>2149</v>
      </c>
      <c r="U453" s="1335" t="s">
        <v>2150</v>
      </c>
      <c r="V453" s="730"/>
      <c r="W453" s="819" t="s">
        <v>1992</v>
      </c>
      <c r="X453" s="820" t="s">
        <v>2155</v>
      </c>
      <c r="Y453" s="819" t="s">
        <v>1993</v>
      </c>
      <c r="Z453" s="820" t="s">
        <v>2156</v>
      </c>
      <c r="AA453" s="819" t="s">
        <v>1994</v>
      </c>
      <c r="AB453" s="820" t="s">
        <v>2157</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2236</v>
      </c>
      <c r="F454" s="703" t="str">
        <f>'Cpts AR +indép + Sommaire'!E70</f>
        <v>2</v>
      </c>
      <c r="G454" s="703">
        <f>'Cpts AR +indép + Sommaire'!F70</f>
        <v>2</v>
      </c>
      <c r="H454" s="703">
        <f>F454*G454</f>
        <v>4</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14</v>
      </c>
      <c r="AK454" s="1476">
        <f>IF(OR(J454=11,A454="F"),0,G454*J454)</f>
        <v>20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c r="A455" t="str">
        <f>IF(Test_Bible!B220="","F","O")</f>
        <v>O</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2237</v>
      </c>
      <c r="F455" s="703" t="str">
        <f>'Cpts AR +indép + Sommaire'!E71</f>
        <v>1</v>
      </c>
      <c r="G455" s="703">
        <f>'Cpts AR +indép + Sommaire'!F71</f>
        <v>3</v>
      </c>
      <c r="H455" s="703">
        <f>F455*G455</f>
        <v>3</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12</v>
      </c>
      <c r="AK455" s="1476">
        <f>IF(OR(J455=11,A455="F"),0,G455*J455)</f>
        <v>30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c r="B456" s="1686"/>
      <c r="C456" s="704" t="s">
        <v>2159</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4</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14</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c r="B459" s="1686"/>
      <c r="C459" s="710" t="s">
        <v>2160</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c r="B460" s="1686"/>
      <c r="C460" s="716" t="s">
        <v>2161</v>
      </c>
      <c r="D460" s="717"/>
      <c r="E460" s="717" t="str">
        <f>IF(H460=H456,E456,E459)</f>
        <v>demande à l'enfant avec qui il veut vivre</v>
      </c>
      <c r="F460" s="718"/>
      <c r="G460" s="718"/>
      <c r="H460" s="718">
        <f>IF(AND(K456=TRUE,K459=FALSE),H456,IF(AND(K456=FALSE,K459=TRUE),H459,IF(AND(K456=TRUE,K459=TRUE),H456+H459,MAX(H456,H459))))</f>
        <v>4</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14</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c r="A461" t="str">
        <f>IF(Test_Bible!B328="","F","O")</f>
        <v>O</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2238</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6</v>
      </c>
      <c r="AK461" s="1476">
        <f>IF(OR(J461=11,A461="F"),0,G461*J461)</f>
        <v>30</v>
      </c>
      <c r="AL461" s="1476">
        <f>IF(OR(P461=11,A461="F"),0,G461*P461)</f>
        <v>6</v>
      </c>
      <c r="AM461" s="1476">
        <f>IF(OR(Q461=11,A461="F"),0,G461*Q461)</f>
        <v>21</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c r="B462" s="1686"/>
      <c r="C462" s="287" t="s">
        <v>2175</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c r="B463" s="1686"/>
      <c r="C463" s="721" t="s">
        <v>2164</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c r="B464" s="1686"/>
      <c r="D464" s="383" t="s">
        <v>2165</v>
      </c>
      <c r="E464" s="699"/>
      <c r="F464" s="435" t="s">
        <v>2166</v>
      </c>
      <c r="G464" s="33"/>
      <c r="H464" s="33">
        <f>IF(AND(K460=TRUE,K463=FALSE),H460,IF(AND(K460=FALSE,K463=TRUE),H463,IF(AND(K460=TRUE,K463=TRUE),H460+H463,MAX(H460,H463))))</f>
        <v>4</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c r="B465" s="1686"/>
      <c r="C465" t="s">
        <v>1849</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t="str">
        <f>'Cpts AR +indép + Sommaire'!W70</f>
        <v>2</v>
      </c>
      <c r="G466" s="822">
        <f>'Cpts AR +indép + Sommaire'!X70</f>
        <v>2</v>
      </c>
      <c r="H466" s="822">
        <f>F466*G466</f>
        <v>4</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8</v>
      </c>
      <c r="AK466" s="1476">
        <f>IF(OR(J466=11,A466="F"),0,G466*J466)</f>
        <v>20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c r="D468" s="16"/>
      <c r="E468" s="16"/>
      <c r="F468" s="67"/>
      <c r="G468" s="434"/>
      <c r="H468" s="33">
        <f>IF(AND(K466=TRUE,K467=FALSE),H466,IF(AND(K466=FALSE,K467=TRUE),H467,MAX(H466,H467)))</f>
        <v>4</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8</v>
      </c>
      <c r="AK468" s="1728">
        <f>IF(AND($K466=TRUE,$K467=FALSE),AK466,IF(AND($K466=FALSE,$K467=TRUE),AK467,MAX(AK466,AK467)))</f>
        <v>20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2"/>
      <c r="M470" s="2552"/>
      <c r="N470" s="2552"/>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77" t="s">
        <v>1992</v>
      </c>
      <c r="J471" s="2468"/>
      <c r="K471" s="2468"/>
      <c r="L471" s="2581" t="s">
        <v>2144</v>
      </c>
      <c r="M471" s="2468"/>
      <c r="N471" s="2468"/>
      <c r="O471" s="2580"/>
      <c r="P471" s="2579" t="s">
        <v>1993</v>
      </c>
      <c r="Q471" s="2468"/>
      <c r="R471" s="2580"/>
      <c r="S471" s="2583" t="s">
        <v>1994</v>
      </c>
      <c r="T471" s="2468"/>
      <c r="U471" s="2580"/>
      <c r="V471" s="15"/>
      <c r="W471" s="809"/>
      <c r="X471" s="809"/>
      <c r="Y471" s="809"/>
      <c r="Z471" s="809"/>
      <c r="AA471" s="809"/>
      <c r="AB471" s="810"/>
      <c r="AD471" s="10"/>
      <c r="AE471" s="10"/>
      <c r="AF471" s="10"/>
      <c r="AG471" s="1372" t="s">
        <v>1992</v>
      </c>
      <c r="AH471" s="1372" t="s">
        <v>1993</v>
      </c>
      <c r="AI471" s="1372" t="s">
        <v>1994</v>
      </c>
      <c r="AJ471" s="2578" t="s">
        <v>1992</v>
      </c>
      <c r="AK471" s="2469"/>
      <c r="AL471" s="2578" t="s">
        <v>1993</v>
      </c>
      <c r="AM471" s="2469"/>
      <c r="AN471" s="2578" t="s">
        <v>1994</v>
      </c>
      <c r="AO471" s="2469"/>
      <c r="AY471" s="728"/>
      <c r="AZ471" s="728"/>
      <c r="BA471" s="87"/>
      <c r="BB471" s="438"/>
      <c r="BC471" s="89"/>
      <c r="BD471" s="442"/>
      <c r="BE471" s="442"/>
      <c r="BF471" s="89"/>
      <c r="BG471" s="443"/>
      <c r="BH471" s="443"/>
      <c r="BI471" s="439"/>
    </row>
    <row r="472" spans="1:78" ht="34" customHeight="1">
      <c r="B472" s="1686"/>
      <c r="D472" s="79" t="s">
        <v>2145</v>
      </c>
      <c r="E472" s="827" t="s">
        <v>2146</v>
      </c>
      <c r="F472" s="26" t="s">
        <v>252</v>
      </c>
      <c r="G472" s="26" t="s">
        <v>235</v>
      </c>
      <c r="H472" s="26" t="s">
        <v>2147</v>
      </c>
      <c r="I472" s="1334" t="s">
        <v>2148</v>
      </c>
      <c r="J472" s="29" t="s">
        <v>2149</v>
      </c>
      <c r="K472" s="29" t="s">
        <v>2150</v>
      </c>
      <c r="L472" s="29" t="s">
        <v>2151</v>
      </c>
      <c r="M472" s="29" t="s">
        <v>2152</v>
      </c>
      <c r="N472" s="29" t="s">
        <v>2153</v>
      </c>
      <c r="O472" s="1335" t="s">
        <v>2154</v>
      </c>
      <c r="P472" s="1334" t="s">
        <v>2148</v>
      </c>
      <c r="Q472" s="29" t="s">
        <v>2149</v>
      </c>
      <c r="R472" s="1335" t="s">
        <v>2150</v>
      </c>
      <c r="S472" s="1334" t="s">
        <v>2148</v>
      </c>
      <c r="T472" s="29" t="s">
        <v>2149</v>
      </c>
      <c r="U472" s="1335" t="s">
        <v>2150</v>
      </c>
      <c r="V472" s="730"/>
      <c r="W472" s="819" t="s">
        <v>1992</v>
      </c>
      <c r="X472" s="820" t="s">
        <v>2155</v>
      </c>
      <c r="Y472" s="819" t="s">
        <v>1993</v>
      </c>
      <c r="Z472" s="820" t="s">
        <v>2156</v>
      </c>
      <c r="AA472" s="819" t="s">
        <v>1994</v>
      </c>
      <c r="AB472" s="820" t="s">
        <v>2157</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c r="A473" t="str">
        <f>IF(Test_Bible!B184="","F","O")</f>
        <v>O</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2239</v>
      </c>
      <c r="F473" s="703">
        <f>'Cpts AR +indép + Sommaire'!E73</f>
        <v>0</v>
      </c>
      <c r="G473" s="703">
        <f>'Cpts AR +indép + Sommaire'!F73</f>
        <v>2</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8</v>
      </c>
      <c r="AK473" s="1476">
        <f>IF(OR(J473=11,A473="F"),0,G473*J473)</f>
        <v>20</v>
      </c>
      <c r="AL473" s="1476">
        <f>IF(OR(P473=11,A473="F"),0,G473*P473)</f>
        <v>0</v>
      </c>
      <c r="AM473" s="1476">
        <f>IF(OR(Q473=11,A473="F"),0,G473*Q473)</f>
        <v>0</v>
      </c>
      <c r="AN473" s="1476">
        <f>IF(OR(S473=11,A473="F"),0,S473*G473)</f>
        <v>8</v>
      </c>
      <c r="AO473" s="1476">
        <f>IF(OR(T473=11,A473="F"),0,T473*G473)</f>
        <v>14</v>
      </c>
      <c r="AY473" s="728"/>
      <c r="AZ473" s="728"/>
      <c r="BA473" s="87"/>
      <c r="BB473" s="438"/>
      <c r="BC473" s="89"/>
      <c r="BD473" s="442"/>
      <c r="BE473" s="442"/>
      <c r="BF473" s="89"/>
      <c r="BG473" s="443"/>
      <c r="BH473" s="443"/>
      <c r="BI473" s="439"/>
    </row>
    <row r="474" spans="1:78" ht="19" customHeight="1">
      <c r="B474" s="1686"/>
      <c r="C474" s="376" t="s">
        <v>1848</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c r="B475" s="1686"/>
      <c r="C475" s="704" t="s">
        <v>2159</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8</v>
      </c>
      <c r="AK475" s="1725">
        <f t="shared" si="58"/>
        <v>20</v>
      </c>
      <c r="AL475" s="1725">
        <f t="shared" si="58"/>
        <v>0</v>
      </c>
      <c r="AM475" s="1725">
        <f t="shared" si="58"/>
        <v>0</v>
      </c>
      <c r="AN475" s="1725">
        <f t="shared" si="58"/>
        <v>8</v>
      </c>
      <c r="AO475" s="1725">
        <f t="shared" si="58"/>
        <v>14</v>
      </c>
      <c r="AY475" s="728"/>
      <c r="AZ475" s="728"/>
      <c r="BA475" s="87"/>
      <c r="BB475" s="438"/>
      <c r="BC475" s="89"/>
      <c r="BD475" s="442"/>
      <c r="BE475" s="442"/>
      <c r="BF475" s="89"/>
      <c r="BG475" s="443"/>
      <c r="BH475" s="443"/>
      <c r="BI475" s="439"/>
    </row>
    <row r="476" spans="1:78" ht="51" customHeight="1">
      <c r="A476" t="str">
        <f>IF(Test_Bible!B426="","F","O")</f>
        <v>O</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2240</v>
      </c>
      <c r="F476" s="703">
        <f>'Cpts AR +indép + Sommaire'!K73</f>
        <v>0</v>
      </c>
      <c r="G476" s="703">
        <f>'Cpts AR +indép + Sommaire'!L73</f>
        <v>2</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8</v>
      </c>
      <c r="AK476" s="1476">
        <f>IF(OR(J476=11,A476="F"),0,G476*J476)</f>
        <v>20</v>
      </c>
      <c r="AL476" s="1476">
        <f>IF(OR(P476=11,A476="F"),0,G476*P476)</f>
        <v>0</v>
      </c>
      <c r="AM476" s="1476">
        <f>IF(OR(Q476=11,A476="F"),0,G476*Q476)</f>
        <v>0</v>
      </c>
      <c r="AN476" s="1476">
        <f>IF(OR(S476=11,A476="F"),0,S476*G476)</f>
        <v>14</v>
      </c>
      <c r="AO476" s="1476">
        <f>IF(OR(T476=11,A476="F"),0,T476*G476)</f>
        <v>20</v>
      </c>
    </row>
    <row r="477" spans="1:78" ht="19" customHeight="1">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c r="B478" s="1686"/>
      <c r="C478" s="710" t="s">
        <v>2160</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8</v>
      </c>
      <c r="AK478" s="1725">
        <f t="shared" si="59"/>
        <v>20</v>
      </c>
      <c r="AL478" s="1725">
        <f t="shared" si="59"/>
        <v>0</v>
      </c>
      <c r="AM478" s="1725">
        <f t="shared" si="59"/>
        <v>0</v>
      </c>
      <c r="AN478" s="1725">
        <f t="shared" si="59"/>
        <v>14</v>
      </c>
      <c r="AO478" s="1725">
        <f t="shared" si="59"/>
        <v>20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c r="B479" s="1686"/>
      <c r="C479" s="716" t="s">
        <v>2161</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8</v>
      </c>
      <c r="AK479" s="587">
        <f>IF(AND($K475=TRUE,$K478=FALSE),AK475,IF(AND($K475=FALSE,$K478=TRUE),AK478,IF(AND($K475=TRUE,$K478=TRUE),AK475+AK478,MAX(AK475,AK478))))</f>
        <v>20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14</v>
      </c>
      <c r="AO479" s="587">
        <f>IF(AND($U475=TRUE,$U478=FALSE),AO475,IF(AND($U475=FALSE,$U478=TRUE),AO478,IF(AND($U475=TRUE,$U478=TRUE),AO475+AO478,MAX(AO475,AO478))))</f>
        <v>20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c r="A480" t="str">
        <f>IF(Test_Bible!B326="","F","O")</f>
        <v>O</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2241</v>
      </c>
      <c r="F480" s="703" t="str">
        <f>'Cpts AR +indép + Sommaire'!Q73</f>
        <v>2</v>
      </c>
      <c r="G480" s="703">
        <f>'Cpts AR +indép + Sommaire'!R73</f>
        <v>3</v>
      </c>
      <c r="H480" s="703">
        <f>F480*G480</f>
        <v>6</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12</v>
      </c>
      <c r="AK480" s="1476">
        <f>IF(OR(J480=11,A480="F"),0,G480*J480)</f>
        <v>30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c r="B481" s="1686"/>
      <c r="C481" s="287" t="s">
        <v>2175</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c r="B482" s="1686"/>
      <c r="C482" s="721" t="s">
        <v>2164</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6</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c r="B483" s="1686"/>
      <c r="D483" s="383" t="s">
        <v>2165</v>
      </c>
      <c r="E483" s="699"/>
      <c r="F483" s="435" t="s">
        <v>2166</v>
      </c>
      <c r="G483" s="33"/>
      <c r="H483" s="33">
        <f>IF(AND(K479=TRUE,K482=FALSE),H479,IF(AND(K479=FALSE,K482=TRUE),H482,IF(AND(K479=TRUE,K482=TRUE),H479+H482,MAX(H479,H482))))</f>
        <v>6</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6" customHeight="1">
      <c r="B484" s="1686"/>
      <c r="C484" t="s">
        <v>1849</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2"/>
      <c r="M489" s="2552"/>
      <c r="N489" s="2552"/>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77" t="s">
        <v>1992</v>
      </c>
      <c r="J490" s="2468"/>
      <c r="K490" s="2468"/>
      <c r="L490" s="2581" t="s">
        <v>2144</v>
      </c>
      <c r="M490" s="2468"/>
      <c r="N490" s="2468"/>
      <c r="O490" s="2580"/>
      <c r="P490" s="2579" t="s">
        <v>1993</v>
      </c>
      <c r="Q490" s="2468"/>
      <c r="R490" s="2580"/>
      <c r="S490" s="2583" t="s">
        <v>1994</v>
      </c>
      <c r="T490" s="2468"/>
      <c r="U490" s="2580"/>
      <c r="V490" s="15"/>
      <c r="W490" s="809"/>
      <c r="X490" s="809"/>
      <c r="Y490" s="809"/>
      <c r="Z490" s="809"/>
      <c r="AA490" s="809"/>
      <c r="AB490" s="810"/>
      <c r="AD490" s="10"/>
      <c r="AE490" s="10"/>
      <c r="AF490" s="10"/>
      <c r="AG490" s="1372" t="s">
        <v>1992</v>
      </c>
      <c r="AH490" s="1372" t="s">
        <v>1993</v>
      </c>
      <c r="AI490" s="1372" t="s">
        <v>1994</v>
      </c>
      <c r="AJ490" s="2578" t="s">
        <v>1992</v>
      </c>
      <c r="AK490" s="2469"/>
      <c r="AL490" s="2578" t="s">
        <v>1993</v>
      </c>
      <c r="AM490" s="2469"/>
      <c r="AN490" s="2578" t="s">
        <v>1994</v>
      </c>
      <c r="AO490" s="2469"/>
    </row>
    <row r="491" spans="1:78" ht="34" customHeight="1">
      <c r="B491" s="1686"/>
      <c r="D491" s="79" t="s">
        <v>2145</v>
      </c>
      <c r="E491" s="827" t="s">
        <v>2146</v>
      </c>
      <c r="F491" s="26" t="s">
        <v>252</v>
      </c>
      <c r="G491" s="26" t="s">
        <v>235</v>
      </c>
      <c r="H491" s="26" t="s">
        <v>2147</v>
      </c>
      <c r="I491" s="1334" t="s">
        <v>2148</v>
      </c>
      <c r="J491" s="29" t="s">
        <v>2149</v>
      </c>
      <c r="K491" s="29" t="s">
        <v>2150</v>
      </c>
      <c r="L491" s="29" t="s">
        <v>2151</v>
      </c>
      <c r="M491" s="29" t="s">
        <v>2152</v>
      </c>
      <c r="N491" s="29" t="s">
        <v>2153</v>
      </c>
      <c r="O491" s="1335" t="s">
        <v>2154</v>
      </c>
      <c r="P491" s="1334" t="s">
        <v>2148</v>
      </c>
      <c r="Q491" s="29" t="s">
        <v>2149</v>
      </c>
      <c r="R491" s="1335" t="s">
        <v>2150</v>
      </c>
      <c r="S491" s="1334" t="s">
        <v>2148</v>
      </c>
      <c r="T491" s="29" t="s">
        <v>2149</v>
      </c>
      <c r="U491" s="1335" t="s">
        <v>2150</v>
      </c>
      <c r="V491" s="730"/>
      <c r="W491" s="819" t="s">
        <v>1992</v>
      </c>
      <c r="X491" s="820" t="s">
        <v>2155</v>
      </c>
      <c r="Y491" s="819" t="s">
        <v>1993</v>
      </c>
      <c r="Z491" s="820" t="s">
        <v>2156</v>
      </c>
      <c r="AA491" s="819" t="s">
        <v>1994</v>
      </c>
      <c r="AB491" s="820" t="s">
        <v>2157</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c r="A492" t="str">
        <f>IF(Test_Bible!B250="","F","O")</f>
        <v>O</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2242</v>
      </c>
      <c r="F492" s="703" t="str">
        <f>'Cpts AR +indép + Sommaire'!E75</f>
        <v>1</v>
      </c>
      <c r="G492" s="703">
        <f>'Cpts AR +indép + Sommaire'!F75</f>
        <v>3</v>
      </c>
      <c r="H492" s="703">
        <f>F492*G492</f>
        <v>3</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12</v>
      </c>
      <c r="AK492" s="1476">
        <f>IF(OR(J492=11,A492="F"),0,G492*J492)</f>
        <v>30</v>
      </c>
      <c r="AL492" s="1476">
        <f>IF(OR(P492=11,A492="F"),0,G492*P492)</f>
        <v>6</v>
      </c>
      <c r="AM492" s="1476">
        <f>IF(OR(Q492=11,A492="F"),0,G492*Q492)</f>
        <v>21</v>
      </c>
      <c r="AN492" s="1476">
        <f>IF(OR(S492=11,A492="F"),0,S492*G492)</f>
        <v>0</v>
      </c>
      <c r="AO492" s="1476">
        <f>IF(OR(T492=11,A492="F"),0,T492*G492)</f>
        <v>0</v>
      </c>
    </row>
    <row r="493" spans="1:78" ht="48" customHeight="1">
      <c r="A493" t="str">
        <f>IF(Test_Bible!B234="","F","O")</f>
        <v>O</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2243</v>
      </c>
      <c r="F493" s="703" t="str">
        <f>'Cpts AR +indép + Sommaire'!E76</f>
        <v>4</v>
      </c>
      <c r="G493" s="703">
        <f>'Cpts AR +indép + Sommaire'!F76</f>
        <v>3</v>
      </c>
      <c r="H493" s="703">
        <f>F493*G493</f>
        <v>12</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6</v>
      </c>
      <c r="AK493" s="1476">
        <f>IF(OR(J493=11,A493="F"),0,G493*J493)</f>
        <v>30</v>
      </c>
      <c r="AL493" s="1476">
        <f>IF(OR(P493=11,A493="F"),0,G493*P493)</f>
        <v>6</v>
      </c>
      <c r="AM493" s="1476">
        <f>IF(OR(Q493=11,A493="F"),0,G493*Q493)</f>
        <v>21</v>
      </c>
      <c r="AN493" s="1476">
        <f>IF(OR(S493=11,A493="F"),0,S493*G493)</f>
        <v>0</v>
      </c>
      <c r="AO493" s="1476">
        <f>IF(OR(T493=11,A493="F"),0,T493*G493)</f>
        <v>0</v>
      </c>
    </row>
    <row r="494" spans="1:78" ht="34" customHeight="1">
      <c r="B494" s="1686"/>
      <c r="C494" s="704" t="s">
        <v>2159</v>
      </c>
      <c r="D494" s="705" t="str">
        <f>INDEX(D492:D493, MATCH(H494, H492:H493, 0), 1)</f>
        <v>L’autre parent incite, consciemment ou inconsciemment, votre enfant à choisir entre ses deux parents.</v>
      </c>
      <c r="E494" s="706" t="str">
        <f>INDEX(E492:E493, MATCH(H494, H492:H493, 0), 1)</f>
        <v>force l'enfant à choisir</v>
      </c>
      <c r="F494" s="707"/>
      <c r="G494" s="707"/>
      <c r="H494" s="707">
        <f>IF(AND(K492=TRUE,K493=FALSE),H492,IF(AND(K492=FALSE,K493=TRUE),H493,MAX(H492,H493)))</f>
        <v>12</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12</v>
      </c>
      <c r="AK494" s="1725">
        <f t="shared" si="60"/>
        <v>30</v>
      </c>
      <c r="AL494" s="1725">
        <f t="shared" si="60"/>
        <v>6</v>
      </c>
      <c r="AM494" s="1725">
        <f t="shared" si="60"/>
        <v>21</v>
      </c>
      <c r="AN494" s="1725">
        <f t="shared" si="60"/>
        <v>0</v>
      </c>
      <c r="AO494" s="1725">
        <f t="shared" si="60"/>
        <v>0</v>
      </c>
    </row>
    <row r="495" spans="1:78" ht="16" customHeight="1">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c r="B497" s="1686"/>
      <c r="C497" s="710" t="s">
        <v>2160</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c r="B498" s="1686"/>
      <c r="C498" s="716" t="s">
        <v>2161</v>
      </c>
      <c r="D498" s="717"/>
      <c r="E498" s="717" t="str">
        <f>IF(H498=H494,E494,E497)</f>
        <v>force l'enfant à choisir</v>
      </c>
      <c r="F498" s="718"/>
      <c r="G498" s="718"/>
      <c r="H498" s="718">
        <f>IF(AND(K494=TRUE,K497=FALSE),H494,IF(AND(K494=FALSE,K497=TRUE),H497,IF(AND(K494=TRUE,K497=TRUE),H494+H497,MAX(H494,H497))))</f>
        <v>12</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12</v>
      </c>
      <c r="AK498" s="587">
        <f>IF(AND($K494=TRUE,$K497=FALSE),AK494,IF(AND($K494=FALSE,$K497=TRUE),AK497,IF(AND($K494=TRUE,$K497=TRUE),AK494+AK497,MAX(AK494,AK497))))</f>
        <v>30</v>
      </c>
      <c r="AL498" s="587">
        <f>IF(AND($R494=TRUE,$R497=FALSE),AL494,IF(AND($R494=FALSE,$R497=TRUE),AL497,IF(AND($R494=TRUE,$R497=TRUE),AL494+AL497,MAX(AL494,AL497))))</f>
        <v>6</v>
      </c>
      <c r="AM498" s="587">
        <f>IF(AND($R494=TRUE,$R497=FALSE),AM494,IF(AND($R494=FALSE,$R497=TRUE),AM497,IF(AND($R494=TRUE,$R497=TRUE),AM494+AM497,MAX(AM494,AM497))))</f>
        <v>21</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c r="A499" t="str">
        <f>IF(Test_Bible!B324="","F","O")</f>
        <v>O</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2244</v>
      </c>
      <c r="F499" s="703" t="str">
        <f>'Cpts AR +indép + Sommaire'!Q75</f>
        <v>4</v>
      </c>
      <c r="G499" s="703">
        <f>'Cpts AR +indép + Sommaire'!R75</f>
        <v>2</v>
      </c>
      <c r="H499" s="703">
        <f>F499*G499</f>
        <v>8</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8</v>
      </c>
      <c r="AK499" s="1476">
        <f>IF(OR(J499=11,A499="F"),0,G499*J499)</f>
        <v>20</v>
      </c>
      <c r="AL499" s="1476">
        <f>IF(OR(P499=11,A499="F"),0,G499*P499)</f>
        <v>8</v>
      </c>
      <c r="AM499" s="1476">
        <f>IF(OR(Q499=11,A499="F"),0,G499*Q499)</f>
        <v>14</v>
      </c>
      <c r="AN499" s="1476">
        <f>IF(OR(S499=11,A499="F"),0,S499*G499)</f>
        <v>0</v>
      </c>
      <c r="AO499" s="1476">
        <f>IF(OR(T499=11,A499="F"),0,T499*G499)</f>
        <v>0</v>
      </c>
    </row>
    <row r="500" spans="1:41" ht="17" customHeight="1" thickBot="1">
      <c r="B500" s="1686"/>
      <c r="C500" s="287" t="s">
        <v>2175</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c r="B501" s="1686"/>
      <c r="C501" s="721" t="s">
        <v>2164</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8</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c r="B502" s="1686"/>
      <c r="D502" s="383" t="s">
        <v>2165</v>
      </c>
      <c r="E502" s="699"/>
      <c r="F502" s="435" t="s">
        <v>2166</v>
      </c>
      <c r="G502" s="33"/>
      <c r="H502" s="33">
        <f>IF(AND(K498=TRUE,K501=FALSE),H498,IF(AND(K498=FALSE,K501=TRUE),H501,IF(AND(K498=TRUE,K501=TRUE),H498+H501,MAX(H498,H501))))</f>
        <v>12</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6" customHeight="1">
      <c r="B503" s="1686"/>
      <c r="C503" t="s">
        <v>1849</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2"/>
      <c r="M508" s="2552"/>
      <c r="N508" s="2552"/>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77" t="s">
        <v>1992</v>
      </c>
      <c r="J509" s="2468"/>
      <c r="K509" s="2468"/>
      <c r="L509" s="2581" t="s">
        <v>2144</v>
      </c>
      <c r="M509" s="2468"/>
      <c r="N509" s="2468"/>
      <c r="O509" s="2580"/>
      <c r="P509" s="2579" t="s">
        <v>1993</v>
      </c>
      <c r="Q509" s="2468"/>
      <c r="R509" s="2580"/>
      <c r="S509" s="2583" t="s">
        <v>1994</v>
      </c>
      <c r="T509" s="2468"/>
      <c r="U509" s="2580"/>
      <c r="V509" s="15"/>
      <c r="W509" s="809"/>
      <c r="X509" s="809"/>
      <c r="Y509" s="809"/>
      <c r="Z509" s="809"/>
      <c r="AA509" s="809"/>
      <c r="AB509" s="810"/>
      <c r="AD509" s="10"/>
      <c r="AE509" s="10"/>
      <c r="AF509" s="10"/>
      <c r="AG509" s="1372" t="s">
        <v>1992</v>
      </c>
      <c r="AH509" s="1372" t="s">
        <v>1993</v>
      </c>
      <c r="AI509" s="1372" t="s">
        <v>1994</v>
      </c>
      <c r="AJ509" s="2578" t="s">
        <v>1992</v>
      </c>
      <c r="AK509" s="2469"/>
      <c r="AL509" s="2578" t="s">
        <v>1993</v>
      </c>
      <c r="AM509" s="2469"/>
      <c r="AN509" s="2578" t="s">
        <v>1994</v>
      </c>
      <c r="AO509" s="2469"/>
    </row>
    <row r="510" spans="1:41" ht="36" customHeight="1">
      <c r="D510" s="79" t="s">
        <v>2145</v>
      </c>
      <c r="E510" s="827" t="s">
        <v>2146</v>
      </c>
      <c r="F510" s="26" t="s">
        <v>252</v>
      </c>
      <c r="G510" s="26" t="s">
        <v>235</v>
      </c>
      <c r="H510" s="26" t="s">
        <v>2147</v>
      </c>
      <c r="I510" s="1334" t="s">
        <v>2148</v>
      </c>
      <c r="J510" s="29" t="s">
        <v>2149</v>
      </c>
      <c r="K510" s="29" t="s">
        <v>2150</v>
      </c>
      <c r="L510" s="29" t="s">
        <v>2151</v>
      </c>
      <c r="M510" s="29" t="s">
        <v>2152</v>
      </c>
      <c r="N510" s="29" t="s">
        <v>2153</v>
      </c>
      <c r="O510" s="1335" t="s">
        <v>2154</v>
      </c>
      <c r="P510" s="1334" t="s">
        <v>2148</v>
      </c>
      <c r="Q510" s="29" t="s">
        <v>2149</v>
      </c>
      <c r="R510" s="1335" t="s">
        <v>2150</v>
      </c>
      <c r="S510" s="1334" t="s">
        <v>2148</v>
      </c>
      <c r="T510" s="29" t="s">
        <v>2149</v>
      </c>
      <c r="U510" s="1335" t="s">
        <v>2150</v>
      </c>
      <c r="V510" s="730"/>
      <c r="W510" s="819" t="s">
        <v>1992</v>
      </c>
      <c r="X510" s="820" t="s">
        <v>2155</v>
      </c>
      <c r="Y510" s="819" t="s">
        <v>1993</v>
      </c>
      <c r="Z510" s="820" t="s">
        <v>2156</v>
      </c>
      <c r="AA510" s="819" t="s">
        <v>1994</v>
      </c>
      <c r="AB510" s="820" t="s">
        <v>2157</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2245</v>
      </c>
      <c r="F511" s="703" t="str">
        <f>'Cpts AR +indép + Sommaire'!E78</f>
        <v>2</v>
      </c>
      <c r="G511" s="703">
        <f>'Cpts AR +indép + Sommaire'!F78</f>
        <v>2</v>
      </c>
      <c r="H511" s="703">
        <f>F511*G511</f>
        <v>4</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c r="A512" t="str">
        <f>IF(Test_Bible!B219="","F","O")</f>
        <v>O</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12</v>
      </c>
      <c r="AK512" s="1476">
        <f>IF(OR(J512=11,A512="F"),0,G512*J512)</f>
        <v>30</v>
      </c>
      <c r="AL512" s="1476">
        <f>IF(OR(P512=11,A512="F"),0,G512*P512)</f>
        <v>0</v>
      </c>
      <c r="AM512" s="1476">
        <f>IF(OR(Q512=11,A512="F"),0,G512*Q512)</f>
        <v>0</v>
      </c>
      <c r="AN512" s="1476">
        <f>IF(OR(S512=11,A512="F"),0,S512*G512)</f>
        <v>0</v>
      </c>
      <c r="AO512" s="1476">
        <f>IF(OR(T512=11,A512="F"),0,T512*G512)</f>
        <v>0</v>
      </c>
    </row>
    <row r="513" spans="1:41" ht="34" customHeight="1">
      <c r="B513" s="1686"/>
      <c r="C513" s="704" t="s">
        <v>2159</v>
      </c>
      <c r="D513" s="705" t="str">
        <f>INDEX(D511:D512, MATCH(H513, H511:H512, 0), 1)</f>
        <v xml:space="preserve">L’autre parent permet à votre enfant d'apporter des objets (jouets ou cadeaux reçus) provenant de chez vous. </v>
      </c>
      <c r="E513" s="706" t="str">
        <f>INDEX(E511:E512, MATCH(H513, H511:H512, 0), 1)</f>
        <v>ne permet pas les objets de l'autre parent chez lui</v>
      </c>
      <c r="F513" s="707"/>
      <c r="G513" s="707"/>
      <c r="H513" s="707">
        <f>IF(AND(K511=TRUE,K512=FALSE),H511,IF(AND(K511=FALSE,K512=TRUE),H512,MAX(H511,H512)))</f>
        <v>4</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12</v>
      </c>
      <c r="AK513" s="1725">
        <f t="shared" si="62"/>
        <v>30</v>
      </c>
      <c r="AL513" s="1725">
        <f t="shared" si="62"/>
        <v>8</v>
      </c>
      <c r="AM513" s="1725">
        <f t="shared" si="62"/>
        <v>14</v>
      </c>
      <c r="AN513" s="1725">
        <f t="shared" si="62"/>
        <v>8</v>
      </c>
      <c r="AO513" s="1725">
        <f t="shared" si="62"/>
        <v>14</v>
      </c>
    </row>
    <row r="514" spans="1:41" ht="16" customHeight="1">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c r="B516" s="1686"/>
      <c r="C516" s="710" t="s">
        <v>2160</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c r="B517" s="1686"/>
      <c r="C517" s="716" t="s">
        <v>2161</v>
      </c>
      <c r="D517" s="717"/>
      <c r="E517" s="717" t="str">
        <f>IF(H517=H513,E513,E516)</f>
        <v>ne permet pas les objets de l'autre parent chez lui</v>
      </c>
      <c r="F517" s="718"/>
      <c r="G517" s="718"/>
      <c r="H517" s="718">
        <f>IF(AND(K513=TRUE,K516=FALSE),H513,IF(AND(K513=FALSE,K516=TRUE),H516,IF(AND(K513=TRUE,K516=TRUE),H513+H516,MAX(H513,H516))))</f>
        <v>4</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12</v>
      </c>
      <c r="AK517" s="587">
        <f>IF(AND($K513=TRUE,$K516=FALSE),AK513,IF(AND($K513=FALSE,$K516=TRUE),AK516,IF(AND($K513=TRUE,$K516=TRUE),AK513+AK516,MAX(AK513,AK516))))</f>
        <v>30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c r="A519" t="str">
        <f>IF(Test_Bible!B303="","F","O")</f>
        <v>O</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2246</v>
      </c>
      <c r="F519" s="703" t="str">
        <f>'Cpts AR +indép + Sommaire'!Q78</f>
        <v>7</v>
      </c>
      <c r="G519" s="703">
        <f>'Cpts AR +indép + Sommaire'!R78</f>
        <v>2</v>
      </c>
      <c r="H519" s="703">
        <f>F519*G519</f>
        <v>14</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8</v>
      </c>
      <c r="AK519" s="1476">
        <f>IF(OR(J519=11,A519="F"),0,G519*J519)</f>
        <v>20</v>
      </c>
      <c r="AL519" s="1476">
        <f>IF(OR(P519=11,A519="F"),0,G519*P519)</f>
        <v>4</v>
      </c>
      <c r="AM519" s="1476">
        <f>IF(OR(Q519=11,A519="F"),0,G519*Q519)</f>
        <v>14</v>
      </c>
      <c r="AN519" s="1476">
        <f>IF(OR(S519=11,A519="F"),0,S519*G519)</f>
        <v>0</v>
      </c>
      <c r="AO519" s="1476">
        <f>IF(OR(T519=11,A519="F"),0,T519*G519)</f>
        <v>0</v>
      </c>
    </row>
    <row r="520" spans="1:41" ht="52" customHeight="1" thickBot="1">
      <c r="B520" s="1686"/>
      <c r="C520" s="721" t="s">
        <v>2164</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14</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4" customHeight="1">
      <c r="B521" s="1686"/>
      <c r="D521" s="383" t="s">
        <v>2165</v>
      </c>
      <c r="E521" s="699"/>
      <c r="F521" s="435" t="s">
        <v>2166</v>
      </c>
      <c r="G521" s="33"/>
      <c r="H521" s="33">
        <f>IF(AND(K517=TRUE,K520=FALSE),H517,IF(AND(K517=FALSE,K520=TRUE),H520,IF(AND(K517=TRUE,K520=TRUE),H517+H520,MAX(H517,H520))))</f>
        <v>14</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6" customHeight="1">
      <c r="B522" s="1686"/>
      <c r="C522" t="s">
        <v>1849</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t="str">
        <f>'Cpts AR +indép + Sommaire'!W78</f>
        <v>1</v>
      </c>
      <c r="G523" s="822">
        <f>'Cpts AR +indép + Sommaire'!X78</f>
        <v>2</v>
      </c>
      <c r="H523" s="822">
        <f>F523*G523</f>
        <v>2</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c r="H525" s="33">
        <f>IF(AND(K523=TRUE,K524=FALSE),H523,IF(AND(K523=FALSE,K524=TRUE),H524,MAX(H523,H524)))</f>
        <v>2</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77" t="s">
        <v>1992</v>
      </c>
      <c r="J528" s="2468"/>
      <c r="K528" s="2468"/>
      <c r="L528" s="2581" t="s">
        <v>2144</v>
      </c>
      <c r="M528" s="2468"/>
      <c r="N528" s="2468"/>
      <c r="O528" s="2580"/>
      <c r="P528" s="2579" t="s">
        <v>1993</v>
      </c>
      <c r="Q528" s="2468"/>
      <c r="R528" s="2580"/>
      <c r="S528" s="2583" t="s">
        <v>1994</v>
      </c>
      <c r="T528" s="2468"/>
      <c r="U528" s="2580"/>
      <c r="V528" s="15"/>
      <c r="W528" s="809"/>
      <c r="X528" s="809"/>
      <c r="Y528" s="809"/>
      <c r="Z528" s="809"/>
      <c r="AA528" s="809"/>
      <c r="AB528" s="810"/>
      <c r="AD528" s="10"/>
      <c r="AE528" s="10"/>
      <c r="AF528" s="10"/>
      <c r="AG528" s="1372" t="s">
        <v>1992</v>
      </c>
      <c r="AH528" s="1372" t="s">
        <v>1993</v>
      </c>
      <c r="AI528" s="1372" t="s">
        <v>1994</v>
      </c>
      <c r="AJ528" s="2578" t="s">
        <v>1992</v>
      </c>
      <c r="AK528" s="2469"/>
      <c r="AL528" s="2578" t="s">
        <v>1993</v>
      </c>
      <c r="AM528" s="2469"/>
      <c r="AN528" s="2578" t="s">
        <v>1994</v>
      </c>
      <c r="AO528" s="2469"/>
    </row>
    <row r="529" spans="1:41" ht="34" customHeight="1">
      <c r="B529" s="1686"/>
      <c r="D529" s="79" t="s">
        <v>2145</v>
      </c>
      <c r="E529" s="827" t="s">
        <v>2146</v>
      </c>
      <c r="F529" s="26" t="s">
        <v>252</v>
      </c>
      <c r="G529" s="26" t="s">
        <v>235</v>
      </c>
      <c r="H529" s="26" t="s">
        <v>2147</v>
      </c>
      <c r="I529" s="1334" t="s">
        <v>2148</v>
      </c>
      <c r="J529" s="29" t="s">
        <v>2149</v>
      </c>
      <c r="K529" s="29" t="s">
        <v>2150</v>
      </c>
      <c r="L529" s="29" t="s">
        <v>2151</v>
      </c>
      <c r="M529" s="29" t="s">
        <v>2152</v>
      </c>
      <c r="N529" s="29" t="s">
        <v>2153</v>
      </c>
      <c r="O529" s="1335" t="s">
        <v>2154</v>
      </c>
      <c r="P529" s="1334" t="s">
        <v>2148</v>
      </c>
      <c r="Q529" s="29" t="s">
        <v>2149</v>
      </c>
      <c r="R529" s="1335" t="s">
        <v>2150</v>
      </c>
      <c r="S529" s="1334" t="s">
        <v>2148</v>
      </c>
      <c r="T529" s="29" t="s">
        <v>2149</v>
      </c>
      <c r="U529" s="1335" t="s">
        <v>2150</v>
      </c>
      <c r="V529" s="730"/>
      <c r="W529" s="819" t="s">
        <v>1992</v>
      </c>
      <c r="X529" s="820" t="s">
        <v>2155</v>
      </c>
      <c r="Y529" s="819" t="s">
        <v>1993</v>
      </c>
      <c r="Z529" s="820" t="s">
        <v>2156</v>
      </c>
      <c r="AA529" s="819" t="s">
        <v>1994</v>
      </c>
      <c r="AB529" s="820" t="s">
        <v>2157</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2245</v>
      </c>
      <c r="F530" s="703" t="str">
        <f>'Cpts AR +indép + Sommaire'!E81</f>
        <v>4</v>
      </c>
      <c r="G530" s="703">
        <f>'Cpts AR +indép + Sommaire'!F81</f>
        <v>2</v>
      </c>
      <c r="H530" s="703">
        <f>F530*G530</f>
        <v>8</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c r="A531" t="str">
        <f>IF(Test_Bible!B244="","F","O")</f>
        <v>O</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t="str">
        <f>'Cpts AR +indép + Sommaire'!E82</f>
        <v>2</v>
      </c>
      <c r="G531" s="703">
        <f>'Cpts AR +indép + Sommaire'!F82</f>
        <v>2</v>
      </c>
      <c r="H531" s="703">
        <f>F531*G531</f>
        <v>4</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14</v>
      </c>
      <c r="AK531" s="1476">
        <f>IF(OR(J531=11,A531="F"),0,G531*J531)</f>
        <v>20</v>
      </c>
      <c r="AL531" s="1476">
        <f>IF(OR(P531=11,A531="F"),0,G531*P531)</f>
        <v>4</v>
      </c>
      <c r="AM531" s="1476">
        <f>IF(OR(Q531=11,A531="F"),0,G531*Q531)</f>
        <v>14</v>
      </c>
      <c r="AN531" s="1476">
        <f>IF(OR(S531=11,A531="F"),0,S531*G531)</f>
        <v>8</v>
      </c>
      <c r="AO531" s="1476">
        <f>IF(OR(T531=11,A531="F"),0,T531*G531)</f>
        <v>14</v>
      </c>
    </row>
    <row r="532" spans="1:41" ht="34" customHeight="1">
      <c r="B532" s="1686"/>
      <c r="C532" s="704" t="s">
        <v>2159</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8</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14</v>
      </c>
      <c r="AK532" s="1725">
        <f t="shared" si="64"/>
        <v>20</v>
      </c>
      <c r="AL532" s="1725">
        <f t="shared" si="64"/>
        <v>4</v>
      </c>
      <c r="AM532" s="1725">
        <f t="shared" si="64"/>
        <v>14</v>
      </c>
      <c r="AN532" s="1725">
        <f t="shared" si="64"/>
        <v>8</v>
      </c>
      <c r="AO532" s="1725">
        <f t="shared" si="64"/>
        <v>20</v>
      </c>
    </row>
    <row r="533" spans="1:41" ht="34" customHeight="1">
      <c r="A533" t="str">
        <f>IF(Test_Bible!B404="","F","O")</f>
        <v>O</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t="str">
        <f>'Cpts AR +indép + Sommaire'!K81</f>
        <v>2</v>
      </c>
      <c r="G533" s="703">
        <f>'Cpts AR +indép + Sommaire'!L81</f>
        <v>1</v>
      </c>
      <c r="H533" s="703">
        <f>F533*G533</f>
        <v>2</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c r="A534" t="str">
        <f>IF(Test_Bible!B405="","F","O")</f>
        <v>O</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14</v>
      </c>
      <c r="AK534" s="1476">
        <f>IF(OR(J534=11,A534="F"),0,G534*J534)</f>
        <v>20</v>
      </c>
      <c r="AL534" s="1476">
        <f>IF(OR(P534=11,A534="F"),0,G534*P534)</f>
        <v>4</v>
      </c>
      <c r="AM534" s="1476">
        <f>IF(OR(Q534=11,A534="F"),0,G534*Q534)</f>
        <v>14</v>
      </c>
      <c r="AN534" s="1476">
        <f>IF(OR(S534=11,A534="F"),0,S534*G534)</f>
        <v>0</v>
      </c>
      <c r="AO534" s="1476">
        <f>IF(OR(T534=11,A534="F"),0,T534*G534)</f>
        <v>0</v>
      </c>
    </row>
    <row r="535" spans="1:41" ht="35" customHeight="1" thickBot="1">
      <c r="B535" s="1686"/>
      <c r="C535" s="710" t="s">
        <v>2160</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2</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14</v>
      </c>
      <c r="AK535" s="1725">
        <f t="shared" si="65"/>
        <v>20</v>
      </c>
      <c r="AL535" s="1725">
        <f t="shared" si="65"/>
        <v>4</v>
      </c>
      <c r="AM535" s="1725">
        <f t="shared" si="65"/>
        <v>14</v>
      </c>
      <c r="AN535" s="1725">
        <f t="shared" si="65"/>
        <v>0</v>
      </c>
      <c r="AO535" s="1725">
        <f t="shared" si="65"/>
        <v>0</v>
      </c>
    </row>
    <row r="536" spans="1:41" ht="35" customHeight="1" thickBot="1">
      <c r="B536" s="1686"/>
      <c r="C536" s="716" t="s">
        <v>2161</v>
      </c>
      <c r="D536" s="717"/>
      <c r="E536" s="717" t="str">
        <f>IF(H536=H532,E532,E535)</f>
        <v>ne permet pas les objets de l'autre parent chez lui</v>
      </c>
      <c r="F536" s="718"/>
      <c r="G536" s="718"/>
      <c r="H536" s="718">
        <f>IF(AND(K532=TRUE,K535=FALSE),H532,IF(AND(K532=FALSE,K535=TRUE),H535,IF(AND(K532=TRUE,K535=TRUE),H532+H535,MAX(H532,H535))))</f>
        <v>8</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14</v>
      </c>
      <c r="AK536" s="587">
        <f>IF(AND($K532=TRUE,$K535=FALSE),AK532,IF(AND($K532=FALSE,$K535=TRUE),AK535,IF(AND($K532=TRUE,$K535=TRUE),AK532+AK535,MAX(AK532,AK535))))</f>
        <v>20</v>
      </c>
      <c r="AL536" s="587">
        <f>IF(AND($R532=TRUE,$R535=FALSE),AL532,IF(AND($R532=FALSE,$R535=TRUE),AL535,IF(AND($R532=TRUE,$R535=TRUE),AL532+AL535,MAX(AL532,AL535))))</f>
        <v>4</v>
      </c>
      <c r="AM536" s="587">
        <f>IF(AND($R532=TRUE,$R535=FALSE),AM532,IF(AND($R532=FALSE,$R535=TRUE),AM535,IF(AND($R532=TRUE,$R535=TRUE),AM532+AM535,MAX(AM532,AM535))))</f>
        <v>14</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c r="A537" t="str">
        <f>IF(Test_Bible!B282="","F","O")</f>
        <v>O</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2246</v>
      </c>
      <c r="F537" s="703" t="str">
        <f>'Cpts AR +indép + Sommaire'!Q81</f>
        <v>7</v>
      </c>
      <c r="G537" s="703">
        <f>'Cpts AR +indép + Sommaire'!R81</f>
        <v>1</v>
      </c>
      <c r="H537" s="703">
        <f>F537*G537</f>
        <v>7</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c r="X537" s="814"/>
      <c r="Y537" s="813"/>
      <c r="Z537" s="814"/>
      <c r="AA537" s="813"/>
      <c r="AB537" s="814"/>
      <c r="AD537" s="10"/>
      <c r="AE537" s="10"/>
      <c r="AF537" s="10"/>
      <c r="AG537" s="824">
        <f>IF($K537=TRUE,H537,0)</f>
        <v>0</v>
      </c>
      <c r="AH537" s="824">
        <f>IF($R537=TRUE,H537,0)</f>
        <v>0</v>
      </c>
      <c r="AI537" s="824"/>
      <c r="AJ537" s="1476">
        <f>IF(OR(I537=11,A537="F"),0,G537*I537)</f>
        <v>7</v>
      </c>
      <c r="AK537" s="1476">
        <f>IF(OR(J537=11,A537="F"),0,G537*J537)</f>
        <v>10</v>
      </c>
      <c r="AL537" s="1476">
        <f>IF(OR(P537=11,A537="F"),0,G537*P537)</f>
        <v>2</v>
      </c>
      <c r="AM537" s="1476">
        <f>IF(OR(Q537=11,A537="F"),0,G537*Q537)</f>
        <v>7</v>
      </c>
      <c r="AN537" s="1476">
        <f>IF(OR(S537=11,A537="F"),0,S537*G537)</f>
        <v>0</v>
      </c>
      <c r="AO537" s="1476">
        <f>IF(OR(T537=11,A537="F"),0,T537*G537)</f>
        <v>0</v>
      </c>
    </row>
    <row r="538" spans="1:41" ht="34"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2247</v>
      </c>
      <c r="F538" s="703" t="str">
        <f>'Cpts AR +indép + Sommaire'!Q82</f>
        <v>4</v>
      </c>
      <c r="G538" s="703">
        <f>'Cpts AR +indép + Sommaire'!R82</f>
        <v>1</v>
      </c>
      <c r="H538" s="703">
        <f>F538*G538</f>
        <v>4</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2248</v>
      </c>
      <c r="F539" s="703" t="str">
        <f>'Cpts AR +indép + Sommaire'!Q83</f>
        <v>2</v>
      </c>
      <c r="G539" s="703">
        <f>'Cpts AR +indép + Sommaire'!R83</f>
        <v>2</v>
      </c>
      <c r="H539" s="703">
        <f>F539*G539</f>
        <v>4</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c r="B540" s="1686"/>
      <c r="C540" s="721" t="s">
        <v>2164</v>
      </c>
      <c r="D540" s="722" t="str">
        <f>INDEX(D537:D539, MATCH(H540, H537:H539, 0), 1)</f>
        <v xml:space="preserve">Dans quelle mesure diriez-vous que votre enfant vous tient responsable de la peine ou de la frustration de son autre parent ? </v>
      </c>
      <c r="E540" s="722" t="str">
        <f>INDEX(E537:E539, MATCH(H540, H537:H539, 0), 1)</f>
        <v>ne peut transporter ses objets d'une demeure à l'autre</v>
      </c>
      <c r="F540" s="723"/>
      <c r="G540" s="723"/>
      <c r="H540" s="723">
        <f>IF(AND(K537=TRUE,K538=FALSE,K539=FALSE),H537,IF(AND(K537=FALSE,K538=TRUE,K539=FALSE),H538,IF(AND(K537=FALSE,K538=FALSE,K539=TRUE),H539,MAX(H537:H539))))</f>
        <v>7</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c r="B541" s="1686"/>
      <c r="D541" s="383" t="s">
        <v>2165</v>
      </c>
      <c r="E541" s="699"/>
      <c r="F541" s="435" t="s">
        <v>2166</v>
      </c>
      <c r="G541" s="33"/>
      <c r="H541" s="33">
        <f>IF(AND(K536=TRUE,K540=FALSE),H536,IF(AND(K536=FALSE,K540=TRUE),H540,IF(AND(K536=TRUE,K540=TRUE),H536+H540,MAX(H536,H540))))</f>
        <v>8</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4"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t="str">
        <f>'Cpts AR +indép + Sommaire'!W81</f>
        <v>1</v>
      </c>
      <c r="G542" s="822">
        <f>'Cpts AR +indép + Sommaire'!X81</f>
        <v>1</v>
      </c>
      <c r="H542" s="822">
        <f>F542*G542</f>
        <v>1</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2</v>
      </c>
      <c r="AM542" s="1476">
        <f>IF(OR(Q542=11,A542="F"),0,G542*Q542)</f>
        <v>7</v>
      </c>
      <c r="AN542" s="1476">
        <f>IF(OR(S542=11,A542="F"),0,S542*G542)</f>
        <v>4</v>
      </c>
      <c r="AO542" s="1476">
        <f>IF(OR(T542=11,A542="F"),0,T542*G542)</f>
        <v>10</v>
      </c>
    </row>
    <row r="543" spans="1:41" ht="22"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c r="H544" s="33">
        <f>IF(AND(K542=TRUE,K543=FALSE),H542,IF(AND(K542=FALSE,K543=TRUE),H543,MAX(H542,H543)))</f>
        <v>1</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c r="C549" s="429" t="s">
        <v>2249</v>
      </c>
      <c r="AD549" s="10"/>
      <c r="AE549" s="10"/>
      <c r="AF549" s="10"/>
    </row>
    <row r="550" spans="1:41">
      <c r="E550" s="85" t="s">
        <v>2140</v>
      </c>
      <c r="F550" s="2585" t="s">
        <v>2250</v>
      </c>
      <c r="G550" s="2468"/>
      <c r="H550" s="2468"/>
      <c r="I550" s="2468"/>
      <c r="J550" s="2468"/>
      <c r="K550" s="697"/>
      <c r="L550" s="2588"/>
      <c r="M550" s="2468"/>
      <c r="N550" s="2468"/>
      <c r="O550" s="697"/>
      <c r="P550" s="697"/>
      <c r="Q550" s="697"/>
      <c r="R550" s="697"/>
      <c r="S550" s="697"/>
      <c r="T550" s="697"/>
      <c r="U550" s="697"/>
      <c r="V550" s="73"/>
      <c r="AD550" s="10"/>
      <c r="AE550" s="10"/>
      <c r="AF550" s="10"/>
    </row>
    <row r="551" spans="1:41">
      <c r="B551" s="1685">
        <v>1</v>
      </c>
      <c r="D551" s="437" t="e">
        <f>'Cpts AR +indép + Sommaire'!B85</f>
        <v>#REF!</v>
      </c>
      <c r="E551" s="84"/>
      <c r="F551" s="50"/>
      <c r="G551" s="18"/>
      <c r="H551" s="18"/>
      <c r="I551" s="2577" t="s">
        <v>1992</v>
      </c>
      <c r="J551" s="2468"/>
      <c r="K551" s="2468"/>
      <c r="L551" s="2581" t="s">
        <v>2144</v>
      </c>
      <c r="M551" s="2468"/>
      <c r="N551" s="2468"/>
      <c r="O551" s="2580"/>
      <c r="P551" s="2579" t="s">
        <v>1993</v>
      </c>
      <c r="Q551" s="2468"/>
      <c r="R551" s="2580"/>
      <c r="S551" s="2583" t="s">
        <v>1994</v>
      </c>
      <c r="T551" s="2468"/>
      <c r="U551" s="2580"/>
      <c r="V551" s="15"/>
      <c r="W551" s="809"/>
      <c r="X551" s="809"/>
      <c r="Y551" s="809"/>
      <c r="Z551" s="809"/>
      <c r="AA551" s="809"/>
      <c r="AB551" s="810"/>
      <c r="AD551" s="10"/>
      <c r="AE551" s="10"/>
      <c r="AF551" s="10"/>
      <c r="AG551" s="1372" t="s">
        <v>1992</v>
      </c>
      <c r="AH551" s="1372" t="s">
        <v>1993</v>
      </c>
      <c r="AI551" s="1372" t="s">
        <v>1994</v>
      </c>
      <c r="AJ551" s="2578" t="s">
        <v>1992</v>
      </c>
      <c r="AK551" s="2469"/>
      <c r="AL551" s="2578" t="s">
        <v>1993</v>
      </c>
      <c r="AM551" s="2469"/>
      <c r="AN551" s="2578" t="s">
        <v>1994</v>
      </c>
      <c r="AO551" s="2469"/>
    </row>
    <row r="552" spans="1:41" ht="34" customHeight="1">
      <c r="B552" s="1686"/>
      <c r="D552" s="79" t="s">
        <v>2145</v>
      </c>
      <c r="E552" s="827"/>
      <c r="F552" s="26" t="s">
        <v>252</v>
      </c>
      <c r="G552" s="26" t="s">
        <v>235</v>
      </c>
      <c r="H552" s="26" t="s">
        <v>2147</v>
      </c>
      <c r="I552" s="1334" t="s">
        <v>2148</v>
      </c>
      <c r="J552" s="29" t="s">
        <v>2149</v>
      </c>
      <c r="K552" s="29" t="s">
        <v>2150</v>
      </c>
      <c r="L552" s="29" t="s">
        <v>2151</v>
      </c>
      <c r="M552" s="29" t="s">
        <v>2152</v>
      </c>
      <c r="N552" s="29" t="s">
        <v>2153</v>
      </c>
      <c r="O552" s="1335" t="s">
        <v>2154</v>
      </c>
      <c r="P552" s="1334" t="s">
        <v>2148</v>
      </c>
      <c r="Q552" s="29" t="s">
        <v>2149</v>
      </c>
      <c r="R552" s="1335" t="s">
        <v>2150</v>
      </c>
      <c r="S552" s="1334" t="s">
        <v>2148</v>
      </c>
      <c r="T552" s="29" t="s">
        <v>2149</v>
      </c>
      <c r="U552" s="1335" t="s">
        <v>2150</v>
      </c>
      <c r="V552" s="730"/>
      <c r="W552" s="819" t="s">
        <v>1992</v>
      </c>
      <c r="X552" s="820" t="s">
        <v>2155</v>
      </c>
      <c r="Y552" s="819" t="s">
        <v>1993</v>
      </c>
      <c r="Z552" s="820" t="s">
        <v>2156</v>
      </c>
      <c r="AA552" s="819" t="s">
        <v>1994</v>
      </c>
      <c r="AB552" s="820" t="s">
        <v>2157</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t="str">
        <f>'Cpts AR +indép + Sommaire'!E85</f>
        <v>4</v>
      </c>
      <c r="G553" s="703">
        <f>'Cpts AR +indép + Sommaire'!F85</f>
        <v>2</v>
      </c>
      <c r="H553" s="703">
        <f>F553*G553</f>
        <v>8</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8</v>
      </c>
      <c r="AM553" s="1476">
        <f>IF(OR(Q553=11,A553="F"),0,G553*Q553)</f>
        <v>20</v>
      </c>
      <c r="AN553" s="1476">
        <f>IF(OR(S553=11,A553="F"),0,S553*G553)</f>
        <v>8</v>
      </c>
      <c r="AO553" s="1476">
        <f>IF(OR(T553=11,A553="F"),0,T553*G553)</f>
        <v>20</v>
      </c>
    </row>
    <row r="554" spans="1:41" ht="34"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c r="B555" s="1686"/>
      <c r="C555" s="704" t="s">
        <v>2159</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8</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8</v>
      </c>
      <c r="AM555" s="1725">
        <f t="shared" si="67"/>
        <v>20</v>
      </c>
      <c r="AN555" s="1725">
        <f t="shared" si="67"/>
        <v>8</v>
      </c>
      <c r="AO555" s="1725">
        <f t="shared" si="67"/>
        <v>20</v>
      </c>
    </row>
    <row r="556" spans="1:41" ht="16"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c r="B558" s="1686"/>
      <c r="C558" s="710" t="s">
        <v>2160</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c r="B559" s="1686"/>
      <c r="C559" s="716" t="s">
        <v>2161</v>
      </c>
      <c r="D559" s="717"/>
      <c r="E559" s="717"/>
      <c r="F559" s="718"/>
      <c r="G559" s="718"/>
      <c r="H559" s="718">
        <f>IF(AND(K555=TRUE,K558=FALSE),H555,IF(AND(K555=FALSE,K558=TRUE),H558,IF(AND(K555=TRUE,K558=TRUE),H555+H558,MAX(H555,H558))))</f>
        <v>8</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8</v>
      </c>
      <c r="AM559" s="587">
        <f>IF(AND($R555=TRUE,$R558=FALSE),AM555,IF(AND($R555=FALSE,$R558=TRUE),AM558,IF(AND($R555=TRUE,$R558=TRUE),AM555+AM558,MAX(AM555,AM558))))</f>
        <v>20</v>
      </c>
      <c r="AN559" s="587">
        <f>IF(AND($U555=TRUE,$U558=FALSE),AN555,IF(AND($U555=FALSE,$U558=TRUE),AN558,IF(AND($U555=TRUE,$U558=TRUE),AN555+AN558,MAX(AN555,AN558))))</f>
        <v>8</v>
      </c>
      <c r="AO559" s="587">
        <f>IF(AND($U555=TRUE,$U558=FALSE),AO555,IF(AND($U555=FALSE,$U558=TRUE),AO558,IF(AND($U555=TRUE,$U558=TRUE),AO555+AO558,MAX(AO555,AO558))))</f>
        <v>20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c r="B562" s="1686"/>
      <c r="C562" s="721" t="s">
        <v>2164</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c r="B563" s="1686"/>
      <c r="D563" s="383" t="s">
        <v>2165</v>
      </c>
      <c r="E563" s="699"/>
      <c r="F563" s="435" t="s">
        <v>2166</v>
      </c>
      <c r="G563" s="33"/>
      <c r="H563" s="33">
        <f>IF(AND(K559=TRUE,K562=FALSE),H559,IF(AND(K559=FALSE,K562=TRUE),H562,IF(AND(K559=TRUE,K562=TRUE),H559+H562,MAX(H559,H562))))</f>
        <v>8</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6" customHeight="1">
      <c r="B564" s="1686"/>
      <c r="C564" t="s">
        <v>1849</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t="str">
        <f>'Cpts AR +indép + Sommaire'!W85</f>
        <v>7</v>
      </c>
      <c r="G565" s="822">
        <f>'Cpts AR +indép + Sommaire'!X85</f>
        <v>1</v>
      </c>
      <c r="H565" s="822">
        <f>F565*G565</f>
        <v>7</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c r="B567" s="1686"/>
      <c r="E567" s="726"/>
      <c r="F567" s="73"/>
      <c r="G567" s="73"/>
      <c r="H567" s="33">
        <f>IF(AND(K565=TRUE,K180=FALSE),H565,IF(AND(K565=FALSE,K180=TRUE),H180,MAX(H565,H180)))</f>
        <v>7</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2140</v>
      </c>
      <c r="F570" s="2585" t="s">
        <v>2250</v>
      </c>
      <c r="G570" s="2468"/>
      <c r="H570" s="2468"/>
      <c r="I570" s="2468"/>
      <c r="J570" s="2468"/>
      <c r="K570" s="697"/>
      <c r="L570" s="2588"/>
      <c r="M570" s="2468"/>
      <c r="N570" s="2468"/>
      <c r="O570" s="697"/>
      <c r="P570" s="697"/>
      <c r="Q570" s="697"/>
      <c r="R570" s="697"/>
      <c r="S570" s="697"/>
      <c r="T570" s="697"/>
      <c r="U570" s="697"/>
      <c r="V570" s="73"/>
      <c r="AD570" s="10"/>
      <c r="AE570" s="10"/>
      <c r="AF570" s="10"/>
    </row>
    <row r="571" spans="1:41">
      <c r="B571" s="1685">
        <v>2</v>
      </c>
      <c r="D571" s="437" t="e">
        <f>'Cpts AR +indép + Sommaire'!B87</f>
        <v>#REF!</v>
      </c>
      <c r="E571" s="84"/>
      <c r="F571" s="50"/>
      <c r="G571" s="18"/>
      <c r="H571" s="18"/>
      <c r="I571" s="2577" t="s">
        <v>1992</v>
      </c>
      <c r="J571" s="2468"/>
      <c r="K571" s="2468"/>
      <c r="L571" s="2581" t="s">
        <v>2144</v>
      </c>
      <c r="M571" s="2468"/>
      <c r="N571" s="2468"/>
      <c r="O571" s="2580"/>
      <c r="P571" s="2579" t="s">
        <v>1993</v>
      </c>
      <c r="Q571" s="2468"/>
      <c r="R571" s="2580"/>
      <c r="S571" s="2583" t="s">
        <v>1994</v>
      </c>
      <c r="T571" s="2468"/>
      <c r="U571" s="2580"/>
      <c r="V571" s="15"/>
      <c r="W571" s="809"/>
      <c r="X571" s="809"/>
      <c r="Y571" s="809"/>
      <c r="Z571" s="809"/>
      <c r="AA571" s="809"/>
      <c r="AB571" s="810"/>
      <c r="AD571" s="10"/>
      <c r="AE571" s="10"/>
      <c r="AF571" s="10"/>
      <c r="AG571" s="1372" t="s">
        <v>1992</v>
      </c>
      <c r="AH571" s="1372" t="s">
        <v>1993</v>
      </c>
      <c r="AI571" s="1372" t="s">
        <v>1994</v>
      </c>
      <c r="AJ571" s="2578" t="s">
        <v>1992</v>
      </c>
      <c r="AK571" s="2469"/>
      <c r="AL571" s="2578" t="s">
        <v>1993</v>
      </c>
      <c r="AM571" s="2469"/>
      <c r="AN571" s="2578" t="s">
        <v>1994</v>
      </c>
      <c r="AO571" s="2469"/>
    </row>
    <row r="572" spans="1:41" ht="34" customHeight="1">
      <c r="B572" s="1686"/>
      <c r="D572" s="79" t="s">
        <v>2145</v>
      </c>
      <c r="E572" s="827"/>
      <c r="F572" s="26" t="s">
        <v>252</v>
      </c>
      <c r="G572" s="26" t="s">
        <v>235</v>
      </c>
      <c r="H572" s="26" t="s">
        <v>2147</v>
      </c>
      <c r="I572" s="1334" t="s">
        <v>2148</v>
      </c>
      <c r="J572" s="29" t="s">
        <v>2149</v>
      </c>
      <c r="K572" s="29" t="s">
        <v>2150</v>
      </c>
      <c r="L572" s="29" t="s">
        <v>2151</v>
      </c>
      <c r="M572" s="29" t="s">
        <v>2152</v>
      </c>
      <c r="N572" s="29" t="s">
        <v>2153</v>
      </c>
      <c r="O572" s="1335" t="s">
        <v>2154</v>
      </c>
      <c r="P572" s="1334" t="s">
        <v>2148</v>
      </c>
      <c r="Q572" s="29" t="s">
        <v>2149</v>
      </c>
      <c r="R572" s="1335" t="s">
        <v>2150</v>
      </c>
      <c r="S572" s="1334" t="s">
        <v>2148</v>
      </c>
      <c r="T572" s="29" t="s">
        <v>2149</v>
      </c>
      <c r="U572" s="1335" t="s">
        <v>2150</v>
      </c>
      <c r="V572" s="730"/>
      <c r="W572" s="819" t="s">
        <v>1992</v>
      </c>
      <c r="X572" s="820" t="s">
        <v>2155</v>
      </c>
      <c r="Y572" s="819" t="s">
        <v>1993</v>
      </c>
      <c r="Z572" s="820" t="s">
        <v>2156</v>
      </c>
      <c r="AA572" s="819" t="s">
        <v>1994</v>
      </c>
      <c r="AB572" s="820" t="s">
        <v>2157</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t="str">
        <f>'Cpts AR +indép + Sommaire'!E87</f>
        <v>4</v>
      </c>
      <c r="G573" s="703">
        <f>'Cpts AR +indép + Sommaire'!F87</f>
        <v>1</v>
      </c>
      <c r="H573" s="703">
        <f>F573*G573</f>
        <v>4</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c r="B575" s="1686"/>
      <c r="C575" s="704" t="s">
        <v>2159</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4</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c r="B578" s="1686"/>
      <c r="C578" s="710" t="s">
        <v>2160</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c r="B579" s="1686"/>
      <c r="C579" s="716" t="s">
        <v>2161</v>
      </c>
      <c r="D579" s="717"/>
      <c r="E579" s="717"/>
      <c r="F579" s="718"/>
      <c r="G579" s="718"/>
      <c r="H579" s="718">
        <f>IF(AND(K575=TRUE,K578=FALSE),H575,IF(AND(K575=FALSE,K578=TRUE),H578,IF(AND(K575=TRUE,K578=TRUE),H575+H578,MAX(H575,H578))))</f>
        <v>4</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c r="B582" s="1686"/>
      <c r="C582" s="721" t="s">
        <v>2164</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c r="B583" s="1686"/>
      <c r="D583" s="383" t="s">
        <v>2165</v>
      </c>
      <c r="E583" s="699"/>
      <c r="F583" s="435" t="s">
        <v>2166</v>
      </c>
      <c r="G583" s="33"/>
      <c r="H583" s="33">
        <f>IF(AND(K579=TRUE,K582=FALSE),H579,IF(AND(K579=FALSE,K582=TRUE),H582,IF(AND(K579=TRUE,K582=TRUE),H579+H582,MAX(H579,H582))))</f>
        <v>4</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c r="B584" s="1686"/>
      <c r="C584" t="s">
        <v>1849</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t="str">
        <f>'Cpts AR +indép + Sommaire'!W87</f>
        <v>4</v>
      </c>
      <c r="G585" s="822">
        <f>'Cpts AR +indép + Sommaire'!X87</f>
        <v>1</v>
      </c>
      <c r="H585" s="822">
        <f>F585*G585</f>
        <v>4</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c r="B587" s="1686"/>
      <c r="E587" s="726"/>
      <c r="F587" s="73"/>
      <c r="G587" s="73"/>
      <c r="H587" s="33">
        <f>IF(AND(K585=TRUE,K586=FALSE),H585,IF(AND(K585=FALSE,K586=TRUE),H586,MAX(H585,H586)))</f>
        <v>4</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6" customHeight="1">
      <c r="B589" s="1686"/>
      <c r="W589" s="1373"/>
      <c r="X589" s="1374"/>
      <c r="Y589" s="1220"/>
      <c r="AD589" s="10"/>
      <c r="AE589" s="10"/>
      <c r="AF589" s="10"/>
    </row>
    <row r="590" spans="1:41">
      <c r="E590" s="85" t="s">
        <v>2140</v>
      </c>
      <c r="F590" s="2585" t="s">
        <v>2250</v>
      </c>
      <c r="G590" s="2468"/>
      <c r="H590" s="2468"/>
      <c r="I590" s="2468"/>
      <c r="J590" s="2468"/>
      <c r="K590" s="697"/>
      <c r="L590" s="2588"/>
      <c r="M590" s="2468"/>
      <c r="N590" s="2468"/>
      <c r="O590" s="697"/>
      <c r="P590" s="697"/>
      <c r="Q590" s="697"/>
      <c r="R590" s="697"/>
      <c r="S590" s="697"/>
      <c r="T590" s="697"/>
      <c r="U590" s="697"/>
      <c r="V590" s="73"/>
      <c r="AD590" s="10"/>
      <c r="AE590" s="10"/>
      <c r="AF590" s="10"/>
    </row>
    <row r="591" spans="1:41">
      <c r="B591" s="1685">
        <v>3</v>
      </c>
      <c r="D591" s="437" t="e">
        <f>'Cpts AR +indép + Sommaire'!B89</f>
        <v>#REF!</v>
      </c>
      <c r="E591" s="84"/>
      <c r="F591" s="50"/>
      <c r="G591" s="18"/>
      <c r="H591" s="18"/>
      <c r="I591" s="2577" t="s">
        <v>1992</v>
      </c>
      <c r="J591" s="2468"/>
      <c r="K591" s="2468"/>
      <c r="L591" s="2581" t="s">
        <v>2144</v>
      </c>
      <c r="M591" s="2468"/>
      <c r="N591" s="2468"/>
      <c r="O591" s="2580"/>
      <c r="P591" s="2579" t="s">
        <v>1993</v>
      </c>
      <c r="Q591" s="2468"/>
      <c r="R591" s="2580"/>
      <c r="S591" s="2583" t="s">
        <v>1994</v>
      </c>
      <c r="T591" s="2468"/>
      <c r="U591" s="2580"/>
      <c r="V591" s="15"/>
      <c r="W591" s="809"/>
      <c r="X591" s="809"/>
      <c r="Y591" s="809"/>
      <c r="Z591" s="809"/>
      <c r="AA591" s="809"/>
      <c r="AB591" s="810"/>
      <c r="AD591" s="10"/>
      <c r="AE591" s="10"/>
      <c r="AF591" s="10"/>
      <c r="AG591" s="1372" t="s">
        <v>1992</v>
      </c>
      <c r="AH591" s="1372" t="s">
        <v>1993</v>
      </c>
      <c r="AI591" s="1372" t="s">
        <v>1994</v>
      </c>
      <c r="AJ591" s="2578" t="s">
        <v>1992</v>
      </c>
      <c r="AK591" s="2469"/>
      <c r="AL591" s="2578" t="s">
        <v>1993</v>
      </c>
      <c r="AM591" s="2469"/>
      <c r="AN591" s="2578" t="s">
        <v>1994</v>
      </c>
      <c r="AO591" s="2469"/>
    </row>
    <row r="592" spans="1:41" ht="34" customHeight="1">
      <c r="B592" s="1686"/>
      <c r="D592" s="79" t="s">
        <v>2145</v>
      </c>
      <c r="E592" s="827"/>
      <c r="F592" s="26" t="s">
        <v>252</v>
      </c>
      <c r="G592" s="26" t="s">
        <v>235</v>
      </c>
      <c r="H592" s="26" t="s">
        <v>2147</v>
      </c>
      <c r="I592" s="1334" t="s">
        <v>2148</v>
      </c>
      <c r="J592" s="29" t="s">
        <v>2149</v>
      </c>
      <c r="K592" s="29" t="s">
        <v>2150</v>
      </c>
      <c r="L592" s="29" t="s">
        <v>2151</v>
      </c>
      <c r="M592" s="29" t="s">
        <v>2152</v>
      </c>
      <c r="N592" s="29" t="s">
        <v>2153</v>
      </c>
      <c r="O592" s="1335" t="s">
        <v>2154</v>
      </c>
      <c r="P592" s="1334" t="s">
        <v>2148</v>
      </c>
      <c r="Q592" s="29" t="s">
        <v>2149</v>
      </c>
      <c r="R592" s="1335" t="s">
        <v>2150</v>
      </c>
      <c r="S592" s="1334" t="s">
        <v>2148</v>
      </c>
      <c r="T592" s="29" t="s">
        <v>2149</v>
      </c>
      <c r="U592" s="1335" t="s">
        <v>2150</v>
      </c>
      <c r="V592" s="730"/>
      <c r="W592" s="819" t="s">
        <v>1992</v>
      </c>
      <c r="X592" s="820" t="s">
        <v>2155</v>
      </c>
      <c r="Y592" s="819" t="s">
        <v>1993</v>
      </c>
      <c r="Z592" s="820" t="s">
        <v>2156</v>
      </c>
      <c r="AA592" s="819" t="s">
        <v>1994</v>
      </c>
      <c r="AB592" s="820" t="s">
        <v>2157</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t="str">
        <f>'Cpts AR +indép + Sommaire'!E89</f>
        <v>4</v>
      </c>
      <c r="G593" s="703">
        <f>'Cpts AR +indép + Sommaire'!F89</f>
        <v>1</v>
      </c>
      <c r="H593" s="703">
        <f>F593*G593</f>
        <v>4</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c r="B595" s="1686"/>
      <c r="C595" s="704" t="s">
        <v>2159</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4</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c r="B598" s="1686"/>
      <c r="C598" s="710" t="s">
        <v>2160</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c r="B599" s="1686"/>
      <c r="C599" s="716" t="s">
        <v>2161</v>
      </c>
      <c r="D599" s="717"/>
      <c r="E599" s="717"/>
      <c r="F599" s="718"/>
      <c r="G599" s="718"/>
      <c r="H599" s="718">
        <f>IF(AND(K595=TRUE,K598=FALSE),H595,IF(AND(K595=FALSE,K598=TRUE),H598,IF(AND(K595=TRUE,K598=TRUE),H595+H598,MAX(H595,H598))))</f>
        <v>4</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c r="B602" s="1686"/>
      <c r="C602" s="721" t="s">
        <v>2164</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c r="B603" s="1686"/>
      <c r="D603" s="383" t="s">
        <v>2165</v>
      </c>
      <c r="E603" s="699"/>
      <c r="F603" s="435" t="s">
        <v>2166</v>
      </c>
      <c r="G603" s="33"/>
      <c r="H603" s="33">
        <f>IF(AND(K599=TRUE,K602=FALSE),H599,IF(AND(K599=FALSE,K602=TRUE),H602,IF(AND(K599=TRUE,K602=TRUE),H599+H602,MAX(H599,H602))))</f>
        <v>4</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c r="B604" s="1686"/>
      <c r="C604" t="s">
        <v>1849</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t="str">
        <f>'Cpts AR +indép + Sommaire'!W89</f>
        <v>4</v>
      </c>
      <c r="G605" s="822">
        <f>'Cpts AR +indép + Sommaire'!X89</f>
        <v>1</v>
      </c>
      <c r="H605" s="822">
        <f>F605*G605</f>
        <v>4</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c r="B607" s="1686"/>
      <c r="E607" s="726"/>
      <c r="F607" s="73"/>
      <c r="G607" s="73"/>
      <c r="H607" s="33">
        <f>IF(AND(K605=TRUE,K606=FALSE),H605,IF(AND(K605=FALSE,K606=TRUE),H606,MAX(H605,H606)))</f>
        <v>4</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6" customHeight="1">
      <c r="B609" s="1686"/>
      <c r="W609" s="1373"/>
      <c r="X609" s="1374"/>
      <c r="Y609" s="1220"/>
      <c r="AD609" s="10"/>
      <c r="AE609" s="10"/>
      <c r="AF609" s="10"/>
    </row>
    <row r="610" spans="1:41">
      <c r="E610" s="85" t="s">
        <v>2140</v>
      </c>
      <c r="F610" s="2585" t="s">
        <v>2250</v>
      </c>
      <c r="G610" s="2468"/>
      <c r="H610" s="2468"/>
      <c r="I610" s="2468"/>
      <c r="J610" s="2468"/>
      <c r="K610" s="697"/>
      <c r="L610" s="2588"/>
      <c r="M610" s="2468"/>
      <c r="N610" s="2468"/>
      <c r="O610" s="697"/>
      <c r="P610" s="697"/>
      <c r="Q610" s="697"/>
      <c r="R610" s="697"/>
      <c r="S610" s="697"/>
      <c r="T610" s="697"/>
      <c r="U610" s="697"/>
      <c r="V610" s="73"/>
      <c r="AD610" s="10"/>
      <c r="AE610" s="10"/>
      <c r="AF610" s="10"/>
    </row>
    <row r="611" spans="1:41">
      <c r="B611" s="1685">
        <v>4</v>
      </c>
      <c r="D611" s="437" t="e">
        <f>'Cpts AR +indép + Sommaire'!B91</f>
        <v>#REF!</v>
      </c>
      <c r="E611" s="84"/>
      <c r="F611" s="50"/>
      <c r="G611" s="18"/>
      <c r="H611" s="18"/>
      <c r="I611" s="2577" t="s">
        <v>1992</v>
      </c>
      <c r="J611" s="2468"/>
      <c r="K611" s="2468"/>
      <c r="L611" s="2581" t="s">
        <v>2144</v>
      </c>
      <c r="M611" s="2468"/>
      <c r="N611" s="2468"/>
      <c r="O611" s="2580"/>
      <c r="P611" s="2579" t="s">
        <v>1993</v>
      </c>
      <c r="Q611" s="2468"/>
      <c r="R611" s="2580"/>
      <c r="S611" s="2583" t="s">
        <v>1994</v>
      </c>
      <c r="T611" s="2468"/>
      <c r="U611" s="2580"/>
      <c r="V611" s="15"/>
      <c r="W611" s="809"/>
      <c r="X611" s="809"/>
      <c r="Y611" s="809"/>
      <c r="Z611" s="809"/>
      <c r="AA611" s="809"/>
      <c r="AB611" s="810"/>
      <c r="AD611" s="10"/>
      <c r="AE611" s="10"/>
      <c r="AF611" s="10"/>
      <c r="AG611" s="1372" t="s">
        <v>1992</v>
      </c>
      <c r="AH611" s="1372" t="s">
        <v>1993</v>
      </c>
      <c r="AI611" s="1372" t="s">
        <v>1994</v>
      </c>
      <c r="AJ611" s="2578" t="s">
        <v>1992</v>
      </c>
      <c r="AK611" s="2469"/>
      <c r="AL611" s="2578" t="s">
        <v>1993</v>
      </c>
      <c r="AM611" s="2469"/>
      <c r="AN611" s="2578" t="s">
        <v>1994</v>
      </c>
      <c r="AO611" s="2469"/>
    </row>
    <row r="612" spans="1:41" ht="34" customHeight="1">
      <c r="B612" s="1686"/>
      <c r="D612" s="79" t="s">
        <v>2145</v>
      </c>
      <c r="E612" s="827"/>
      <c r="F612" s="26" t="s">
        <v>252</v>
      </c>
      <c r="G612" s="26" t="s">
        <v>235</v>
      </c>
      <c r="H612" s="26" t="s">
        <v>2147</v>
      </c>
      <c r="I612" s="1334" t="s">
        <v>2148</v>
      </c>
      <c r="J612" s="29" t="s">
        <v>2149</v>
      </c>
      <c r="K612" s="29" t="s">
        <v>2150</v>
      </c>
      <c r="L612" s="29" t="s">
        <v>2151</v>
      </c>
      <c r="M612" s="29" t="s">
        <v>2152</v>
      </c>
      <c r="N612" s="29" t="s">
        <v>2153</v>
      </c>
      <c r="O612" s="1335" t="s">
        <v>2154</v>
      </c>
      <c r="P612" s="1334" t="s">
        <v>2148</v>
      </c>
      <c r="Q612" s="29" t="s">
        <v>2149</v>
      </c>
      <c r="R612" s="1335" t="s">
        <v>2150</v>
      </c>
      <c r="S612" s="1334" t="s">
        <v>2148</v>
      </c>
      <c r="T612" s="29" t="s">
        <v>2149</v>
      </c>
      <c r="U612" s="1335" t="s">
        <v>2150</v>
      </c>
      <c r="V612" s="730"/>
      <c r="W612" s="819" t="s">
        <v>1992</v>
      </c>
      <c r="X612" s="820" t="s">
        <v>2155</v>
      </c>
      <c r="Y612" s="819" t="s">
        <v>1993</v>
      </c>
      <c r="Z612" s="820" t="s">
        <v>2156</v>
      </c>
      <c r="AA612" s="819" t="s">
        <v>1994</v>
      </c>
      <c r="AB612" s="820" t="s">
        <v>2157</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t="str">
        <f>'Cpts AR +indép + Sommaire'!E91</f>
        <v>7</v>
      </c>
      <c r="G613" s="703">
        <f>'Cpts AR +indép + Sommaire'!F91</f>
        <v>2</v>
      </c>
      <c r="H613" s="703">
        <f>F613*G613</f>
        <v>14</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c r="B615" s="1686"/>
      <c r="C615" s="704" t="s">
        <v>2159</v>
      </c>
      <c r="D615" s="705" t="str">
        <f>INDEX(D613:D614, MATCH(H615, H613:H614, 0), 1)</f>
        <v>L'autre parent prend des décisions sans vous consulter.</v>
      </c>
      <c r="E615" s="706"/>
      <c r="F615" s="707"/>
      <c r="G615" s="707"/>
      <c r="H615" s="707">
        <f>IF(AND(K613=TRUE,K614=FALSE),H613,IF(AND(K613=FALSE,K614=TRUE),H614,MAX(H613,H614)))</f>
        <v>14</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c r="B618" s="1686"/>
      <c r="C618" s="710" t="s">
        <v>2160</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c r="B619" s="1686"/>
      <c r="C619" s="716" t="s">
        <v>2161</v>
      </c>
      <c r="D619" s="717"/>
      <c r="E619" s="717"/>
      <c r="F619" s="718"/>
      <c r="G619" s="718"/>
      <c r="H619" s="718">
        <f>IF(AND(K615=TRUE,K618=FALSE),H615,IF(AND(K615=FALSE,K618=TRUE),H618,IF(AND(K615=TRUE,K618=TRUE),H615+H618,MAX(H615,H618))))</f>
        <v>14</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c r="B622" s="1686"/>
      <c r="C622" s="721" t="s">
        <v>2164</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c r="B623" s="1686"/>
      <c r="D623" s="383" t="s">
        <v>2165</v>
      </c>
      <c r="E623" s="699"/>
      <c r="F623" s="435" t="s">
        <v>2166</v>
      </c>
      <c r="G623" s="33"/>
      <c r="H623" s="33">
        <f>IF(AND(K619=TRUE,K622=FALSE),H619,IF(AND(K619=FALSE,K622=TRUE),H622,IF(AND(K619=TRUE,K622=TRUE),H619+H622,MAX(H619,H622))))</f>
        <v>14</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c r="B624" s="1686"/>
      <c r="C624" t="s">
        <v>1849</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t="str">
        <f>'Cpts AR +indép + Sommaire'!W91</f>
        <v>2</v>
      </c>
      <c r="G625" s="822">
        <f>'Cpts AR +indép + Sommaire'!X91</f>
        <v>2</v>
      </c>
      <c r="H625" s="822">
        <f>F625*G625</f>
        <v>4</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c r="B627" s="1686"/>
      <c r="E627" s="726"/>
      <c r="F627" s="73"/>
      <c r="G627" s="73"/>
      <c r="H627" s="33">
        <f>IF(AND(K625=TRUE,K626=FALSE),H625,IF(AND(K625=FALSE,K626=TRUE),H626,MAX(H625,H626)))</f>
        <v>4</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20"/>
      <c r="X629" s="2020"/>
      <c r="Y629" s="2020"/>
      <c r="Z629" s="2020"/>
      <c r="AA629" s="2020"/>
      <c r="AB629" s="2020"/>
      <c r="AG629" s="5"/>
      <c r="AH629" s="5"/>
      <c r="AI629" s="5"/>
    </row>
    <row r="630" spans="1:41">
      <c r="E630" s="85" t="s">
        <v>2140</v>
      </c>
      <c r="F630" s="2585" t="s">
        <v>2250</v>
      </c>
      <c r="G630" s="2468"/>
      <c r="H630" s="2468"/>
      <c r="I630" s="2468"/>
      <c r="J630" s="2468"/>
      <c r="K630" s="697"/>
      <c r="L630" s="2588"/>
      <c r="M630" s="2468"/>
      <c r="N630" s="246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77" t="s">
        <v>1992</v>
      </c>
      <c r="J631" s="2468"/>
      <c r="K631" s="2468"/>
      <c r="L631" s="2581" t="s">
        <v>2144</v>
      </c>
      <c r="M631" s="2468"/>
      <c r="N631" s="2468"/>
      <c r="O631" s="2580"/>
      <c r="P631" s="2579" t="s">
        <v>1993</v>
      </c>
      <c r="Q631" s="2468"/>
      <c r="R631" s="2580"/>
      <c r="S631" s="2583" t="s">
        <v>1994</v>
      </c>
      <c r="T631" s="2468"/>
      <c r="U631" s="2580"/>
      <c r="V631" s="15"/>
      <c r="W631" s="809"/>
      <c r="X631" s="809"/>
      <c r="Y631" s="809"/>
      <c r="Z631" s="809"/>
      <c r="AA631" s="809"/>
      <c r="AB631" s="810"/>
      <c r="AD631" s="10"/>
      <c r="AE631" s="10"/>
      <c r="AF631" s="10"/>
      <c r="AG631" s="1372" t="s">
        <v>1992</v>
      </c>
      <c r="AH631" s="1372" t="s">
        <v>1993</v>
      </c>
      <c r="AI631" s="1372" t="s">
        <v>1994</v>
      </c>
      <c r="AJ631" s="2578" t="s">
        <v>1992</v>
      </c>
      <c r="AK631" s="2469"/>
      <c r="AL631" s="2578" t="s">
        <v>1993</v>
      </c>
      <c r="AM631" s="2469"/>
      <c r="AN631" s="2578" t="s">
        <v>1994</v>
      </c>
      <c r="AO631" s="2469"/>
    </row>
    <row r="632" spans="1:41" ht="34" customHeight="1">
      <c r="B632" s="1686"/>
      <c r="D632" s="79" t="s">
        <v>2145</v>
      </c>
      <c r="E632" s="827"/>
      <c r="F632" s="26" t="s">
        <v>252</v>
      </c>
      <c r="G632" s="26" t="s">
        <v>235</v>
      </c>
      <c r="H632" s="26" t="s">
        <v>2147</v>
      </c>
      <c r="I632" s="1334" t="s">
        <v>2148</v>
      </c>
      <c r="J632" s="29" t="s">
        <v>2149</v>
      </c>
      <c r="K632" s="29" t="s">
        <v>2150</v>
      </c>
      <c r="L632" s="29" t="s">
        <v>2151</v>
      </c>
      <c r="M632" s="29" t="s">
        <v>2152</v>
      </c>
      <c r="N632" s="29" t="s">
        <v>2153</v>
      </c>
      <c r="O632" s="1335" t="s">
        <v>2154</v>
      </c>
      <c r="P632" s="1334" t="s">
        <v>2148</v>
      </c>
      <c r="Q632" s="29" t="s">
        <v>2149</v>
      </c>
      <c r="R632" s="1335" t="s">
        <v>2150</v>
      </c>
      <c r="S632" s="1334" t="s">
        <v>2148</v>
      </c>
      <c r="T632" s="29" t="s">
        <v>2149</v>
      </c>
      <c r="U632" s="1335" t="s">
        <v>2150</v>
      </c>
      <c r="V632" s="730"/>
      <c r="W632" s="819" t="s">
        <v>1992</v>
      </c>
      <c r="X632" s="820" t="s">
        <v>2155</v>
      </c>
      <c r="Y632" s="819" t="s">
        <v>1993</v>
      </c>
      <c r="Z632" s="820" t="s">
        <v>2156</v>
      </c>
      <c r="AA632" s="819" t="s">
        <v>1994</v>
      </c>
      <c r="AB632" s="820" t="s">
        <v>2157</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c r="A633" t="str">
        <f>IF(Test_Bible!B163="","F","O")</f>
        <v>F</v>
      </c>
      <c r="B633" s="2133" t="s">
        <v>2251</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0</v>
      </c>
      <c r="AK633" s="1476">
        <f>IF(OR(J633=11,A633="F"),0,G633*J633)</f>
        <v>0</v>
      </c>
      <c r="AL633" s="1476">
        <f>IF(OR(P633=11,A633="F"),0,G633*P633)</f>
        <v>0</v>
      </c>
      <c r="AM633" s="1476">
        <f>IF(OR(Q633=11,A633="F"),0,G633*Q633)</f>
        <v>0</v>
      </c>
      <c r="AN633" s="1476">
        <f>IF(OR(S633=11,A633="F"),0,S633*G633)</f>
        <v>0</v>
      </c>
      <c r="AO633" s="1476">
        <f>IF(OR(T633=11,A633="F"),0,T633*G633)</f>
        <v>0</v>
      </c>
    </row>
    <row r="634" spans="1:41" ht="16"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c r="B635" s="1686"/>
      <c r="C635" s="704" t="s">
        <v>2159</v>
      </c>
      <c r="D635" s="705" t="str">
        <f>INDEX(D633:D634, MATCH(H635, H633:H634, 0), 1)</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0</v>
      </c>
      <c r="AK635" s="1725">
        <f t="shared" si="75"/>
        <v>0</v>
      </c>
      <c r="AL635" s="1725">
        <f t="shared" si="75"/>
        <v>0</v>
      </c>
      <c r="AM635" s="1725">
        <f t="shared" si="75"/>
        <v>0</v>
      </c>
      <c r="AN635" s="1725">
        <f t="shared" si="75"/>
        <v>0</v>
      </c>
      <c r="AO635" s="1725">
        <f t="shared" si="75"/>
        <v>0</v>
      </c>
    </row>
    <row r="636" spans="1:41" ht="16"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c r="B638" s="1686"/>
      <c r="C638" s="710" t="s">
        <v>2160</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c r="B639" s="1686"/>
      <c r="C639" s="716" t="s">
        <v>2161</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0</v>
      </c>
      <c r="AK639" s="587">
        <f>IF(AND($K635=TRUE,$K638=FALSE),AK635,IF(AND($K635=FALSE,$K638=TRUE),AK638,IF(AND($K635=TRUE,$K638=TRUE),AK635+AK638,MAX(AK635,AK638))))</f>
        <v>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0</v>
      </c>
      <c r="AO639" s="587">
        <f>IF(AND($U635=TRUE,$U638=FALSE),AO635,IF(AND($U635=FALSE,$U638=TRUE),AO638,IF(AND($U635=TRUE,$U638=TRUE),AO635+AO638,MAX(AO635,AO638))))</f>
        <v>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c r="B642" s="1686"/>
      <c r="C642" s="721" t="s">
        <v>2164</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c r="B643" s="1686"/>
      <c r="D643" s="383" t="s">
        <v>2165</v>
      </c>
      <c r="E643" s="699"/>
      <c r="F643" s="435" t="s">
        <v>2166</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6" customHeight="1">
      <c r="B644" s="1686"/>
      <c r="C644" t="s">
        <v>1849</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c r="A645" t="str">
        <f>IF(Test_Bible!B123="","F","O")</f>
        <v>O</v>
      </c>
      <c r="B645" s="2133" t="s">
        <v>2251</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20"/>
      <c r="X649" s="2020"/>
      <c r="Y649" s="2020"/>
      <c r="Z649" s="2020"/>
      <c r="AA649" s="2020"/>
      <c r="AB649" s="2020"/>
      <c r="AG649" s="5"/>
      <c r="AH649" s="5"/>
      <c r="AI649" s="5"/>
    </row>
    <row r="650" spans="1:41" ht="16" customHeight="1">
      <c r="B650" s="1686"/>
      <c r="W650" s="1373"/>
      <c r="X650" s="1374"/>
      <c r="Y650" s="1220"/>
      <c r="AD650" s="10"/>
      <c r="AE650" s="10"/>
      <c r="AF650" s="10"/>
    </row>
    <row r="651" spans="1:41">
      <c r="E651" s="85" t="s">
        <v>2140</v>
      </c>
      <c r="F651" s="2585" t="s">
        <v>2250</v>
      </c>
      <c r="G651" s="2468"/>
      <c r="H651" s="2468"/>
      <c r="I651" s="2468"/>
      <c r="J651" s="2468"/>
      <c r="K651" s="697"/>
      <c r="L651" s="2588"/>
      <c r="M651" s="2468"/>
      <c r="N651" s="246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77" t="s">
        <v>1992</v>
      </c>
      <c r="J652" s="2468"/>
      <c r="K652" s="2468"/>
      <c r="L652" s="2581" t="s">
        <v>2144</v>
      </c>
      <c r="M652" s="2468"/>
      <c r="N652" s="2468"/>
      <c r="O652" s="2580"/>
      <c r="P652" s="2579" t="s">
        <v>1993</v>
      </c>
      <c r="Q652" s="2468"/>
      <c r="R652" s="2580"/>
      <c r="S652" s="2583" t="s">
        <v>1994</v>
      </c>
      <c r="T652" s="2468"/>
      <c r="U652" s="2580"/>
      <c r="V652" s="15"/>
      <c r="W652" s="809"/>
      <c r="X652" s="809"/>
      <c r="Y652" s="809"/>
      <c r="Z652" s="809"/>
      <c r="AA652" s="809"/>
      <c r="AB652" s="810"/>
      <c r="AD652" s="10"/>
      <c r="AE652" s="10"/>
      <c r="AF652" s="10"/>
      <c r="AG652" s="1372" t="s">
        <v>1992</v>
      </c>
      <c r="AH652" s="1372" t="s">
        <v>1993</v>
      </c>
      <c r="AI652" s="1372" t="s">
        <v>1994</v>
      </c>
      <c r="AJ652" s="2578" t="s">
        <v>1992</v>
      </c>
      <c r="AK652" s="2469"/>
      <c r="AL652" s="2578" t="s">
        <v>1993</v>
      </c>
      <c r="AM652" s="2469"/>
      <c r="AN652" s="2578" t="s">
        <v>1994</v>
      </c>
      <c r="AO652" s="2469"/>
    </row>
    <row r="653" spans="1:41" ht="34" customHeight="1">
      <c r="B653" s="1686"/>
      <c r="D653" s="79" t="s">
        <v>2145</v>
      </c>
      <c r="E653" s="827"/>
      <c r="F653" s="26" t="s">
        <v>252</v>
      </c>
      <c r="G653" s="26" t="s">
        <v>235</v>
      </c>
      <c r="H653" s="26" t="s">
        <v>2147</v>
      </c>
      <c r="I653" s="1334" t="s">
        <v>2148</v>
      </c>
      <c r="J653" s="29" t="s">
        <v>2149</v>
      </c>
      <c r="K653" s="29" t="s">
        <v>2150</v>
      </c>
      <c r="L653" s="29" t="s">
        <v>2151</v>
      </c>
      <c r="M653" s="29" t="s">
        <v>2152</v>
      </c>
      <c r="N653" s="29" t="s">
        <v>2153</v>
      </c>
      <c r="O653" s="1335" t="s">
        <v>2154</v>
      </c>
      <c r="P653" s="1334" t="s">
        <v>2148</v>
      </c>
      <c r="Q653" s="29" t="s">
        <v>2149</v>
      </c>
      <c r="R653" s="1335" t="s">
        <v>2150</v>
      </c>
      <c r="S653" s="1334" t="s">
        <v>2148</v>
      </c>
      <c r="T653" s="29" t="s">
        <v>2149</v>
      </c>
      <c r="U653" s="1335" t="s">
        <v>2150</v>
      </c>
      <c r="V653" s="730"/>
      <c r="W653" s="819" t="s">
        <v>1992</v>
      </c>
      <c r="X653" s="820" t="s">
        <v>2155</v>
      </c>
      <c r="Y653" s="819" t="s">
        <v>1993</v>
      </c>
      <c r="Z653" s="820" t="s">
        <v>2156</v>
      </c>
      <c r="AA653" s="819" t="s">
        <v>1994</v>
      </c>
      <c r="AB653" s="820" t="s">
        <v>2157</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t="str">
        <f>'Cpts AR +indép + Sommaire'!E95</f>
        <v>7</v>
      </c>
      <c r="G654" s="703">
        <f>'Cpts AR +indép + Sommaire'!F95</f>
        <v>2</v>
      </c>
      <c r="H654" s="703">
        <f>F654*G654</f>
        <v>14</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c r="B656" s="1686"/>
      <c r="C656" s="704" t="s">
        <v>2159</v>
      </c>
      <c r="D656" s="705" t="str">
        <f>INDEX(D654:D655, MATCH(H656, H654:H655, 0), 1)</f>
        <v>Est-ce que l'autre parent (coparent) respecte les ordonnances ou les jugements de la Cour ?</v>
      </c>
      <c r="E656" s="706"/>
      <c r="F656" s="707"/>
      <c r="G656" s="707"/>
      <c r="H656" s="707">
        <f>IF(AND(K654=TRUE,K655=FALSE),H654,IF(AND(K654=FALSE,K655=TRUE),H655,MAX(H654,H655)))</f>
        <v>14</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c r="B659" s="1686"/>
      <c r="C659" s="710" t="s">
        <v>2160</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c r="B660" s="1686"/>
      <c r="C660" s="716" t="s">
        <v>2161</v>
      </c>
      <c r="D660" s="717"/>
      <c r="E660" s="717"/>
      <c r="F660" s="718"/>
      <c r="G660" s="718"/>
      <c r="H660" s="718">
        <f>IF(AND(K656=TRUE,K659=FALSE),H656,IF(AND(K656=FALSE,K659=TRUE),H659,IF(AND(K656=TRUE,K659=TRUE),H656+H659,MAX(H656,H659))))</f>
        <v>14</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c r="B663" s="1686"/>
      <c r="C663" s="721" t="s">
        <v>2164</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c r="B664" s="1686"/>
      <c r="D664" s="383" t="s">
        <v>2165</v>
      </c>
      <c r="E664" s="699"/>
      <c r="F664" s="435" t="s">
        <v>2166</v>
      </c>
      <c r="G664" s="33"/>
      <c r="H664" s="33">
        <f>IF(AND(K660=TRUE,K663=FALSE),H660,IF(AND(K660=FALSE,K663=TRUE),H663,IF(AND(K660=TRUE,K663=TRUE),H660+H663,MAX(H660,H663))))</f>
        <v>14</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c r="B665" s="1686"/>
      <c r="C665" t="s">
        <v>1849</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t="str">
        <f>'Cpts AR +indép + Sommaire'!W95</f>
        <v>1</v>
      </c>
      <c r="G666" s="822">
        <f>'Cpts AR +indép + Sommaire'!X95</f>
        <v>2</v>
      </c>
      <c r="H666" s="822">
        <f>F666*G666</f>
        <v>2</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c r="B668" s="1686"/>
      <c r="E668" s="726"/>
      <c r="F668" s="73"/>
      <c r="G668" s="73"/>
      <c r="H668" s="33">
        <f>IF(AND(K666=TRUE,K667=FALSE),H666,IF(AND(K666=FALSE,K667=TRUE),H667,MAX(H666,H667)))</f>
        <v>2</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c r="C672" s="429" t="s">
        <v>2252</v>
      </c>
      <c r="AD672" s="10"/>
      <c r="AE672" s="10"/>
      <c r="AF672" s="10"/>
    </row>
    <row r="673" spans="1:78" ht="16" customHeight="1">
      <c r="B673" s="1686"/>
      <c r="W673" s="1373"/>
      <c r="X673" s="1374"/>
      <c r="Y673" s="1220"/>
    </row>
    <row r="674" spans="1:78">
      <c r="E674" s="85" t="s">
        <v>2140</v>
      </c>
      <c r="F674" s="2585" t="s">
        <v>2250</v>
      </c>
      <c r="G674" s="2468"/>
      <c r="H674" s="2468"/>
      <c r="I674" s="2468"/>
      <c r="J674" s="2468"/>
      <c r="K674" s="697"/>
      <c r="L674" s="2588"/>
      <c r="M674" s="2468"/>
      <c r="N674" s="246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77" t="s">
        <v>1992</v>
      </c>
      <c r="J675" s="2468"/>
      <c r="K675" s="2468"/>
      <c r="L675" s="2581" t="s">
        <v>2144</v>
      </c>
      <c r="M675" s="2468"/>
      <c r="N675" s="2468"/>
      <c r="O675" s="2580"/>
      <c r="P675" s="2579" t="s">
        <v>1993</v>
      </c>
      <c r="Q675" s="2468"/>
      <c r="R675" s="2580"/>
      <c r="S675" s="2583" t="s">
        <v>1994</v>
      </c>
      <c r="T675" s="2468"/>
      <c r="U675" s="2580"/>
      <c r="V675" s="15"/>
      <c r="W675" s="809"/>
      <c r="X675" s="809"/>
      <c r="Y675" s="809"/>
      <c r="Z675" s="809"/>
      <c r="AA675" s="809"/>
      <c r="AB675" s="810"/>
      <c r="AD675" s="10"/>
      <c r="AE675" s="10"/>
      <c r="AF675" s="10"/>
      <c r="AG675" s="1372" t="s">
        <v>1992</v>
      </c>
      <c r="AH675" s="1372" t="s">
        <v>1993</v>
      </c>
      <c r="AI675" s="1372" t="s">
        <v>1994</v>
      </c>
      <c r="AJ675" s="2578" t="s">
        <v>1992</v>
      </c>
      <c r="AK675" s="2469"/>
      <c r="AL675" s="2578" t="s">
        <v>1993</v>
      </c>
      <c r="AM675" s="2469"/>
      <c r="AN675" s="2578" t="s">
        <v>1994</v>
      </c>
      <c r="AO675" s="2469"/>
      <c r="AY675" s="728"/>
      <c r="AZ675" s="728"/>
      <c r="BA675" s="87"/>
      <c r="BB675" s="438"/>
      <c r="BC675" s="89"/>
      <c r="BD675" s="442"/>
      <c r="BE675" s="442"/>
      <c r="BF675" s="89"/>
      <c r="BG675" s="443"/>
      <c r="BH675" s="443"/>
      <c r="BI675" s="439"/>
    </row>
    <row r="676" spans="1:78" ht="34" customHeight="1">
      <c r="B676" s="1686"/>
      <c r="D676" s="79" t="s">
        <v>2145</v>
      </c>
      <c r="E676" s="827"/>
      <c r="F676" s="26" t="s">
        <v>252</v>
      </c>
      <c r="G676" s="26" t="s">
        <v>235</v>
      </c>
      <c r="H676" s="26" t="s">
        <v>2147</v>
      </c>
      <c r="I676" s="1334" t="s">
        <v>2148</v>
      </c>
      <c r="J676" s="29" t="s">
        <v>2149</v>
      </c>
      <c r="K676" s="29" t="s">
        <v>2150</v>
      </c>
      <c r="L676" s="29" t="s">
        <v>2151</v>
      </c>
      <c r="M676" s="29" t="s">
        <v>2152</v>
      </c>
      <c r="N676" s="29" t="s">
        <v>2153</v>
      </c>
      <c r="O676" s="1335" t="s">
        <v>2154</v>
      </c>
      <c r="P676" s="1334" t="s">
        <v>2148</v>
      </c>
      <c r="Q676" s="29" t="s">
        <v>2149</v>
      </c>
      <c r="R676" s="1335" t="s">
        <v>2150</v>
      </c>
      <c r="S676" s="1334" t="s">
        <v>2148</v>
      </c>
      <c r="T676" s="29" t="s">
        <v>2149</v>
      </c>
      <c r="U676" s="1335" t="s">
        <v>2150</v>
      </c>
      <c r="V676" s="730"/>
      <c r="W676" s="819" t="s">
        <v>1992</v>
      </c>
      <c r="X676" s="820" t="s">
        <v>2155</v>
      </c>
      <c r="Y676" s="819" t="s">
        <v>1993</v>
      </c>
      <c r="Z676" s="820" t="s">
        <v>2156</v>
      </c>
      <c r="AA676" s="819" t="s">
        <v>1994</v>
      </c>
      <c r="AB676" s="820" t="s">
        <v>2157</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c r="A677" t="str">
        <f>IF(Test_Bible!B206="","F","O")</f>
        <v>O</v>
      </c>
      <c r="B677" s="2133" t="s">
        <v>2251</v>
      </c>
      <c r="C677" s="376" t="str">
        <f>'Cpts AR +indép + Sommaire'!C98</f>
        <v>PFA40</v>
      </c>
      <c r="D677" s="25" t="str">
        <f>'Cpts AR +indép + Sommaire'!D98</f>
        <v>L'autre parent sent qu’il est en compétition avec vous pour l’amour de votre enfant.</v>
      </c>
      <c r="E677" s="78"/>
      <c r="F677" s="703" t="str">
        <f>'Cpts AR +indép + Sommaire'!E98</f>
        <v>2</v>
      </c>
      <c r="G677" s="703">
        <f>'Cpts AR +indép + Sommaire'!F98</f>
        <v>2</v>
      </c>
      <c r="H677" s="703">
        <f>F677*G677</f>
        <v>4</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c r="B679" s="1686"/>
      <c r="C679" s="704" t="s">
        <v>2159</v>
      </c>
      <c r="D679" s="705" t="str">
        <f>INDEX(D677:D678, MATCH(H679, H677:H678, 0), 1)</f>
        <v>L'autre parent sent qu’il est en compétition avec vous pour l’amour de votre enfant.</v>
      </c>
      <c r="E679" s="706"/>
      <c r="F679" s="707"/>
      <c r="G679" s="707"/>
      <c r="H679" s="707">
        <f>IF(AND(K677=TRUE,K678=FALSE),H677,IF(AND(K677=FALSE,K678=TRUE),H678,MAX(H677,H678)))</f>
        <v>4</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c r="B682" s="1686"/>
      <c r="C682" s="710" t="s">
        <v>2160</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c r="B683" s="1686"/>
      <c r="C683" s="716" t="s">
        <v>2161</v>
      </c>
      <c r="D683" s="717"/>
      <c r="E683" s="717"/>
      <c r="F683" s="718"/>
      <c r="G683" s="718"/>
      <c r="H683" s="718">
        <f>IF(AND(K679=TRUE,K682=FALSE),H679,IF(AND(K679=FALSE,K682=TRUE),H682,IF(AND(K679=TRUE,K682=TRUE),H679+H682,MAX(H679,H682))))</f>
        <v>4</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c r="B686" s="1686"/>
      <c r="C686" s="721" t="s">
        <v>2164</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c r="B687" s="1686"/>
      <c r="D687" s="383" t="s">
        <v>2165</v>
      </c>
      <c r="E687" s="699"/>
      <c r="F687" s="435" t="s">
        <v>2166</v>
      </c>
      <c r="G687" s="33"/>
      <c r="H687" s="33">
        <f>IF(AND(K683=TRUE,K686=FALSE),H683,IF(AND(K683=FALSE,K686=TRUE),H686,IF(AND(K683=TRUE,K686=TRUE),H683+H686,MAX(H683,H686))))</f>
        <v>4</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6" customHeight="1">
      <c r="B688" s="1686"/>
      <c r="C688" t="s">
        <v>1849</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c r="B694" s="1685">
        <v>27</v>
      </c>
      <c r="D694" s="437" t="str">
        <f>'Cpts AR +indép + Sommaire'!B100</f>
        <v>Défenseur du parent</v>
      </c>
      <c r="E694" s="84"/>
      <c r="F694" s="50"/>
      <c r="G694" s="18"/>
      <c r="H694" s="18"/>
      <c r="I694" s="2577" t="s">
        <v>1992</v>
      </c>
      <c r="J694" s="2468"/>
      <c r="K694" s="2468"/>
      <c r="L694" s="2581" t="s">
        <v>2144</v>
      </c>
      <c r="M694" s="2468"/>
      <c r="N694" s="2468"/>
      <c r="O694" s="2580"/>
      <c r="P694" s="2579" t="s">
        <v>1993</v>
      </c>
      <c r="Q694" s="2468"/>
      <c r="R694" s="2580"/>
      <c r="S694" s="2583" t="s">
        <v>1994</v>
      </c>
      <c r="T694" s="2468"/>
      <c r="U694" s="2580"/>
      <c r="V694" s="15"/>
      <c r="W694" s="809"/>
      <c r="X694" s="809"/>
      <c r="Y694" s="809"/>
      <c r="Z694" s="809"/>
      <c r="AA694" s="809"/>
      <c r="AB694" s="810"/>
      <c r="AD694" s="10"/>
      <c r="AE694" s="10"/>
      <c r="AF694" s="10"/>
      <c r="AG694" s="1372" t="s">
        <v>1992</v>
      </c>
      <c r="AH694" s="1372" t="s">
        <v>1993</v>
      </c>
      <c r="AI694" s="1372" t="s">
        <v>1994</v>
      </c>
      <c r="AJ694" s="2578" t="s">
        <v>1992</v>
      </c>
      <c r="AK694" s="2469"/>
      <c r="AL694" s="2578" t="s">
        <v>1993</v>
      </c>
      <c r="AM694" s="2469"/>
      <c r="AN694" s="2578" t="s">
        <v>1994</v>
      </c>
      <c r="AO694" s="2469"/>
    </row>
    <row r="695" spans="1:41" ht="34" customHeight="1">
      <c r="B695" s="1686"/>
      <c r="D695" s="79" t="s">
        <v>2145</v>
      </c>
      <c r="E695" s="827" t="s">
        <v>2146</v>
      </c>
      <c r="F695" s="26" t="s">
        <v>252</v>
      </c>
      <c r="G695" s="26" t="s">
        <v>235</v>
      </c>
      <c r="H695" s="26" t="s">
        <v>2147</v>
      </c>
      <c r="I695" s="1334" t="s">
        <v>2148</v>
      </c>
      <c r="J695" s="29" t="s">
        <v>2149</v>
      </c>
      <c r="K695" s="29" t="s">
        <v>2150</v>
      </c>
      <c r="L695" s="29" t="s">
        <v>2151</v>
      </c>
      <c r="M695" s="29" t="s">
        <v>2152</v>
      </c>
      <c r="N695" s="29" t="s">
        <v>2153</v>
      </c>
      <c r="O695" s="1335" t="s">
        <v>2154</v>
      </c>
      <c r="P695" s="1334" t="s">
        <v>2148</v>
      </c>
      <c r="Q695" s="29" t="s">
        <v>2149</v>
      </c>
      <c r="R695" s="1335" t="s">
        <v>2150</v>
      </c>
      <c r="S695" s="1334" t="s">
        <v>2148</v>
      </c>
      <c r="T695" s="29" t="s">
        <v>2149</v>
      </c>
      <c r="U695" s="1335" t="s">
        <v>2150</v>
      </c>
      <c r="V695" s="730"/>
      <c r="W695" s="819" t="s">
        <v>1992</v>
      </c>
      <c r="X695" s="820" t="s">
        <v>2155</v>
      </c>
      <c r="Y695" s="819" t="s">
        <v>1993</v>
      </c>
      <c r="Z695" s="820" t="s">
        <v>2156</v>
      </c>
      <c r="AA695" s="819" t="s">
        <v>1994</v>
      </c>
      <c r="AB695" s="820" t="s">
        <v>2157</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c r="B698" s="1686"/>
      <c r="C698" s="704" t="s">
        <v>2159</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c r="B701" s="1686"/>
      <c r="C701" s="710" t="s">
        <v>2160</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c r="B702" s="1686"/>
      <c r="C702" s="716" t="s">
        <v>2161</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c r="A703" t="str">
        <f>IF(Test_Bible!B283="","F","O")</f>
        <v>O</v>
      </c>
      <c r="B703" s="2133" t="s">
        <v>2251</v>
      </c>
      <c r="C703" s="287" t="str">
        <f>'Cpts AR +indép + Sommaire'!O100</f>
        <v>E10</v>
      </c>
      <c r="D703" s="25" t="str">
        <f>'Cpts AR +indép + Sommaire'!P100</f>
        <v>Votre enfant cherche à vous convaincre des qualités de l’autre parent.</v>
      </c>
      <c r="E703" s="78"/>
      <c r="F703" s="703" t="str">
        <f>'Cpts AR +indép + Sommaire'!Q100</f>
        <v>1</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c r="B704" s="1686"/>
      <c r="C704" s="287" t="s">
        <v>2175</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c r="B705" s="1686"/>
      <c r="C705" s="721" t="s">
        <v>2164</v>
      </c>
      <c r="D705" s="722" t="str">
        <f>INDEX(D703:D704, MATCH(H705, H703:H704, 0), 1)</f>
        <v>Votre enfant cherche à vous convaincre des qualités de l’autre parent.</v>
      </c>
      <c r="E705" s="722" t="s">
        <v>2253</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c r="B706" s="1686"/>
      <c r="D706" s="383" t="s">
        <v>2165</v>
      </c>
      <c r="E706" s="699"/>
      <c r="F706" s="435" t="s">
        <v>2166</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c r="B707" s="1686"/>
      <c r="C707" t="s">
        <v>1849</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c r="B712" s="1686"/>
      <c r="W712" s="1373"/>
      <c r="X712" s="1374"/>
      <c r="Y712" s="1220"/>
    </row>
    <row r="713" spans="1:78">
      <c r="B713" s="1685">
        <v>28</v>
      </c>
      <c r="D713" s="437" t="str">
        <f>'Cpts AR +indép + Sommaire'!B102</f>
        <v>Manque d'ambivalence</v>
      </c>
      <c r="E713" s="84"/>
      <c r="F713" s="50"/>
      <c r="G713" s="18"/>
      <c r="H713" s="18"/>
      <c r="I713" s="2577" t="s">
        <v>1992</v>
      </c>
      <c r="J713" s="2468"/>
      <c r="K713" s="2468"/>
      <c r="L713" s="2581" t="s">
        <v>2144</v>
      </c>
      <c r="M713" s="2468"/>
      <c r="N713" s="2468"/>
      <c r="O713" s="2580"/>
      <c r="P713" s="2579" t="s">
        <v>1993</v>
      </c>
      <c r="Q713" s="2468"/>
      <c r="R713" s="2580"/>
      <c r="S713" s="2583" t="s">
        <v>1994</v>
      </c>
      <c r="T713" s="2468"/>
      <c r="U713" s="2580"/>
      <c r="V713" s="15"/>
      <c r="W713" s="809"/>
      <c r="X713" s="809"/>
      <c r="Y713" s="809"/>
      <c r="Z713" s="809"/>
      <c r="AA713" s="809"/>
      <c r="AB713" s="810"/>
      <c r="AD713" s="10"/>
      <c r="AE713" s="10"/>
      <c r="AF713" s="10"/>
      <c r="AG713" s="1372" t="s">
        <v>1992</v>
      </c>
      <c r="AH713" s="1372" t="s">
        <v>1993</v>
      </c>
      <c r="AI713" s="1372" t="s">
        <v>1994</v>
      </c>
      <c r="AJ713" s="2578" t="s">
        <v>1992</v>
      </c>
      <c r="AK713" s="2469"/>
      <c r="AL713" s="2578" t="s">
        <v>1993</v>
      </c>
      <c r="AM713" s="2469"/>
      <c r="AN713" s="2578" t="s">
        <v>1994</v>
      </c>
      <c r="AO713" s="2469"/>
    </row>
    <row r="714" spans="1:78" ht="34" customHeight="1">
      <c r="B714" s="1686"/>
      <c r="D714" s="79" t="s">
        <v>2145</v>
      </c>
      <c r="E714" s="827" t="s">
        <v>2146</v>
      </c>
      <c r="F714" s="26" t="s">
        <v>252</v>
      </c>
      <c r="G714" s="26" t="s">
        <v>235</v>
      </c>
      <c r="H714" s="26" t="s">
        <v>2147</v>
      </c>
      <c r="I714" s="1334" t="s">
        <v>2148</v>
      </c>
      <c r="J714" s="29" t="s">
        <v>2149</v>
      </c>
      <c r="K714" s="29" t="s">
        <v>2150</v>
      </c>
      <c r="L714" s="29" t="s">
        <v>2151</v>
      </c>
      <c r="M714" s="29" t="s">
        <v>2152</v>
      </c>
      <c r="N714" s="29" t="s">
        <v>2153</v>
      </c>
      <c r="O714" s="1335" t="s">
        <v>2154</v>
      </c>
      <c r="P714" s="1334" t="s">
        <v>2148</v>
      </c>
      <c r="Q714" s="29" t="s">
        <v>2149</v>
      </c>
      <c r="R714" s="1335" t="s">
        <v>2150</v>
      </c>
      <c r="S714" s="1334" t="s">
        <v>2148</v>
      </c>
      <c r="T714" s="29" t="s">
        <v>2149</v>
      </c>
      <c r="U714" s="1335" t="s">
        <v>2150</v>
      </c>
      <c r="V714" s="730"/>
      <c r="W714" s="819" t="s">
        <v>1992</v>
      </c>
      <c r="X714" s="820" t="s">
        <v>2155</v>
      </c>
      <c r="Y714" s="819" t="s">
        <v>1993</v>
      </c>
      <c r="Z714" s="820" t="s">
        <v>2156</v>
      </c>
      <c r="AA714" s="819" t="s">
        <v>1994</v>
      </c>
      <c r="AB714" s="820" t="s">
        <v>2157</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c r="B717" s="1686"/>
      <c r="C717" s="704" t="s">
        <v>2159</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c r="A718" s="2594"/>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c r="A719" s="246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c r="B720" s="1686"/>
      <c r="C720" s="710" t="s">
        <v>2160</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c r="B721" s="1686"/>
      <c r="C721" s="716" t="s">
        <v>2161</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c r="A722" t="str">
        <f>IF(Test_Bible!B269="","F","O")</f>
        <v>O</v>
      </c>
      <c r="B722" s="2133" t="s">
        <v>2251</v>
      </c>
      <c r="C722" s="287" t="str">
        <f>'Cpts AR +indép + Sommaire'!O102</f>
        <v>E04</v>
      </c>
      <c r="D722" s="25" t="str">
        <f>'Cpts AR +indép + Sommaire'!P102</f>
        <v>Votre enfant défend l'autre parent, quoi que vous fassiez, quoi que vous disiez.</v>
      </c>
      <c r="E722" s="78" t="s">
        <v>2254</v>
      </c>
      <c r="F722" s="703" t="str">
        <f>'Cpts AR +indép + Sommaire'!Q102</f>
        <v>4</v>
      </c>
      <c r="G722" s="703">
        <f>'Cpts AR +indép + Sommaire'!R102</f>
        <v>2</v>
      </c>
      <c r="H722" s="703">
        <f>F722*G722</f>
        <v>8</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4</v>
      </c>
      <c r="AK722" s="1476">
        <f>IF(OR(J722=11,A722="F"),0,G722*J722)</f>
        <v>20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c r="A723" t="str">
        <f>IF(Test_Bible!B270="","F","O")</f>
        <v>O</v>
      </c>
      <c r="B723" s="2133" t="s">
        <v>2251</v>
      </c>
      <c r="C723" s="287" t="str">
        <f>'Cpts AR +indép + Sommaire'!O103</f>
        <v>E04a</v>
      </c>
      <c r="D723" s="25" t="str">
        <f>'Cpts AR +indép + Sommaire'!P103</f>
        <v>Aux yeux de votre enfant, tout ce que fait l'autre parent est bien, voire parfait, et tout ce que vous faites est mauvais ou sujet à critiques.</v>
      </c>
      <c r="E723" s="78" t="s">
        <v>2255</v>
      </c>
      <c r="F723" s="703" t="str">
        <f>'Cpts AR +indép + Sommaire'!Q103</f>
        <v>7</v>
      </c>
      <c r="G723" s="703">
        <f>'Cpts AR +indép + Sommaire'!R103</f>
        <v>3</v>
      </c>
      <c r="H723" s="703">
        <f>F723*G723</f>
        <v>21</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6</v>
      </c>
      <c r="AK723" s="1476">
        <f>IF(OR(J723=11,A723="F"),0,G723*J723)</f>
        <v>30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c r="A724" t="str">
        <f>IF(Test_Bible!B271="","F","O")</f>
        <v>O</v>
      </c>
      <c r="B724" s="2133" t="s">
        <v>2251</v>
      </c>
      <c r="C724" s="287" t="str">
        <f>'Cpts AR +indép + Sommaire'!O104</f>
        <v>E04a1</v>
      </c>
      <c r="D724" s="25" t="str">
        <f>'Cpts AR +indép + Sommaire'!P104</f>
        <v>Votre enfant calque les désirs et les paroles de l’autre parent.</v>
      </c>
      <c r="E724" s="78" t="s">
        <v>2256</v>
      </c>
      <c r="F724" s="703" t="str">
        <f>'Cpts AR +indép + Sommaire'!Q104</f>
        <v>7</v>
      </c>
      <c r="G724" s="703">
        <f>'Cpts AR +indép + Sommaire'!R104</f>
        <v>3</v>
      </c>
      <c r="H724" s="703">
        <f>F724*G724</f>
        <v>21</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6</v>
      </c>
      <c r="AK724" s="1476">
        <f>IF(OR(J724=11,A724="F"),0,G724*J724)</f>
        <v>30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c r="B725" s="1686"/>
      <c r="C725" s="721" t="s">
        <v>2164</v>
      </c>
      <c r="D725" s="722" t="str">
        <f>INDEX(D722:D724, MATCH(H725, H722:H724, 0), 1)</f>
        <v>Aux yeux de votre enfant, tout ce que fait l'autre parent est bien, voire parfait, et tout ce que vous faites est mauvais ou sujet à critiques.</v>
      </c>
      <c r="E725" s="722" t="str">
        <f>INDEX(E722:E724, MATCH(H725, H722:H724, 0), 1)</f>
        <v>considère le coparent parfait et vous avez tous les tords</v>
      </c>
      <c r="F725" s="723"/>
      <c r="G725" s="723"/>
      <c r="H725" s="723">
        <f>IF(AND(K722=TRUE,K723=FALSE,K724=FALSE),H722,IF(AND(K722=FALSE,K723=TRUE,K724=FALSE),H723,IF(AND(K722=FALSE,K723=FALSE,K724=TRUE),H724,MAX(H722:H724))))</f>
        <v>21</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c r="B726" s="1686"/>
      <c r="D726" s="383" t="s">
        <v>2165</v>
      </c>
      <c r="E726" s="699"/>
      <c r="F726" s="435" t="s">
        <v>2166</v>
      </c>
      <c r="G726" s="33"/>
      <c r="H726" s="33">
        <f>IF(AND(K721=TRUE,K725=FALSE),H721,IF(AND(K721=FALSE,K725=TRUE),H725,IF(AND(K721=TRUE,K725=TRUE),H721+H725,MAX(H721,H725))))</f>
        <v>21</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c r="B727" s="1686"/>
      <c r="C727" t="s">
        <v>1849</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20"/>
      <c r="X732" s="2020"/>
      <c r="Y732" s="2020"/>
      <c r="Z732" s="2020"/>
      <c r="AA732" s="2020"/>
      <c r="AB732" s="2020"/>
      <c r="AG732" s="5"/>
      <c r="AH732" s="5"/>
      <c r="AI732" s="5"/>
    </row>
    <row r="733" spans="1:78">
      <c r="B733" s="1685">
        <v>29</v>
      </c>
      <c r="D733" s="437" t="str">
        <f>'Cpts AR +indép + Sommaire'!B106</f>
        <v>Propos d'adulte</v>
      </c>
      <c r="E733" s="84"/>
      <c r="F733" s="50"/>
      <c r="G733" s="18"/>
      <c r="H733" s="18"/>
      <c r="I733" s="2577" t="s">
        <v>1992</v>
      </c>
      <c r="J733" s="2468"/>
      <c r="K733" s="2468"/>
      <c r="L733" s="2581" t="s">
        <v>2144</v>
      </c>
      <c r="M733" s="2468"/>
      <c r="N733" s="2468"/>
      <c r="O733" s="2580"/>
      <c r="P733" s="2579" t="s">
        <v>1993</v>
      </c>
      <c r="Q733" s="2468"/>
      <c r="R733" s="2580"/>
      <c r="S733" s="2583" t="s">
        <v>1994</v>
      </c>
      <c r="T733" s="2468"/>
      <c r="U733" s="2580"/>
      <c r="V733" s="15"/>
      <c r="W733" s="809"/>
      <c r="X733" s="809"/>
      <c r="Y733" s="809"/>
      <c r="Z733" s="809"/>
      <c r="AA733" s="809"/>
      <c r="AB733" s="810"/>
      <c r="AD733" s="10"/>
      <c r="AE733" s="10"/>
      <c r="AF733" s="10"/>
      <c r="AG733" s="1372" t="s">
        <v>1992</v>
      </c>
      <c r="AH733" s="1372" t="s">
        <v>1993</v>
      </c>
      <c r="AI733" s="1372" t="s">
        <v>1994</v>
      </c>
      <c r="AJ733" s="2578" t="s">
        <v>1992</v>
      </c>
      <c r="AK733" s="2469"/>
      <c r="AL733" s="2578" t="s">
        <v>1993</v>
      </c>
      <c r="AM733" s="2469"/>
      <c r="AN733" s="2578" t="s">
        <v>1994</v>
      </c>
      <c r="AO733" s="2469"/>
      <c r="AY733" s="728"/>
      <c r="AZ733" s="728"/>
      <c r="BA733" s="87"/>
      <c r="BB733" s="438"/>
      <c r="BC733" s="89"/>
      <c r="BD733" s="442"/>
      <c r="BE733" s="442"/>
      <c r="BF733" s="89"/>
      <c r="BG733" s="443"/>
      <c r="BH733" s="443"/>
      <c r="BI733" s="439"/>
    </row>
    <row r="734" spans="1:78" ht="34" customHeight="1">
      <c r="B734" s="1686"/>
      <c r="D734" s="79" t="s">
        <v>2145</v>
      </c>
      <c r="E734" s="827" t="s">
        <v>2146</v>
      </c>
      <c r="F734" s="26" t="s">
        <v>252</v>
      </c>
      <c r="G734" s="26" t="s">
        <v>235</v>
      </c>
      <c r="H734" s="26" t="s">
        <v>2147</v>
      </c>
      <c r="I734" s="1334" t="s">
        <v>2148</v>
      </c>
      <c r="J734" s="29" t="s">
        <v>2149</v>
      </c>
      <c r="K734" s="29" t="s">
        <v>2150</v>
      </c>
      <c r="L734" s="29" t="s">
        <v>2151</v>
      </c>
      <c r="M734" s="29" t="s">
        <v>2152</v>
      </c>
      <c r="N734" s="29" t="s">
        <v>2153</v>
      </c>
      <c r="O734" s="1335" t="s">
        <v>2154</v>
      </c>
      <c r="P734" s="1334" t="s">
        <v>2148</v>
      </c>
      <c r="Q734" s="29" t="s">
        <v>2149</v>
      </c>
      <c r="R734" s="1335" t="s">
        <v>2150</v>
      </c>
      <c r="S734" s="1334" t="s">
        <v>2148</v>
      </c>
      <c r="T734" s="29" t="s">
        <v>2149</v>
      </c>
      <c r="U734" s="1335" t="s">
        <v>2150</v>
      </c>
      <c r="V734" s="730"/>
      <c r="W734" s="819" t="s">
        <v>1992</v>
      </c>
      <c r="X734" s="820" t="s">
        <v>2155</v>
      </c>
      <c r="Y734" s="819" t="s">
        <v>1993</v>
      </c>
      <c r="Z734" s="820" t="s">
        <v>2156</v>
      </c>
      <c r="AA734" s="819" t="s">
        <v>1994</v>
      </c>
      <c r="AB734" s="820" t="s">
        <v>2157</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c r="B737" s="1686"/>
      <c r="C737" s="704" t="s">
        <v>2159</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c r="B740" s="1686"/>
      <c r="C740" s="710" t="s">
        <v>2160</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c r="B741" s="1686"/>
      <c r="C741" s="716" t="s">
        <v>2161</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c r="A742" t="str">
        <f>IF(Test_Bible!B272="","F","O")</f>
        <v>O</v>
      </c>
      <c r="B742" s="2133" t="s">
        <v>2251</v>
      </c>
      <c r="C742" s="287" t="str">
        <f>'Cpts AR +indép + Sommaire'!O106</f>
        <v>E05</v>
      </c>
      <c r="D742" s="25" t="str">
        <f>'Cpts AR +indép + Sommaire'!P106</f>
        <v>Votre enfant s’exprime avec des expressions ou des paroles empruntées à l’autre parent.</v>
      </c>
      <c r="E742" s="78" t="s">
        <v>2257</v>
      </c>
      <c r="F742" s="703" t="str">
        <f>'Cpts AR +indép + Sommaire'!Q106</f>
        <v>7</v>
      </c>
      <c r="G742" s="703">
        <f>'Cpts AR +indép + Sommaire'!R106</f>
        <v>2</v>
      </c>
      <c r="H742" s="703">
        <f>F742*G742</f>
        <v>14</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c r="B743" s="1686"/>
      <c r="C743" s="287" t="s">
        <v>2175</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c r="B744" s="1686"/>
      <c r="C744" s="721" t="s">
        <v>2164</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14</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7" customHeight="1">
      <c r="B745" s="1686"/>
      <c r="D745" s="383" t="s">
        <v>2165</v>
      </c>
      <c r="E745" s="699"/>
      <c r="F745" s="435" t="s">
        <v>2166</v>
      </c>
      <c r="G745" s="33"/>
      <c r="H745" s="33">
        <f>IF(AND(K741=TRUE,K744=FALSE),H741,IF(AND(K741=FALSE,K744=TRUE),H744,IF(AND(K741=TRUE,K744=TRUE),H741+H744,MAX(H741,H744))))</f>
        <v>14</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6" customHeight="1">
      <c r="B746" s="1686"/>
      <c r="C746" t="s">
        <v>1849</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20"/>
      <c r="X751" s="2020"/>
      <c r="Y751" s="2020"/>
      <c r="Z751" s="2020"/>
      <c r="AA751" s="2020"/>
      <c r="AB751" s="2020"/>
      <c r="AG751" s="5"/>
      <c r="AH751" s="5"/>
      <c r="AI751" s="5"/>
    </row>
    <row r="752" spans="1:78">
      <c r="B752" s="1685">
        <v>30</v>
      </c>
      <c r="D752" s="437" t="str">
        <f>'Cpts AR +indép + Sommaire'!B108</f>
        <v>Changement des ses valeurs</v>
      </c>
      <c r="E752" s="84"/>
      <c r="F752" s="50"/>
      <c r="G752" s="18"/>
      <c r="H752" s="18"/>
      <c r="I752" s="2577" t="s">
        <v>1992</v>
      </c>
      <c r="J752" s="2468"/>
      <c r="K752" s="2468"/>
      <c r="L752" s="2581" t="s">
        <v>2144</v>
      </c>
      <c r="M752" s="2468"/>
      <c r="N752" s="2468"/>
      <c r="O752" s="2580"/>
      <c r="P752" s="2579" t="s">
        <v>1993</v>
      </c>
      <c r="Q752" s="2468"/>
      <c r="R752" s="2580"/>
      <c r="S752" s="2583" t="s">
        <v>1994</v>
      </c>
      <c r="T752" s="2468"/>
      <c r="U752" s="2580"/>
      <c r="V752" s="15"/>
      <c r="W752" s="809"/>
      <c r="X752" s="809"/>
      <c r="Y752" s="809"/>
      <c r="Z752" s="809"/>
      <c r="AA752" s="809"/>
      <c r="AB752" s="810"/>
      <c r="AD752" s="10"/>
      <c r="AE752" s="10"/>
      <c r="AF752" s="10"/>
      <c r="AG752" s="1372" t="s">
        <v>1992</v>
      </c>
      <c r="AH752" s="1372" t="s">
        <v>1993</v>
      </c>
      <c r="AI752" s="1372" t="s">
        <v>1994</v>
      </c>
      <c r="AJ752" s="2578" t="s">
        <v>1992</v>
      </c>
      <c r="AK752" s="2469"/>
      <c r="AL752" s="2578" t="s">
        <v>1993</v>
      </c>
      <c r="AM752" s="2469"/>
      <c r="AN752" s="2578" t="s">
        <v>1994</v>
      </c>
      <c r="AO752" s="2469"/>
    </row>
    <row r="753" spans="1:41" ht="34" customHeight="1">
      <c r="B753" s="1686"/>
      <c r="D753" s="79" t="s">
        <v>2145</v>
      </c>
      <c r="E753" s="827" t="s">
        <v>2146</v>
      </c>
      <c r="F753" s="26" t="s">
        <v>252</v>
      </c>
      <c r="G753" s="26" t="s">
        <v>235</v>
      </c>
      <c r="H753" s="26" t="s">
        <v>2147</v>
      </c>
      <c r="I753" s="1334" t="s">
        <v>2148</v>
      </c>
      <c r="J753" s="29" t="s">
        <v>2149</v>
      </c>
      <c r="K753" s="29" t="s">
        <v>2150</v>
      </c>
      <c r="L753" s="29" t="s">
        <v>2151</v>
      </c>
      <c r="M753" s="29" t="s">
        <v>2152</v>
      </c>
      <c r="N753" s="29" t="s">
        <v>2153</v>
      </c>
      <c r="O753" s="1335" t="s">
        <v>2154</v>
      </c>
      <c r="P753" s="1334" t="s">
        <v>2148</v>
      </c>
      <c r="Q753" s="29" t="s">
        <v>2149</v>
      </c>
      <c r="R753" s="1335" t="s">
        <v>2150</v>
      </c>
      <c r="S753" s="1334" t="s">
        <v>2148</v>
      </c>
      <c r="T753" s="29" t="s">
        <v>2149</v>
      </c>
      <c r="U753" s="1335" t="s">
        <v>2150</v>
      </c>
      <c r="V753" s="730"/>
      <c r="W753" s="819" t="s">
        <v>1992</v>
      </c>
      <c r="X753" s="820" t="s">
        <v>2155</v>
      </c>
      <c r="Y753" s="819" t="s">
        <v>1993</v>
      </c>
      <c r="Z753" s="820" t="s">
        <v>2156</v>
      </c>
      <c r="AA753" s="819" t="s">
        <v>1994</v>
      </c>
      <c r="AB753" s="820" t="s">
        <v>2157</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c r="B756" s="1686"/>
      <c r="C756" s="704" t="s">
        <v>2159</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c r="B759" s="1686"/>
      <c r="C759" s="710" t="s">
        <v>2160</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c r="B760" s="1686"/>
      <c r="C760" s="716" t="s">
        <v>2161</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c r="A761" t="str">
        <f>IF(Test_Bible!B322="","F","O")</f>
        <v>O</v>
      </c>
      <c r="B761" s="2133" t="s">
        <v>2251</v>
      </c>
      <c r="C761" s="287" t="str">
        <f>'Cpts AR +indép + Sommaire'!O108</f>
        <v>E29</v>
      </c>
      <c r="D761" s="25" t="str">
        <f>'Cpts AR +indép + Sommaire'!P108</f>
        <v>Dans quelle mesure diriez-vous que votre enfant adapte ses champs d’intérêts pour partager les intérêts de l’autre parent ?</v>
      </c>
      <c r="E761" s="78" t="s">
        <v>2258</v>
      </c>
      <c r="F761" s="703" t="str">
        <f>'Cpts AR +indép + Sommaire'!Q108</f>
        <v>4</v>
      </c>
      <c r="G761" s="703">
        <f>'Cpts AR +indép + Sommaire'!R108</f>
        <v>2</v>
      </c>
      <c r="H761" s="703">
        <f>F761*G761</f>
        <v>8</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c r="A762" t="str">
        <f>IF(Test_Bible!B323="","F","O")</f>
        <v>O</v>
      </c>
      <c r="B762" s="2133" t="s">
        <v>2251</v>
      </c>
      <c r="C762" s="287" t="str">
        <f>'Cpts AR +indép + Sommaire'!O109</f>
        <v>E29a</v>
      </c>
      <c r="D762" s="25" t="str">
        <f>'Cpts AR +indép + Sommaire'!P109</f>
        <v>Dans quelle mesure diriez-vous que votre enfant rejette vos valeurs et vos champs d’intérêts.</v>
      </c>
      <c r="E762" s="78" t="s">
        <v>2259</v>
      </c>
      <c r="F762" s="703" t="str">
        <f>'Cpts AR +indép + Sommaire'!Q109</f>
        <v>7</v>
      </c>
      <c r="G762" s="703">
        <f>'Cpts AR +indép + Sommaire'!R109</f>
        <v>3</v>
      </c>
      <c r="H762" s="703">
        <f>F762*G762</f>
        <v>21</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12</v>
      </c>
      <c r="AK762" s="1476">
        <f>IF(OR(J762=11,A762="F"),0,G762*J762)</f>
        <v>30</v>
      </c>
      <c r="AL762" s="1476">
        <f>IF(OR(P762=11,A762="F"),0,G762*P762)</f>
        <v>6</v>
      </c>
      <c r="AM762" s="1476">
        <f>IF(OR(Q762=11,A762="F"),0,G762*Q762)</f>
        <v>21</v>
      </c>
      <c r="AN762" s="1476">
        <f>IF(OR(S762=11,A762="F"),0,S762*G762)</f>
        <v>0</v>
      </c>
      <c r="AO762" s="1476">
        <f>IF(OR(T762=11,A762="F"),0,T762*G762)</f>
        <v>0</v>
      </c>
    </row>
    <row r="763" spans="1:41" ht="35" customHeight="1" thickBot="1">
      <c r="B763" s="1686"/>
      <c r="C763" s="721" t="s">
        <v>2164</v>
      </c>
      <c r="D763" s="722" t="str">
        <f>INDEX(D761:D762, MATCH(H763, H761:H762, 0), 1)</f>
        <v>Dans quelle mesure diriez-vous que votre enfant rejette vos valeurs et vos champs d’intérêts.</v>
      </c>
      <c r="E763" s="722" t="str">
        <f>INDEX(E761:E762, MATCH(H763, H761:H762, 0), 1)</f>
        <v>rejette vos valeurs et vos intérêts</v>
      </c>
      <c r="F763" s="723"/>
      <c r="G763" s="723"/>
      <c r="H763" s="723">
        <f>IF(AND(K761=TRUE,K762=FALSE),H761,IF(AND(K761=FALSE,K762=TRUE),H762,MAX(H761,H762)))</f>
        <v>21</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c r="B764" s="1686"/>
      <c r="D764" s="383" t="s">
        <v>2165</v>
      </c>
      <c r="E764" s="699"/>
      <c r="F764" s="435" t="s">
        <v>2166</v>
      </c>
      <c r="G764" s="33"/>
      <c r="H764" s="33">
        <f>IF(AND(K760=TRUE,K763=FALSE),H760,IF(AND(K760=FALSE,K763=TRUE),H763,IF(AND(K760=TRUE,K763=TRUE),H760+H763,MAX(H760,H763))))</f>
        <v>21</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c r="B765" s="1686"/>
      <c r="C765" t="s">
        <v>1849</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c r="B771" s="1686"/>
      <c r="W771" s="1373"/>
    </row>
    <row r="772" spans="1:41" ht="16" customHeight="1">
      <c r="A772" s="751"/>
      <c r="B772" s="1686"/>
      <c r="C772" s="751"/>
      <c r="D772" s="751"/>
      <c r="E772" s="751"/>
      <c r="F772" s="751"/>
      <c r="G772" s="751"/>
      <c r="H772" s="751"/>
      <c r="I772" s="751"/>
      <c r="J772" s="751"/>
      <c r="K772" s="751"/>
    </row>
    <row r="773" spans="1:41" ht="16" customHeight="1">
      <c r="A773" s="751"/>
      <c r="B773" s="1686"/>
      <c r="C773" s="751"/>
      <c r="D773" s="751"/>
      <c r="E773" s="751"/>
      <c r="F773" s="751"/>
      <c r="G773" s="751"/>
      <c r="H773" s="751"/>
      <c r="I773" s="751"/>
      <c r="J773" s="751"/>
      <c r="K773" s="751"/>
    </row>
    <row r="774" spans="1:41" ht="16" customHeight="1">
      <c r="A774" s="751"/>
      <c r="B774" s="1686"/>
      <c r="C774" s="751"/>
      <c r="D774" s="751"/>
      <c r="E774" s="751"/>
      <c r="F774" s="751"/>
      <c r="G774" s="751"/>
      <c r="H774" s="751"/>
      <c r="I774" s="751"/>
      <c r="J774" s="751"/>
      <c r="K774" s="751"/>
    </row>
    <row r="775" spans="1:41" ht="16" customHeight="1">
      <c r="A775" s="751"/>
      <c r="B775" s="1686"/>
      <c r="C775" s="751"/>
      <c r="E775" s="751"/>
      <c r="F775" s="751"/>
      <c r="G775" s="751"/>
      <c r="H775" s="751"/>
      <c r="I775" s="751"/>
      <c r="J775" s="751"/>
      <c r="K775" s="751"/>
    </row>
    <row r="780" spans="1:41">
      <c r="AB780" s="2"/>
    </row>
  </sheetData>
  <mergeCells count="337">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45:A48"/>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AN413:AO413"/>
    <mergeCell ref="AN591:AO591"/>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652:AO652"/>
    <mergeCell ref="I48:K48"/>
    <mergeCell ref="AL107:AM107"/>
    <mergeCell ref="P184:R184"/>
    <mergeCell ref="S490:U490"/>
    <mergeCell ref="AL184:AM184"/>
    <mergeCell ref="AN184:AO184"/>
    <mergeCell ref="AJ222:AK222"/>
    <mergeCell ref="L278:N278"/>
    <mergeCell ref="AN471:AO471"/>
    <mergeCell ref="AL126:AM126"/>
    <mergeCell ref="AL393:AM393"/>
    <mergeCell ref="AL260:AM260"/>
    <mergeCell ref="AN260:AO260"/>
    <mergeCell ref="I279:K279"/>
    <mergeCell ref="I126:K126"/>
    <mergeCell ref="I125:K125"/>
    <mergeCell ref="I49:K49"/>
    <mergeCell ref="AJ184:AK184"/>
    <mergeCell ref="S165:U165"/>
    <mergeCell ref="L106:N106"/>
    <mergeCell ref="L49:O49"/>
    <mergeCell ref="I68:K68"/>
    <mergeCell ref="I107:K107"/>
    <mergeCell ref="I88:K88"/>
    <mergeCell ref="I183:K183"/>
    <mergeCell ref="AN317:AO317"/>
    <mergeCell ref="S203:U203"/>
    <mergeCell ref="AN490:AO490"/>
    <mergeCell ref="P571:R571"/>
    <mergeCell ref="AJ571:AK571"/>
    <mergeCell ref="P490:R490"/>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354:N354"/>
    <mergeCell ref="S471:U471"/>
    <mergeCell ref="L433:O433"/>
    <mergeCell ref="L412:N412"/>
    <mergeCell ref="L355:O355"/>
    <mergeCell ref="AL571:AM571"/>
    <mergeCell ref="CJ14:CJ15"/>
    <mergeCell ref="AN88:AO88"/>
    <mergeCell ref="S279:U279"/>
    <mergeCell ref="L241:O241"/>
    <mergeCell ref="P202:R202"/>
    <mergeCell ref="L165:O165"/>
    <mergeCell ref="P144:R144"/>
    <mergeCell ref="P591:R591"/>
    <mergeCell ref="CG15:CI15"/>
    <mergeCell ref="P471:R471"/>
    <mergeCell ref="S509:U509"/>
    <mergeCell ref="L452:O452"/>
    <mergeCell ref="AN393:AO393"/>
    <mergeCell ref="L164:N164"/>
    <mergeCell ref="AN509:AO509"/>
    <mergeCell ref="S260:U260"/>
    <mergeCell ref="L336:O336"/>
    <mergeCell ref="P165:R165"/>
    <mergeCell ref="AL165:AM165"/>
    <mergeCell ref="AN165:AO165"/>
    <mergeCell ref="CJ21:CJ22"/>
    <mergeCell ref="CJ25:CJ30"/>
    <mergeCell ref="CJ263:CJ264"/>
    <mergeCell ref="CJ12:CJ13"/>
    <mergeCell ref="AL528:AM528"/>
    <mergeCell ref="AL452:AM452"/>
    <mergeCell ref="AN126:AO126"/>
    <mergeCell ref="CG24:CI24"/>
    <mergeCell ref="S374:U374"/>
    <mergeCell ref="CK16:CK17"/>
    <mergeCell ref="AJ203:AK203"/>
    <mergeCell ref="AL203:AM203"/>
    <mergeCell ref="CK18:CK19"/>
    <mergeCell ref="AN222:AO222"/>
    <mergeCell ref="CK12:CK13"/>
    <mergeCell ref="CJ23:CJ24"/>
    <mergeCell ref="AJ279:AK279"/>
    <mergeCell ref="AL222:AM222"/>
    <mergeCell ref="AJ126:AK126"/>
    <mergeCell ref="CK21:CK22"/>
    <mergeCell ref="CK25:CK30"/>
    <mergeCell ref="CK263:CK264"/>
    <mergeCell ref="AJ107:AK107"/>
    <mergeCell ref="CJ34:CJ35"/>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I694:K694"/>
    <mergeCell ref="L509:O509"/>
    <mergeCell ref="I202:K202"/>
    <mergeCell ref="I733:K733"/>
    <mergeCell ref="I260:K260"/>
    <mergeCell ref="I393:K393"/>
    <mergeCell ref="I591:K591"/>
    <mergeCell ref="I184:K184"/>
    <mergeCell ref="P126:R126"/>
    <mergeCell ref="L694:O694"/>
    <mergeCell ref="I374:K374"/>
    <mergeCell ref="I713:K713"/>
    <mergeCell ref="I652:K652"/>
    <mergeCell ref="L221:N221"/>
    <mergeCell ref="I433:K433"/>
    <mergeCell ref="I413:K413"/>
    <mergeCell ref="I222:K222"/>
    <mergeCell ref="I452:K452"/>
    <mergeCell ref="I471:K471"/>
    <mergeCell ref="L259:N259"/>
    <mergeCell ref="I336:K336"/>
    <mergeCell ref="L651:N651"/>
    <mergeCell ref="I509:K509"/>
    <mergeCell ref="I611:K611"/>
    <mergeCell ref="AN694:AO694"/>
    <mergeCell ref="L674:N674"/>
    <mergeCell ref="L590:N590"/>
    <mergeCell ref="AJ69:AK69"/>
    <mergeCell ref="P183:R183"/>
    <mergeCell ref="S222:U222"/>
    <mergeCell ref="P652:R652"/>
    <mergeCell ref="S355:U355"/>
    <mergeCell ref="AN571:AO571"/>
    <mergeCell ref="L490:O490"/>
    <mergeCell ref="P433:R433"/>
    <mergeCell ref="L183:N183"/>
    <mergeCell ref="AJ675:AK675"/>
    <mergeCell ref="AL433:AM433"/>
    <mergeCell ref="L470:N470"/>
    <mergeCell ref="AJ241:AK241"/>
    <mergeCell ref="P355:R355"/>
    <mergeCell ref="AL241:AM241"/>
    <mergeCell ref="AN355:AO355"/>
    <mergeCell ref="P528:R528"/>
    <mergeCell ref="AJ528:AK528"/>
    <mergeCell ref="L610:N610"/>
    <mergeCell ref="P222:R222"/>
    <mergeCell ref="S145:U145"/>
    <mergeCell ref="CK23:CK24"/>
    <mergeCell ref="P49:R49"/>
    <mergeCell ref="P107:R107"/>
    <mergeCell ref="AL49:AM49"/>
    <mergeCell ref="AN49:AO49"/>
    <mergeCell ref="L222:O222"/>
    <mergeCell ref="P336:R336"/>
    <mergeCell ref="AL336:AM336"/>
    <mergeCell ref="S413:U413"/>
    <mergeCell ref="AN336:AO336"/>
    <mergeCell ref="L240:N240"/>
    <mergeCell ref="L335:N335"/>
    <mergeCell ref="L203:O203"/>
    <mergeCell ref="L297:N297"/>
    <mergeCell ref="L48:N48"/>
    <mergeCell ref="L87:N87"/>
    <mergeCell ref="P279:R279"/>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L551:O551"/>
    <mergeCell ref="I145:K145"/>
    <mergeCell ref="I203:K203"/>
    <mergeCell ref="I317:K317"/>
    <mergeCell ref="L451:N451"/>
    <mergeCell ref="L432:N432"/>
    <mergeCell ref="L489:N489"/>
    <mergeCell ref="I165:K165"/>
    <mergeCell ref="AN551:AO551"/>
    <mergeCell ref="P317:R317"/>
    <mergeCell ref="P675:R675"/>
    <mergeCell ref="L752:O752"/>
    <mergeCell ref="AJ509:AK509"/>
    <mergeCell ref="P106:R106"/>
    <mergeCell ref="AJ631:AK631"/>
    <mergeCell ref="AL631:AM631"/>
    <mergeCell ref="P164:R164"/>
    <mergeCell ref="F550:J550"/>
    <mergeCell ref="L652:O652"/>
    <mergeCell ref="S571:U571"/>
    <mergeCell ref="AJ752:AK752"/>
    <mergeCell ref="L591:O591"/>
    <mergeCell ref="AJ733:AK733"/>
    <mergeCell ref="L611:O611"/>
    <mergeCell ref="F674:J674"/>
    <mergeCell ref="F570:J570"/>
    <mergeCell ref="P631:R631"/>
    <mergeCell ref="F630:J630"/>
    <mergeCell ref="I571:K571"/>
    <mergeCell ref="L630:N630"/>
    <mergeCell ref="L733:O733"/>
    <mergeCell ref="F590:J590"/>
    <mergeCell ref="L713:O713"/>
    <mergeCell ref="AN733:AO733"/>
    <mergeCell ref="AJ591:AK591"/>
    <mergeCell ref="AL591:AM591"/>
    <mergeCell ref="AL413:AM413"/>
    <mergeCell ref="S713:U713"/>
    <mergeCell ref="L317:O317"/>
    <mergeCell ref="L675:O675"/>
    <mergeCell ref="AJ652:AK652"/>
    <mergeCell ref="P298:R298"/>
    <mergeCell ref="AL652:AM652"/>
    <mergeCell ref="AJ298:AK298"/>
    <mergeCell ref="AL298:AM298"/>
    <mergeCell ref="L393:O393"/>
    <mergeCell ref="L631:O631"/>
    <mergeCell ref="AL490:AM490"/>
    <mergeCell ref="AJ452:AK452"/>
    <mergeCell ref="AJ551:AK551"/>
    <mergeCell ref="AL551:AM551"/>
    <mergeCell ref="P413:R413"/>
    <mergeCell ref="S452:U452"/>
    <mergeCell ref="AL355:AM355"/>
    <mergeCell ref="P509:R509"/>
    <mergeCell ref="P611:R611"/>
    <mergeCell ref="AL611:AM611"/>
    <mergeCell ref="I69:K69"/>
    <mergeCell ref="AJ88:AK88"/>
    <mergeCell ref="AL88:AM88"/>
    <mergeCell ref="I490:K490"/>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s>
  <pageMargins left="0.7" right="0.7" top="0.75" bottom="0.75" header="0.3" footer="0.3"/>
  <pageSetup scale="41" fitToHeight="8" orientation="landscape"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1736</v>
      </c>
      <c r="D1" s="2162"/>
      <c r="G1" s="9" t="s">
        <v>2260</v>
      </c>
    </row>
    <row r="2" spans="1:19" ht="31" customHeight="1">
      <c r="B2" s="407" t="s">
        <v>1739</v>
      </c>
      <c r="D2" s="2162"/>
    </row>
    <row r="3" spans="1:19" ht="31" customHeight="1"/>
    <row r="4" spans="1:19" ht="30" customHeight="1">
      <c r="C4" s="413" t="s">
        <v>2261</v>
      </c>
      <c r="D4" s="413"/>
      <c r="E4" s="413"/>
    </row>
    <row r="5" spans="1:19" ht="30" customHeight="1">
      <c r="A5" s="1855" t="s">
        <v>2262</v>
      </c>
      <c r="C5" s="965" t="s">
        <v>2263</v>
      </c>
      <c r="D5" s="965"/>
      <c r="E5" s="965"/>
      <c r="F5" s="966"/>
      <c r="G5" s="966"/>
      <c r="H5" s="966"/>
      <c r="I5" s="966"/>
      <c r="J5" s="966"/>
      <c r="K5" s="966"/>
      <c r="L5" s="966"/>
      <c r="M5" s="966"/>
      <c r="N5" s="966"/>
      <c r="O5" s="966"/>
      <c r="P5" s="966"/>
    </row>
    <row r="6" spans="1:19" ht="30" customHeight="1">
      <c r="C6" s="1127" t="s">
        <v>2264</v>
      </c>
      <c r="D6" s="1127"/>
      <c r="E6" s="1127"/>
      <c r="F6" s="966"/>
      <c r="G6" s="966"/>
      <c r="H6" s="966"/>
      <c r="I6" s="966"/>
      <c r="J6" s="966"/>
      <c r="K6" s="966"/>
      <c r="L6" s="966"/>
      <c r="M6" s="966"/>
      <c r="N6" s="966"/>
      <c r="O6" s="966"/>
      <c r="P6" s="966"/>
    </row>
    <row r="7" spans="1:19" ht="30" customHeight="1">
      <c r="C7" s="965" t="s">
        <v>2265</v>
      </c>
      <c r="D7" s="965"/>
      <c r="E7" s="965"/>
      <c r="F7" s="966"/>
      <c r="G7" s="966"/>
      <c r="H7" s="966"/>
      <c r="I7" s="966"/>
      <c r="J7" s="966"/>
      <c r="K7" s="21"/>
      <c r="L7" s="1126"/>
      <c r="M7" s="966"/>
      <c r="N7" s="966"/>
      <c r="O7" s="966"/>
      <c r="P7" s="966"/>
    </row>
    <row r="8" spans="1:19" ht="25" customHeight="1">
      <c r="C8" s="2127"/>
      <c r="D8" s="2127"/>
      <c r="E8" s="2127"/>
      <c r="F8" s="80"/>
      <c r="G8" s="80"/>
      <c r="H8" s="80"/>
      <c r="I8" s="80"/>
      <c r="J8" s="80"/>
      <c r="K8" s="7"/>
      <c r="L8" s="521"/>
      <c r="M8" s="80"/>
      <c r="N8" s="80"/>
      <c r="O8" s="80"/>
      <c r="P8" s="80"/>
    </row>
    <row r="9" spans="1:19" ht="25" customHeight="1">
      <c r="C9" s="2127"/>
      <c r="D9" s="2127"/>
      <c r="E9" s="2127"/>
      <c r="F9" s="80"/>
      <c r="G9" s="80"/>
      <c r="H9" s="80"/>
      <c r="I9" s="80"/>
      <c r="J9" s="80"/>
      <c r="K9" s="7"/>
      <c r="L9" s="521"/>
      <c r="M9" s="80"/>
      <c r="N9" s="80"/>
      <c r="O9" s="80"/>
      <c r="P9" s="80"/>
    </row>
    <row r="10" spans="1:19" ht="25" customHeight="1" thickBot="1">
      <c r="C10" s="2127"/>
      <c r="D10" s="2127"/>
      <c r="E10" s="2127"/>
      <c r="F10" s="80"/>
      <c r="G10" s="2596" t="s">
        <v>2266</v>
      </c>
      <c r="H10" s="2468"/>
      <c r="I10" s="80"/>
      <c r="J10" s="80"/>
      <c r="K10" s="7"/>
      <c r="L10" s="521"/>
      <c r="M10" s="80"/>
      <c r="N10" s="80"/>
      <c r="O10" s="80"/>
      <c r="P10" s="80" t="s">
        <v>1748</v>
      </c>
    </row>
    <row r="11" spans="1:19" ht="25" customHeight="1">
      <c r="C11" s="2127"/>
      <c r="D11" s="2127"/>
      <c r="E11" s="2127"/>
      <c r="F11" s="80"/>
      <c r="G11" s="1253" t="s">
        <v>2267</v>
      </c>
      <c r="H11" s="1253" t="s">
        <v>2268</v>
      </c>
      <c r="I11" s="80"/>
      <c r="J11" s="2595" t="s">
        <v>1832</v>
      </c>
      <c r="K11" s="2468"/>
      <c r="L11" s="521"/>
      <c r="M11" s="80"/>
      <c r="N11" s="80"/>
      <c r="O11" s="80"/>
      <c r="P11" s="2563" t="s">
        <v>2269</v>
      </c>
      <c r="Q11" s="2552"/>
      <c r="R11" s="2554" t="s">
        <v>2268</v>
      </c>
      <c r="S11" s="2555"/>
    </row>
    <row r="12" spans="1:19" ht="52" customHeight="1">
      <c r="D12" t="s">
        <v>1561</v>
      </c>
      <c r="E12" s="1800" t="s">
        <v>235</v>
      </c>
      <c r="F12" s="1909" t="s">
        <v>252</v>
      </c>
      <c r="G12" s="88"/>
      <c r="H12" s="88"/>
      <c r="I12" s="3" t="s">
        <v>2270</v>
      </c>
      <c r="J12" s="700" t="s">
        <v>2271</v>
      </c>
      <c r="K12" s="291" t="s">
        <v>2272</v>
      </c>
      <c r="P12" s="1908" t="s">
        <v>1410</v>
      </c>
      <c r="Q12" s="1810" t="s">
        <v>1313</v>
      </c>
      <c r="R12" s="5" t="s">
        <v>1410</v>
      </c>
      <c r="S12" s="1905" t="s">
        <v>1313</v>
      </c>
    </row>
    <row r="13" spans="1:19" ht="38" customHeight="1">
      <c r="A13" s="809"/>
      <c r="B13" s="7" t="str">
        <f>Test_Bible!A105</f>
        <v>H05a</v>
      </c>
      <c r="C13" s="25" t="str">
        <f>BIBLE!F46</f>
        <v>Arrivait-il que l'autre parent hausse le ton ou vous insulte pour imposer son point de vue ou sa volonté ?</v>
      </c>
      <c r="D13" s="2565" t="s">
        <v>2273</v>
      </c>
      <c r="E13" s="14">
        <f>Test_Bible!D105</f>
        <v>3</v>
      </c>
      <c r="F13" s="1816" t="str">
        <f>Test_Bible!P105</f>
        <v>4</v>
      </c>
      <c r="G13" s="1859" t="s">
        <v>2274</v>
      </c>
      <c r="H13" s="1859" t="s">
        <v>2275</v>
      </c>
      <c r="I13" s="6"/>
      <c r="J13" s="1485"/>
      <c r="K13" t="s">
        <v>2276</v>
      </c>
      <c r="P13" s="2051">
        <v>0</v>
      </c>
      <c r="Q13" s="2052">
        <v>1</v>
      </c>
      <c r="R13" s="8">
        <v>2</v>
      </c>
      <c r="S13" s="2066">
        <v>10</v>
      </c>
    </row>
    <row r="14" spans="1:19" ht="36" customHeight="1">
      <c r="A14" s="809"/>
      <c r="B14" s="7" t="str">
        <f>Test_Bible!A107</f>
        <v>H06a</v>
      </c>
      <c r="C14" s="25" t="str">
        <f>BIBLE!F48</f>
        <v>Arrivait-il que l'autre parent présente à votre entourage une vision négative de vos compétences parentales ?</v>
      </c>
      <c r="D14" s="2510"/>
      <c r="E14" s="14">
        <f>Test_Bible!D107</f>
        <v>3</v>
      </c>
      <c r="F14" s="1816" t="str">
        <f>Test_Bible!P107</f>
        <v>7</v>
      </c>
      <c r="G14" s="1859" t="s">
        <v>2274</v>
      </c>
      <c r="H14" s="1859" t="s">
        <v>2275</v>
      </c>
      <c r="I14" s="6"/>
      <c r="J14" s="1485"/>
      <c r="P14" s="2051">
        <v>0</v>
      </c>
      <c r="Q14" s="2052">
        <v>1</v>
      </c>
      <c r="R14" s="8">
        <v>2</v>
      </c>
      <c r="S14" s="2066">
        <v>10</v>
      </c>
    </row>
    <row r="15" spans="1:19" ht="30" customHeight="1">
      <c r="B15" s="7"/>
      <c r="C15" s="25"/>
      <c r="D15" s="2064"/>
      <c r="E15" s="2036"/>
      <c r="F15" s="2036"/>
      <c r="G15" s="2128"/>
      <c r="H15" s="2128"/>
      <c r="I15" s="2128">
        <f>SUM(F13:F14)</f>
        <v>0</v>
      </c>
      <c r="J15" s="2128"/>
      <c r="P15" s="2131">
        <f>SUM(P13:P14)</f>
        <v>0</v>
      </c>
      <c r="Q15" s="14">
        <f>SUM(Q13:Q14)</f>
        <v>2</v>
      </c>
      <c r="R15" s="14">
        <f>SUM(R13:R14)</f>
        <v>4</v>
      </c>
      <c r="S15" s="2132">
        <f>SUM(S13:S14)</f>
        <v>20</v>
      </c>
    </row>
    <row r="16" spans="1:19" ht="30" customHeight="1">
      <c r="A16" s="1855"/>
      <c r="B16" s="7" t="str">
        <f>BIBLE!E52</f>
        <v>PCR01a</v>
      </c>
      <c r="C16" s="25" t="str">
        <f>BIBLE!F52</f>
        <v>Vous devez marcher sur des œufs afin d'éviter les conflits.</v>
      </c>
      <c r="D16" s="2565" t="s">
        <v>2277</v>
      </c>
      <c r="E16" s="14">
        <f>Test_Bible!D113</f>
        <v>2</v>
      </c>
      <c r="F16" s="1816">
        <f>Test_Bible!P113</f>
        <v>0</v>
      </c>
      <c r="G16" s="1859" t="s">
        <v>2278</v>
      </c>
      <c r="H16" s="1859" t="s">
        <v>1984</v>
      </c>
      <c r="I16" s="6"/>
      <c r="J16" s="1485"/>
      <c r="P16" s="2051">
        <v>0</v>
      </c>
      <c r="Q16" s="2052">
        <v>4</v>
      </c>
      <c r="R16" s="8">
        <v>5</v>
      </c>
      <c r="S16" s="2066">
        <v>10</v>
      </c>
    </row>
    <row r="17" spans="1:19" ht="38" customHeight="1">
      <c r="A17" s="2126"/>
      <c r="B17" s="25" t="str">
        <f>Test_Bible!A114</f>
        <v>PCR01a1</v>
      </c>
      <c r="C17" s="25" t="str">
        <f>BIBLE!F53</f>
        <v xml:space="preserve"> Arrive-t-il que l'autre parent hausse la voix ou utilise des jurons pour imposer sa vision des choses ?</v>
      </c>
      <c r="D17" s="2509"/>
      <c r="E17" s="14">
        <f>Test_Bible!D114</f>
        <v>3</v>
      </c>
      <c r="F17" s="1816">
        <f>Test_Bible!P114</f>
        <v>0</v>
      </c>
      <c r="G17" s="1859">
        <v>0</v>
      </c>
      <c r="H17" s="1859" t="s">
        <v>397</v>
      </c>
      <c r="I17" s="6"/>
      <c r="J17" s="1485"/>
      <c r="P17" s="2051">
        <v>0</v>
      </c>
      <c r="Q17" s="2052">
        <v>0</v>
      </c>
      <c r="R17" s="8">
        <v>1</v>
      </c>
      <c r="S17" s="2066">
        <v>10</v>
      </c>
    </row>
    <row r="18" spans="1:19" ht="38" customHeight="1">
      <c r="A18" s="809"/>
      <c r="B18" s="7" t="str">
        <f>Test_Bible!A187</f>
        <v>PFA13a</v>
      </c>
      <c r="C18" s="25" t="str">
        <f>BIBLE!F101</f>
        <v>L'autre parent vous renvoie une image négative de vous-même en tant que parent, ridiculise vos décisions ou vous insulte.</v>
      </c>
      <c r="D18" s="2509"/>
      <c r="E18" s="14">
        <f>Test_Bible!D187</f>
        <v>3</v>
      </c>
      <c r="F18" s="1816" t="str">
        <f>Test_Bible!P187</f>
        <v>7</v>
      </c>
      <c r="G18" s="1859">
        <v>0</v>
      </c>
      <c r="H18" s="1859" t="s">
        <v>397</v>
      </c>
      <c r="I18" s="6"/>
      <c r="J18" s="1485"/>
      <c r="P18" s="2051">
        <v>0</v>
      </c>
      <c r="Q18" s="2052">
        <v>0</v>
      </c>
      <c r="R18" s="8">
        <v>1</v>
      </c>
      <c r="S18" s="2066">
        <v>10</v>
      </c>
    </row>
    <row r="19" spans="1:19" ht="38" customHeight="1">
      <c r="A19" s="809"/>
      <c r="B19" s="7" t="str">
        <f>Test_Bible!A189</f>
        <v>PFA13c</v>
      </c>
      <c r="C19" s="25" t="str">
        <f>BIBLE!F103</f>
        <v>L'autre parent présente à votre entourage une vision négative de vos compétences parentales ou de votre santé mentale.</v>
      </c>
      <c r="D19" s="2509"/>
      <c r="E19" s="14">
        <f>Test_Bible!D189</f>
        <v>2</v>
      </c>
      <c r="F19" s="1816" t="str">
        <f>Test_Bible!P189</f>
        <v>1</v>
      </c>
      <c r="G19" s="1859">
        <v>0</v>
      </c>
      <c r="H19" s="1859" t="s">
        <v>397</v>
      </c>
      <c r="I19" s="6"/>
      <c r="J19" s="1485"/>
      <c r="P19" s="2051">
        <v>0</v>
      </c>
      <c r="Q19" s="2052">
        <v>0</v>
      </c>
      <c r="R19" s="8">
        <v>1</v>
      </c>
      <c r="S19" s="2066">
        <v>10</v>
      </c>
    </row>
    <row r="20" spans="1:19" ht="38" customHeight="1">
      <c r="A20" s="809"/>
      <c r="B20" s="7" t="str">
        <f>Test_Bible!A203</f>
        <v>PFA20a1</v>
      </c>
      <c r="C20" s="25" t="str">
        <f>BIBLE!F117</f>
        <v>Arrive-t-il que l'autre parent vous accable de questions ou de reproches par téléphone ou par courriel?</v>
      </c>
      <c r="D20" s="2509"/>
      <c r="E20" s="14">
        <f>Test_Bible!D203</f>
        <v>3</v>
      </c>
      <c r="F20" s="1816">
        <f>Test_Bible!P203</f>
        <v>0</v>
      </c>
      <c r="G20" s="1859">
        <v>0</v>
      </c>
      <c r="H20" s="1859" t="s">
        <v>397</v>
      </c>
      <c r="I20" s="6"/>
      <c r="J20" s="1485"/>
      <c r="P20" s="2051">
        <v>0</v>
      </c>
      <c r="Q20" s="2052">
        <v>0</v>
      </c>
      <c r="R20" s="8">
        <v>1</v>
      </c>
      <c r="S20" s="2066">
        <v>10</v>
      </c>
    </row>
    <row r="21" spans="1:19" ht="38" customHeight="1">
      <c r="A21" s="809"/>
      <c r="B21" s="7" t="str">
        <f>Test_Bible!A204</f>
        <v>PFA20a1a</v>
      </c>
      <c r="C21" s="25" t="str">
        <f>BIBLE!F118</f>
        <v>Arrive-t-il que l'autre parent se présente à votre lieu de travail ou votre domicile sans s'annoncer ou sans invitation ?</v>
      </c>
      <c r="D21" s="2509"/>
      <c r="E21" s="14">
        <f>Test_Bible!D204</f>
        <v>3</v>
      </c>
      <c r="F21" s="1816">
        <f>Test_Bible!P204</f>
        <v>0</v>
      </c>
      <c r="G21" s="1859" t="s">
        <v>2274</v>
      </c>
      <c r="H21" s="1859" t="s">
        <v>2275</v>
      </c>
      <c r="I21" s="6"/>
      <c r="J21" s="1485"/>
      <c r="P21" s="2051">
        <v>0</v>
      </c>
      <c r="Q21" s="2052">
        <v>1</v>
      </c>
      <c r="R21" s="8">
        <v>2</v>
      </c>
      <c r="S21" s="2066">
        <v>10</v>
      </c>
    </row>
    <row r="22" spans="1:19" ht="38" customHeight="1">
      <c r="A22" s="809"/>
      <c r="B22" s="7" t="str">
        <f>Test_Bible!A181</f>
        <v>PFA09a</v>
      </c>
      <c r="C22" s="25" t="str">
        <f>BIBLE!F95</f>
        <v>Est-ce que l'autre parent fait ou a déjà fait des menaces (claires ou voilées) de vous enlever les enfants ?</v>
      </c>
      <c r="D22" s="2509"/>
      <c r="E22" s="14">
        <f>Test_Bible!D181</f>
        <v>3</v>
      </c>
      <c r="F22" s="1816" t="str">
        <f>Test_Bible!P181</f>
        <v>2</v>
      </c>
      <c r="G22" s="1859">
        <v>0</v>
      </c>
      <c r="H22" s="1859" t="s">
        <v>397</v>
      </c>
      <c r="I22" s="6"/>
      <c r="J22" s="1485"/>
      <c r="P22" s="2051">
        <v>0</v>
      </c>
      <c r="Q22" s="2052">
        <v>0</v>
      </c>
      <c r="R22" s="8">
        <v>1</v>
      </c>
      <c r="S22" s="2066">
        <v>10</v>
      </c>
    </row>
    <row r="23" spans="1:19" ht="38" customHeight="1">
      <c r="A23" s="809"/>
      <c r="B23" s="7" t="str">
        <f>Test_Bible!A188</f>
        <v>PFA13b</v>
      </c>
      <c r="C23" s="25" t="str">
        <f>BIBLE!F102</f>
        <v>Est-ce que l'autre parent fait ou a déjà fait des menaces (claires ou voilées) de vous enlever les enfants ?</v>
      </c>
      <c r="D23" s="2509"/>
      <c r="E23" s="14">
        <f>Test_Bible!D187</f>
        <v>3</v>
      </c>
      <c r="F23" s="1816" t="str">
        <f>Test_Bible!P187</f>
        <v>7</v>
      </c>
      <c r="G23" s="1859">
        <v>0</v>
      </c>
      <c r="H23" s="1859" t="s">
        <v>397</v>
      </c>
      <c r="I23" s="6"/>
      <c r="J23" s="1485"/>
      <c r="P23" s="2051">
        <v>0</v>
      </c>
      <c r="Q23" s="2052">
        <v>0</v>
      </c>
      <c r="R23" s="8">
        <v>1</v>
      </c>
      <c r="S23" s="2066">
        <v>10</v>
      </c>
    </row>
    <row r="24" spans="1:19" ht="38" customHeight="1">
      <c r="A24" s="809"/>
      <c r="B24" s="7" t="str">
        <f>Test_Bible!A236</f>
        <v>PFA30a1</v>
      </c>
      <c r="C24" s="25" t="str">
        <f>BIBLE!F137</f>
        <v>Est-ce que l'autre parent fait ou a déjà fait des menaces (claires ou voilées) de vous enlever les enfants ?</v>
      </c>
      <c r="D24" s="2510"/>
      <c r="E24" s="14">
        <f>Test_Bible!D236</f>
        <v>3</v>
      </c>
      <c r="F24" s="1816">
        <f>Test_Bible!P236</f>
        <v>0</v>
      </c>
      <c r="G24" s="1859">
        <v>0</v>
      </c>
      <c r="H24" s="1859" t="s">
        <v>397</v>
      </c>
      <c r="I24" s="6"/>
      <c r="J24" s="1485"/>
      <c r="P24" s="2051">
        <v>0</v>
      </c>
      <c r="Q24" s="2052">
        <v>0</v>
      </c>
      <c r="R24" s="8">
        <v>1</v>
      </c>
      <c r="S24" s="2066">
        <v>10</v>
      </c>
    </row>
    <row r="25" spans="1:19" ht="29" customHeight="1">
      <c r="D25" s="2129"/>
      <c r="E25" s="2129"/>
      <c r="F25" s="2129"/>
      <c r="G25" s="2129"/>
      <c r="H25" s="2129"/>
      <c r="I25" s="2130">
        <f>SUM(F16:F24)</f>
        <v>0</v>
      </c>
      <c r="J25" s="2129"/>
      <c r="P25" s="2131">
        <f>SUM(P16:P24)</f>
        <v>0</v>
      </c>
      <c r="Q25" s="14">
        <f>SUM(Q16:Q24)</f>
        <v>5</v>
      </c>
      <c r="R25" s="14">
        <f>SUM(R16:R24)</f>
        <v>14</v>
      </c>
      <c r="S25" s="2132">
        <f>SUM(S16:S24)</f>
        <v>90</v>
      </c>
    </row>
    <row r="26" spans="1:19" ht="38" customHeight="1">
      <c r="A26" s="809"/>
      <c r="B26" s="25" t="str">
        <f>BIBLE!E92</f>
        <v>PFA07a</v>
      </c>
      <c r="C26" s="25" t="str">
        <f>BIBLE!F92</f>
        <v>Il arrive que l’autre parent boude votre enfant lorsqu'il est temps de rentrer chez vous (pour votre tour de garde).</v>
      </c>
      <c r="D26" s="2565" t="s">
        <v>2279</v>
      </c>
      <c r="E26" s="14">
        <f>Test_Bible!D178</f>
        <v>2</v>
      </c>
      <c r="F26" s="1816" t="str">
        <f>Test_Bible!P178</f>
        <v>7</v>
      </c>
      <c r="G26" s="1859">
        <v>0</v>
      </c>
      <c r="H26" s="1859" t="s">
        <v>397</v>
      </c>
      <c r="I26" s="6"/>
      <c r="J26" s="1485"/>
      <c r="K26" t="s">
        <v>2280</v>
      </c>
      <c r="P26" s="2051">
        <v>0</v>
      </c>
      <c r="Q26" s="2052">
        <v>0</v>
      </c>
      <c r="R26" s="8">
        <v>1</v>
      </c>
      <c r="S26" s="2066">
        <v>10</v>
      </c>
    </row>
    <row r="27" spans="1:19" ht="38" customHeight="1">
      <c r="A27" s="809"/>
      <c r="B27" s="25" t="str">
        <f>BIBLE!E93</f>
        <v>PFA07a1</v>
      </c>
      <c r="C27" s="25" t="str">
        <f>BIBLE!F93</f>
        <v xml:space="preserve">Il arrive à l’autre parent de se fâcher contre votre enfant lorsqu'il ou elle exprime de l'affection pour vous. </v>
      </c>
      <c r="D27" s="2510"/>
      <c r="E27" s="14">
        <f>Test_Bible!D179</f>
        <v>3</v>
      </c>
      <c r="F27" s="1816" t="str">
        <f>Test_Bible!P179</f>
        <v>7</v>
      </c>
      <c r="G27" s="1859" t="s">
        <v>2274</v>
      </c>
      <c r="H27" s="1859" t="s">
        <v>2275</v>
      </c>
      <c r="I27" s="6"/>
      <c r="J27" s="1485"/>
      <c r="P27" s="2051">
        <v>0</v>
      </c>
      <c r="Q27" s="2052">
        <v>1</v>
      </c>
      <c r="R27" s="8">
        <v>2</v>
      </c>
      <c r="S27" s="2066">
        <v>10</v>
      </c>
    </row>
    <row r="28" spans="1:19" ht="27" customHeight="1">
      <c r="B28" s="25"/>
      <c r="C28" s="25"/>
      <c r="D28" s="2064"/>
      <c r="E28" s="2036"/>
      <c r="F28" s="2128"/>
      <c r="G28" s="2128"/>
      <c r="H28" s="2128"/>
      <c r="I28" s="2128">
        <f>SUM(F26:F27)</f>
        <v>0</v>
      </c>
      <c r="J28" s="2128"/>
      <c r="P28" s="2131">
        <f>SUM(P26:P27)</f>
        <v>0</v>
      </c>
      <c r="Q28" s="14">
        <f>SUM(Q26:Q27)</f>
        <v>1</v>
      </c>
      <c r="R28" s="14">
        <f>SUM(R26:R27)</f>
        <v>3</v>
      </c>
      <c r="S28" s="2132">
        <f>SUM(S26:S27)</f>
        <v>20</v>
      </c>
    </row>
    <row r="29" spans="1:19" ht="38" customHeight="1">
      <c r="C29" s="54"/>
      <c r="D29" s="25"/>
      <c r="E29" s="25"/>
      <c r="F29" s="6"/>
      <c r="G29" s="6"/>
      <c r="H29" s="6"/>
      <c r="I29" s="6" t="s">
        <v>1561</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c r="A1" s="407" t="s">
        <v>1736</v>
      </c>
      <c r="C1" s="2162" t="s">
        <v>2281</v>
      </c>
      <c r="O1" s="2213" t="s">
        <v>2282</v>
      </c>
      <c r="P1" s="2284" t="s">
        <v>2283</v>
      </c>
    </row>
    <row r="2" spans="1:53">
      <c r="O2" s="2214" t="s">
        <v>2284</v>
      </c>
      <c r="P2" s="9"/>
      <c r="Q2" s="9"/>
      <c r="R2" s="9"/>
    </row>
    <row r="3" spans="1:53">
      <c r="O3" s="2214" t="s">
        <v>2285</v>
      </c>
      <c r="P3" s="9"/>
      <c r="Q3" s="9"/>
      <c r="R3" s="2211"/>
    </row>
    <row r="4" spans="1:53">
      <c r="O4" s="2214" t="s">
        <v>2286</v>
      </c>
      <c r="P4" s="9"/>
      <c r="Q4" s="9" t="s">
        <v>1509</v>
      </c>
      <c r="R4" s="2211"/>
    </row>
    <row r="5" spans="1:53">
      <c r="O5" s="2214"/>
      <c r="P5" s="9" t="s">
        <v>2287</v>
      </c>
      <c r="Q5" s="2211" t="s">
        <v>2288</v>
      </c>
      <c r="R5" s="2211"/>
    </row>
    <row r="6" spans="1:53" ht="19" customHeight="1">
      <c r="A6" s="407" t="s">
        <v>1739</v>
      </c>
      <c r="C6" s="2162" t="s">
        <v>2289</v>
      </c>
      <c r="O6" s="2214"/>
      <c r="P6" s="9" t="s">
        <v>2290</v>
      </c>
      <c r="Q6" s="9" t="s">
        <v>2291</v>
      </c>
      <c r="R6" s="2211"/>
    </row>
    <row r="7" spans="1:53">
      <c r="O7" s="2214"/>
      <c r="P7" s="9" t="s">
        <v>2292</v>
      </c>
      <c r="Q7" s="9" t="s">
        <v>2293</v>
      </c>
      <c r="R7" s="2211"/>
    </row>
    <row r="8" spans="1:53" ht="21" customHeight="1">
      <c r="A8" s="49"/>
      <c r="E8" s="7"/>
      <c r="O8" s="2215"/>
      <c r="P8" s="2212"/>
      <c r="Q8" s="2211"/>
      <c r="R8" s="2211"/>
      <c r="AH8" t="s">
        <v>2294</v>
      </c>
      <c r="AJ8" s="2540" t="s">
        <v>2295</v>
      </c>
      <c r="AK8" s="2468"/>
      <c r="AL8" s="2468"/>
      <c r="AM8" s="2468"/>
      <c r="AN8" s="2468"/>
      <c r="AO8" s="2468"/>
      <c r="AP8" s="2468"/>
      <c r="AS8" t="s">
        <v>2294</v>
      </c>
      <c r="AU8" s="2540" t="s">
        <v>2295</v>
      </c>
      <c r="AV8" s="2468"/>
      <c r="AW8" s="2468"/>
      <c r="AX8" s="2468"/>
      <c r="AY8" s="2468"/>
      <c r="AZ8" s="2468"/>
      <c r="BA8" s="2468"/>
    </row>
    <row r="9" spans="1:53" ht="21" customHeight="1">
      <c r="A9" t="s">
        <v>2284</v>
      </c>
      <c r="H9" s="2602" t="s">
        <v>1832</v>
      </c>
      <c r="I9" s="2468"/>
      <c r="J9" s="2603"/>
      <c r="K9" s="1885" t="s">
        <v>152</v>
      </c>
      <c r="L9" s="1885" t="s">
        <v>1910</v>
      </c>
      <c r="M9" s="1885"/>
      <c r="N9" s="1885"/>
      <c r="O9" s="2214" t="s">
        <v>2296</v>
      </c>
      <c r="P9" s="9"/>
      <c r="Q9" s="2211"/>
      <c r="R9" s="2211"/>
      <c r="AJ9" s="3" t="s">
        <v>1620</v>
      </c>
      <c r="AK9" s="3" t="s">
        <v>1621</v>
      </c>
      <c r="AL9" s="3" t="s">
        <v>1623</v>
      </c>
      <c r="AM9" s="3" t="s">
        <v>1624</v>
      </c>
      <c r="AN9" s="3" t="s">
        <v>2297</v>
      </c>
      <c r="AO9" s="3" t="s">
        <v>1628</v>
      </c>
      <c r="AP9" s="3" t="s">
        <v>2298</v>
      </c>
      <c r="AU9" s="3" t="s">
        <v>1620</v>
      </c>
      <c r="AV9" s="3" t="s">
        <v>1621</v>
      </c>
      <c r="AW9" s="3" t="s">
        <v>1623</v>
      </c>
      <c r="AX9" s="3" t="s">
        <v>1624</v>
      </c>
      <c r="AY9" s="3" t="s">
        <v>2297</v>
      </c>
      <c r="AZ9" s="3" t="s">
        <v>1628</v>
      </c>
      <c r="BA9" s="3" t="s">
        <v>2298</v>
      </c>
    </row>
    <row r="10" spans="1:53" ht="48" customHeight="1">
      <c r="G10" s="2289" t="s">
        <v>1770</v>
      </c>
      <c r="H10" s="2601" t="s">
        <v>2299</v>
      </c>
      <c r="I10" s="2468"/>
      <c r="J10" s="2515"/>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c r="D11" s="5" t="str">
        <f>BIBLE!E208</f>
        <v>E36a1</v>
      </c>
      <c r="E11" s="5" t="str">
        <f>BIBLE!E207</f>
        <v>E36a</v>
      </c>
      <c r="F11" s="5"/>
      <c r="G11" s="2" t="s">
        <v>1768</v>
      </c>
      <c r="H11" s="5" t="s">
        <v>2300</v>
      </c>
      <c r="I11" s="5" t="s">
        <v>2301</v>
      </c>
      <c r="J11" s="5" t="s">
        <v>2302</v>
      </c>
      <c r="K11" s="5"/>
      <c r="L11" s="5"/>
      <c r="M11" s="5"/>
      <c r="N11" s="5"/>
      <c r="AG11" s="2493" t="s">
        <v>1607</v>
      </c>
      <c r="AH11" t="s">
        <v>1620</v>
      </c>
      <c r="AI11" s="2206">
        <v>0</v>
      </c>
      <c r="AJ11" s="5">
        <f t="shared" ref="AJ11:AO16" si="0">AJ$10-$AI11</f>
        <v>0</v>
      </c>
      <c r="AK11" s="5">
        <f t="shared" si="0"/>
        <v>1</v>
      </c>
      <c r="AL11" s="1476">
        <f t="shared" si="0"/>
        <v>2</v>
      </c>
      <c r="AM11" s="1476">
        <f t="shared" si="0"/>
        <v>4</v>
      </c>
      <c r="AN11" s="1476">
        <f t="shared" si="0"/>
        <v>7</v>
      </c>
      <c r="AO11" s="1476">
        <f t="shared" si="0"/>
        <v>10</v>
      </c>
      <c r="AP11" s="2525" t="s">
        <v>2303</v>
      </c>
      <c r="AR11" s="2493" t="s">
        <v>1607</v>
      </c>
      <c r="AS11" t="s">
        <v>1620</v>
      </c>
      <c r="AT11" s="2206">
        <v>0</v>
      </c>
      <c r="AU11" s="503" t="s">
        <v>2304</v>
      </c>
      <c r="AV11" s="503" t="s">
        <v>2305</v>
      </c>
      <c r="AW11" s="2207" t="s">
        <v>2306</v>
      </c>
      <c r="AX11" s="2207"/>
      <c r="AY11" s="2207"/>
      <c r="AZ11" s="2207"/>
      <c r="BA11" s="2525" t="s">
        <v>2303</v>
      </c>
    </row>
    <row r="12" spans="1:53" ht="48" customHeight="1">
      <c r="D12" s="1" t="s">
        <v>1607</v>
      </c>
      <c r="E12" s="1" t="s">
        <v>2295</v>
      </c>
      <c r="F12" s="2281" t="s">
        <v>1608</v>
      </c>
      <c r="H12" s="1"/>
      <c r="AG12" s="2468"/>
      <c r="AH12" t="s">
        <v>1621</v>
      </c>
      <c r="AI12" s="2206">
        <v>1</v>
      </c>
      <c r="AJ12" s="5">
        <f t="shared" si="0"/>
        <v>-1</v>
      </c>
      <c r="AK12" s="5">
        <f t="shared" si="0"/>
        <v>0</v>
      </c>
      <c r="AL12" s="5">
        <f t="shared" si="0"/>
        <v>1</v>
      </c>
      <c r="AM12" s="1476">
        <f t="shared" si="0"/>
        <v>3</v>
      </c>
      <c r="AN12" s="1476">
        <f t="shared" si="0"/>
        <v>6</v>
      </c>
      <c r="AO12" s="1476">
        <f t="shared" si="0"/>
        <v>9</v>
      </c>
      <c r="AP12" s="2468"/>
      <c r="AR12" s="2468"/>
      <c r="AS12" t="s">
        <v>1621</v>
      </c>
      <c r="AT12" s="2206">
        <v>1</v>
      </c>
      <c r="AU12" s="503" t="s">
        <v>2305</v>
      </c>
      <c r="AV12" s="503" t="s">
        <v>2307</v>
      </c>
      <c r="AW12" s="503" t="s">
        <v>2305</v>
      </c>
      <c r="AX12" s="2207"/>
      <c r="AY12" s="2207"/>
      <c r="AZ12" s="2207"/>
      <c r="BA12" s="2468"/>
    </row>
    <row r="13" spans="1:53" ht="48" customHeight="1">
      <c r="A13" s="2599" t="s">
        <v>2308</v>
      </c>
      <c r="B13" s="1420"/>
      <c r="C13" s="1418" t="s">
        <v>1132</v>
      </c>
      <c r="D13" s="55"/>
      <c r="E13" s="55"/>
      <c r="F13" s="292"/>
      <c r="O13" s="9"/>
      <c r="P13" s="9"/>
      <c r="AG13" s="2468"/>
      <c r="AH13" t="s">
        <v>1623</v>
      </c>
      <c r="AI13" s="2206">
        <v>2</v>
      </c>
      <c r="AJ13" s="1375">
        <f t="shared" si="0"/>
        <v>-2</v>
      </c>
      <c r="AK13" s="5">
        <f t="shared" si="0"/>
        <v>-1</v>
      </c>
      <c r="AL13" s="5">
        <f t="shared" si="0"/>
        <v>0</v>
      </c>
      <c r="AM13" s="1476">
        <f t="shared" si="0"/>
        <v>2</v>
      </c>
      <c r="AN13" s="1476">
        <f t="shared" si="0"/>
        <v>5</v>
      </c>
      <c r="AO13" s="1476">
        <f t="shared" si="0"/>
        <v>8</v>
      </c>
      <c r="AP13" s="2468"/>
      <c r="AR13" s="2468"/>
      <c r="AS13" t="s">
        <v>1623</v>
      </c>
      <c r="AT13" s="2206">
        <v>2</v>
      </c>
      <c r="AU13" s="2208" t="s">
        <v>2309</v>
      </c>
      <c r="AV13" s="503" t="s">
        <v>2305</v>
      </c>
      <c r="AW13" s="503" t="s">
        <v>2307</v>
      </c>
      <c r="AX13" s="2207" t="s">
        <v>2306</v>
      </c>
      <c r="AY13" s="2207"/>
      <c r="AZ13" s="2207"/>
      <c r="BA13" s="2468"/>
    </row>
    <row r="14" spans="1:53" ht="47" customHeight="1">
      <c r="A14" s="2468"/>
      <c r="B14" s="1420"/>
      <c r="C14" s="1586" t="str">
        <f>Test_Bible!B341</f>
        <v/>
      </c>
      <c r="D14" s="6">
        <f>Test_Bible!P356</f>
        <v>0</v>
      </c>
      <c r="E14" s="6">
        <f>Test_Bible!P341</f>
        <v>0</v>
      </c>
      <c r="F14" s="2282">
        <f>D14-E14</f>
        <v>0</v>
      </c>
      <c r="K14" s="1446"/>
      <c r="L14" s="1446"/>
      <c r="O14" s="2211"/>
      <c r="P14" s="2211"/>
      <c r="Q14" s="55"/>
      <c r="R14" s="55"/>
      <c r="S14" s="55"/>
      <c r="T14" s="55"/>
      <c r="U14" s="55"/>
      <c r="AG14" s="2468"/>
      <c r="AH14" t="s">
        <v>1624</v>
      </c>
      <c r="AI14" s="2206">
        <v>4</v>
      </c>
      <c r="AJ14" s="1375">
        <f t="shared" si="0"/>
        <v>-4</v>
      </c>
      <c r="AK14" s="1375">
        <f t="shared" si="0"/>
        <v>-3</v>
      </c>
      <c r="AL14" s="1375">
        <f t="shared" si="0"/>
        <v>-2</v>
      </c>
      <c r="AM14" s="5">
        <f t="shared" si="0"/>
        <v>0</v>
      </c>
      <c r="AN14" s="1476">
        <f t="shared" si="0"/>
        <v>3</v>
      </c>
      <c r="AO14" s="1476">
        <f t="shared" si="0"/>
        <v>6</v>
      </c>
      <c r="AP14" s="2468"/>
      <c r="AR14" s="2468"/>
      <c r="AS14" t="s">
        <v>1624</v>
      </c>
      <c r="AT14" s="2206">
        <v>4</v>
      </c>
      <c r="AU14" s="2208"/>
      <c r="AV14" s="2208"/>
      <c r="AW14" s="2208" t="s">
        <v>2309</v>
      </c>
      <c r="AX14" s="2208" t="s">
        <v>2310</v>
      </c>
      <c r="AY14" s="2207"/>
      <c r="AZ14" s="2207"/>
      <c r="BA14" s="2468"/>
    </row>
    <row r="15" spans="1:53" ht="35" customHeight="1">
      <c r="A15" s="2468"/>
      <c r="B15" s="1420"/>
      <c r="C15" s="1586" t="str">
        <f>Test_Bible!B342</f>
        <v/>
      </c>
      <c r="D15" s="6">
        <f>Test_Bible!P357</f>
        <v>0</v>
      </c>
      <c r="E15" s="6">
        <f>Test_Bible!P342</f>
        <v>0</v>
      </c>
      <c r="F15" s="2282">
        <f>D15-E15</f>
        <v>0</v>
      </c>
      <c r="K15" s="1446"/>
      <c r="L15" s="1446"/>
      <c r="O15" s="2211"/>
      <c r="P15" s="2211"/>
      <c r="Q15" s="55"/>
      <c r="R15" s="55"/>
      <c r="S15" s="55"/>
      <c r="T15" s="55"/>
      <c r="U15" s="55"/>
      <c r="AG15" s="2468"/>
      <c r="AH15" t="s">
        <v>2297</v>
      </c>
      <c r="AI15" s="2206">
        <v>7</v>
      </c>
      <c r="AJ15" s="1375">
        <f t="shared" si="0"/>
        <v>-7</v>
      </c>
      <c r="AK15" s="1375">
        <f t="shared" si="0"/>
        <v>-6</v>
      </c>
      <c r="AL15" s="1375">
        <f t="shared" si="0"/>
        <v>-5</v>
      </c>
      <c r="AM15" s="1375">
        <f t="shared" si="0"/>
        <v>-3</v>
      </c>
      <c r="AN15" s="5">
        <f t="shared" si="0"/>
        <v>0</v>
      </c>
      <c r="AO15" s="1476">
        <f t="shared" si="0"/>
        <v>3</v>
      </c>
      <c r="AP15" s="2468"/>
      <c r="AR15" s="2468"/>
      <c r="AS15" t="s">
        <v>2297</v>
      </c>
      <c r="AT15" s="2206">
        <v>7</v>
      </c>
      <c r="AU15" s="2208"/>
      <c r="AV15" s="2208"/>
      <c r="AW15" s="2208"/>
      <c r="AX15" s="2208"/>
      <c r="AY15" s="2208" t="s">
        <v>2310</v>
      </c>
      <c r="AZ15" s="2207"/>
      <c r="BA15" s="2468"/>
    </row>
    <row r="16" spans="1:53" ht="35" customHeight="1">
      <c r="A16" s="2468"/>
      <c r="B16" s="1420"/>
      <c r="C16" s="1586" t="str">
        <f>Test_Bible!B343</f>
        <v/>
      </c>
      <c r="D16" s="6">
        <f>Test_Bible!P358</f>
        <v>0</v>
      </c>
      <c r="E16" s="6">
        <f>Test_Bible!P343</f>
        <v>0</v>
      </c>
      <c r="F16" s="2282">
        <f>D16-E16</f>
        <v>0</v>
      </c>
      <c r="K16" s="1446"/>
      <c r="L16" s="1446"/>
      <c r="O16" s="2211"/>
      <c r="P16" s="2211"/>
      <c r="Q16" s="55"/>
      <c r="R16" s="55"/>
      <c r="S16" s="55"/>
      <c r="T16" s="55"/>
      <c r="U16" s="55"/>
      <c r="AG16" s="2468"/>
      <c r="AH16" t="s">
        <v>1628</v>
      </c>
      <c r="AI16" s="2206">
        <v>10</v>
      </c>
      <c r="AJ16" s="1375">
        <f t="shared" si="0"/>
        <v>-10</v>
      </c>
      <c r="AK16" s="1375">
        <f t="shared" si="0"/>
        <v>-9</v>
      </c>
      <c r="AL16" s="1375">
        <f t="shared" si="0"/>
        <v>-8</v>
      </c>
      <c r="AM16" s="1375">
        <f t="shared" si="0"/>
        <v>-6</v>
      </c>
      <c r="AN16" s="1375">
        <f t="shared" si="0"/>
        <v>-3</v>
      </c>
      <c r="AO16" s="5">
        <f t="shared" si="0"/>
        <v>0</v>
      </c>
      <c r="AP16" s="2468"/>
      <c r="AR16" s="2468"/>
      <c r="AS16" t="s">
        <v>1628</v>
      </c>
      <c r="AT16" s="2206">
        <v>10</v>
      </c>
      <c r="AU16" s="2208"/>
      <c r="AV16" s="2208"/>
      <c r="AW16" s="2208"/>
      <c r="AX16" s="2208"/>
      <c r="AY16" s="2208"/>
      <c r="AZ16" s="2208" t="s">
        <v>2310</v>
      </c>
      <c r="BA16" s="2468"/>
    </row>
    <row r="17" spans="1:52" ht="35" customHeight="1">
      <c r="A17" s="2468"/>
      <c r="B17" s="1420"/>
      <c r="C17" s="1586" t="str">
        <f>Test_Bible!B344</f>
        <v/>
      </c>
      <c r="D17" s="6">
        <f>Test_Bible!P359</f>
        <v>0</v>
      </c>
      <c r="E17" s="6">
        <f>Test_Bible!P344</f>
        <v>0</v>
      </c>
      <c r="F17" s="2282">
        <f>D17-E17</f>
        <v>0</v>
      </c>
      <c r="K17" s="1446"/>
      <c r="L17" s="1446"/>
      <c r="O17" s="2211"/>
      <c r="P17" s="2211"/>
      <c r="Q17" s="55"/>
      <c r="R17" s="55"/>
      <c r="S17" s="55"/>
      <c r="T17" s="55"/>
      <c r="U17" s="55"/>
      <c r="AG17" s="2468"/>
      <c r="AH17" t="s">
        <v>2298</v>
      </c>
      <c r="AI17" s="2206">
        <v>0</v>
      </c>
      <c r="AJ17" s="2469" t="s">
        <v>2311</v>
      </c>
      <c r="AK17" s="2468"/>
      <c r="AL17" s="2468"/>
      <c r="AM17" s="2468"/>
      <c r="AN17" s="2468"/>
      <c r="AO17" s="2468"/>
      <c r="AR17" s="2468"/>
      <c r="AS17" t="s">
        <v>2298</v>
      </c>
      <c r="AT17" s="2206">
        <v>0</v>
      </c>
      <c r="AU17" s="2469" t="s">
        <v>2311</v>
      </c>
      <c r="AV17" s="2468"/>
      <c r="AW17" s="2468"/>
      <c r="AX17" s="2468"/>
      <c r="AY17" s="2468"/>
      <c r="AZ17" s="2468"/>
    </row>
    <row r="18" spans="1:52" ht="35" customHeight="1">
      <c r="A18" s="2468"/>
      <c r="B18" s="1420"/>
      <c r="C18" s="1586" t="str">
        <f>Test_Bible!B345</f>
        <v/>
      </c>
      <c r="D18" s="6">
        <f>Test_Bible!P360</f>
        <v>0</v>
      </c>
      <c r="E18" s="6">
        <f>Test_Bible!P345</f>
        <v>0</v>
      </c>
      <c r="F18" s="2282">
        <f>D18-E18</f>
        <v>0</v>
      </c>
      <c r="K18" s="1446"/>
      <c r="L18" s="1446"/>
      <c r="O18" s="2211"/>
      <c r="P18" s="2211"/>
      <c r="Q18" s="55"/>
      <c r="R18" s="55"/>
      <c r="S18" s="55"/>
      <c r="T18" s="55"/>
      <c r="U18" s="55"/>
      <c r="AI18" s="1720"/>
    </row>
    <row r="19" spans="1:52" ht="108" customHeight="1">
      <c r="A19" s="2468"/>
      <c r="B19" s="2209"/>
      <c r="C19" s="2210"/>
      <c r="D19" s="1815"/>
      <c r="E19" s="1815"/>
      <c r="F19" s="2283">
        <f>SUM(F14:F18)</f>
        <v>0</v>
      </c>
      <c r="H19" s="2286" t="s">
        <v>2312</v>
      </c>
      <c r="I19" s="2286" t="s">
        <v>2313</v>
      </c>
      <c r="J19" s="2286" t="s">
        <v>2314</v>
      </c>
      <c r="K19" s="2286"/>
      <c r="L19" s="2286"/>
      <c r="M19" s="826"/>
      <c r="N19" s="826"/>
      <c r="O19" s="825" t="s">
        <v>2315</v>
      </c>
      <c r="P19" s="2211"/>
      <c r="Q19" s="55"/>
      <c r="R19" s="55"/>
      <c r="S19" s="55"/>
      <c r="T19" s="55"/>
      <c r="U19" s="55"/>
      <c r="AI19" s="1720"/>
      <c r="AV19" t="s">
        <v>2316</v>
      </c>
    </row>
    <row r="20" spans="1:52" ht="38" customHeight="1">
      <c r="A20" s="2468"/>
      <c r="B20" s="2209"/>
      <c r="C20" s="2287"/>
      <c r="D20" s="6"/>
      <c r="E20" s="6"/>
      <c r="F20" s="2282"/>
      <c r="G20" s="2354" t="s">
        <v>1768</v>
      </c>
      <c r="H20" s="831" t="s">
        <v>2317</v>
      </c>
      <c r="I20" s="826"/>
      <c r="J20" s="826"/>
      <c r="K20" s="826"/>
      <c r="L20" s="826"/>
      <c r="M20" s="826"/>
      <c r="N20" s="826"/>
      <c r="O20" s="825"/>
      <c r="P20" s="2211"/>
      <c r="Q20" s="55"/>
      <c r="R20" s="55"/>
      <c r="S20" s="55"/>
      <c r="T20" s="55"/>
      <c r="U20" s="55"/>
      <c r="AI20" s="1720"/>
    </row>
    <row r="21" spans="1:52" ht="26" customHeight="1">
      <c r="A21" s="2468"/>
      <c r="B21" s="1420"/>
      <c r="C21" s="1586" t="str">
        <f>Test_Bible!B347</f>
        <v/>
      </c>
      <c r="D21" s="6">
        <f>Test_Bible!P362</f>
        <v>0</v>
      </c>
      <c r="E21" s="6">
        <f>Test_Bible!P347</f>
        <v>0</v>
      </c>
      <c r="F21" s="2282">
        <f>D21-E21</f>
        <v>0</v>
      </c>
      <c r="H21" s="2288" t="s">
        <v>2318</v>
      </c>
      <c r="I21" s="1446"/>
      <c r="J21" s="1446"/>
      <c r="K21" s="2286"/>
      <c r="L21" s="2286"/>
      <c r="O21" s="2211"/>
      <c r="P21" s="2211"/>
      <c r="Q21" s="55"/>
      <c r="R21" s="55"/>
      <c r="S21" s="55"/>
      <c r="T21" s="55"/>
      <c r="U21" s="55"/>
    </row>
    <row r="22" spans="1:52" ht="26" customHeight="1">
      <c r="A22" s="2468"/>
      <c r="B22" s="1420"/>
      <c r="C22" s="1586" t="str">
        <f>Test_Bible!B349</f>
        <v/>
      </c>
      <c r="D22" s="6">
        <f>Test_Bible!P364</f>
        <v>0</v>
      </c>
      <c r="E22" s="6">
        <f>Test_Bible!P349</f>
        <v>0</v>
      </c>
      <c r="F22" s="2282">
        <f>D22-E22</f>
        <v>0</v>
      </c>
      <c r="H22" s="2288" t="s">
        <v>2318</v>
      </c>
      <c r="I22" s="2288"/>
      <c r="J22" s="2288"/>
      <c r="K22" s="2286"/>
      <c r="L22" s="2286"/>
      <c r="M22" s="2211"/>
      <c r="N22" s="2211"/>
      <c r="O22" s="2211"/>
      <c r="P22" s="2211"/>
      <c r="Q22" s="55"/>
      <c r="R22" s="55"/>
      <c r="S22" s="55"/>
      <c r="T22" s="55"/>
      <c r="U22" s="55"/>
      <c r="AU22" s="1475"/>
      <c r="AV22" t="s">
        <v>2319</v>
      </c>
    </row>
    <row r="23" spans="1:52" ht="26" customHeight="1">
      <c r="A23" s="2468"/>
      <c r="B23" s="1420"/>
      <c r="C23" s="1586" t="str">
        <f>Test_Bible!B351</f>
        <v/>
      </c>
      <c r="D23" s="6">
        <f>Test_Bible!P366</f>
        <v>0</v>
      </c>
      <c r="E23" s="6">
        <f>Test_Bible!P351</f>
        <v>0</v>
      </c>
      <c r="F23" s="2282">
        <f>D23-E23</f>
        <v>0</v>
      </c>
      <c r="H23" s="2288" t="s">
        <v>2318</v>
      </c>
      <c r="I23" s="1446"/>
      <c r="J23" s="1446"/>
      <c r="K23" s="2286"/>
      <c r="L23" s="2286"/>
      <c r="M23" s="55"/>
      <c r="N23" s="55"/>
      <c r="O23" s="55"/>
      <c r="P23" s="55"/>
      <c r="Q23" s="55"/>
      <c r="R23" s="55"/>
      <c r="S23" s="55"/>
      <c r="T23" s="55"/>
      <c r="U23" s="55"/>
      <c r="AU23" s="2208"/>
      <c r="AV23" t="s">
        <v>2320</v>
      </c>
    </row>
    <row r="24" spans="1:52" ht="38" customHeight="1">
      <c r="A24" s="1923"/>
    </row>
    <row r="25" spans="1:52" ht="33" customHeight="1">
      <c r="A25" s="1923"/>
      <c r="F25" t="s">
        <v>2030</v>
      </c>
      <c r="H25" s="1446"/>
      <c r="I25" s="1446"/>
      <c r="J25" s="1446"/>
    </row>
    <row r="26" spans="1:52" ht="33" customHeight="1">
      <c r="A26" s="1923"/>
      <c r="F26" t="s">
        <v>1885</v>
      </c>
      <c r="H26" s="1446"/>
      <c r="I26" s="1446"/>
      <c r="J26" s="1446"/>
    </row>
    <row r="27" spans="1:52" ht="33" customHeight="1">
      <c r="A27" s="1923"/>
    </row>
    <row r="28" spans="1:52" ht="33" customHeight="1">
      <c r="A28" s="1923"/>
    </row>
    <row r="29" spans="1:52">
      <c r="A29" s="1923"/>
    </row>
    <row r="30" spans="1:52">
      <c r="A30" s="1923"/>
      <c r="E30" s="2" t="s">
        <v>1632</v>
      </c>
      <c r="H30" s="2" t="s">
        <v>1633</v>
      </c>
    </row>
    <row r="31" spans="1:52">
      <c r="A31" s="1923"/>
      <c r="F31" t="s">
        <v>1634</v>
      </c>
      <c r="G31" t="e">
        <f>VLOOKUP(F41,B42:F48,2)</f>
        <v>#N/A</v>
      </c>
    </row>
    <row r="32" spans="1:52" ht="19" customHeight="1">
      <c r="A32" s="407" t="s">
        <v>1736</v>
      </c>
      <c r="C32" s="2162" t="s">
        <v>2321</v>
      </c>
    </row>
    <row r="33" spans="1:40" ht="21" customHeight="1">
      <c r="F33" s="2290"/>
      <c r="AG33" s="3"/>
      <c r="AI33" s="2544" t="s">
        <v>1509</v>
      </c>
      <c r="AJ33" s="2468"/>
      <c r="AK33" s="2468"/>
      <c r="AL33" s="2468"/>
      <c r="AM33" s="2468"/>
      <c r="AN33" s="1772"/>
    </row>
    <row r="34" spans="1:40" ht="40" customHeight="1">
      <c r="A34" s="407" t="s">
        <v>1739</v>
      </c>
      <c r="C34" s="2205" t="s">
        <v>2322</v>
      </c>
      <c r="F34" t="s">
        <v>1635</v>
      </c>
      <c r="G34" t="e">
        <f>IF(E41=0,"aucun comportement révélé",VLOOKUP(E41,B42:F48,2))</f>
        <v>#N/A</v>
      </c>
      <c r="AI34" s="1772"/>
      <c r="AJ34" s="1772"/>
      <c r="AK34" s="1772"/>
      <c r="AL34" s="1772"/>
      <c r="AM34" s="1772"/>
      <c r="AN34" s="1772"/>
    </row>
    <row r="35" spans="1:40" ht="21" customHeight="1">
      <c r="A35" s="407"/>
      <c r="C35" s="2268"/>
      <c r="AI35" s="1772"/>
      <c r="AJ35" s="1772"/>
      <c r="AK35" s="1772"/>
      <c r="AL35" s="1772"/>
      <c r="AM35" s="1772"/>
      <c r="AN35" s="1772"/>
    </row>
    <row r="36" spans="1:40" ht="21" customHeight="1">
      <c r="A36" s="407"/>
      <c r="C36" s="2268"/>
      <c r="AI36" s="1772"/>
      <c r="AJ36" s="1772"/>
      <c r="AK36" s="1772"/>
      <c r="AL36" s="1772"/>
      <c r="AM36" s="1772"/>
      <c r="AN36" s="1772"/>
    </row>
    <row r="37" spans="1:40" ht="69" customHeight="1">
      <c r="A37" s="1923"/>
      <c r="AG37" s="5"/>
    </row>
    <row r="38" spans="1:40" ht="37" customHeight="1">
      <c r="A38" s="1923"/>
      <c r="H38" s="2187" t="s">
        <v>1887</v>
      </c>
      <c r="I38" s="2285"/>
      <c r="J38" s="2285"/>
      <c r="K38" s="2188"/>
      <c r="L38" s="2188"/>
      <c r="M38" s="2188"/>
      <c r="N38" s="2188"/>
      <c r="AI38" s="2600" t="s">
        <v>2323</v>
      </c>
      <c r="AJ38" s="2468"/>
      <c r="AK38" s="2468"/>
      <c r="AL38" s="2468"/>
      <c r="AM38" s="2468"/>
      <c r="AN38" s="2468"/>
    </row>
    <row r="39" spans="1:40" ht="46" customHeight="1">
      <c r="A39" s="1923"/>
      <c r="D39" s="2526" t="s">
        <v>2324</v>
      </c>
      <c r="E39" s="2468"/>
      <c r="F39" s="2468"/>
      <c r="G39" s="88" t="s">
        <v>1845</v>
      </c>
      <c r="H39" s="2601" t="s">
        <v>2325</v>
      </c>
      <c r="I39" s="2468"/>
      <c r="J39" s="2515"/>
      <c r="K39" s="2353"/>
      <c r="L39" s="2353"/>
      <c r="M39" s="2353"/>
      <c r="N39" s="2353"/>
      <c r="AH39" s="16" t="s">
        <v>2326</v>
      </c>
      <c r="AI39" s="8" t="s">
        <v>2327</v>
      </c>
      <c r="AJ39" s="8" t="s">
        <v>2328</v>
      </c>
      <c r="AK39" s="8" t="s">
        <v>2329</v>
      </c>
      <c r="AL39" s="8" t="s">
        <v>2330</v>
      </c>
      <c r="AM39" s="8" t="s">
        <v>2331</v>
      </c>
      <c r="AN39" s="8" t="s">
        <v>2332</v>
      </c>
    </row>
    <row r="40" spans="1:40" ht="70" customHeight="1">
      <c r="A40" s="1923"/>
      <c r="E40" s="13" t="s">
        <v>2333</v>
      </c>
      <c r="F40" s="13" t="s">
        <v>2334</v>
      </c>
      <c r="G40" s="2586" t="s">
        <v>2335</v>
      </c>
      <c r="H40" s="700" t="s">
        <v>2336</v>
      </c>
      <c r="I40" s="700" t="s">
        <v>2337</v>
      </c>
      <c r="J40" s="700" t="s">
        <v>2338</v>
      </c>
      <c r="K40" s="700"/>
      <c r="L40" s="700"/>
      <c r="M40" s="700"/>
      <c r="N40" s="700"/>
      <c r="AG40" s="2587" t="s">
        <v>2339</v>
      </c>
      <c r="AH40" s="8" t="s">
        <v>2327</v>
      </c>
      <c r="AI40" s="2605" t="s">
        <v>2340</v>
      </c>
      <c r="AJ40" s="2492"/>
      <c r="AK40" s="2499"/>
      <c r="AL40" s="2598"/>
      <c r="AM40" s="2598"/>
      <c r="AN40" s="2598"/>
    </row>
    <row r="41" spans="1:40" ht="32" customHeight="1">
      <c r="A41" s="2599" t="s">
        <v>2341</v>
      </c>
      <c r="B41" s="1419" t="s">
        <v>2342</v>
      </c>
      <c r="C41" s="1417" t="s">
        <v>2343</v>
      </c>
      <c r="E41" s="1587" t="str">
        <f>IF(Test_Bible!P313&lt;&gt;0,Test_Bible!P313,0)</f>
        <v>3</v>
      </c>
      <c r="F41" s="1587" t="str">
        <f>IF(Test_Bible!P372&lt;&gt;0,Test_Bible!P372,0)</f>
        <v>4</v>
      </c>
      <c r="G41" s="2468"/>
      <c r="H41" s="1588"/>
      <c r="I41" s="1588"/>
      <c r="J41" s="1588"/>
      <c r="K41" s="1446"/>
      <c r="L41" s="1446"/>
      <c r="M41" s="1588"/>
      <c r="N41" s="1588"/>
      <c r="O41" s="1588"/>
      <c r="P41" s="1588"/>
      <c r="AG41" s="2468"/>
      <c r="AH41" s="8" t="s">
        <v>2328</v>
      </c>
      <c r="AI41" s="2495"/>
      <c r="AJ41" s="2468"/>
      <c r="AK41" s="2515"/>
      <c r="AL41" s="2509"/>
      <c r="AM41" s="2509"/>
      <c r="AN41" s="2509"/>
    </row>
    <row r="42" spans="1:40" ht="32" customHeight="1">
      <c r="A42" s="2468"/>
      <c r="B42" s="1419">
        <v>1</v>
      </c>
      <c r="C42" s="2291" t="str">
        <f>Test_Bible!B373</f>
        <v>Calme</v>
      </c>
      <c r="E42" s="90" t="str">
        <f>Test_Bible!E314</f>
        <v>x</v>
      </c>
      <c r="F42" s="5" t="str">
        <f>Test_Bible!E373</f>
        <v>x</v>
      </c>
      <c r="G42" s="2468"/>
      <c r="K42" s="1446"/>
      <c r="L42" s="1446"/>
      <c r="AG42" s="2468"/>
      <c r="AH42" s="8" t="s">
        <v>2329</v>
      </c>
      <c r="AI42" s="2496"/>
      <c r="AJ42" s="2501"/>
      <c r="AK42" s="2516"/>
      <c r="AL42" s="2510"/>
      <c r="AM42" s="2510"/>
      <c r="AN42" s="2510"/>
    </row>
    <row r="43" spans="1:40" ht="39" customHeight="1">
      <c r="A43" s="2468"/>
      <c r="B43" s="1419">
        <v>2</v>
      </c>
      <c r="C43" s="2291" t="str">
        <f>Test_Bible!B374</f>
        <v>Neutre</v>
      </c>
      <c r="E43" s="90" t="str">
        <f>Test_Bible!E315</f>
        <v>x</v>
      </c>
      <c r="F43" s="5" t="str">
        <f>Test_Bible!E374</f>
        <v>x</v>
      </c>
      <c r="G43" s="2468"/>
      <c r="K43" s="1446"/>
      <c r="L43" s="1446"/>
      <c r="AG43" s="2468"/>
      <c r="AH43" s="8" t="s">
        <v>2330</v>
      </c>
      <c r="AI43" s="2598"/>
      <c r="AJ43" s="2598"/>
      <c r="AK43" s="2597"/>
      <c r="AL43" s="2597"/>
      <c r="AM43" s="2597"/>
      <c r="AN43" s="2597"/>
    </row>
    <row r="44" spans="1:40" ht="39" customHeight="1">
      <c r="A44" s="2468"/>
      <c r="B44" s="1419">
        <v>3</v>
      </c>
      <c r="C44" s="2291" t="str">
        <f>Test_Bible!B375</f>
        <v>Enjoué.e</v>
      </c>
      <c r="E44" s="90" t="str">
        <f>Test_Bible!E316</f>
        <v>x</v>
      </c>
      <c r="F44" s="5" t="str">
        <f>Test_Bible!E375</f>
        <v>x</v>
      </c>
      <c r="G44" s="2468"/>
      <c r="K44" s="1446"/>
      <c r="L44" s="1446"/>
      <c r="AG44" s="2468"/>
      <c r="AH44" s="8" t="s">
        <v>2331</v>
      </c>
      <c r="AI44" s="2509"/>
      <c r="AJ44" s="2509"/>
      <c r="AK44" s="2509"/>
      <c r="AL44" s="2509"/>
      <c r="AM44" s="2509"/>
      <c r="AN44" s="2509"/>
    </row>
    <row r="45" spans="1:40" ht="47" customHeight="1">
      <c r="A45" s="2468"/>
      <c r="B45" s="1419"/>
      <c r="C45" s="2291"/>
      <c r="E45" s="90"/>
      <c r="F45" s="5"/>
      <c r="G45" s="2468"/>
      <c r="H45" s="553"/>
      <c r="I45" s="553"/>
      <c r="J45" s="553"/>
      <c r="K45" s="1446"/>
      <c r="L45" s="1446"/>
      <c r="M45" s="8"/>
      <c r="N45" s="8"/>
      <c r="AG45" s="2468"/>
      <c r="AH45" s="8"/>
      <c r="AI45" s="2509"/>
      <c r="AJ45" s="2509"/>
      <c r="AK45" s="2509"/>
      <c r="AL45" s="2509"/>
      <c r="AM45" s="2509"/>
      <c r="AN45" s="2509"/>
    </row>
    <row r="46" spans="1:40" ht="39" customHeight="1">
      <c r="A46" s="2468"/>
      <c r="B46" s="1419">
        <v>4</v>
      </c>
      <c r="C46" s="2291" t="str">
        <f>Test_Bible!B376</f>
        <v>Taciturne</v>
      </c>
      <c r="E46" s="90" t="str">
        <f>Test_Bible!E317</f>
        <v>x</v>
      </c>
      <c r="F46" s="5" t="str">
        <f>Test_Bible!E376</f>
        <v>x</v>
      </c>
      <c r="G46" s="2468"/>
      <c r="K46" s="1446"/>
      <c r="L46" s="1446"/>
      <c r="AG46" s="2468"/>
      <c r="AH46" s="8" t="s">
        <v>2332</v>
      </c>
      <c r="AI46" s="2510"/>
      <c r="AJ46" s="2510"/>
      <c r="AK46" s="2510"/>
      <c r="AL46" s="2510"/>
      <c r="AM46" s="2510"/>
      <c r="AN46" s="2510"/>
    </row>
    <row r="47" spans="1:40" ht="29" customHeight="1">
      <c r="A47" s="2468"/>
      <c r="B47" s="1419">
        <v>5</v>
      </c>
      <c r="C47" s="2291" t="str">
        <f>Test_Bible!B377</f>
        <v>Anxieux</v>
      </c>
      <c r="E47" s="90" t="str">
        <f>Test_Bible!E318</f>
        <v>x</v>
      </c>
      <c r="F47" s="5" t="str">
        <f>Test_Bible!E377</f>
        <v>x</v>
      </c>
      <c r="G47" s="2468"/>
      <c r="K47" s="1446"/>
      <c r="L47" s="1446"/>
      <c r="AH47" s="7" t="s">
        <v>2344</v>
      </c>
    </row>
    <row r="48" spans="1:40" ht="28" customHeight="1">
      <c r="A48" s="2468"/>
      <c r="B48" s="1419">
        <v>6</v>
      </c>
      <c r="C48" s="2291" t="str">
        <f>Test_Bible!B378</f>
        <v>Agressif</v>
      </c>
      <c r="E48" s="90" t="str">
        <f>Test_Bible!E319</f>
        <v>x</v>
      </c>
      <c r="F48" s="5" t="str">
        <f>Test_Bible!E378</f>
        <v>x</v>
      </c>
      <c r="G48" s="2468"/>
      <c r="K48" s="1446"/>
      <c r="L48" s="1446"/>
      <c r="AJ48" t="s">
        <v>2316</v>
      </c>
    </row>
    <row r="49" spans="1:41" ht="65" customHeight="1">
      <c r="A49" s="2276"/>
      <c r="B49" s="1419"/>
      <c r="C49" s="1585"/>
      <c r="D49" s="5"/>
      <c r="E49" s="90"/>
      <c r="F49" s="5"/>
      <c r="G49" s="2468"/>
      <c r="H49" s="2240" t="s">
        <v>2345</v>
      </c>
      <c r="I49" s="2240" t="s">
        <v>2346</v>
      </c>
      <c r="J49" s="2240" t="s">
        <v>2347</v>
      </c>
      <c r="K49" s="1446"/>
      <c r="L49" s="1446"/>
      <c r="M49" s="25"/>
      <c r="N49" s="25"/>
    </row>
    <row r="50" spans="1:41" ht="48" customHeight="1">
      <c r="B50" s="2604" t="s">
        <v>2348</v>
      </c>
      <c r="C50" s="2468"/>
    </row>
    <row r="51" spans="1:41" ht="81" customHeight="1">
      <c r="F51" s="7" t="s">
        <v>2030</v>
      </c>
      <c r="H51" s="2240"/>
      <c r="I51" s="2240"/>
      <c r="J51" s="2240"/>
      <c r="K51" s="25"/>
      <c r="L51" s="25"/>
      <c r="M51" s="25"/>
      <c r="N51" s="25"/>
    </row>
    <row r="52" spans="1:41" ht="36" customHeight="1">
      <c r="F52" s="7" t="s">
        <v>1885</v>
      </c>
      <c r="H52" s="1446"/>
      <c r="I52" s="1446"/>
      <c r="J52" s="1446"/>
    </row>
    <row r="58" spans="1:41">
      <c r="AL58" s="5"/>
      <c r="AM58" s="5"/>
      <c r="AN58" s="5"/>
      <c r="AO58" s="5"/>
    </row>
    <row r="59" spans="1:41">
      <c r="AJ59" s="25"/>
      <c r="AK59" s="7"/>
      <c r="AL59" s="826"/>
      <c r="AM59" s="826"/>
      <c r="AN59" s="826"/>
      <c r="AO59" s="826"/>
    </row>
    <row r="60" spans="1:41">
      <c r="AJ60" s="25"/>
      <c r="AK60" s="7"/>
      <c r="AL60" s="826"/>
      <c r="AM60" s="826"/>
      <c r="AN60" s="826"/>
      <c r="AO60" s="826"/>
    </row>
    <row r="61" spans="1:41">
      <c r="AJ61" s="25"/>
      <c r="AK61" s="7"/>
      <c r="AL61" s="826"/>
      <c r="AM61" s="826"/>
      <c r="AN61" s="826"/>
      <c r="AO61" s="826"/>
    </row>
    <row r="62" spans="1:41">
      <c r="AJ62" s="25"/>
      <c r="AK62" s="7"/>
      <c r="AL62" s="826"/>
      <c r="AM62" s="13"/>
      <c r="AN62" s="13"/>
      <c r="AO62" s="13"/>
    </row>
  </sheetData>
  <mergeCells count="29">
    <mergeCell ref="H9:J9"/>
    <mergeCell ref="B50:C50"/>
    <mergeCell ref="AI40:AK42"/>
    <mergeCell ref="H39:J39"/>
    <mergeCell ref="AJ17:AO17"/>
    <mergeCell ref="AJ43:AJ46"/>
    <mergeCell ref="AG11:AG17"/>
    <mergeCell ref="G40:G49"/>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BA11:BA16"/>
    <mergeCell ref="AK43:AK46"/>
    <mergeCell ref="AM43:AM46"/>
    <mergeCell ref="AI43:AI46"/>
    <mergeCell ref="AI33:AM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1736</v>
      </c>
      <c r="D1" s="2162" t="s">
        <v>2349</v>
      </c>
      <c r="E1" s="1446"/>
      <c r="F1" s="1446"/>
      <c r="G1" s="1446"/>
      <c r="H1" s="1446"/>
      <c r="I1" s="1446"/>
    </row>
    <row r="2" spans="2:37" ht="38" customHeight="1">
      <c r="B2" s="407" t="s">
        <v>1739</v>
      </c>
      <c r="D2" s="2162" t="s">
        <v>2350</v>
      </c>
      <c r="E2" s="1446"/>
      <c r="F2" s="1446"/>
      <c r="G2" s="1446"/>
      <c r="H2" s="1446"/>
      <c r="I2" s="1446"/>
    </row>
    <row r="3" spans="2:37" ht="38" customHeight="1"/>
    <row r="4" spans="2:37" ht="21" customHeight="1">
      <c r="B4" s="49" t="s">
        <v>2351</v>
      </c>
    </row>
    <row r="5" spans="2:37" ht="25" customHeight="1">
      <c r="B5" s="49"/>
      <c r="AC5" s="407" t="s">
        <v>2352</v>
      </c>
    </row>
    <row r="6" spans="2:37" ht="20" customHeight="1">
      <c r="T6" s="34" t="s">
        <v>2353</v>
      </c>
      <c r="U6" s="34"/>
      <c r="V6" s="34"/>
      <c r="W6" s="34"/>
      <c r="X6" s="34"/>
      <c r="Z6" s="1129"/>
      <c r="AC6" s="2114"/>
      <c r="AE6" s="2540" t="s">
        <v>2354</v>
      </c>
      <c r="AF6" s="2468"/>
      <c r="AG6" s="2468"/>
      <c r="AH6" s="2468"/>
      <c r="AI6" s="2468"/>
      <c r="AJ6" s="2468"/>
    </row>
    <row r="7" spans="2:37" ht="20" customHeight="1">
      <c r="T7" s="34" t="s">
        <v>2355</v>
      </c>
      <c r="U7" s="34"/>
      <c r="V7" s="34"/>
      <c r="W7" s="34"/>
      <c r="X7" s="34"/>
      <c r="AE7" s="2474" t="s">
        <v>2356</v>
      </c>
      <c r="AF7" s="2468"/>
      <c r="AG7" s="2468"/>
      <c r="AH7" s="2468"/>
      <c r="AI7" s="2468"/>
      <c r="AJ7" s="2468"/>
    </row>
    <row r="8" spans="2:37" ht="22" customHeight="1">
      <c r="B8" s="2124" t="s">
        <v>2357</v>
      </c>
      <c r="T8" s="1674" t="s">
        <v>2358</v>
      </c>
      <c r="U8" s="1673"/>
      <c r="V8" s="1673"/>
      <c r="W8" s="1673"/>
      <c r="X8" s="1676"/>
      <c r="AE8" t="s">
        <v>2359</v>
      </c>
      <c r="AJ8" t="s">
        <v>2360</v>
      </c>
    </row>
    <row r="9" spans="2:37" ht="22" customHeight="1">
      <c r="B9" s="2060" t="s">
        <v>2361</v>
      </c>
      <c r="T9" s="1673"/>
      <c r="U9" s="1673"/>
      <c r="V9" s="1673"/>
      <c r="W9" s="1673"/>
      <c r="X9" s="1676"/>
      <c r="AC9" s="88" t="s">
        <v>1608</v>
      </c>
    </row>
    <row r="10" spans="2:37" ht="22" customHeight="1">
      <c r="B10" s="2121" t="s">
        <v>2362</v>
      </c>
      <c r="T10" s="1673"/>
      <c r="U10" s="1673"/>
      <c r="V10" s="1673"/>
      <c r="W10" s="1673"/>
      <c r="X10" s="1676"/>
      <c r="AC10" s="88"/>
      <c r="AE10" s="587">
        <v>0</v>
      </c>
      <c r="AF10" s="587">
        <v>1</v>
      </c>
      <c r="AG10" s="587">
        <v>2</v>
      </c>
      <c r="AH10" s="587">
        <v>4</v>
      </c>
      <c r="AI10" s="587">
        <v>7</v>
      </c>
      <c r="AJ10" s="587">
        <v>10</v>
      </c>
    </row>
    <row r="11" spans="2:37" ht="19" customHeight="1" thickBot="1">
      <c r="M11" s="34" t="s">
        <v>1741</v>
      </c>
      <c r="T11" s="2117">
        <v>0</v>
      </c>
      <c r="U11" s="2146" t="s">
        <v>2363</v>
      </c>
      <c r="V11" s="2117"/>
      <c r="W11" s="2117"/>
      <c r="X11" s="2117"/>
      <c r="AD11" s="5">
        <v>1</v>
      </c>
      <c r="AE11" s="5">
        <v>2</v>
      </c>
      <c r="AF11" s="5">
        <v>3</v>
      </c>
      <c r="AG11" s="5">
        <v>4</v>
      </c>
      <c r="AH11" s="5">
        <v>5</v>
      </c>
      <c r="AI11" s="5">
        <v>6</v>
      </c>
      <c r="AJ11" s="5">
        <v>7</v>
      </c>
    </row>
    <row r="12" spans="2:37" ht="51" customHeight="1">
      <c r="C12" s="2616" t="s">
        <v>2364</v>
      </c>
      <c r="D12" s="2468"/>
      <c r="E12" s="2468"/>
      <c r="F12" s="2615" t="s">
        <v>2365</v>
      </c>
      <c r="G12" s="2468"/>
      <c r="H12" s="2468"/>
      <c r="I12" s="1898" t="s">
        <v>2366</v>
      </c>
      <c r="J12" s="2294" t="s">
        <v>2367</v>
      </c>
      <c r="K12" s="2295"/>
      <c r="L12" s="2295"/>
      <c r="M12" s="2295"/>
      <c r="N12" s="2295"/>
      <c r="O12" s="2295"/>
      <c r="P12" s="2332" t="s">
        <v>152</v>
      </c>
      <c r="Q12" s="2333" t="s">
        <v>1910</v>
      </c>
      <c r="R12" s="2113"/>
      <c r="T12" s="2117">
        <v>1</v>
      </c>
      <c r="U12" s="2146" t="s">
        <v>2368</v>
      </c>
      <c r="V12" s="2117"/>
      <c r="W12" s="2117"/>
      <c r="X12" s="2117"/>
      <c r="AA12" s="2614" t="s">
        <v>1618</v>
      </c>
      <c r="AB12" s="2" t="s">
        <v>2359</v>
      </c>
      <c r="AD12" s="587">
        <v>0</v>
      </c>
      <c r="AE12" s="47">
        <f t="shared" ref="AE12:AJ14" si="0">-(AE$10-$AD12)</f>
        <v>0</v>
      </c>
      <c r="AF12" s="47">
        <f t="shared" si="0"/>
        <v>-1</v>
      </c>
      <c r="AG12" s="47">
        <f t="shared" si="0"/>
        <v>-2</v>
      </c>
      <c r="AH12" s="47">
        <f t="shared" si="0"/>
        <v>-4</v>
      </c>
      <c r="AI12" s="47">
        <f t="shared" si="0"/>
        <v>-7</v>
      </c>
      <c r="AJ12" s="47">
        <f t="shared" si="0"/>
        <v>-10</v>
      </c>
      <c r="AK12" s="2606" t="s">
        <v>2369</v>
      </c>
    </row>
    <row r="13" spans="2:37" ht="34" customHeight="1">
      <c r="B13" s="2608" t="s">
        <v>2370</v>
      </c>
      <c r="C13" s="2468"/>
      <c r="D13" s="2468"/>
      <c r="E13" s="2468"/>
      <c r="F13" s="2468"/>
      <c r="G13" s="2468"/>
      <c r="H13" s="2468"/>
      <c r="I13" s="2580"/>
      <c r="J13" s="67"/>
      <c r="K13" s="67"/>
      <c r="L13" s="2297"/>
      <c r="M13" s="2609" t="s">
        <v>2371</v>
      </c>
      <c r="N13" s="2526"/>
      <c r="O13" s="2526"/>
      <c r="P13" s="2334"/>
      <c r="Q13" s="2335"/>
      <c r="R13" s="67"/>
      <c r="T13" s="2117">
        <v>2</v>
      </c>
      <c r="U13" s="2146" t="s">
        <v>2306</v>
      </c>
      <c r="V13" s="2117"/>
      <c r="W13" s="2117"/>
      <c r="X13" s="2117"/>
      <c r="AA13" s="2468"/>
      <c r="AB13" s="2"/>
      <c r="AD13" s="588">
        <v>1</v>
      </c>
      <c r="AE13" s="47">
        <f t="shared" si="0"/>
        <v>1</v>
      </c>
      <c r="AF13" s="47">
        <f t="shared" si="0"/>
        <v>0</v>
      </c>
      <c r="AG13" s="47">
        <f t="shared" si="0"/>
        <v>-1</v>
      </c>
      <c r="AH13" s="47">
        <f t="shared" si="0"/>
        <v>-3</v>
      </c>
      <c r="AI13" s="47">
        <f t="shared" si="0"/>
        <v>-6</v>
      </c>
      <c r="AJ13" s="47">
        <f t="shared" si="0"/>
        <v>-9</v>
      </c>
      <c r="AK13" s="2468"/>
    </row>
    <row r="14" spans="2:37" ht="62" customHeight="1">
      <c r="D14" s="272"/>
      <c r="E14" s="16" t="s">
        <v>1565</v>
      </c>
      <c r="F14" s="598"/>
      <c r="G14" s="598"/>
      <c r="H14" s="16" t="s">
        <v>1565</v>
      </c>
      <c r="I14" s="1900"/>
      <c r="J14" s="32" t="s">
        <v>2372</v>
      </c>
      <c r="K14" s="15" t="s">
        <v>1608</v>
      </c>
      <c r="L14" s="32" t="s">
        <v>2373</v>
      </c>
      <c r="M14" s="2473" t="s">
        <v>2374</v>
      </c>
      <c r="N14" s="2526"/>
      <c r="O14" s="2526"/>
      <c r="P14" s="2336"/>
      <c r="Q14" s="1365"/>
      <c r="R14" s="454"/>
      <c r="T14" s="2117">
        <v>3</v>
      </c>
      <c r="U14" s="2146" t="s">
        <v>2306</v>
      </c>
      <c r="V14" s="2117"/>
      <c r="W14" s="2117"/>
      <c r="X14" s="2117"/>
      <c r="AA14" s="2468"/>
      <c r="AB14" s="2"/>
      <c r="AD14" s="588">
        <v>2</v>
      </c>
      <c r="AE14" s="47">
        <f t="shared" si="0"/>
        <v>2</v>
      </c>
      <c r="AF14" s="47">
        <f t="shared" si="0"/>
        <v>1</v>
      </c>
      <c r="AG14" s="47">
        <f t="shared" si="0"/>
        <v>0</v>
      </c>
      <c r="AH14" s="47">
        <f t="shared" si="0"/>
        <v>-2</v>
      </c>
      <c r="AI14" s="47">
        <f t="shared" si="0"/>
        <v>-5</v>
      </c>
      <c r="AJ14" s="47">
        <f t="shared" si="0"/>
        <v>-8</v>
      </c>
      <c r="AK14" s="2468"/>
    </row>
    <row r="15" spans="2:37" ht="54" customHeight="1">
      <c r="D15" s="272"/>
      <c r="E15" s="16"/>
      <c r="F15" s="598"/>
      <c r="G15" s="598"/>
      <c r="H15" s="16"/>
      <c r="I15" s="1900"/>
      <c r="J15" s="32"/>
      <c r="K15" s="15"/>
      <c r="L15" s="32"/>
      <c r="M15" s="32" t="s">
        <v>2375</v>
      </c>
      <c r="N15" s="32" t="s">
        <v>2376</v>
      </c>
      <c r="O15" s="32" t="s">
        <v>2377</v>
      </c>
      <c r="P15" s="2336"/>
      <c r="Q15" s="1365"/>
      <c r="R15" s="454"/>
      <c r="T15" s="2117"/>
      <c r="U15" s="2146"/>
      <c r="V15" s="2117"/>
      <c r="W15" s="2117"/>
      <c r="X15" s="2117"/>
      <c r="AA15" s="2468"/>
      <c r="AB15" s="2"/>
      <c r="AD15" s="588"/>
      <c r="AE15" s="47"/>
      <c r="AF15" s="47"/>
      <c r="AG15" s="47"/>
      <c r="AH15" s="47"/>
      <c r="AI15" s="47"/>
      <c r="AJ15" s="47"/>
      <c r="AK15" s="2468"/>
    </row>
    <row r="16" spans="2:37" ht="62" customHeight="1">
      <c r="D16" s="272"/>
      <c r="E16" s="16"/>
      <c r="F16" s="598"/>
      <c r="G16" s="598"/>
      <c r="H16" s="16"/>
      <c r="I16" s="1900"/>
      <c r="J16" s="32"/>
      <c r="K16" s="15"/>
      <c r="L16" s="2293" t="s">
        <v>1845</v>
      </c>
      <c r="M16" s="2296"/>
      <c r="N16" s="2296"/>
      <c r="O16" s="2296"/>
      <c r="P16" s="2337"/>
      <c r="Q16" s="2338"/>
      <c r="R16" s="454"/>
      <c r="T16" s="2117"/>
      <c r="U16" s="2146"/>
      <c r="V16" s="2117"/>
      <c r="W16" s="2117"/>
      <c r="X16" s="2117"/>
      <c r="AA16" s="2468"/>
      <c r="AB16" s="2"/>
      <c r="AD16" s="588"/>
      <c r="AE16" s="47"/>
      <c r="AF16" s="47"/>
      <c r="AG16" s="47"/>
      <c r="AH16" s="47"/>
      <c r="AI16" s="47"/>
      <c r="AJ16" s="47"/>
      <c r="AK16" s="2468"/>
    </row>
    <row r="17" spans="1:41" ht="70" customHeight="1">
      <c r="A17" s="2576" t="s">
        <v>2378</v>
      </c>
      <c r="B17" s="13" t="s">
        <v>2379</v>
      </c>
      <c r="C17" s="510" t="str">
        <f>BIBLE!E40</f>
        <v>H01</v>
      </c>
      <c r="D17" s="272" t="str">
        <f>BIBLE!F40</f>
        <v xml:space="preserve">Quel était le degré de complicité entre vous et votre enfant ? </v>
      </c>
      <c r="E17" s="67" t="str">
        <f>IF(Test_Bible!B98=" ","",Test_Bible!P98)</f>
        <v>7</v>
      </c>
      <c r="F17" s="1896" t="str">
        <f>BIBLE!E151</f>
        <v>E01</v>
      </c>
      <c r="G17" s="1517" t="str">
        <f>BIBLE!F151</f>
        <v>Comment qualifieriez-vous votre relation et votre degré de complicité avec votre enfant, aujourd’hui (temps présent) ?</v>
      </c>
      <c r="H17" s="67" t="str">
        <f>IF(Test_Bible!B263="","",Test_Bible!P263)</f>
        <v>3</v>
      </c>
      <c r="I17" s="1900"/>
      <c r="J17" s="2120" t="s">
        <v>2380</v>
      </c>
      <c r="L17" s="1618"/>
      <c r="P17" s="2339"/>
      <c r="Q17" s="2340"/>
      <c r="T17" s="2117">
        <v>4</v>
      </c>
      <c r="U17" s="2146" t="s">
        <v>2381</v>
      </c>
      <c r="V17" s="2117"/>
      <c r="W17" s="2117"/>
      <c r="X17" s="2122"/>
      <c r="AA17" s="2468"/>
      <c r="AB17" s="53"/>
      <c r="AD17" s="553">
        <v>4</v>
      </c>
      <c r="AE17" s="47">
        <f t="shared" ref="AE17:AJ19" si="1">-(AE$10-$AD17)</f>
        <v>4</v>
      </c>
      <c r="AF17" s="47">
        <f t="shared" si="1"/>
        <v>3</v>
      </c>
      <c r="AG17" s="47">
        <f t="shared" si="1"/>
        <v>2</v>
      </c>
      <c r="AH17" s="47">
        <f t="shared" si="1"/>
        <v>0</v>
      </c>
      <c r="AI17" s="47">
        <f t="shared" si="1"/>
        <v>-3</v>
      </c>
      <c r="AJ17" s="47">
        <f t="shared" si="1"/>
        <v>-6</v>
      </c>
      <c r="AK17" s="2468"/>
    </row>
    <row r="18" spans="1:41" ht="106" customHeight="1">
      <c r="A18" s="2510"/>
      <c r="C18" s="510" t="str">
        <f>BIBLE!E41</f>
        <v>H02</v>
      </c>
      <c r="D18" s="272" t="str">
        <f>BIBLE!F41</f>
        <v>Dans quelle mesure diriez-vous que votre enfant vous confiait ses joies, ses peines ou questionnements divers ?</v>
      </c>
      <c r="E18" s="67" t="str">
        <f>IF(Test_Bible!B99=" ","",Test_Bible!P99)</f>
        <v>6</v>
      </c>
      <c r="F18" s="1909"/>
      <c r="H18" s="67"/>
      <c r="I18" s="1899"/>
      <c r="P18" s="2339"/>
      <c r="Q18" s="2340"/>
      <c r="T18" s="2117">
        <v>5</v>
      </c>
      <c r="U18" s="2146" t="s">
        <v>2381</v>
      </c>
      <c r="V18" s="2117"/>
      <c r="W18" s="2117"/>
      <c r="X18" s="2122"/>
      <c r="AA18" s="2468"/>
      <c r="AB18" s="53"/>
      <c r="AD18" s="553">
        <v>7</v>
      </c>
      <c r="AE18" s="47">
        <f t="shared" si="1"/>
        <v>7</v>
      </c>
      <c r="AF18" s="47">
        <f t="shared" si="1"/>
        <v>6</v>
      </c>
      <c r="AG18" s="47">
        <f t="shared" si="1"/>
        <v>5</v>
      </c>
      <c r="AH18" s="47">
        <f t="shared" si="1"/>
        <v>3</v>
      </c>
      <c r="AI18" s="47">
        <f t="shared" si="1"/>
        <v>0</v>
      </c>
      <c r="AJ18" s="47">
        <f t="shared" si="1"/>
        <v>-3</v>
      </c>
      <c r="AK18" s="2468"/>
    </row>
    <row r="19" spans="1:41" ht="56" customHeight="1">
      <c r="A19" s="58"/>
      <c r="D19" s="2" t="s">
        <v>2382</v>
      </c>
      <c r="E19" s="1817">
        <f>MAX(E17:E18)</f>
        <v>0</v>
      </c>
      <c r="G19" s="2" t="s">
        <v>2382</v>
      </c>
      <c r="H19" s="1225">
        <f>MAX(H17:H18)</f>
        <v>0</v>
      </c>
      <c r="I19" s="1901" t="str">
        <f>IF(E19=0,"Ne peut statuer",VLOOKUP(E19,Echelle_Lineaire_Diff,H19+1))</f>
        <v>Ne peut statuer</v>
      </c>
      <c r="J19" s="1815">
        <f>E19</f>
        <v>0</v>
      </c>
      <c r="K19" s="1815" t="str">
        <f>I19</f>
        <v>Ne peut statuer</v>
      </c>
      <c r="L19" s="438" t="str">
        <f>IF(J19=0,$U$39,IF(K19&gt;0,VLOOKUP(K19,$T$11:$U$24,2),VLOOKUP(ABS(K19),$T$26:$U$37,2)))</f>
        <v>Il n'est pas possible de statuer puisque l'historique est absent</v>
      </c>
      <c r="M19" s="2123"/>
      <c r="N19" s="2123"/>
      <c r="O19" s="2123"/>
      <c r="P19" s="2341"/>
      <c r="Q19" s="2342"/>
      <c r="T19" s="2117">
        <v>6</v>
      </c>
      <c r="U19" s="2146" t="s">
        <v>2383</v>
      </c>
      <c r="V19" s="2117"/>
      <c r="W19" s="2117"/>
      <c r="X19" s="2122"/>
      <c r="AA19" s="2468"/>
      <c r="AB19" t="s">
        <v>2360</v>
      </c>
      <c r="AD19" s="553">
        <v>10</v>
      </c>
      <c r="AE19" s="47">
        <f t="shared" si="1"/>
        <v>10</v>
      </c>
      <c r="AF19" s="47">
        <f t="shared" si="1"/>
        <v>9</v>
      </c>
      <c r="AG19" s="47">
        <f t="shared" si="1"/>
        <v>8</v>
      </c>
      <c r="AH19" s="47">
        <f t="shared" si="1"/>
        <v>6</v>
      </c>
      <c r="AI19" s="47">
        <f t="shared" si="1"/>
        <v>3</v>
      </c>
      <c r="AJ19" s="47">
        <f t="shared" si="1"/>
        <v>0</v>
      </c>
    </row>
    <row r="20" spans="1:41" ht="60" customHeight="1">
      <c r="A20" s="58"/>
      <c r="I20" s="1899"/>
      <c r="M20" s="2473" t="s">
        <v>2384</v>
      </c>
      <c r="N20" s="2526"/>
      <c r="O20" s="2526"/>
      <c r="P20" s="2336"/>
      <c r="Q20" s="1365"/>
      <c r="T20" s="2117">
        <v>7</v>
      </c>
      <c r="U20" s="2146" t="s">
        <v>2383</v>
      </c>
      <c r="V20" s="2117"/>
      <c r="W20" s="2117"/>
      <c r="X20" s="2122"/>
      <c r="AD20" s="8"/>
      <c r="AE20" s="2607" t="s">
        <v>2385</v>
      </c>
      <c r="AF20" s="2468"/>
      <c r="AG20" s="2468"/>
      <c r="AH20" s="2468"/>
      <c r="AI20" s="2468"/>
      <c r="AK20" s="2117" t="s">
        <v>2386</v>
      </c>
    </row>
    <row r="21" spans="1:41" ht="49" customHeight="1">
      <c r="A21" s="2116" t="s">
        <v>2387</v>
      </c>
      <c r="B21" s="2608" t="s">
        <v>2388</v>
      </c>
      <c r="C21" s="2468"/>
      <c r="D21" s="2468"/>
      <c r="E21" s="2468"/>
      <c r="F21" s="2468"/>
      <c r="G21" s="2468"/>
      <c r="H21" s="2468"/>
      <c r="I21" s="2580"/>
      <c r="M21" s="32" t="s">
        <v>2375</v>
      </c>
      <c r="N21" s="32" t="s">
        <v>2376</v>
      </c>
      <c r="O21" s="32" t="s">
        <v>2377</v>
      </c>
      <c r="P21" s="2336"/>
      <c r="Q21" s="1365"/>
      <c r="T21" s="2117">
        <v>8</v>
      </c>
      <c r="U21" s="2146" t="s">
        <v>2383</v>
      </c>
      <c r="V21" s="2117"/>
      <c r="W21" s="2117"/>
      <c r="X21" s="2122"/>
    </row>
    <row r="22" spans="1:41" ht="49" customHeight="1">
      <c r="A22" s="2116"/>
      <c r="B22" s="2274"/>
      <c r="C22" s="2274"/>
      <c r="D22" s="2274"/>
      <c r="E22" s="2274"/>
      <c r="F22" s="2274"/>
      <c r="G22" s="2274"/>
      <c r="H22" s="2274"/>
      <c r="I22" s="2275"/>
      <c r="L22" s="2293" t="s">
        <v>1845</v>
      </c>
      <c r="M22" s="2296"/>
      <c r="N22" s="2296"/>
      <c r="O22" s="2296"/>
      <c r="P22" s="2337"/>
      <c r="Q22" s="2338"/>
      <c r="T22" s="2117"/>
      <c r="U22" s="2146"/>
      <c r="V22" s="2117"/>
      <c r="W22" s="2117"/>
      <c r="X22" s="2122"/>
    </row>
    <row r="23" spans="1:41" ht="126" customHeight="1">
      <c r="A23" s="2613" t="s">
        <v>2389</v>
      </c>
      <c r="B23" s="16" t="s">
        <v>2390</v>
      </c>
      <c r="C23" s="694" t="str">
        <f>BIBLE!E205</f>
        <v>E35b</v>
      </c>
      <c r="D23" s="25" t="str">
        <f>BIBLE!F205</f>
        <v>Comment était la relation de votre enfant avec la famille élargie avant la séparation ?</v>
      </c>
      <c r="E23" s="67" t="str">
        <f>IF(Test_Bible!B337="","",Test_Bible!P337)</f>
        <v>7</v>
      </c>
      <c r="F23" s="1897" t="str">
        <f>BIBLE!E204</f>
        <v>E35a</v>
      </c>
      <c r="G23" s="25" t="str">
        <f>BIBLE!F204</f>
        <v>Dans quelle mesure diriez-vous que votre enfant accepte les contacts avec votre famille élargie  (cousin.es, grands-parents, etc.) ?</v>
      </c>
      <c r="H23" s="67">
        <f>IF(Test_Bible!B336="","",Test_Bible!P336)</f>
        <v>0</v>
      </c>
      <c r="I23" s="1899"/>
      <c r="J23" s="8"/>
      <c r="K23" s="17"/>
      <c r="L23" s="17"/>
      <c r="P23" s="2339"/>
      <c r="Q23" s="2340"/>
      <c r="R23" s="17"/>
      <c r="T23" s="2117">
        <v>9</v>
      </c>
      <c r="U23" s="2146" t="s">
        <v>2383</v>
      </c>
      <c r="V23" s="2117"/>
      <c r="W23" s="2117"/>
      <c r="X23" s="2122"/>
      <c r="AC23" s="407" t="s">
        <v>2391</v>
      </c>
      <c r="AD23" s="407"/>
    </row>
    <row r="24" spans="1:41" ht="21" customHeight="1">
      <c r="A24" s="2510"/>
      <c r="C24" s="510"/>
      <c r="D24" s="272"/>
      <c r="E24" s="67"/>
      <c r="F24" s="1909"/>
      <c r="H24" s="67"/>
      <c r="I24" s="1899"/>
      <c r="J24" s="8"/>
      <c r="P24" s="2339"/>
      <c r="Q24" s="2340"/>
      <c r="T24" s="2117">
        <v>10</v>
      </c>
      <c r="U24" s="2146" t="s">
        <v>2383</v>
      </c>
      <c r="V24" s="2117"/>
      <c r="W24" s="2117"/>
      <c r="X24" s="2122"/>
      <c r="Z24" s="90"/>
      <c r="AC24" s="2114"/>
      <c r="AE24" s="2540" t="s">
        <v>2354</v>
      </c>
      <c r="AF24" s="2468"/>
      <c r="AG24" s="2468"/>
      <c r="AH24" s="2468"/>
      <c r="AI24" s="2468"/>
      <c r="AJ24" s="2468"/>
      <c r="AK24" s="2468"/>
      <c r="AL24" s="2468"/>
      <c r="AM24" s="2468"/>
      <c r="AN24" s="2468"/>
    </row>
    <row r="25" spans="1:41" ht="62" customHeight="1">
      <c r="A25" s="58"/>
      <c r="D25" s="2" t="s">
        <v>2382</v>
      </c>
      <c r="E25" s="1817">
        <f>MAX(E23:E24)</f>
        <v>0</v>
      </c>
      <c r="G25" s="2" t="s">
        <v>2382</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2392</v>
      </c>
      <c r="U25" s="1222"/>
      <c r="V25" s="1222"/>
      <c r="W25" s="1222"/>
      <c r="X25" s="1222"/>
      <c r="Z25" s="90"/>
      <c r="AE25" s="8" t="s">
        <v>2393</v>
      </c>
      <c r="AF25" s="8"/>
      <c r="AG25" s="8"/>
      <c r="AH25" s="8"/>
      <c r="AI25" s="8"/>
      <c r="AJ25" s="8"/>
      <c r="AK25" s="5"/>
      <c r="AL25" s="5"/>
      <c r="AM25" s="5"/>
      <c r="AN25" s="5" t="s">
        <v>2394</v>
      </c>
    </row>
    <row r="26" spans="1:41" ht="32" customHeight="1">
      <c r="A26" s="58"/>
      <c r="I26" s="1899"/>
      <c r="J26" s="8"/>
      <c r="M26" s="2473" t="s">
        <v>2395</v>
      </c>
      <c r="N26" s="2526"/>
      <c r="O26" s="2526"/>
      <c r="P26" s="2336"/>
      <c r="Q26" s="1365"/>
      <c r="T26" s="1222">
        <v>0</v>
      </c>
      <c r="U26" s="1446" t="s">
        <v>2396</v>
      </c>
      <c r="V26" s="1222"/>
      <c r="W26" s="1222"/>
      <c r="X26" s="1222"/>
    </row>
    <row r="27" spans="1:41" ht="56" customHeight="1">
      <c r="A27" s="58"/>
      <c r="B27" s="2608" t="s">
        <v>2397</v>
      </c>
      <c r="C27" s="2468"/>
      <c r="D27" s="2468"/>
      <c r="E27" s="2468"/>
      <c r="F27" s="2468"/>
      <c r="G27" s="2468"/>
      <c r="H27" s="2468"/>
      <c r="I27" s="2580"/>
      <c r="J27" s="8"/>
      <c r="M27" s="32" t="s">
        <v>2375</v>
      </c>
      <c r="N27" s="32" t="s">
        <v>2376</v>
      </c>
      <c r="O27" s="32" t="s">
        <v>2377</v>
      </c>
      <c r="P27" s="2336"/>
      <c r="Q27" s="1365"/>
      <c r="T27" s="1222">
        <v>1</v>
      </c>
      <c r="U27" s="1446" t="s">
        <v>2368</v>
      </c>
      <c r="V27" s="1222"/>
      <c r="W27" s="1222"/>
      <c r="X27" s="1222"/>
      <c r="AC27" s="88" t="s">
        <v>1608</v>
      </c>
    </row>
    <row r="28" spans="1:41" ht="56" customHeight="1">
      <c r="A28" s="58"/>
      <c r="B28" s="2274"/>
      <c r="C28" s="2274"/>
      <c r="D28" s="2274"/>
      <c r="E28" s="2274"/>
      <c r="F28" s="2274"/>
      <c r="G28" s="2274"/>
      <c r="H28" s="2274"/>
      <c r="I28" s="2275"/>
      <c r="J28" s="8"/>
      <c r="L28" s="2293" t="s">
        <v>1845</v>
      </c>
      <c r="M28" s="2296"/>
      <c r="N28" s="2296"/>
      <c r="O28" s="2296"/>
      <c r="P28" s="2337"/>
      <c r="Q28" s="2338"/>
      <c r="T28" s="1222"/>
      <c r="U28" s="1446"/>
      <c r="V28" s="1222"/>
      <c r="W28" s="1222"/>
      <c r="X28" s="1222"/>
      <c r="AC28" s="88"/>
    </row>
    <row r="29" spans="1:41" ht="50" customHeight="1">
      <c r="A29" s="2576" t="s">
        <v>2378</v>
      </c>
      <c r="B29" s="13" t="s">
        <v>2398</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t="str">
        <f>IF(Test_Bible!B264="","",Test_Bible!P264)</f>
        <v>9</v>
      </c>
      <c r="I29" s="1900"/>
      <c r="J29" s="8"/>
      <c r="M29" s="13"/>
      <c r="N29" s="13"/>
      <c r="O29" s="13"/>
      <c r="P29" s="2343"/>
      <c r="Q29" s="2344"/>
      <c r="T29" s="1222">
        <v>2</v>
      </c>
      <c r="U29" s="1446" t="s">
        <v>2399</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510"/>
      <c r="C30" s="510"/>
      <c r="F30" s="1909"/>
      <c r="H30" s="67"/>
      <c r="I30" s="1899"/>
      <c r="J30" s="8"/>
      <c r="M30" s="13"/>
      <c r="N30" s="13"/>
      <c r="O30" s="13"/>
      <c r="P30" s="2343"/>
      <c r="Q30" s="2344"/>
      <c r="T30" s="1222">
        <v>3</v>
      </c>
      <c r="U30" s="1446" t="s">
        <v>2399</v>
      </c>
      <c r="V30" s="1222"/>
      <c r="W30" s="1222"/>
      <c r="X30" s="1222"/>
      <c r="AA30" s="2612" t="s">
        <v>1618</v>
      </c>
      <c r="AB30" s="2" t="s">
        <v>2393</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0" t="s">
        <v>2385</v>
      </c>
    </row>
    <row r="31" spans="1:41" ht="36" customHeight="1">
      <c r="A31" s="58"/>
      <c r="D31" s="2" t="s">
        <v>2382</v>
      </c>
      <c r="E31" s="1817">
        <f>MAX(E29:E30)</f>
        <v>0</v>
      </c>
      <c r="G31" s="2" t="s">
        <v>2382</v>
      </c>
      <c r="H31" s="1227">
        <f>MAX(H29:H30)</f>
        <v>0</v>
      </c>
      <c r="I31" s="1901" t="str">
        <f>IF(E31=0,"Ne peut statuer",VLOOKUP(E31,Echelle_Lineaire_Diff,H31+1))</f>
        <v>Ne peut statuer</v>
      </c>
      <c r="J31" s="8"/>
      <c r="M31" s="13"/>
      <c r="N31" s="13"/>
      <c r="O31" s="13"/>
      <c r="P31" s="2343"/>
      <c r="Q31" s="2344"/>
      <c r="T31" s="1222">
        <v>4</v>
      </c>
      <c r="U31" s="1446" t="s">
        <v>2400</v>
      </c>
      <c r="V31" s="1222"/>
      <c r="W31" s="1222"/>
      <c r="X31" s="1222"/>
      <c r="AA31" s="246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8"/>
    </row>
    <row r="32" spans="1:41">
      <c r="A32" s="58"/>
      <c r="I32" s="1899"/>
      <c r="J32" s="8"/>
      <c r="M32" s="13"/>
      <c r="N32" s="13"/>
      <c r="O32" s="13"/>
      <c r="P32" s="2343"/>
      <c r="Q32" s="2344"/>
      <c r="T32" s="1222">
        <v>5</v>
      </c>
      <c r="U32" s="1446" t="s">
        <v>2400</v>
      </c>
      <c r="V32" s="1222"/>
      <c r="W32" s="1222"/>
      <c r="X32" s="1222"/>
      <c r="AA32" s="246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8"/>
    </row>
    <row r="33" spans="1:41" ht="51" customHeight="1">
      <c r="A33" s="2576" t="s">
        <v>2378</v>
      </c>
      <c r="B33" s="13" t="s">
        <v>2401</v>
      </c>
      <c r="C33" s="510" t="str">
        <f>BIBLE!E43</f>
        <v>H04a</v>
      </c>
      <c r="D33" s="272" t="str">
        <f>BIBLE!G43</f>
        <v>Durant la vie commune, dans quelle mesure diriez-vous que la relation entre votre enfant et l'autre parent était fusionnelle?</v>
      </c>
      <c r="E33" s="67">
        <f>IF(Test_Bible!B101=" ","",Test_Bible!P101)</f>
        <v>0</v>
      </c>
      <c r="F33" s="1896" t="str">
        <f>Test_Bible!A166</f>
        <v>PFA02</v>
      </c>
      <c r="G33" s="1517" t="str">
        <f>Test_Bible!B166</f>
        <v>Selon vous, dans quelle mesure l'autre parent entretien une relation fusionnelle avec votre enfant ?</v>
      </c>
      <c r="H33" s="67" t="str">
        <f>IF(Test_Bible!B166="","",Test_Bible!P166)</f>
        <v>8</v>
      </c>
      <c r="I33" s="1900"/>
      <c r="J33" s="8"/>
      <c r="M33" s="13"/>
      <c r="N33" s="13"/>
      <c r="O33" s="13"/>
      <c r="P33" s="2343"/>
      <c r="Q33" s="2344"/>
      <c r="T33" s="1222">
        <v>6</v>
      </c>
      <c r="U33" s="1446" t="s">
        <v>2402</v>
      </c>
      <c r="V33" s="1222"/>
      <c r="W33" s="1222"/>
      <c r="X33" s="1222"/>
      <c r="AA33" s="246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8"/>
    </row>
    <row r="34" spans="1:41" ht="59" customHeight="1">
      <c r="A34" s="2510"/>
      <c r="C34" s="510"/>
      <c r="F34" s="577" t="str">
        <f>BIBLE!E153</f>
        <v>E02a</v>
      </c>
      <c r="G34" s="272" t="str">
        <f>BIBLE!F153</f>
        <v>Dans quelle mesure diriez-vous que la relation entre votre enfant et l'autre parent est fusionnelle ?</v>
      </c>
      <c r="H34" s="67" t="str">
        <f>IF(Test_Bible!B265="","",Test_Bible!P265)</f>
        <v>5</v>
      </c>
      <c r="I34" s="1899"/>
      <c r="J34" s="8"/>
      <c r="M34" s="13"/>
      <c r="N34" s="13"/>
      <c r="O34" s="13"/>
      <c r="P34" s="2343"/>
      <c r="Q34" s="2344"/>
      <c r="T34" s="1222">
        <v>7</v>
      </c>
      <c r="U34" s="1446" t="s">
        <v>2402</v>
      </c>
      <c r="V34" s="1222"/>
      <c r="W34" s="1222"/>
      <c r="X34" s="1375"/>
      <c r="AA34" s="246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8"/>
    </row>
    <row r="35" spans="1:41">
      <c r="A35" s="58"/>
      <c r="D35" s="2" t="s">
        <v>2382</v>
      </c>
      <c r="E35" s="1817">
        <f>MAX(E33:E34)</f>
        <v>0</v>
      </c>
      <c r="G35" s="2" t="s">
        <v>2382</v>
      </c>
      <c r="H35" s="1227">
        <f>MAX(H33:H34)</f>
        <v>0</v>
      </c>
      <c r="I35" s="1901" t="str">
        <f>IF(E35=0,"Ne peut statuer",VLOOKUP(E35,Echelle_Lineaire_Diff,H35+1))</f>
        <v>Ne peut statuer</v>
      </c>
      <c r="J35" s="8"/>
      <c r="M35" s="13"/>
      <c r="N35" s="13"/>
      <c r="O35" s="13"/>
      <c r="P35" s="2343"/>
      <c r="Q35" s="2344"/>
      <c r="T35" s="1222">
        <v>8</v>
      </c>
      <c r="U35" s="1446" t="s">
        <v>2402</v>
      </c>
      <c r="V35" s="1222"/>
      <c r="W35" s="1222"/>
      <c r="X35" s="1375"/>
      <c r="AA35" s="246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8"/>
    </row>
    <row r="36" spans="1:41">
      <c r="A36" s="58"/>
      <c r="I36" s="1899"/>
      <c r="J36" s="8"/>
      <c r="M36" s="13"/>
      <c r="N36" s="13"/>
      <c r="O36" s="13"/>
      <c r="P36" s="2343"/>
      <c r="Q36" s="2344"/>
      <c r="T36" s="1222">
        <v>9</v>
      </c>
      <c r="U36" s="1446" t="s">
        <v>2402</v>
      </c>
      <c r="V36" s="1222"/>
      <c r="W36" s="1222"/>
      <c r="X36" s="1375"/>
      <c r="AA36" s="246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8"/>
    </row>
    <row r="37" spans="1:41" ht="52" customHeight="1">
      <c r="A37" s="2576" t="s">
        <v>2378</v>
      </c>
      <c r="B37" s="13" t="s">
        <v>2403</v>
      </c>
      <c r="C37" s="510" t="str">
        <f>BIBLE!E42</f>
        <v>H04</v>
      </c>
      <c r="D37" s="272" t="str">
        <f>BIBLE!F42</f>
        <v>Quel était le degré de complicité entre votre enfant et l'autre parent ?</v>
      </c>
      <c r="E37" s="67" t="str">
        <f>IF(Test_Bible!B100=" ","",Test_Bible!P100)</f>
        <v>4</v>
      </c>
      <c r="F37" s="1896" t="str">
        <f>BIBLE!E81</f>
        <v>PFA01</v>
      </c>
      <c r="G37" s="1517" t="str">
        <f>BIBLE!F81</f>
        <v xml:space="preserve">Comment qualifieriez-vous la relation et le degré de complicité entre votre enfant et l'autre parent, aujourd'hui (temps présent) ? </v>
      </c>
      <c r="H37" s="67" t="str">
        <f>IF(Test_Bible!B165="","",Test_Bible!P165)</f>
        <v>5</v>
      </c>
      <c r="I37" s="1900"/>
      <c r="J37" s="8"/>
      <c r="M37" s="13"/>
      <c r="N37" s="13"/>
      <c r="O37" s="13"/>
      <c r="P37" s="2343"/>
      <c r="Q37" s="2344"/>
      <c r="T37" s="1222">
        <v>10</v>
      </c>
      <c r="U37" s="1446" t="s">
        <v>2402</v>
      </c>
      <c r="V37" s="1222"/>
      <c r="W37" s="1222"/>
      <c r="X37" s="1375"/>
      <c r="AA37" s="246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8"/>
    </row>
    <row r="38" spans="1:41" ht="19" customHeight="1">
      <c r="A38" s="2510"/>
      <c r="C38" s="510"/>
      <c r="D38" s="272"/>
      <c r="E38" s="67"/>
      <c r="F38" s="1909"/>
      <c r="H38" s="67"/>
      <c r="I38" s="1899"/>
      <c r="J38" s="8"/>
      <c r="P38" s="2339"/>
      <c r="Q38" s="2340"/>
      <c r="T38" s="1678" t="s">
        <v>1607</v>
      </c>
      <c r="U38" s="1677"/>
      <c r="V38" s="1677"/>
      <c r="W38" s="1677"/>
      <c r="X38" s="1677"/>
      <c r="AA38" s="246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8"/>
    </row>
    <row r="39" spans="1:41" ht="30" customHeight="1">
      <c r="A39" s="58"/>
      <c r="D39" s="2" t="s">
        <v>2382</v>
      </c>
      <c r="E39" s="1817">
        <f>MAX(E37:E38)</f>
        <v>0</v>
      </c>
      <c r="G39" s="2" t="s">
        <v>2382</v>
      </c>
      <c r="H39" s="1227">
        <f>MAX(H37:H38)</f>
        <v>0</v>
      </c>
      <c r="I39" s="1901" t="str">
        <f>IF(E39=0,"Ne peut statuer",VLOOKUP(E39,Echelle_Lineaire_Diff,H39+1))</f>
        <v>Ne peut statuer</v>
      </c>
      <c r="J39" s="8"/>
      <c r="P39" s="2339"/>
      <c r="Q39" s="2340"/>
      <c r="T39" s="1678">
        <v>0</v>
      </c>
      <c r="U39" s="1446" t="s">
        <v>2404</v>
      </c>
      <c r="V39" s="1677"/>
      <c r="W39" s="1677"/>
      <c r="X39" s="1677"/>
      <c r="AA39" s="2468"/>
      <c r="AB39" s="53" t="s">
        <v>2394</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2405</v>
      </c>
      <c r="E40" s="2118">
        <f>MAX(E31,E35,E39)</f>
        <v>0</v>
      </c>
      <c r="G40" s="2" t="s">
        <v>2405</v>
      </c>
      <c r="H40" s="2119">
        <f>MAX(H31,H35,H39)</f>
        <v>0</v>
      </c>
      <c r="I40" s="1901" t="str">
        <f>IF(E40=0,"Ne peut statuer",VLOOKUP(E40,Echelle_Lineaire_Diff,H40+1))</f>
        <v>Ne peut statuer</v>
      </c>
      <c r="J40" s="1815">
        <f>E40</f>
        <v>0</v>
      </c>
      <c r="K40" s="1815" t="str">
        <f>I40</f>
        <v>Ne peut statuer</v>
      </c>
      <c r="L40" s="438" t="str">
        <f>IF(J40=0,$U$39,IF(K40&gt;0,VLOOKUP(K40,$T$11:$U$24,2),VLOOKUP(ABS(K40),$T$26:$U$37,2)))</f>
        <v>Il n'est pas possible de statuer puisque l'historique est absent</v>
      </c>
      <c r="M40" s="2123"/>
      <c r="N40" s="2123"/>
      <c r="O40" s="2123"/>
      <c r="P40" s="2341"/>
      <c r="Q40" s="2342"/>
      <c r="T40" s="4" t="s">
        <v>2406</v>
      </c>
      <c r="U40" s="7"/>
      <c r="V40" s="7"/>
      <c r="W40" s="7"/>
      <c r="X40" s="7"/>
      <c r="AA40" s="2115"/>
      <c r="AB40" s="53"/>
      <c r="AD40" s="8"/>
      <c r="AE40" s="2611" t="s">
        <v>2369</v>
      </c>
      <c r="AF40" s="2468"/>
      <c r="AG40" s="2468"/>
      <c r="AH40" s="2468"/>
      <c r="AI40" s="2468"/>
      <c r="AJ40" s="2468"/>
      <c r="AK40" s="2468"/>
      <c r="AL40" s="2468"/>
      <c r="AM40" s="2468"/>
      <c r="AN40" s="47"/>
    </row>
    <row r="41" spans="1:41">
      <c r="A41" s="58"/>
      <c r="I41" s="1899"/>
      <c r="J41" s="8"/>
      <c r="P41" s="2339"/>
      <c r="Q41" s="2340"/>
      <c r="U41" t="s">
        <v>1607</v>
      </c>
      <c r="V41" t="s">
        <v>2295</v>
      </c>
      <c r="W41" t="s">
        <v>1608</v>
      </c>
      <c r="X41" t="s">
        <v>2</v>
      </c>
      <c r="AB41" s="53"/>
      <c r="AD41" s="8"/>
      <c r="AO41" s="2117" t="s">
        <v>2407</v>
      </c>
    </row>
    <row r="42" spans="1:41" ht="28" customHeight="1">
      <c r="L42" s="34" t="s">
        <v>2408</v>
      </c>
      <c r="P42" s="2339"/>
      <c r="Q42" s="2340"/>
    </row>
    <row r="43" spans="1:41" ht="28" customHeight="1">
      <c r="L43" t="s">
        <v>2409</v>
      </c>
      <c r="P43" s="2339"/>
      <c r="Q43" s="2340"/>
    </row>
    <row r="44" spans="1:41" ht="35" customHeight="1">
      <c r="M44" s="2098"/>
      <c r="N44" s="2098"/>
      <c r="O44" s="2098"/>
      <c r="P44" s="2345"/>
      <c r="Q44" s="2346"/>
    </row>
    <row r="45" spans="1:41" ht="35" customHeight="1">
      <c r="L45" s="2191" t="s">
        <v>1768</v>
      </c>
      <c r="M45" s="2098"/>
      <c r="N45" s="2098"/>
      <c r="O45" s="2098"/>
      <c r="P45" s="2345"/>
      <c r="Q45" s="2346"/>
    </row>
    <row r="46" spans="1:41" ht="38" customHeight="1">
      <c r="L46" s="7" t="s">
        <v>2030</v>
      </c>
      <c r="M46" s="2123"/>
      <c r="N46" s="2123"/>
      <c r="O46" s="2123"/>
      <c r="P46" s="2341"/>
      <c r="Q46" s="2342"/>
    </row>
    <row r="47" spans="1:41" ht="38" customHeight="1">
      <c r="L47" s="7" t="s">
        <v>152</v>
      </c>
      <c r="M47" s="2123"/>
      <c r="N47" s="2123"/>
      <c r="O47" s="2123"/>
      <c r="P47" s="2341"/>
      <c r="Q47" s="2342"/>
    </row>
    <row r="48" spans="1:41" ht="43" customHeight="1">
      <c r="L48" s="7" t="s">
        <v>2410</v>
      </c>
      <c r="M48" s="2123"/>
      <c r="N48" s="2123"/>
      <c r="O48" s="2123"/>
      <c r="P48" s="2341"/>
      <c r="Q48" s="2342"/>
    </row>
    <row r="49" spans="1:36" ht="43" customHeight="1">
      <c r="L49" t="s">
        <v>1885</v>
      </c>
      <c r="M49" s="2123"/>
      <c r="N49" s="2123"/>
      <c r="O49" s="2123"/>
      <c r="P49" s="2341"/>
      <c r="Q49" s="2342"/>
    </row>
    <row r="50" spans="1:36" ht="43" customHeight="1">
      <c r="P50" s="2339"/>
      <c r="Q50" s="2340"/>
    </row>
    <row r="51" spans="1:36" ht="43" customHeight="1">
      <c r="P51" s="2339"/>
      <c r="Q51" s="2340"/>
    </row>
    <row r="52" spans="1:36" ht="43" customHeight="1">
      <c r="P52" s="2339"/>
      <c r="Q52" s="2340"/>
    </row>
    <row r="53" spans="1:36" ht="43" customHeight="1">
      <c r="L53" s="49" t="s">
        <v>2411</v>
      </c>
      <c r="P53" s="2339"/>
      <c r="Q53" s="2340"/>
    </row>
    <row r="54" spans="1:36" ht="30" customHeight="1">
      <c r="A54" s="58"/>
      <c r="B54" s="2608" t="s">
        <v>2412</v>
      </c>
      <c r="C54" s="2468"/>
      <c r="D54" s="2468"/>
      <c r="E54" s="2468"/>
      <c r="F54" s="2468"/>
      <c r="G54" s="2468"/>
      <c r="H54" s="2468"/>
      <c r="I54" s="2580"/>
      <c r="J54" s="8"/>
      <c r="M54" s="2473" t="s">
        <v>2413</v>
      </c>
      <c r="N54" s="2526"/>
      <c r="O54" s="2526"/>
      <c r="P54" s="2336"/>
      <c r="Q54" s="1365"/>
      <c r="AF54" s="2" t="s">
        <v>1610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74"/>
      <c r="C55" s="2274"/>
      <c r="D55" s="2274"/>
      <c r="E55" s="2274"/>
      <c r="F55" s="2274"/>
      <c r="G55" s="2274"/>
      <c r="H55" s="2274"/>
      <c r="I55" s="2275"/>
      <c r="J55" s="8"/>
      <c r="M55" s="32" t="s">
        <v>2375</v>
      </c>
      <c r="N55" s="32" t="s">
        <v>2376</v>
      </c>
      <c r="O55" s="32" t="s">
        <v>2377</v>
      </c>
      <c r="P55" s="2336"/>
      <c r="Q55" s="1365"/>
      <c r="AF55" s="2"/>
      <c r="AG55" s="55"/>
      <c r="AH55" s="55"/>
      <c r="AI55" s="55"/>
    </row>
    <row r="56" spans="1:36" ht="51" customHeight="1">
      <c r="A56" s="2576" t="s">
        <v>2414</v>
      </c>
      <c r="B56" s="13" t="s">
        <v>2415</v>
      </c>
      <c r="C56" s="510" t="str">
        <f>BIBLE!E47</f>
        <v>H06</v>
      </c>
      <c r="D56" s="272" t="str">
        <f>BIBLE!F47</f>
        <v xml:space="preserve">Dans quelle mesure diriez-vous que l'autre parent percevait votre rôle parental aussi important que le sien ? </v>
      </c>
      <c r="E56" s="67" t="str">
        <f>IF(Test_Bible!B106=" ","",Test_Bible!P106)</f>
        <v>4</v>
      </c>
      <c r="F56" s="1896" t="str">
        <f>BIBLE!E119</f>
        <v>PFA21</v>
      </c>
      <c r="G56" s="1517" t="str">
        <f>BIBLE!F119</f>
        <v xml:space="preserve">Dans quelle mesure diriez-vous que l'autre parent vous considère comme étant son égal·e sur le plan parental ? </v>
      </c>
      <c r="H56" s="67" t="str">
        <f>IF(Test_Bible!B205="","",Test_Bible!P205)</f>
        <v>4</v>
      </c>
      <c r="I56" s="1900"/>
      <c r="J56" s="8"/>
      <c r="L56" s="2293" t="s">
        <v>1845</v>
      </c>
      <c r="M56" s="2296"/>
      <c r="N56" s="2296"/>
      <c r="O56" s="2296"/>
      <c r="P56" s="2337"/>
      <c r="Q56" s="2338"/>
      <c r="AF56" s="2" t="s">
        <v>1611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510"/>
      <c r="C57" s="510" t="str">
        <f>BIBLE!E48</f>
        <v>H06a</v>
      </c>
      <c r="D57" s="13" t="str">
        <f>BIBLE!F48</f>
        <v>Arrivait-il que l'autre parent présente à votre entourage une vision négative de vos compétences parentales ?</v>
      </c>
      <c r="E57" s="67" t="str">
        <f>IF(Test_Bible!B107=" ","",Test_Bible!P107)</f>
        <v>7</v>
      </c>
      <c r="F57" s="1909"/>
      <c r="H57" s="67"/>
      <c r="I57" s="1899"/>
      <c r="J57" s="8"/>
      <c r="M57" s="13"/>
      <c r="N57" s="13"/>
      <c r="O57" s="13"/>
      <c r="P57" s="2343"/>
      <c r="Q57" s="2344"/>
      <c r="AF57" s="2" t="s">
        <v>1612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2382</v>
      </c>
      <c r="E58" s="1817">
        <f>MAX(E56:E57)</f>
        <v>0</v>
      </c>
      <c r="G58" s="2" t="s">
        <v>2382</v>
      </c>
      <c r="H58" s="1227">
        <f>MAX(H56:H57)</f>
        <v>0</v>
      </c>
      <c r="I58" s="1901" t="str">
        <f>IF(E58=0,"Ne peut statuer",VLOOKUP(E58,Échelle_Exp_Diff,HLOOKUP(H58,$AD$10:$AJ$11,2)))</f>
        <v>Ne peut statuer</v>
      </c>
      <c r="J58" s="8"/>
      <c r="M58" s="13"/>
      <c r="N58" s="13"/>
      <c r="O58" s="13"/>
      <c r="P58" s="2343"/>
      <c r="Q58" s="2344"/>
      <c r="AF58" s="2" t="s">
        <v>1613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9"/>
      <c r="J59" s="8"/>
      <c r="M59" s="13"/>
      <c r="N59" s="13"/>
      <c r="O59" s="13"/>
      <c r="P59" s="2343"/>
      <c r="Q59" s="2344"/>
    </row>
    <row r="60" spans="1:36" ht="34" customHeight="1">
      <c r="A60" s="2576" t="s">
        <v>2414</v>
      </c>
      <c r="B60" s="7" t="s">
        <v>2416</v>
      </c>
      <c r="C60" s="510" t="str">
        <f>BIBLE!E45</f>
        <v>H05</v>
      </c>
      <c r="D60" s="272" t="str">
        <f>BIBLE!F45</f>
        <v>Arrivait-il que l'autre parent vous critique ou vous dénigre devant votre enfant ?</v>
      </c>
      <c r="E60" s="67" t="str">
        <f>IF(Test_Bible!B104=" ","",Test_Bible!P104)</f>
        <v>2</v>
      </c>
      <c r="F60" s="1896" t="str">
        <f>BIBLE!E100</f>
        <v>PFA13</v>
      </c>
      <c r="G60" s="1517" t="str">
        <f>BIBLE!F100</f>
        <v>L’autre parent vous dénigre en la présence de votre enfant.</v>
      </c>
      <c r="H60" s="67" t="str">
        <f>IF(Test_Bible!B186="","",Test_Bible!P186)</f>
        <v>10</v>
      </c>
      <c r="I60" s="1900"/>
      <c r="J60" s="8"/>
      <c r="M60" s="13"/>
      <c r="N60" s="13"/>
      <c r="O60" s="13"/>
      <c r="P60" s="2343"/>
      <c r="Q60" s="2344"/>
    </row>
    <row r="61" spans="1:36">
      <c r="A61" s="2510"/>
      <c r="C61" s="510"/>
      <c r="F61" s="1909"/>
      <c r="H61" s="67"/>
      <c r="I61" s="1899"/>
      <c r="J61" s="8"/>
      <c r="M61" s="13"/>
      <c r="N61" s="13"/>
      <c r="O61" s="13"/>
      <c r="P61" s="2343"/>
      <c r="Q61" s="2344"/>
    </row>
    <row r="62" spans="1:36" ht="31" customHeight="1">
      <c r="D62" s="2" t="s">
        <v>2382</v>
      </c>
      <c r="E62" s="1817">
        <f>MAX(E60)</f>
        <v>0</v>
      </c>
      <c r="G62" s="2" t="s">
        <v>2382</v>
      </c>
      <c r="H62" s="1227">
        <f>MAX(H60:H61)</f>
        <v>0</v>
      </c>
      <c r="I62" s="1901" t="str">
        <f>IF(E62=0,"Ne peut statuer",VLOOKUP(E62,Échelle_Exp_Diff,HLOOKUP(H62,$AD$10:$AJ$11,2)))</f>
        <v>Ne peut statuer</v>
      </c>
      <c r="J62" s="8"/>
      <c r="P62" s="2339"/>
      <c r="Q62" s="2340"/>
    </row>
    <row r="63" spans="1:36" s="7" customFormat="1" ht="60" customHeight="1" thickBot="1">
      <c r="D63" s="53" t="s">
        <v>2405</v>
      </c>
      <c r="E63" s="2118">
        <f>MAX(E58,E62)</f>
        <v>0</v>
      </c>
      <c r="G63" s="53" t="s">
        <v>2405</v>
      </c>
      <c r="H63" s="2119">
        <f>MAX(H58,H62)</f>
        <v>0</v>
      </c>
      <c r="I63" s="1901" t="str">
        <f>IF(E63=0,"Ne peut statuer",VLOOKUP(E63,Échelle_Exp_Diff,HLOOKUP(H63,$AD$10:$AJ$11,2)))</f>
        <v>Ne peut statuer</v>
      </c>
      <c r="J63" s="1815">
        <f>E63</f>
        <v>0</v>
      </c>
      <c r="K63" s="1815" t="str">
        <f>I63</f>
        <v>Ne peut statuer</v>
      </c>
      <c r="L63" s="438" t="str">
        <f>IF(J63=0,$U$39,IF(K63&gt;0,VLOOKUP(K63,$T$11:$U$24,2),VLOOKUP(ABS(K63),$T$26:$U$37,2)))</f>
        <v>Il n'est pas possible de statuer puisque l'historique est absent</v>
      </c>
      <c r="M63" s="2094"/>
      <c r="N63" s="2094"/>
      <c r="O63" s="2094"/>
      <c r="P63" s="2347"/>
      <c r="Q63" s="2348"/>
    </row>
    <row r="65" spans="12:24" ht="42" customHeight="1">
      <c r="L65" s="7" t="s">
        <v>2030</v>
      </c>
      <c r="M65" s="2123"/>
      <c r="N65" s="2123"/>
      <c r="O65" s="2123"/>
      <c r="P65" s="2123"/>
      <c r="Q65" s="2123"/>
    </row>
    <row r="66" spans="12:24" ht="41" customHeight="1">
      <c r="L66" t="s">
        <v>1885</v>
      </c>
      <c r="M66" s="2123"/>
      <c r="N66" s="2123"/>
      <c r="O66" s="2123"/>
      <c r="P66" s="2123"/>
      <c r="Q66" s="2123"/>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1904</v>
      </c>
    </row>
    <row r="2" spans="1:10" ht="53" customHeight="1">
      <c r="A2" s="407" t="s">
        <v>1736</v>
      </c>
      <c r="C2" s="407" t="s">
        <v>2417</v>
      </c>
      <c r="J2" s="407"/>
    </row>
    <row r="3" spans="1:10" ht="95" customHeight="1">
      <c r="A3" s="407"/>
      <c r="C3" s="407"/>
      <c r="E3" t="s">
        <v>2418</v>
      </c>
      <c r="J3" s="407"/>
    </row>
    <row r="4" spans="1:10" ht="151" customHeight="1">
      <c r="A4" s="407"/>
      <c r="C4" s="407"/>
      <c r="E4" s="82" t="s">
        <v>2419</v>
      </c>
      <c r="J4" s="407"/>
    </row>
    <row r="5" spans="1:10" ht="41" customHeight="1">
      <c r="A5" s="407"/>
      <c r="C5" s="407"/>
      <c r="J5" s="407"/>
    </row>
    <row r="6" spans="1:10" ht="91" customHeight="1">
      <c r="A6" s="2271" t="s">
        <v>1739</v>
      </c>
      <c r="C6" s="2617" t="s">
        <v>2420</v>
      </c>
      <c r="D6" s="2474"/>
      <c r="E6" s="2468"/>
      <c r="F6" s="2469"/>
      <c r="J6" s="1745"/>
    </row>
    <row r="7" spans="1:10" ht="53" customHeight="1" thickBot="1">
      <c r="A7" s="1717"/>
      <c r="C7" s="1745"/>
      <c r="J7" s="1752"/>
    </row>
    <row r="8" spans="1:10" ht="35" customHeight="1">
      <c r="C8" s="55"/>
      <c r="D8" s="2618" t="s">
        <v>2421</v>
      </c>
      <c r="E8" s="2492"/>
      <c r="F8" s="2492"/>
      <c r="G8" s="2349"/>
      <c r="H8" s="1147"/>
    </row>
    <row r="9" spans="1:10" ht="70" customHeight="1">
      <c r="C9" s="53" t="s">
        <v>1845</v>
      </c>
      <c r="D9" s="2619" t="s">
        <v>2422</v>
      </c>
      <c r="E9" s="2468"/>
      <c r="F9" s="2469"/>
      <c r="G9" s="2350" t="s">
        <v>152</v>
      </c>
      <c r="H9" s="2351" t="s">
        <v>1910</v>
      </c>
    </row>
    <row r="10" spans="1:10" ht="57" customHeight="1">
      <c r="B10" s="700" t="s">
        <v>1639</v>
      </c>
      <c r="C10" s="700" t="s">
        <v>2423</v>
      </c>
      <c r="D10" s="700"/>
      <c r="E10" s="700"/>
      <c r="F10" s="700"/>
      <c r="G10" s="2328"/>
      <c r="H10" s="292"/>
    </row>
    <row r="11" spans="1:10" ht="57" customHeight="1">
      <c r="A11" t="s">
        <v>1340</v>
      </c>
      <c r="B11" s="408">
        <f>Test_Bible!AH433</f>
        <v>0.56629834254143652</v>
      </c>
      <c r="C11" s="408">
        <f>Test_Bible!AH458</f>
        <v>0.4</v>
      </c>
      <c r="G11" s="2328"/>
      <c r="H11" s="292"/>
    </row>
    <row r="12" spans="1:10" ht="57" customHeight="1">
      <c r="A12" t="s">
        <v>1341</v>
      </c>
      <c r="B12" s="408">
        <f>Test_Bible!AI433</f>
        <v>0.21961325966850828</v>
      </c>
      <c r="C12" s="408">
        <f>Test_Bible!AI458</f>
        <v>0.36346153846153845</v>
      </c>
      <c r="G12" s="2328"/>
      <c r="H12" s="292"/>
    </row>
    <row r="13" spans="1:10" ht="57" customHeight="1" thickBot="1">
      <c r="A13" t="s">
        <v>1342</v>
      </c>
      <c r="B13" s="408">
        <f>Test_Bible!AJ433</f>
        <v>0.21408839779005526</v>
      </c>
      <c r="C13" s="408">
        <f>Test_Bible!AJ458</f>
        <v>0.23653846153846153</v>
      </c>
      <c r="G13" s="2352"/>
      <c r="H13" s="295"/>
    </row>
    <row r="14" spans="1:10" ht="52" customHeight="1">
      <c r="C14" s="53" t="s">
        <v>2030</v>
      </c>
      <c r="D14" s="1448"/>
      <c r="E14" s="1446"/>
      <c r="F14" s="1447"/>
    </row>
    <row r="15" spans="1:10" ht="42" customHeight="1">
      <c r="C15" s="53" t="s">
        <v>1885</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defaultColWidth="10.6640625" defaultRowHeight="28.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2424</v>
      </c>
      <c r="I1" s="601"/>
    </row>
    <row r="2" spans="1:25">
      <c r="B2" s="600" t="s">
        <v>2425</v>
      </c>
      <c r="I2" s="601"/>
    </row>
    <row r="3" spans="1:25">
      <c r="B3" s="600"/>
      <c r="I3" s="601"/>
    </row>
    <row r="5" spans="1:25" ht="47" customHeight="1">
      <c r="B5" s="740" t="s">
        <v>2426</v>
      </c>
      <c r="C5" s="522"/>
    </row>
    <row r="6" spans="1:25">
      <c r="B6" s="603" t="s">
        <v>1749</v>
      </c>
      <c r="D6" s="592" t="s">
        <v>89</v>
      </c>
      <c r="E6" s="808" t="s">
        <v>252</v>
      </c>
      <c r="F6" s="808" t="s">
        <v>235</v>
      </c>
      <c r="G6" s="592"/>
      <c r="H6" s="592"/>
      <c r="J6" s="601" t="s">
        <v>2427</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c r="C7" s="614"/>
      <c r="D7" s="615"/>
      <c r="E7" s="614"/>
      <c r="F7" s="614"/>
      <c r="G7" s="616"/>
      <c r="H7" s="672"/>
      <c r="I7" s="672"/>
      <c r="J7" s="672"/>
      <c r="K7" s="1952"/>
      <c r="L7" s="1952"/>
      <c r="M7" s="672"/>
      <c r="N7" s="672"/>
      <c r="O7" s="672"/>
      <c r="P7" s="672"/>
      <c r="Q7" s="1952"/>
      <c r="R7" s="1952"/>
      <c r="S7" s="672"/>
    </row>
    <row r="8" spans="1:25" ht="48" customHeight="1">
      <c r="A8" s="2016">
        <v>1</v>
      </c>
      <c r="B8" s="617" t="s">
        <v>1576</v>
      </c>
      <c r="C8" s="607" t="str">
        <f>BIBLE!E84</f>
        <v>PFA03</v>
      </c>
      <c r="D8" s="1204" t="str">
        <f>BIBLE!F84</f>
        <v>Selon vous, dans quelle mesure l'autre parent demande à votre enfant de garder des secrets ou de vous cacher des choses ?</v>
      </c>
      <c r="E8" s="1942" t="str">
        <f>Test_Bible!P170</f>
        <v>4</v>
      </c>
      <c r="F8" s="607">
        <f>Test_Bible!D170</f>
        <v>2</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t="str">
        <f>Test_Bible!P267</f>
        <v>2</v>
      </c>
      <c r="R8" s="1966">
        <f>Test_Bible!D267</f>
        <v>1</v>
      </c>
      <c r="S8" s="1132" t="str">
        <f>BIBLE!V154</f>
        <v>A:Alliance</v>
      </c>
      <c r="T8" s="1732"/>
      <c r="U8" s="620"/>
      <c r="V8" s="620"/>
      <c r="W8" s="1924"/>
      <c r="X8" s="1924"/>
      <c r="Y8" s="1147"/>
    </row>
    <row r="9" spans="1:25" ht="35" customHeight="1" thickBot="1">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c r="A10" s="2016"/>
      <c r="C10" s="16"/>
      <c r="D10" s="25"/>
      <c r="E10" s="16"/>
      <c r="F10" s="16"/>
      <c r="G10" s="598"/>
      <c r="O10" s="494"/>
      <c r="P10" s="272"/>
      <c r="Q10" s="16"/>
      <c r="R10" s="16"/>
      <c r="S10" s="1136"/>
    </row>
    <row r="11" spans="1:25" ht="56" customHeight="1">
      <c r="A11" s="2016">
        <v>2</v>
      </c>
      <c r="B11" s="617" t="s">
        <v>1577</v>
      </c>
      <c r="C11" s="607" t="str">
        <f>BIBLE!E85</f>
        <v>PFA04</v>
      </c>
      <c r="D11" s="1204" t="str">
        <f>BIBLE!F85</f>
        <v>L’autre parent laisse entendre à votre enfant que vous avez abandonné la famille.</v>
      </c>
      <c r="E11" s="1942" t="str">
        <f>Test_Bible!P171</f>
        <v>2</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t="str">
        <f>Test_Bible!P278</f>
        <v>4</v>
      </c>
      <c r="R11" s="1966">
        <f>Test_Bible!D278</f>
        <v>2</v>
      </c>
      <c r="S11" s="1137" t="str">
        <f>BIBLE!V161</f>
        <v>Altération ou dévoiement de la réalité</v>
      </c>
      <c r="T11" s="1732"/>
      <c r="U11" s="620"/>
      <c r="V11" s="620"/>
      <c r="W11" s="1924"/>
      <c r="X11" s="1924"/>
      <c r="Y11" s="1147"/>
    </row>
    <row r="12" spans="1:25" ht="61" customHeight="1" thickBot="1">
      <c r="A12" s="2016"/>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c r="A13" s="2016"/>
      <c r="C13" s="16"/>
      <c r="D13" s="25"/>
      <c r="E13" s="16"/>
      <c r="F13" s="16"/>
      <c r="G13" s="598"/>
    </row>
    <row r="14" spans="1:25" ht="64" customHeight="1" thickBot="1">
      <c r="A14" s="2016">
        <v>3</v>
      </c>
      <c r="B14" s="623" t="s">
        <v>1578</v>
      </c>
      <c r="C14" s="606" t="str">
        <f>BIBLE!E88</f>
        <v>PFA05a</v>
      </c>
      <c r="D14" s="1207" t="str">
        <f>BIBLE!F88</f>
        <v>L’autre parent laisse entendre à votre enfant que vous souffrez d’une maladie mentale ou que vous êtes instable psychologiquement.</v>
      </c>
      <c r="E14" s="1884">
        <f>Test_Bible!P174</f>
        <v>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t="str">
        <f>Test_Bible!P279</f>
        <v>4</v>
      </c>
      <c r="R14" s="625">
        <f>Test_Bible!D279</f>
        <v>3</v>
      </c>
      <c r="S14" s="1140" t="str">
        <f>BIBLE!V162</f>
        <v>Altération ou dévoiement de la réalité</v>
      </c>
      <c r="T14" s="1736"/>
      <c r="U14" s="612"/>
      <c r="V14" s="612"/>
      <c r="W14" s="1944"/>
      <c r="X14" s="1944"/>
      <c r="Y14" s="1931"/>
    </row>
    <row r="15" spans="1:25" ht="30" customHeight="1" thickBot="1">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c r="A16" s="2016">
        <v>4</v>
      </c>
      <c r="B16" s="623" t="s">
        <v>1579</v>
      </c>
      <c r="C16" s="625" t="str">
        <f>BIBLE!E87</f>
        <v>PFA05</v>
      </c>
      <c r="D16" s="1208" t="str">
        <f>BIBLE!F87</f>
        <v>L'autre parent laisse entendre à votre enfant qu’il ou elle n’est pas en sécurité avec vous.</v>
      </c>
      <c r="E16" s="1887" t="str">
        <f>Test_Bible!P173</f>
        <v>2</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t="str">
        <f>Test_Bible!P406</f>
        <v>4</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t="str">
        <f>Test_Bible!P280</f>
        <v>1</v>
      </c>
      <c r="R16" s="625">
        <f>Test_Bible!D280</f>
        <v>3</v>
      </c>
      <c r="S16" s="1140" t="str">
        <f>BIBLE!V163</f>
        <v>Altération ou dévoiement de la réalité</v>
      </c>
      <c r="T16" s="1736"/>
      <c r="U16" s="612"/>
      <c r="V16" s="612"/>
      <c r="W16" s="1944"/>
      <c r="X16" s="1944"/>
      <c r="Y16" s="1931"/>
    </row>
    <row r="17" spans="1:25" ht="30" customHeight="1" thickBot="1">
      <c r="A17" s="2016"/>
      <c r="B17" s="680"/>
      <c r="C17" s="605"/>
      <c r="D17" s="680"/>
      <c r="E17" s="605"/>
      <c r="F17" s="605"/>
      <c r="G17" s="639"/>
      <c r="I17" s="16"/>
      <c r="J17" s="272"/>
      <c r="K17" s="16"/>
      <c r="L17" s="16"/>
      <c r="M17" s="598"/>
      <c r="O17" s="494"/>
      <c r="P17" s="272"/>
      <c r="Q17" s="16"/>
      <c r="R17" s="16"/>
      <c r="S17" s="1136"/>
    </row>
    <row r="18" spans="1:25" ht="45" customHeight="1">
      <c r="A18" s="2016">
        <v>5</v>
      </c>
      <c r="B18" s="617" t="s">
        <v>1570</v>
      </c>
      <c r="C18" s="607" t="str">
        <f>BIBLE!E89</f>
        <v>PFA06</v>
      </c>
      <c r="D18" s="1204" t="str">
        <f>BIBLE!F89</f>
        <v>L'autre parent modifie certains faits concernant votre passé à son avantage ou à votre désavantage.</v>
      </c>
      <c r="E18" s="1942" t="str">
        <f>Test_Bible!P175</f>
        <v>1</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t="str">
        <f>Test_Bible!P305</f>
        <v>2</v>
      </c>
      <c r="R18" s="643">
        <f>Test_Bible!D305</f>
        <v>3</v>
      </c>
      <c r="S18" s="1983" t="str">
        <f>BIBLE!V184</f>
        <v>Interférence lien affectif ou symbolique</v>
      </c>
      <c r="T18" s="1732"/>
      <c r="U18" s="620"/>
      <c r="V18" s="620"/>
      <c r="W18" s="1924"/>
      <c r="X18" s="1924"/>
      <c r="Y18" s="1147"/>
    </row>
    <row r="19" spans="1:25" ht="52" customHeight="1" thickBot="1">
      <c r="A19" s="2016"/>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c r="A20" s="2016"/>
      <c r="C20" s="16"/>
      <c r="D20" s="25"/>
      <c r="E20" s="16"/>
      <c r="F20" s="16"/>
      <c r="G20" s="598"/>
    </row>
    <row r="21" spans="1:25" ht="68" customHeight="1">
      <c r="A21" s="2016">
        <v>6</v>
      </c>
      <c r="B21" s="617" t="s">
        <v>1580</v>
      </c>
      <c r="C21" s="607" t="str">
        <f>BIBLE!E91</f>
        <v>PFA07</v>
      </c>
      <c r="D21" s="1204" t="str">
        <f>BIBLE!F91</f>
        <v>L’autre parent culpabilise votre enfant de sa relation ou de son amour pour vous.</v>
      </c>
      <c r="E21" s="1942" t="str">
        <f>Test_Bible!P177</f>
        <v>7</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t="str">
        <f>Test_Bible!P281</f>
        <v>7</v>
      </c>
      <c r="R21" s="1966">
        <f>Test_Bible!D281</f>
        <v>1</v>
      </c>
      <c r="S21" s="1150" t="str">
        <f>BIBLE!V164</f>
        <v>Chantage affectif, manipulation</v>
      </c>
      <c r="T21" s="1732"/>
      <c r="U21" s="620"/>
      <c r="V21" s="620"/>
      <c r="W21" s="1924"/>
      <c r="X21" s="1924"/>
      <c r="Y21" s="1147"/>
    </row>
    <row r="22" spans="1:25" ht="34" customHeight="1">
      <c r="A22" s="2016"/>
      <c r="B22" s="671"/>
      <c r="C22" s="503" t="str">
        <f>BIBLE!E92</f>
        <v>PFA07a</v>
      </c>
      <c r="D22" s="692" t="str">
        <f>BIBLE!F92</f>
        <v>Il arrive que l’autre parent boude votre enfant lorsqu'il est temps de rentrer chez vous (pour votre tour de garde).</v>
      </c>
      <c r="E22" s="503" t="str">
        <f>Test_Bible!P178</f>
        <v>7</v>
      </c>
      <c r="F22" s="503">
        <f>Test_Bible!D178</f>
        <v>2</v>
      </c>
      <c r="G22" s="1151" t="str">
        <f>BIBLE!V92</f>
        <v>Chantage affectif, manipulation</v>
      </c>
      <c r="O22" s="494"/>
      <c r="P22" s="272"/>
      <c r="Q22" s="16"/>
      <c r="R22" s="16"/>
      <c r="S22" s="1152"/>
      <c r="T22" s="122"/>
      <c r="Y22" s="292"/>
    </row>
    <row r="23" spans="1:25" ht="35" customHeight="1" thickBot="1">
      <c r="A23" s="2016"/>
      <c r="B23" s="621"/>
      <c r="C23" s="637" t="str">
        <f>BIBLE!E93</f>
        <v>PFA07a1</v>
      </c>
      <c r="D23" s="1206" t="str">
        <f>BIBLE!F93</f>
        <v xml:space="preserve">Il arrive à l’autre parent de se fâcher contre votre enfant lorsqu'il ou elle exprime de l'affection pour vous. </v>
      </c>
      <c r="E23" s="637" t="str">
        <f>Test_Bible!P179</f>
        <v>7</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c r="A24" s="2016"/>
      <c r="C24" s="16"/>
      <c r="D24" s="25"/>
      <c r="E24" s="16"/>
      <c r="F24" s="16"/>
      <c r="G24" s="1136"/>
    </row>
    <row r="25" spans="1:25" ht="51" customHeight="1">
      <c r="A25" s="2016">
        <v>7</v>
      </c>
      <c r="B25" s="617" t="s">
        <v>1581</v>
      </c>
      <c r="C25" s="607" t="str">
        <f>BIBLE!E94</f>
        <v>PFA09</v>
      </c>
      <c r="D25" s="1204" t="str">
        <f>BIBLE!F94</f>
        <v>Arrive-t-il que l'autre parent vous accable de reproches par courriel ou texto au retour des enfants (après votre tour de garde) ?</v>
      </c>
      <c r="E25" s="1942" t="str">
        <f>Test_Bible!P180</f>
        <v>4</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t="str">
        <f>Test_Bible!P312</f>
        <v>4</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t="str">
        <f>Test_Bible!P126</f>
        <v>4</v>
      </c>
      <c r="X25" s="1978">
        <f>Test_Bible!D126</f>
        <v>1</v>
      </c>
      <c r="Y25" s="629" t="str">
        <f>BIBLE!V58</f>
        <v>Dénigrement</v>
      </c>
    </row>
    <row r="26" spans="1:25" ht="35" customHeight="1" thickBot="1">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t="str">
        <f>Test_Bible!P320</f>
        <v>4</v>
      </c>
      <c r="R26" s="637">
        <f>Test_Bible!D320</f>
        <v>3</v>
      </c>
      <c r="S26" s="1157" t="str">
        <f>BIBLE!V193</f>
        <v>Rôle actif de l'enfant</v>
      </c>
      <c r="T26" s="294"/>
      <c r="U26" s="294"/>
      <c r="V26" s="294"/>
      <c r="W26" s="1943"/>
      <c r="X26" s="1943"/>
      <c r="Y26" s="295"/>
    </row>
    <row r="27" spans="1:25" ht="30" customHeight="1" thickBot="1">
      <c r="A27" s="2016"/>
      <c r="C27" s="16"/>
      <c r="D27" s="25"/>
      <c r="E27" s="16"/>
      <c r="F27" s="16"/>
      <c r="G27" s="1136"/>
      <c r="I27" s="16"/>
      <c r="J27" s="272"/>
      <c r="K27" s="16"/>
      <c r="L27" s="16"/>
      <c r="M27" s="1136"/>
      <c r="O27" s="494"/>
      <c r="P27" s="272"/>
      <c r="Q27" s="16"/>
      <c r="R27" s="16"/>
      <c r="S27" s="1136"/>
    </row>
    <row r="28" spans="1:25" ht="65" customHeight="1">
      <c r="A28" s="2016">
        <v>8</v>
      </c>
      <c r="B28" s="617" t="s">
        <v>1566</v>
      </c>
      <c r="C28" s="607" t="str">
        <f>BIBLE!E96</f>
        <v>PFA10</v>
      </c>
      <c r="D28" s="1204" t="str">
        <f>BIBLE!F96</f>
        <v>L’autre parent vous salue lors de changements de garde, à l'école ou lors d'événements culturels ou sportifs.</v>
      </c>
      <c r="E28" s="1942" t="str">
        <f>Test_Bible!P182</f>
        <v>4</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t="str">
        <f>Test_Bible!P407</f>
        <v>2</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t="str">
        <f>Test_Bible!P284</f>
        <v>4</v>
      </c>
      <c r="R28" s="1966">
        <f>Test_Bible!D284</f>
        <v>2</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t="str">
        <f>Test_Bible!P124</f>
        <v>2</v>
      </c>
      <c r="X28" s="1978">
        <f>Test_Bible!D124</f>
        <v>1</v>
      </c>
      <c r="Y28" s="660" t="str">
        <f>BIBLE!V56</f>
        <v>Chantage affectif, manipulation</v>
      </c>
    </row>
    <row r="29" spans="1:25" ht="56" customHeight="1" thickBot="1">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t="str">
        <f>Test_Bible!P310</f>
        <v>7</v>
      </c>
      <c r="R29" s="1411">
        <f>Test_Bible!D310</f>
        <v>2</v>
      </c>
      <c r="S29" s="1157" t="str">
        <f>BIBLE!V189</f>
        <v>Rôle actif de l'enfant</v>
      </c>
      <c r="T29" s="294"/>
      <c r="U29" s="630"/>
      <c r="V29" s="1205"/>
      <c r="W29" s="609"/>
      <c r="X29" s="609"/>
      <c r="Y29" s="631"/>
    </row>
    <row r="30" spans="1:25" ht="30" customHeight="1" thickBot="1">
      <c r="A30" s="2016"/>
    </row>
    <row r="31" spans="1:25" ht="51" customHeight="1">
      <c r="A31" s="2016">
        <v>9</v>
      </c>
      <c r="B31" s="617" t="s">
        <v>1582</v>
      </c>
      <c r="C31" s="607" t="str">
        <f>BIBLE!E100</f>
        <v>PFA13</v>
      </c>
      <c r="D31" s="1204" t="str">
        <f>BIBLE!F100</f>
        <v>L’autre parent vous dénigre en la présence de votre enfant.</v>
      </c>
      <c r="E31" s="1942" t="str">
        <f>Test_Bible!P186</f>
        <v>10</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t="str">
        <f>Test_Bible!P415</f>
        <v>4</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t="str">
        <f>Test_Bible!P311</f>
        <v>7</v>
      </c>
      <c r="R31" s="1966">
        <f>Test_Bible!D311</f>
        <v>2</v>
      </c>
      <c r="S31" s="1163" t="str">
        <f>BIBLE!V190</f>
        <v>Dénigrement</v>
      </c>
      <c r="T31" s="1915"/>
      <c r="U31" s="1160" t="str">
        <f>BIBLE!E60</f>
        <v>PCR07</v>
      </c>
      <c r="V31" s="1217" t="str">
        <f>BIBLE!F60</f>
        <v>Il vous arrive de faire des reproches à l'autre parent devant votre enfant.</v>
      </c>
      <c r="W31" s="1979" t="str">
        <f>Test_Bible!P134</f>
        <v>4</v>
      </c>
      <c r="X31" s="1978">
        <f>Test_Bible!D134</f>
        <v>1</v>
      </c>
      <c r="Y31" s="629" t="str">
        <f>BIBLE!V60</f>
        <v>Dénigrement</v>
      </c>
    </row>
    <row r="32" spans="1:25" ht="35" customHeight="1" thickBot="1">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t="str">
        <f>Test_Bible!P414</f>
        <v>2</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t="str">
        <f>Test_Bible!P190</f>
        <v>2</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t="str">
        <f>Test_Bible!P416</f>
        <v>2</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t="str">
        <f>Test_Bible!P285</f>
        <v>1</v>
      </c>
      <c r="R34" s="1966">
        <f>Test_Bible!D285</f>
        <v>2</v>
      </c>
      <c r="S34" s="1163" t="str">
        <f>BIBLE!V168</f>
        <v>Dénigrement</v>
      </c>
      <c r="T34" s="1732"/>
      <c r="U34" s="620"/>
      <c r="V34" s="620"/>
      <c r="W34" s="1924"/>
      <c r="X34" s="1924"/>
      <c r="Y34" s="1147"/>
    </row>
    <row r="35" spans="1:25" ht="64" customHeight="1" thickBot="1">
      <c r="A35" s="2016"/>
      <c r="B35" s="621"/>
      <c r="C35" s="678" t="str">
        <f>BIBLE!E143</f>
        <v>PFA33</v>
      </c>
      <c r="D35" s="1209" t="str">
        <f>BIBLE!F143</f>
        <v>L'autre parent encourage ou entretient un discours dénigrant ou haineux à l’égard de votre nouveau ou nouvelle conjoint·e.</v>
      </c>
      <c r="E35" s="1948" t="str">
        <f>Test_Bible!P247</f>
        <v>7</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c r="A36" s="2016"/>
      <c r="C36" s="16"/>
      <c r="D36" s="25"/>
      <c r="E36" s="16"/>
      <c r="F36" s="16"/>
      <c r="G36" s="598"/>
      <c r="I36" s="16"/>
      <c r="J36" s="272"/>
      <c r="K36" s="16"/>
      <c r="L36" s="16"/>
      <c r="M36" s="1136"/>
      <c r="O36" s="494"/>
      <c r="P36" s="272"/>
      <c r="Q36" s="16"/>
      <c r="R36" s="16"/>
      <c r="S36" s="1136"/>
    </row>
    <row r="37" spans="1:25" ht="67" customHeight="1" thickBot="1">
      <c r="A37" s="2016">
        <v>11</v>
      </c>
      <c r="B37" s="617" t="s">
        <v>1583</v>
      </c>
      <c r="C37" s="606" t="str">
        <f>BIBLE!E105</f>
        <v>PFA15</v>
      </c>
      <c r="D37" s="1207" t="str">
        <f>BIBLE!F105</f>
        <v>L'autre parent laisse entendre qu'il ou elle représente la vraie famille de votre enfant.</v>
      </c>
      <c r="E37" s="1942" t="str">
        <f>Test_Bible!P191</f>
        <v>1</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t="str">
        <f>Test_Bible!P286</f>
        <v>1</v>
      </c>
      <c r="R37" s="1966">
        <f>Test_Bible!D286</f>
        <v>2</v>
      </c>
      <c r="S37" s="1163" t="str">
        <f>BIBLE!V169</f>
        <v>Dénigrement</v>
      </c>
      <c r="T37" s="1732"/>
      <c r="U37" s="620"/>
      <c r="V37" s="620"/>
      <c r="W37" s="1924"/>
      <c r="X37" s="1924"/>
      <c r="Y37" s="1147"/>
    </row>
    <row r="38" spans="1:25" ht="61" customHeight="1" thickBot="1">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3"/>
      <c r="X38" s="1943"/>
      <c r="Y38" s="295"/>
    </row>
    <row r="39" spans="1:25" ht="15" customHeight="1" thickBot="1">
      <c r="A39" s="2017"/>
      <c r="O39" s="494"/>
      <c r="P39" s="272"/>
      <c r="Q39" s="16"/>
      <c r="R39" s="16"/>
      <c r="S39" s="1136"/>
    </row>
    <row r="40" spans="1:25" ht="61" customHeight="1">
      <c r="A40" s="2016">
        <v>12</v>
      </c>
      <c r="B40" s="617" t="s">
        <v>1584</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t="str">
        <f>Test_Bible!P424</f>
        <v>1</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t="str">
        <f>Test_Bible!P300</f>
        <v>7</v>
      </c>
      <c r="R40" s="1966">
        <f>Test_Bible!D301</f>
        <v>3</v>
      </c>
      <c r="S40" s="1183" t="str">
        <f>BIBLE!V179</f>
        <v>Interférence lien affectif ou symbolique</v>
      </c>
      <c r="T40" s="1732"/>
      <c r="U40" s="620"/>
      <c r="V40" s="620"/>
      <c r="W40" s="1924"/>
      <c r="X40" s="1924"/>
      <c r="Y40" s="1147"/>
    </row>
    <row r="41" spans="1:25" ht="61" customHeight="1" thickBot="1">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t="str">
        <f>Test_Bible!P301</f>
        <v>4</v>
      </c>
      <c r="R41" s="1411">
        <f>Test_Bible!D302</f>
        <v>1</v>
      </c>
      <c r="S41" s="1182" t="str">
        <f>BIBLE!V180</f>
        <v>Interférence lien affectif ou symbolique</v>
      </c>
      <c r="T41" s="293"/>
      <c r="U41" s="294"/>
      <c r="V41" s="294"/>
      <c r="W41" s="1943"/>
      <c r="X41" s="1943"/>
      <c r="Y41" s="295"/>
    </row>
    <row r="42" spans="1:25" ht="19" customHeight="1" thickBot="1">
      <c r="A42" s="2018"/>
      <c r="C42" s="16"/>
      <c r="D42" s="25"/>
      <c r="E42" s="16"/>
      <c r="F42" s="16"/>
      <c r="G42" s="598"/>
      <c r="I42" s="16"/>
      <c r="J42" s="272"/>
      <c r="K42" s="16"/>
      <c r="L42" s="16"/>
      <c r="M42" s="1136"/>
      <c r="O42" s="494"/>
      <c r="P42" s="272"/>
      <c r="Q42" s="16"/>
      <c r="R42" s="16"/>
      <c r="S42" s="1136"/>
    </row>
    <row r="43" spans="1:25" ht="51" customHeight="1">
      <c r="A43" s="2019">
        <v>13</v>
      </c>
      <c r="B43" s="1988" t="s">
        <v>1585</v>
      </c>
      <c r="C43" s="1989" t="str">
        <f>BIBLE!E107</f>
        <v>PFA16</v>
      </c>
      <c r="D43" s="1990" t="str">
        <f>BIBLE!F107</f>
        <v>L'autre parent impose des changements d’horaires sans vous consulter au préalable et sans votre autorisation.</v>
      </c>
      <c r="E43" s="1991" t="str">
        <f>Test_Bible!P193</f>
        <v>7</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t="str">
        <f>Test_Bible!P417</f>
        <v>7</v>
      </c>
      <c r="L43" s="1997">
        <f>Test_Bible!D417</f>
        <v>2</v>
      </c>
      <c r="M43" s="1992" t="str">
        <f>BIBLE!V225</f>
        <v>Interférence temps et/ou communication</v>
      </c>
      <c r="N43" s="1993"/>
      <c r="O43" s="1998" t="str">
        <f>BIBLE!E173</f>
        <v>E16</v>
      </c>
      <c r="P43" s="1999" t="str">
        <f>BIBLE!F173</f>
        <v>Votre enfant demande à modifier les horaires de garde et de visite.</v>
      </c>
      <c r="Q43" s="2000" t="str">
        <f>Test_Bible!P290</f>
        <v>7</v>
      </c>
      <c r="R43" s="2001">
        <f>Test_Bible!D290</f>
        <v>2</v>
      </c>
      <c r="S43" s="2080" t="str">
        <f>BIBLE!V173</f>
        <v>Interférence temps ou communication</v>
      </c>
      <c r="T43" s="1732"/>
      <c r="U43" s="620"/>
      <c r="V43" s="620"/>
      <c r="W43" s="1924"/>
      <c r="X43" s="1924"/>
      <c r="Y43" s="1147"/>
    </row>
    <row r="44" spans="1:25" ht="52" customHeight="1" thickBot="1">
      <c r="A44" s="2018"/>
      <c r="B44" s="2002"/>
      <c r="C44" s="2003" t="str">
        <f>BIBLE!E108</f>
        <v>PFA16a</v>
      </c>
      <c r="D44" s="2004" t="str">
        <f>BIBLE!F108</f>
        <v>Arrive-t-il que l'autre parent ramène votre enfant à la maison à l'heure qui lui convient, sans respecter l'entente initiale ?</v>
      </c>
      <c r="E44" s="2003" t="str">
        <f>Test_Bible!P194</f>
        <v>2</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2</v>
      </c>
      <c r="S44" s="2081" t="str">
        <f>BIBLE!V175</f>
        <v>Interférence temps ou communication</v>
      </c>
      <c r="T44" s="293"/>
      <c r="U44" s="294"/>
      <c r="V44" s="294"/>
      <c r="W44" s="1943"/>
      <c r="X44" s="1943"/>
      <c r="Y44" s="295"/>
    </row>
    <row r="45" spans="1:25" ht="17" customHeight="1" thickBot="1">
      <c r="A45" s="2017"/>
    </row>
    <row r="46" spans="1:25" ht="51" customHeight="1">
      <c r="A46" s="2016">
        <v>14</v>
      </c>
      <c r="B46" s="617" t="s">
        <v>1574</v>
      </c>
      <c r="C46" s="643" t="str">
        <f>BIBLE!E109</f>
        <v>PFA16b</v>
      </c>
      <c r="D46" s="1210" t="str">
        <f>BIBLE!F109</f>
        <v>Arrive-t-il que l’autre parent organise et propose des activités à votre enfant sur votre temps de garde ?</v>
      </c>
      <c r="E46" s="1949" t="str">
        <f>Test_Bible!P195</f>
        <v>4</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t="str">
        <f>Test_Bible!P418</f>
        <v>4</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0</v>
      </c>
      <c r="R46" s="643">
        <f>Test_Bible!D297</f>
        <v>3</v>
      </c>
      <c r="S46" s="1172" t="str">
        <f>BIBLE!V176</f>
        <v>Interférence temps ou communication</v>
      </c>
      <c r="T46" s="1732"/>
      <c r="U46" s="620"/>
      <c r="V46" s="620"/>
      <c r="W46" s="1924"/>
      <c r="X46" s="1924"/>
      <c r="Y46" s="1147"/>
    </row>
    <row r="47" spans="1:25" ht="52" customHeight="1" thickBot="1">
      <c r="A47" s="2017"/>
      <c r="B47" s="621"/>
      <c r="C47" s="637" t="str">
        <f>BIBLE!E110</f>
        <v>PFA16b1</v>
      </c>
      <c r="D47" s="1206" t="str">
        <f>BIBLE!F110</f>
        <v>Arrive-t-il que l’autre parent organise et propose des activités amusantes, voire irrésistibles à votre enfant durant votre temps de garde ?</v>
      </c>
      <c r="E47" s="637" t="str">
        <f>Test_Bible!P196</f>
        <v>2</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0</v>
      </c>
      <c r="R47" s="637">
        <f>Test_Bible!D298</f>
        <v>2</v>
      </c>
      <c r="S47" s="1173" t="str">
        <f>BIBLE!V177</f>
        <v>Interférence temps ou communication</v>
      </c>
      <c r="T47" s="293"/>
      <c r="U47" s="294"/>
      <c r="V47" s="294"/>
      <c r="W47" s="1943"/>
      <c r="X47" s="1943"/>
      <c r="Y47" s="295"/>
    </row>
    <row r="48" spans="1:25" ht="17" customHeight="1" thickBot="1">
      <c r="A48" s="2017"/>
      <c r="C48" s="16"/>
      <c r="D48" s="25"/>
      <c r="E48" s="16"/>
      <c r="F48" s="16"/>
      <c r="G48" s="598"/>
      <c r="I48" s="16"/>
      <c r="J48" s="272"/>
      <c r="K48" s="16"/>
      <c r="L48" s="16"/>
      <c r="M48" s="598"/>
      <c r="U48" s="8"/>
      <c r="V48" s="25"/>
      <c r="W48" s="16"/>
      <c r="X48" s="16"/>
      <c r="Y48" s="599"/>
    </row>
    <row r="49" spans="1:25" ht="64" customHeight="1" thickBot="1">
      <c r="A49" s="2016">
        <v>15</v>
      </c>
      <c r="B49" s="623" t="s">
        <v>1586</v>
      </c>
      <c r="C49" s="606" t="str">
        <f>BIBLE!E112</f>
        <v>PFA18</v>
      </c>
      <c r="D49" s="1207" t="str">
        <f>BIBLE!F112</f>
        <v>À quelle fréquence l’autre parent communique-t-il ou elle avec votre enfant durant votre temps de garde ? (tél., textos, réseaux sociaux, etc.)</v>
      </c>
      <c r="E49" s="1884" t="str">
        <f>Test_Bible!P198</f>
        <v>2</v>
      </c>
      <c r="F49" s="606">
        <f>Test_Bible!D198</f>
        <v>3</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t="str">
        <f>Test_Bible!P422</f>
        <v>4</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t="str">
        <f>Test_Bible!P321</f>
        <v>7</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t="str">
        <f>Test_Bible!P135</f>
        <v>4</v>
      </c>
      <c r="X49" s="1653">
        <f>Test_Bible!D135</f>
        <v>3</v>
      </c>
      <c r="Y49" s="662" t="str">
        <f>BIBLE!V61</f>
        <v>Interférence temps et/ou communication</v>
      </c>
    </row>
    <row r="50" spans="1:25" ht="17" customHeight="1" thickBot="1">
      <c r="A50" s="2017"/>
    </row>
    <row r="51" spans="1:25" ht="45" customHeight="1">
      <c r="A51" s="2016">
        <v>16</v>
      </c>
      <c r="B51" s="617" t="s">
        <v>1587</v>
      </c>
      <c r="C51" s="607" t="str">
        <f>BIBLE!E115</f>
        <v>PFA20</v>
      </c>
      <c r="D51" s="1204" t="str">
        <f>BIBLE!F115</f>
        <v>Il est facile de communiquer avec votre enfant lorsqu’il est chez l’autre parent.</v>
      </c>
      <c r="E51" s="1942" t="str">
        <f>Test_Bible!P201</f>
        <v>2</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t="str">
        <f>Test_Bible!P299</f>
        <v>7</v>
      </c>
      <c r="R51" s="1966">
        <f>Test_Bible!D299</f>
        <v>2</v>
      </c>
      <c r="S51" s="1172" t="str">
        <f>BIBLE!V178</f>
        <v>Interférence temps ou communication</v>
      </c>
      <c r="T51" s="1732"/>
      <c r="U51" s="620"/>
      <c r="V51" s="620"/>
      <c r="W51" s="1924"/>
      <c r="X51" s="1924"/>
      <c r="Y51" s="1147"/>
    </row>
    <row r="52" spans="1:25" ht="73" customHeight="1" thickBot="1">
      <c r="A52" s="2017"/>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t="str">
        <f>Test_Bible!P420</f>
        <v>4</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t="str">
        <f>Test_Bible!P329</f>
        <v>2</v>
      </c>
      <c r="R52" s="1411">
        <f>Test_Bible!D329</f>
        <v>2</v>
      </c>
      <c r="S52" s="1936" t="str">
        <f>BIBLE!V202</f>
        <v>Rôle actif de l'enfant</v>
      </c>
      <c r="T52" s="293"/>
      <c r="U52" s="294"/>
      <c r="V52" s="294"/>
      <c r="W52" s="1943"/>
      <c r="X52" s="1943"/>
      <c r="Y52" s="295"/>
    </row>
    <row r="53" spans="1:25" ht="17" customHeight="1" thickBot="1">
      <c r="A53" s="2017"/>
      <c r="C53" s="16"/>
      <c r="D53" s="25"/>
      <c r="E53" s="16"/>
      <c r="F53" s="16"/>
      <c r="G53" s="598"/>
      <c r="I53" s="16"/>
      <c r="J53" s="272"/>
      <c r="K53" s="16"/>
      <c r="L53" s="16"/>
      <c r="M53" s="598"/>
    </row>
    <row r="54" spans="1:25" ht="60" customHeight="1" thickBot="1">
      <c r="A54" s="2016">
        <v>17</v>
      </c>
      <c r="B54" s="623" t="s">
        <v>1588</v>
      </c>
      <c r="C54" s="606" t="str">
        <f>BIBLE!E128</f>
        <v>PFA27</v>
      </c>
      <c r="D54" s="1207" t="str">
        <f>BIBLE!F128</f>
        <v>L’autre parent cherche à limiter les contacts entre votre enfant et votre famille élargie (cousin.es, grands-parents, etc.).</v>
      </c>
      <c r="E54" s="1884" t="str">
        <f>Test_Bible!P217</f>
        <v>4</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c r="A55" s="2016"/>
      <c r="C55" s="16"/>
      <c r="D55" s="25"/>
      <c r="E55" s="16"/>
      <c r="F55" s="16"/>
      <c r="G55" s="598"/>
    </row>
    <row r="56" spans="1:25" ht="52" customHeight="1" thickBot="1">
      <c r="A56" s="2016">
        <v>18</v>
      </c>
      <c r="B56" s="623" t="s">
        <v>1589</v>
      </c>
      <c r="C56" s="625" t="str">
        <f>BIBLE!E141</f>
        <v>PFA31a1</v>
      </c>
      <c r="D56" s="1208" t="str">
        <f>BIBLE!F141</f>
        <v>Dans quelle mesure diriez-vous que l'autre parent se confie à votre enfant sur des sujets qui vous sont personnels ou qui concernent votre passé (intime) ?</v>
      </c>
      <c r="E56" s="1887" t="str">
        <f>Test_Bible!P244</f>
        <v>2</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t="str">
        <f>Test_Bible!P304</f>
        <v>2</v>
      </c>
      <c r="R56" s="1968">
        <f>Test_Bible!D304</f>
        <v>2</v>
      </c>
      <c r="S56" s="1178" t="str">
        <f>BIBLE!V183</f>
        <v>Interférence lien affectif ou symbolique</v>
      </c>
      <c r="T56" s="1736"/>
      <c r="U56" s="612"/>
      <c r="V56" s="612"/>
      <c r="W56" s="1944"/>
      <c r="X56" s="1944"/>
      <c r="Y56" s="1931"/>
    </row>
    <row r="57" spans="1:25">
      <c r="A57" s="2016"/>
      <c r="C57" s="16"/>
      <c r="D57" s="25"/>
      <c r="E57" s="16"/>
      <c r="F57" s="16"/>
      <c r="G57" s="598"/>
      <c r="O57" s="494"/>
      <c r="P57" s="272"/>
      <c r="Q57" s="16"/>
      <c r="R57" s="16"/>
      <c r="S57" s="1136"/>
    </row>
    <row r="58" spans="1:25" ht="30" customHeight="1" thickBot="1">
      <c r="A58" s="2016"/>
      <c r="C58" s="16"/>
      <c r="D58" s="25"/>
      <c r="E58" s="16"/>
      <c r="F58" s="16"/>
      <c r="G58" s="598"/>
      <c r="O58" s="494"/>
      <c r="P58" s="272"/>
      <c r="Q58" s="16"/>
      <c r="R58" s="16"/>
      <c r="S58" s="1136"/>
      <c r="U58" s="494"/>
      <c r="V58" s="25"/>
      <c r="W58" s="16"/>
      <c r="X58" s="16"/>
      <c r="Y58" s="599"/>
    </row>
    <row r="59" spans="1:25" ht="51" customHeight="1">
      <c r="A59" s="2016">
        <v>19</v>
      </c>
      <c r="B59" s="617" t="s">
        <v>1572</v>
      </c>
      <c r="C59" s="607" t="str">
        <f>BIBLE!E142</f>
        <v>PFA32</v>
      </c>
      <c r="D59" s="1204" t="str">
        <f>BIBLE!F142</f>
        <v>L'autre parent fait lire vos échanges et communications (courriels, textos, etc.) à votre enfant.</v>
      </c>
      <c r="E59" s="1942" t="str">
        <f>Test_Bible!P246</f>
        <v>4</v>
      </c>
      <c r="F59" s="607">
        <f>Test_Bible!D246</f>
        <v>2</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t="str">
        <f>Test_Bible!P308</f>
        <v>4</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t="str">
        <f>Test_Bible!P151</f>
        <v>2</v>
      </c>
      <c r="X59" s="1978">
        <f>Test_Bible!D151</f>
        <v>2</v>
      </c>
      <c r="Y59" s="664" t="str">
        <f>BIBLE!V70</f>
        <v>Parentification</v>
      </c>
    </row>
    <row r="60" spans="1:25" ht="58" customHeight="1" thickBot="1">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t="str">
        <f>Test_Bible!P325</f>
        <v>4</v>
      </c>
      <c r="R61" s="1411">
        <f>Test_Bible!D325</f>
        <v>2</v>
      </c>
      <c r="S61" s="1177" t="str">
        <f>BIBLE!V210</f>
        <v>Rôle actif de l'enfant</v>
      </c>
      <c r="T61" s="294"/>
      <c r="U61" s="630"/>
      <c r="V61" s="1205"/>
      <c r="W61" s="609"/>
      <c r="X61" s="609"/>
      <c r="Y61" s="631"/>
    </row>
    <row r="62" spans="1:25" ht="30" customHeight="1" thickBot="1">
      <c r="A62" s="2016"/>
      <c r="C62" s="16"/>
      <c r="D62" s="25"/>
      <c r="E62" s="16"/>
      <c r="F62" s="16"/>
      <c r="G62" s="598"/>
      <c r="O62" s="494"/>
      <c r="P62" s="272"/>
      <c r="Q62" s="16"/>
      <c r="R62" s="16"/>
      <c r="S62" s="598"/>
      <c r="U62" s="494"/>
      <c r="V62" s="25"/>
      <c r="W62" s="16"/>
      <c r="X62" s="16"/>
      <c r="Y62" s="598"/>
    </row>
    <row r="63" spans="1:25" ht="51" customHeight="1">
      <c r="A63" s="2016">
        <v>20</v>
      </c>
      <c r="B63" s="617" t="s">
        <v>1590</v>
      </c>
      <c r="C63" s="607" t="str">
        <f>BIBLE!E144</f>
        <v>PFA34</v>
      </c>
      <c r="D63" s="1204" t="str">
        <f>BIBLE!F144</f>
        <v>L’autre parent refuse de vous parler et demande à votre enfant de faire les messages et autres demandes entourant la logistique familiale.</v>
      </c>
      <c r="E63" s="1942" t="str">
        <f>Test_Bible!P248</f>
        <v>2</v>
      </c>
      <c r="F63" s="607">
        <f>Test_Bible!D248</f>
        <v>3</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t="str">
        <f>Test_Bible!P421</f>
        <v>4</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0</v>
      </c>
      <c r="R63" s="1966">
        <f>Test_Bible!D306</f>
        <v>1</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t="str">
        <f>Test_Bible!P149</f>
        <v>4</v>
      </c>
      <c r="X63" s="1978">
        <f>Test_Bible!D149</f>
        <v>2</v>
      </c>
      <c r="Y63" s="666" t="str">
        <f>BIBLE!V68</f>
        <v>Parentification</v>
      </c>
    </row>
    <row r="64" spans="1:25" ht="52" customHeight="1">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t="str">
        <f>Test_Bible!P415</f>
        <v>4</v>
      </c>
      <c r="L64" s="1649">
        <f>Test_Bible!D415</f>
        <v>3</v>
      </c>
      <c r="M64" s="602" t="str">
        <f>BIBLE!V223</f>
        <v>Dénigrement</v>
      </c>
      <c r="O64" s="1383"/>
      <c r="P64" s="77"/>
      <c r="Q64" s="510"/>
      <c r="R64" s="510"/>
      <c r="S64" s="1385"/>
      <c r="U64" s="1386"/>
      <c r="V64" s="955"/>
      <c r="W64" s="330"/>
      <c r="X64" s="330"/>
      <c r="Y64" s="1391"/>
    </row>
    <row r="65" spans="1:26" ht="52" customHeight="1" thickBot="1">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t="str">
        <f>Test_Bible!P414</f>
        <v>2</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c r="A66" s="2016"/>
      <c r="O66" s="494"/>
      <c r="P66" s="272"/>
      <c r="Q66" s="16"/>
      <c r="R66" s="16"/>
      <c r="S66" s="1136"/>
    </row>
    <row r="67" spans="1:26" ht="59" customHeight="1">
      <c r="A67" s="2016">
        <v>21</v>
      </c>
      <c r="B67" s="617" t="s">
        <v>1591</v>
      </c>
      <c r="C67" s="607" t="str">
        <f>BIBLE!E145</f>
        <v>PFA35</v>
      </c>
      <c r="D67" s="1204" t="str">
        <f>BIBLE!F145</f>
        <v>L’autre parent laisse à votre enfant le droit de respecter ou non l'entente de garde et votre temps (tour) de garde.</v>
      </c>
      <c r="E67" s="1942" t="str">
        <f>Test_Bible!P249</f>
        <v>2</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t="str">
        <f>Test_Bible!P136</f>
        <v>2</v>
      </c>
      <c r="X67" s="1978">
        <f>Test_Bible!D136</f>
        <v>2</v>
      </c>
      <c r="Y67" s="633" t="str">
        <f>BIBLE!V62</f>
        <v>Interférence temps et/ou communication</v>
      </c>
    </row>
    <row r="68" spans="1:26" ht="59" customHeight="1" thickBot="1">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c r="A69" s="2016"/>
      <c r="O69" s="494"/>
      <c r="P69" s="272"/>
      <c r="Q69" s="16"/>
      <c r="R69" s="16"/>
      <c r="S69" s="1136"/>
    </row>
    <row r="70" spans="1:26" ht="59" customHeight="1">
      <c r="A70" s="2016">
        <v>22</v>
      </c>
      <c r="B70" s="617" t="s">
        <v>1592</v>
      </c>
      <c r="C70" s="607" t="str">
        <f>BIBLE!E97</f>
        <v>PFA11</v>
      </c>
      <c r="D70" s="1204" t="str">
        <f>BIBLE!F97</f>
        <v xml:space="preserve">L'autre parent est d'avis que votre enfant est assez mature pour choisir où il doit vivre et avec quel parent.  </v>
      </c>
      <c r="E70" s="1942" t="str">
        <f>Test_Bible!P183</f>
        <v>2</v>
      </c>
      <c r="F70" s="607">
        <f>Test_Bible!D183</f>
        <v>2</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t="str">
        <f>Test_Bible!P150</f>
        <v>2</v>
      </c>
      <c r="X70" s="1978">
        <f>Test_Bible!D150</f>
        <v>2</v>
      </c>
      <c r="Y70" s="666" t="str">
        <f>BIBLE!V69</f>
        <v>Parentification</v>
      </c>
    </row>
    <row r="71" spans="1:26" ht="55" customHeight="1" thickBot="1">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t="str">
        <f>Test_Bible!P220</f>
        <v>1</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c r="A72" s="2016"/>
      <c r="C72" s="16"/>
      <c r="D72" s="25"/>
      <c r="E72" s="16"/>
      <c r="F72" s="16"/>
      <c r="G72" s="598"/>
      <c r="O72" s="494"/>
      <c r="P72" s="272"/>
      <c r="Q72" s="16"/>
      <c r="R72" s="16"/>
      <c r="S72" s="1136"/>
      <c r="U72" s="494"/>
      <c r="V72" s="25"/>
      <c r="W72" s="16"/>
      <c r="X72" s="16"/>
      <c r="Y72" s="598"/>
    </row>
    <row r="73" spans="1:26" ht="52" customHeight="1" thickBot="1">
      <c r="A73" s="2016">
        <v>23</v>
      </c>
      <c r="B73" s="623" t="s">
        <v>1593</v>
      </c>
      <c r="C73" s="625" t="str">
        <f>BIBLE!E98</f>
        <v>PFA11a</v>
      </c>
      <c r="D73" s="1208" t="str">
        <f>BIBLE!F98</f>
        <v>Est-ce que l'autre parent vous demande de respecter les désirs et les choix de votre enfant ?</v>
      </c>
      <c r="E73" s="1887">
        <f>Test_Bible!P184</f>
        <v>0</v>
      </c>
      <c r="F73" s="625">
        <f>Test_Bible!D184</f>
        <v>2</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0</v>
      </c>
      <c r="L73" s="1953">
        <f>Test_Bible!D426</f>
        <v>2</v>
      </c>
      <c r="M73" s="636" t="str">
        <f>BIBLE!V234</f>
        <v>Rôle actif de l'enfant</v>
      </c>
      <c r="N73" s="1916"/>
      <c r="O73" s="1176" t="str">
        <f>BIBLE!E199</f>
        <v>E33</v>
      </c>
      <c r="P73" s="1652" t="str">
        <f>BIBLE!F199</f>
        <v>Votre enfant vous reproche de lui manquer de respect en ne respectant pas ses choix, besoins, désirs, rythme, etc.</v>
      </c>
      <c r="Q73" s="1973" t="str">
        <f>Test_Bible!P326</f>
        <v>2</v>
      </c>
      <c r="R73" s="1176">
        <f>Test_Bible!D326</f>
        <v>3</v>
      </c>
      <c r="S73" s="1177" t="str">
        <f>BIBLE!V199</f>
        <v>Rôle actif de l'enfant</v>
      </c>
      <c r="U73" s="2082"/>
      <c r="V73" s="641"/>
      <c r="W73" s="613"/>
      <c r="X73" s="613"/>
      <c r="Y73" s="2083"/>
    </row>
    <row r="74" spans="1:26" ht="16" customHeight="1" thickBot="1">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c r="A75" s="2016">
        <v>24</v>
      </c>
      <c r="B75" s="617" t="s">
        <v>1594</v>
      </c>
      <c r="C75" s="607" t="str">
        <f>BIBLE!E146</f>
        <v>PFA36</v>
      </c>
      <c r="D75" s="1204" t="str">
        <f>BIBLE!F146</f>
        <v>L’autre parent demande à votre enfant de choisir avec quel parent il veut vivre.</v>
      </c>
      <c r="E75" s="1942" t="str">
        <f>Test_Bible!P250</f>
        <v>1</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t="str">
        <f>Test_Bible!P324</f>
        <v>4</v>
      </c>
      <c r="R75" s="1966">
        <f>Test_Bible!D324</f>
        <v>2</v>
      </c>
      <c r="S75" s="1390" t="str">
        <f>BIBLE!V201</f>
        <v>Rôle actif de l'enfant</v>
      </c>
      <c r="U75" s="2084"/>
      <c r="V75" s="680"/>
      <c r="W75" s="605"/>
      <c r="X75" s="605"/>
      <c r="Y75" s="2085"/>
      <c r="Z75" s="802" t="s">
        <v>2428</v>
      </c>
    </row>
    <row r="76" spans="1:26" ht="57" customHeight="1" thickBot="1">
      <c r="A76" s="2016"/>
      <c r="B76" s="621"/>
      <c r="C76" s="676" t="str">
        <f>BIBLE!E135</f>
        <v>PFA30</v>
      </c>
      <c r="D76" s="1213" t="str">
        <f>BIBLE!F135</f>
        <v>L’autre parent incite, consciemment ou inconsciemment, votre enfant à choisir entre ses deux parents.</v>
      </c>
      <c r="E76" s="1951" t="str">
        <f>Test_Bible!P234</f>
        <v>4</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6">
        <v>25</v>
      </c>
      <c r="B78" s="1984" t="s">
        <v>1568</v>
      </c>
      <c r="C78" s="607" t="str">
        <f>BIBLE!E129</f>
        <v>PFA28</v>
      </c>
      <c r="D78" s="1204" t="str">
        <f>BIBLE!F129</f>
        <v xml:space="preserve">L’autre parent permet à votre enfant d'apporter des objets (jouets ou cadeaux reçus) provenant de chez vous. </v>
      </c>
      <c r="E78" s="1942" t="str">
        <f>Test_Bible!P218</f>
        <v>2</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t="str">
        <f>Test_Bible!P303</f>
        <v>7</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t="str">
        <f>Test_Bible!P139</f>
        <v>1</v>
      </c>
      <c r="X78" s="1978">
        <f>Test_Bible!D139</f>
        <v>2</v>
      </c>
      <c r="Y78" s="661" t="str">
        <f>BIBLE!V65</f>
        <v>Interférence lien affectif ou symbolique</v>
      </c>
    </row>
    <row r="79" spans="1:26" ht="68" customHeight="1" thickBot="1">
      <c r="A79" s="2016"/>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6">
        <v>26</v>
      </c>
      <c r="B81" s="617" t="s">
        <v>1595</v>
      </c>
      <c r="C81" s="607" t="str">
        <f>BIBLE!E139</f>
        <v>PFA31</v>
      </c>
      <c r="D81" s="618" t="str">
        <f>BIBLE!F139</f>
        <v xml:space="preserve">Dans quelle mesure diriez-vous que l'autre parent accepte ou vit bien avec la séparation (de couple ou familiale) ? </v>
      </c>
      <c r="E81" s="1942" t="str">
        <f>Test_Bible!P243</f>
        <v>4</v>
      </c>
      <c r="F81" s="607">
        <f>Test_Bible!D244</f>
        <v>2</v>
      </c>
      <c r="G81" s="663" t="str">
        <f>BIBLE!V139</f>
        <v>Parentification</v>
      </c>
      <c r="H81" s="1915"/>
      <c r="I81" s="1158" t="str">
        <f>BIBLE!E217</f>
        <v>NC01</v>
      </c>
      <c r="J81" s="1158" t="str">
        <f>BIBLE!F217</f>
        <v>Le nouveau ou nouvelle conjoint·e joue un rôle de confident·e auprès de votre enfant.</v>
      </c>
      <c r="K81" s="1959" t="str">
        <f>Test_Bible!P404</f>
        <v>2</v>
      </c>
      <c r="L81" s="1158">
        <f>Test_Bible!D404</f>
        <v>1</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t="str">
        <f>Test_Bible!P282</f>
        <v>7</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t="str">
        <f>Test_Bible!P154</f>
        <v>1</v>
      </c>
      <c r="X81" s="669">
        <f>Test_Bible!D154</f>
        <v>1</v>
      </c>
      <c r="Y81" s="664" t="str">
        <f>BIBLE!V72</f>
        <v>Parentification</v>
      </c>
    </row>
    <row r="82" spans="1:25" ht="73" customHeight="1">
      <c r="A82" s="2016"/>
      <c r="B82" s="671"/>
      <c r="C82" s="503" t="str">
        <f>BIBLE!E140</f>
        <v>PFA31a</v>
      </c>
      <c r="D82" s="274" t="str">
        <f>BIBLE!F140</f>
        <v>L’autre parent confie à votre enfant sa peine concernant la séparation.</v>
      </c>
      <c r="E82" s="503" t="str">
        <f>Test_Bible!P244</f>
        <v>2</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t="str">
        <f>Test_Bible!P307</f>
        <v>4</v>
      </c>
      <c r="R82" s="1969">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t="str">
        <f>Test_Bible!P309</f>
        <v>2</v>
      </c>
      <c r="R83" s="1411">
        <f>Test_Bible!D309</f>
        <v>2</v>
      </c>
      <c r="S83" s="640" t="str">
        <f>BIBLE!V188</f>
        <v>Parentification</v>
      </c>
      <c r="T83" s="294"/>
      <c r="U83" s="294"/>
      <c r="V83" s="1133"/>
      <c r="W83" s="609"/>
      <c r="X83" s="609"/>
      <c r="Y83" s="682"/>
    </row>
    <row r="84" spans="1:25" ht="82" customHeight="1" thickBot="1">
      <c r="B84" s="740" t="s">
        <v>2429</v>
      </c>
      <c r="V84" s="272"/>
      <c r="W84" s="16"/>
      <c r="X84" s="16"/>
      <c r="Y84" s="598"/>
    </row>
    <row r="85" spans="1:25" ht="64" customHeight="1" thickBot="1">
      <c r="A85" s="2019">
        <v>27</v>
      </c>
      <c r="B85" s="623" t="e">
        <f>#REF!</f>
        <v>#REF!</v>
      </c>
      <c r="C85" s="606" t="str">
        <f>BIBLE!E99</f>
        <v>PFA12</v>
      </c>
      <c r="D85" s="610" t="str">
        <f>BIBLE!F99</f>
        <v>L'autre parent questionne votre enfant à son retour de garde afin de connaître la routine (repas, dodo, activités, etc.) chez vous.</v>
      </c>
      <c r="E85" s="1884" t="str">
        <f>Test_Bible!P185</f>
        <v>4</v>
      </c>
      <c r="F85" s="606">
        <f>Test_Bible!D185</f>
        <v>2</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t="str">
        <f>Test_Bible!P125</f>
        <v>7</v>
      </c>
      <c r="X85" s="1863">
        <f>Test_Bible!D125</f>
        <v>1</v>
      </c>
      <c r="Y85" s="1867" t="str">
        <f>BIBLE!V57</f>
        <v>Chantage affectif, manipulation</v>
      </c>
    </row>
    <row r="86" spans="1:25" ht="12" customHeight="1" thickBot="1">
      <c r="A86" s="2019"/>
      <c r="D86" s="291"/>
      <c r="G86" s="751"/>
      <c r="V86" s="272"/>
      <c r="W86" s="16"/>
      <c r="X86" s="16"/>
      <c r="Y86" s="598"/>
    </row>
    <row r="87" spans="1:25" ht="96" customHeight="1" thickBot="1">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t="str">
        <f>Test_Bible!P207</f>
        <v>4</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t="str">
        <f>Test_Bible!P138</f>
        <v>4</v>
      </c>
      <c r="X87" s="1863">
        <f>Test_Bible!D138</f>
        <v>1</v>
      </c>
      <c r="Y87" s="662" t="str">
        <f>BIBLE!V64</f>
        <v>Interférence lien affectif ou symbolique</v>
      </c>
    </row>
    <row r="88" spans="1:25" ht="13" customHeight="1" thickBot="1">
      <c r="A88" s="2019"/>
      <c r="D88" s="291"/>
      <c r="V88" s="272"/>
      <c r="W88" s="16"/>
      <c r="X88" s="16"/>
      <c r="Y88" s="598"/>
    </row>
    <row r="89" spans="1:25" ht="66" customHeight="1" thickBot="1">
      <c r="A89" s="2019">
        <v>29</v>
      </c>
      <c r="B89" s="623" t="e">
        <f>#REF!</f>
        <v>#REF!</v>
      </c>
      <c r="C89" s="606" t="str">
        <f>BIBLE!E119</f>
        <v>PFA21</v>
      </c>
      <c r="D89" s="610" t="str">
        <f>BIBLE!F119</f>
        <v xml:space="preserve">Dans quelle mesure diriez-vous que l'autre parent vous considère comme étant son égal·e sur le plan parental ? </v>
      </c>
      <c r="E89" s="1884" t="str">
        <f>Test_Bible!P205</f>
        <v>4</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t="str">
        <f>Test_Bible!P137</f>
        <v>4</v>
      </c>
      <c r="X89" s="1863">
        <f>Test_Bible!D137</f>
        <v>1</v>
      </c>
      <c r="Y89" s="1866" t="str">
        <f>BIBLE!V63</f>
        <v>Interférence lien affectif ou symbolique</v>
      </c>
    </row>
    <row r="90" spans="1:25" ht="12" customHeight="1" thickBot="1">
      <c r="A90" s="2019"/>
      <c r="D90" s="291"/>
      <c r="G90" s="751"/>
      <c r="V90" s="1902"/>
      <c r="Y90" s="751"/>
    </row>
    <row r="91" spans="1:25" ht="63" customHeight="1" thickBot="1">
      <c r="A91" s="2019">
        <v>30</v>
      </c>
      <c r="B91" s="1303" t="e">
        <f>#REF!</f>
        <v>#REF!</v>
      </c>
      <c r="C91" s="606" t="str">
        <f>BIBLE!E132</f>
        <v>PFA29</v>
      </c>
      <c r="D91" s="606" t="str">
        <f>BIBLE!F132</f>
        <v>L'autre parent prend des décisions sans vous consulter.</v>
      </c>
      <c r="E91" s="1884" t="str">
        <f>Test_Bible!P221</f>
        <v>7</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t="str">
        <f>Test_Bible!P140</f>
        <v>2</v>
      </c>
      <c r="X91" s="1653">
        <f>Test_Bible!D140</f>
        <v>2</v>
      </c>
      <c r="Y91" s="1987" t="str">
        <f>BIBLE!V66</f>
        <v>Interférence lien affectif ou symbolique</v>
      </c>
    </row>
    <row r="92" spans="1:25" ht="12" customHeight="1" thickBot="1">
      <c r="A92" s="2019"/>
      <c r="D92" s="291"/>
      <c r="G92" s="751"/>
      <c r="U92" s="1169"/>
      <c r="V92" s="1218"/>
      <c r="W92" s="1169"/>
      <c r="X92" s="1169"/>
      <c r="Y92" s="701"/>
    </row>
    <row r="93" spans="1:25" ht="63" customHeight="1" thickBot="1">
      <c r="A93" s="2019">
        <v>31</v>
      </c>
      <c r="B93" s="1303" t="s">
        <v>2430</v>
      </c>
      <c r="C93" s="606" t="str">
        <f>BIBLE!E80</f>
        <v>PFA00</v>
      </c>
      <c r="D93" s="610" t="str">
        <f>BIBLE!F80</f>
        <v>L'autre parent (coparent) accepte de faire des compromis afin d'assurer une bonne entente de garde.</v>
      </c>
      <c r="E93" s="1884">
        <f>Test_Bible!P163</f>
        <v>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0</v>
      </c>
      <c r="X93" s="1863">
        <f>Test_Bible!D123</f>
        <v>1</v>
      </c>
      <c r="Y93" s="1865" t="str">
        <f>BIBLE!V55</f>
        <v>Chantage affectif, manipulation</v>
      </c>
    </row>
    <row r="94" spans="1:25" ht="17" customHeight="1" thickBot="1">
      <c r="A94" s="2019"/>
      <c r="B94" s="1305"/>
      <c r="C94" s="1412"/>
      <c r="D94" s="1655"/>
      <c r="E94" s="1886"/>
      <c r="F94" s="1886"/>
      <c r="G94" s="1869"/>
      <c r="V94" s="1902"/>
      <c r="Y94" s="751"/>
    </row>
    <row r="95" spans="1:25" ht="71" customHeight="1" thickBot="1">
      <c r="A95" s="2019">
        <v>32</v>
      </c>
      <c r="B95" s="1303" t="s">
        <v>2431</v>
      </c>
      <c r="C95" s="625" t="str">
        <f>BIBLE!E31</f>
        <v>B11a1</v>
      </c>
      <c r="D95" s="1139" t="str">
        <f>BIBLE!F31</f>
        <v>Est-ce que l'autre parent (coparent) respecte les ordonnances ou les jugements de la Cour ?</v>
      </c>
      <c r="E95" s="1887" t="str">
        <f>Test_Bible!P56</f>
        <v>7</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t="str">
        <f>Test_Bible!P57</f>
        <v>1</v>
      </c>
      <c r="X95" s="1863">
        <f>Test_Bible!D57</f>
        <v>2</v>
      </c>
      <c r="Y95" s="1868" t="str">
        <f>BIBLE!V32</f>
        <v>Interférence temps et/ou communication</v>
      </c>
    </row>
    <row r="96" spans="1:25" ht="12" customHeight="1">
      <c r="B96" s="1305"/>
      <c r="C96" s="1412"/>
      <c r="D96" s="1655"/>
      <c r="E96" s="1886"/>
      <c r="F96" s="1886"/>
      <c r="G96" s="1869"/>
      <c r="H96" s="1306"/>
      <c r="U96" s="1412"/>
      <c r="V96" s="1655"/>
      <c r="W96" s="1886"/>
      <c r="X96" s="1886"/>
      <c r="Y96" s="1869"/>
    </row>
    <row r="97" spans="1:29" ht="94" customHeight="1" thickBot="1">
      <c r="B97" s="740" t="s">
        <v>2432</v>
      </c>
    </row>
    <row r="98" spans="1:29" ht="66" customHeight="1" thickBot="1">
      <c r="A98" s="2019">
        <v>33</v>
      </c>
      <c r="B98" s="623" t="s">
        <v>2433</v>
      </c>
      <c r="C98" s="606" t="str">
        <f>BIBLE!E120</f>
        <v>PFA40</v>
      </c>
      <c r="D98" s="610" t="str">
        <f>BIBLE!F120</f>
        <v>L'autre parent sent qu’il est en compétition avec vous pour l’amour de votre enfant.</v>
      </c>
      <c r="E98" s="1884" t="str">
        <f>Test_Bible!P206</f>
        <v>2</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c r="A99" s="2019"/>
      <c r="C99" s="16"/>
      <c r="D99" s="25"/>
      <c r="F99" s="462"/>
      <c r="G99" s="494"/>
      <c r="H99" s="272"/>
      <c r="I99" s="1136"/>
    </row>
    <row r="100" spans="1:29" ht="83" customHeight="1" thickBot="1">
      <c r="A100" s="2019">
        <v>34</v>
      </c>
      <c r="B100" s="623" t="s">
        <v>1596</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t="str">
        <f>Test_Bible!P283</f>
        <v>1</v>
      </c>
      <c r="R100" s="1176">
        <f>Test_Bible!D283</f>
        <v>2</v>
      </c>
      <c r="S100" s="2013" t="str">
        <f>BIBLE!V166</f>
        <v>Chantage affectif, manipulation</v>
      </c>
      <c r="T100" s="612"/>
      <c r="U100" s="612"/>
      <c r="V100" s="612"/>
      <c r="W100" s="1944"/>
      <c r="X100" s="1944"/>
      <c r="Y100" s="1931"/>
    </row>
    <row r="101" spans="1:29" ht="29" customHeight="1" thickBot="1">
      <c r="A101" s="2019"/>
      <c r="C101" s="16"/>
      <c r="D101" s="25"/>
      <c r="F101" s="462"/>
      <c r="O101" s="494"/>
      <c r="P101" s="41"/>
      <c r="Q101" s="2012"/>
      <c r="R101" s="494"/>
      <c r="S101" s="1136"/>
    </row>
    <row r="102" spans="1:29" ht="37" customHeight="1">
      <c r="A102" s="2019">
        <v>35</v>
      </c>
      <c r="B102" s="617" t="s">
        <v>1597</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t="str">
        <f>Test_Bible!P269</f>
        <v>4</v>
      </c>
      <c r="R102" s="1130">
        <f>Test_Bible!D269</f>
        <v>2</v>
      </c>
      <c r="S102" s="2014" t="str">
        <f>BIBLE!V156</f>
        <v>A:Alliance</v>
      </c>
      <c r="T102" s="620"/>
      <c r="U102" s="620"/>
      <c r="V102" s="620"/>
      <c r="W102" s="1924"/>
      <c r="X102" s="1924"/>
      <c r="Y102" s="1147"/>
    </row>
    <row r="103" spans="1:29" ht="43" customHeight="1">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t="str">
        <f>Test_Bible!P270</f>
        <v>7</v>
      </c>
      <c r="R103" s="1930">
        <f>Test_Bible!D270</f>
        <v>3</v>
      </c>
      <c r="S103" s="1929" t="str">
        <f>BIBLE!V157</f>
        <v>A:Alliance</v>
      </c>
      <c r="Y103" s="292"/>
    </row>
    <row r="104" spans="1:29" ht="40" customHeight="1" thickBot="1">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t="str">
        <f>Test_Bible!P271</f>
        <v>7</v>
      </c>
      <c r="R104" s="1134">
        <f>Test_Bible!D271</f>
        <v>3</v>
      </c>
      <c r="S104" s="1932" t="str">
        <f>BIBLE!V158</f>
        <v>Rôle actif de l'enfant</v>
      </c>
      <c r="T104" s="294"/>
      <c r="U104" s="294"/>
      <c r="V104" s="294"/>
      <c r="W104" s="1943"/>
      <c r="X104" s="1943"/>
      <c r="Y104" s="295"/>
    </row>
    <row r="105" spans="1:29" ht="30" customHeight="1" thickBot="1">
      <c r="A105" s="2019"/>
      <c r="C105" s="16"/>
      <c r="D105" s="25"/>
      <c r="F105" s="462"/>
    </row>
    <row r="106" spans="1:29" ht="47" customHeight="1" thickBot="1">
      <c r="A106" s="2019">
        <v>36</v>
      </c>
      <c r="B106" s="623" t="s">
        <v>1598</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t="str">
        <f>Test_Bible!P272</f>
        <v>7</v>
      </c>
      <c r="R106" s="1176">
        <f>Test_Bible!D272</f>
        <v>2</v>
      </c>
      <c r="S106" s="1933" t="str">
        <f>BIBLE!V159</f>
        <v>A:Alliance</v>
      </c>
      <c r="T106" s="612"/>
      <c r="U106" s="612"/>
      <c r="V106" s="612"/>
      <c r="W106" s="1944"/>
      <c r="X106" s="1944"/>
      <c r="Y106" s="1931"/>
    </row>
    <row r="107" spans="1:29" ht="30" customHeight="1" thickBot="1">
      <c r="A107" s="2019"/>
      <c r="C107" s="16"/>
      <c r="D107" s="25"/>
      <c r="F107" s="462"/>
      <c r="O107" s="494"/>
      <c r="P107" s="41"/>
      <c r="Q107" s="16"/>
      <c r="R107" s="16"/>
      <c r="S107" s="1136"/>
    </row>
    <row r="108" spans="1:29" ht="47" customHeight="1">
      <c r="A108" s="2019">
        <v>37</v>
      </c>
      <c r="B108" s="617" t="s">
        <v>1599</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t="str">
        <f>Test_Bible!P322</f>
        <v>4</v>
      </c>
      <c r="R108" s="1130">
        <f>Test_Bible!D322</f>
        <v>2</v>
      </c>
      <c r="S108" s="1934" t="str">
        <f>BIBLE!V195</f>
        <v>Rôle actif de l'enfant</v>
      </c>
      <c r="T108" s="620"/>
      <c r="U108" s="620"/>
      <c r="V108" s="620"/>
      <c r="W108" s="1924"/>
      <c r="X108" s="1924"/>
      <c r="Y108" s="1147"/>
    </row>
    <row r="109" spans="1:29" ht="36" customHeight="1" thickBot="1">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t="str">
        <f>Test_Bible!P323</f>
        <v>7</v>
      </c>
      <c r="R109" s="637">
        <f>Test_Bible!D323</f>
        <v>3</v>
      </c>
      <c r="S109" s="1935" t="str">
        <f>BIBLE!V196</f>
        <v>Rôle actif de l'enfant</v>
      </c>
      <c r="T109" s="294"/>
      <c r="U109" s="294"/>
      <c r="V109" s="294"/>
      <c r="W109" s="1943"/>
      <c r="X109" s="1943"/>
      <c r="Y109" s="295"/>
    </row>
    <row r="111" spans="1:29">
      <c r="AA111" s="288" t="s">
        <v>2434</v>
      </c>
      <c r="AB111" s="288"/>
      <c r="AC111" s="288" t="s">
        <v>2435</v>
      </c>
    </row>
    <row r="112" spans="1:29">
      <c r="AA112" s="13" t="s">
        <v>2436</v>
      </c>
      <c r="AC112" s="826" t="s">
        <v>2437</v>
      </c>
    </row>
    <row r="113" spans="27:29" ht="37" customHeight="1">
      <c r="AA113" s="13" t="s">
        <v>2438</v>
      </c>
      <c r="AC113" s="826" t="s">
        <v>2439</v>
      </c>
    </row>
    <row r="114" spans="27:29" ht="37" customHeight="1">
      <c r="AA114" s="13" t="s">
        <v>2440</v>
      </c>
      <c r="AC114" s="826" t="s">
        <v>2441</v>
      </c>
    </row>
    <row r="115" spans="27:29" ht="37" customHeight="1">
      <c r="AA115" s="13" t="s">
        <v>2442</v>
      </c>
      <c r="AC115" s="826" t="s">
        <v>2443</v>
      </c>
    </row>
    <row r="116" spans="27:29">
      <c r="AA116" s="13" t="s">
        <v>2444</v>
      </c>
      <c r="AC116" s="826" t="s">
        <v>2445</v>
      </c>
    </row>
    <row r="117" spans="27:29" ht="37" customHeight="1">
      <c r="AA117" s="13" t="s">
        <v>2446</v>
      </c>
      <c r="AC117" s="826" t="s">
        <v>2447</v>
      </c>
    </row>
    <row r="118" spans="27:29" ht="37" customHeight="1">
      <c r="AA118" s="13" t="s">
        <v>2448</v>
      </c>
      <c r="AC118" s="826" t="s">
        <v>2449</v>
      </c>
    </row>
    <row r="119" spans="27:29">
      <c r="AA119" s="13"/>
      <c r="AC119" s="826" t="s">
        <v>2450</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defaultColWidth="11" defaultRowHeight="40" customHeight="1"/>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137</v>
      </c>
      <c r="D1" s="1051"/>
      <c r="E1" s="1052" t="s">
        <v>248</v>
      </c>
      <c r="F1" s="1053" t="s">
        <v>249</v>
      </c>
      <c r="G1" s="462" t="s">
        <v>250</v>
      </c>
      <c r="H1" s="1054" t="s">
        <v>2451</v>
      </c>
      <c r="I1" s="1055" t="s">
        <v>252</v>
      </c>
      <c r="J1" s="1055" t="s">
        <v>253</v>
      </c>
      <c r="K1" s="2620" t="s">
        <v>2452</v>
      </c>
      <c r="L1" s="2468"/>
      <c r="M1" s="2468"/>
      <c r="N1" s="2468"/>
      <c r="O1" s="2468"/>
    </row>
    <row r="2" spans="1:15" ht="78" customHeight="1">
      <c r="A2" s="1049"/>
      <c r="B2" s="1050"/>
      <c r="C2" s="1051"/>
      <c r="D2" s="1051"/>
      <c r="E2" s="1052"/>
      <c r="F2" s="1053"/>
      <c r="G2" s="462"/>
      <c r="H2" s="1054"/>
      <c r="I2" s="462"/>
      <c r="J2" s="462"/>
      <c r="K2" s="1094" t="s">
        <v>2453</v>
      </c>
      <c r="L2" s="1094" t="s">
        <v>2454</v>
      </c>
      <c r="M2" s="1094" t="s">
        <v>2455</v>
      </c>
      <c r="N2" s="1094" t="s">
        <v>2456</v>
      </c>
      <c r="O2" s="1094" t="s">
        <v>2457</v>
      </c>
    </row>
    <row r="3" spans="1:15" ht="50" customHeight="1">
      <c r="A3" s="61" t="s">
        <v>261</v>
      </c>
      <c r="B3" s="1047"/>
      <c r="C3" s="272"/>
      <c r="D3" s="272"/>
      <c r="E3" s="462"/>
      <c r="F3" s="462"/>
      <c r="G3" s="462"/>
      <c r="I3" s="462"/>
      <c r="J3" s="462"/>
    </row>
    <row r="4" spans="1:15" ht="102" customHeight="1">
      <c r="A4" s="501"/>
      <c r="B4" s="1195" t="str">
        <f>BIBLE!E20</f>
        <v>B00</v>
      </c>
      <c r="C4" s="1195" t="str">
        <f>BIBLE!F20</f>
        <v xml:space="preserve">Identification: Qui êtes-vous ? </v>
      </c>
      <c r="D4" s="1095" t="s">
        <v>264</v>
      </c>
      <c r="E4" s="462">
        <v>0</v>
      </c>
      <c r="F4" s="462"/>
      <c r="G4" s="462"/>
      <c r="I4" s="462"/>
      <c r="J4" s="462"/>
      <c r="K4" s="1088"/>
      <c r="L4" s="1088" t="s">
        <v>2458</v>
      </c>
      <c r="M4" s="1089"/>
      <c r="N4" s="1089"/>
      <c r="O4" s="1089"/>
    </row>
    <row r="5" spans="1:15" ht="51" customHeight="1">
      <c r="A5" s="501"/>
      <c r="B5" s="1195" t="str">
        <f>BIBLE!E21</f>
        <v>B01</v>
      </c>
      <c r="C5" s="1195" t="str">
        <f>BIBLE!F21</f>
        <v>Vous répondez à ce questionnaire au nom de ?</v>
      </c>
      <c r="D5" s="1096" t="s">
        <v>2459</v>
      </c>
      <c r="E5" s="576">
        <v>0</v>
      </c>
      <c r="F5" s="576"/>
      <c r="G5" s="462" t="s">
        <v>233</v>
      </c>
      <c r="I5" s="462"/>
      <c r="J5" s="462"/>
      <c r="K5" s="1088"/>
      <c r="L5" s="1088" t="s">
        <v>2458</v>
      </c>
      <c r="M5" s="1089"/>
      <c r="N5" s="1089"/>
      <c r="O5" s="1088" t="s">
        <v>2458</v>
      </c>
    </row>
    <row r="6" spans="1:15" ht="44" customHeight="1">
      <c r="A6" s="501"/>
      <c r="B6" s="1195" t="str">
        <f>BIBLE!E22</f>
        <v>B02</v>
      </c>
      <c r="C6" s="1195" t="str">
        <f>BIBLE!F22</f>
        <v>Souhaitez-vous faire une analyse au présent ou de manière rétrospective ?</v>
      </c>
      <c r="D6" s="1096" t="s">
        <v>2460</v>
      </c>
      <c r="E6" s="576"/>
      <c r="F6" s="576"/>
      <c r="G6" s="462"/>
      <c r="I6" s="462"/>
      <c r="J6" s="462"/>
      <c r="K6" s="1088" t="s">
        <v>2458</v>
      </c>
      <c r="L6" s="1088"/>
      <c r="M6" s="1089"/>
      <c r="N6" s="1089"/>
      <c r="O6" s="1088"/>
    </row>
    <row r="7" spans="1:15" ht="85" customHeight="1">
      <c r="A7" s="501"/>
      <c r="B7" s="1195" t="str">
        <f>BIBLE!E23</f>
        <v>B03</v>
      </c>
      <c r="C7" s="1195" t="str">
        <f>BIBLE!F23</f>
        <v xml:space="preserve">Quelle a été la durée de vie commune avec l'autre parent (coparent) ?
</v>
      </c>
      <c r="D7" s="1096" t="s">
        <v>2461</v>
      </c>
      <c r="E7" s="576">
        <v>0</v>
      </c>
      <c r="F7" s="576"/>
      <c r="G7" s="462" t="s">
        <v>233</v>
      </c>
      <c r="I7" s="462"/>
      <c r="J7" s="462"/>
      <c r="K7" s="1089"/>
      <c r="L7" s="1088" t="s">
        <v>2458</v>
      </c>
      <c r="M7" s="1089"/>
      <c r="N7" s="1089"/>
      <c r="O7" s="1088" t="s">
        <v>2458</v>
      </c>
    </row>
    <row r="8" spans="1:15" ht="85" customHeight="1">
      <c r="A8" s="501"/>
      <c r="B8" s="1195" t="str">
        <f>BIBLE!E24</f>
        <v>B04</v>
      </c>
      <c r="C8" s="1195" t="str">
        <f>BIBLE!F24</f>
        <v xml:space="preserve">Depuis combien de temps êtes vous séparé·e de l'autre parent (coparent) ? </v>
      </c>
      <c r="D8" s="1096" t="s">
        <v>2462</v>
      </c>
      <c r="E8" s="576">
        <v>0</v>
      </c>
      <c r="F8" s="576"/>
      <c r="G8" s="462" t="s">
        <v>233</v>
      </c>
      <c r="I8" s="462"/>
      <c r="J8" s="462"/>
      <c r="K8" s="1088" t="s">
        <v>2458</v>
      </c>
      <c r="L8" s="1088" t="s">
        <v>2458</v>
      </c>
      <c r="M8" s="1089"/>
      <c r="N8" s="1088" t="s">
        <v>2458</v>
      </c>
      <c r="O8" s="1088" t="s">
        <v>2458</v>
      </c>
    </row>
    <row r="9" spans="1:15" ht="68" customHeight="1">
      <c r="A9" s="501"/>
      <c r="B9" s="1195" t="str">
        <f>BIBLE!E25</f>
        <v>B05</v>
      </c>
      <c r="C9" s="1195" t="str">
        <f>BIBLE!F25</f>
        <v>Combien d'enfants compte la fratrie ?</v>
      </c>
      <c r="D9" s="1096" t="s">
        <v>290</v>
      </c>
      <c r="E9" s="576"/>
      <c r="F9" s="576"/>
      <c r="G9" s="462"/>
      <c r="I9" s="462"/>
      <c r="J9" s="462"/>
      <c r="K9" s="1088"/>
      <c r="L9" s="1088" t="s">
        <v>2458</v>
      </c>
      <c r="M9" s="1089"/>
      <c r="N9" s="1088"/>
      <c r="O9" s="1088"/>
    </row>
    <row r="10" spans="1:15" ht="40" customHeight="1">
      <c r="A10" s="501"/>
      <c r="B10" s="1195" t="str">
        <f>BIBLE!E26</f>
        <v>B06</v>
      </c>
      <c r="C10" s="1195" t="str">
        <f>BIBLE!F26</f>
        <v>Quel âge a l'enfant qui fait l'objet de l'analyse ?</v>
      </c>
      <c r="D10" s="1095" t="s">
        <v>2463</v>
      </c>
      <c r="E10" s="576">
        <v>0</v>
      </c>
      <c r="F10" s="576"/>
      <c r="G10" s="462" t="s">
        <v>233</v>
      </c>
      <c r="I10" s="462"/>
      <c r="J10" s="462"/>
      <c r="K10" s="1088" t="s">
        <v>2458</v>
      </c>
      <c r="L10" s="1088" t="s">
        <v>2458</v>
      </c>
      <c r="M10" s="1089"/>
      <c r="N10" s="1088" t="s">
        <v>2458</v>
      </c>
      <c r="O10" s="1088" t="s">
        <v>2458</v>
      </c>
    </row>
    <row r="11" spans="1:15" ht="51" customHeight="1">
      <c r="A11" s="501"/>
      <c r="B11" s="1195" t="str">
        <f>BIBLE!E27</f>
        <v>B07</v>
      </c>
      <c r="C11" s="1195" t="str">
        <f>BIBLE!F27</f>
        <v xml:space="preserve">Quelle est votre situation familiale actuelle ? </v>
      </c>
      <c r="D11" s="1096" t="s">
        <v>2464</v>
      </c>
      <c r="E11" s="576">
        <v>0</v>
      </c>
      <c r="F11" s="576"/>
      <c r="G11" s="462" t="s">
        <v>233</v>
      </c>
      <c r="I11" s="462"/>
      <c r="J11" s="462"/>
      <c r="K11" s="1088" t="s">
        <v>2458</v>
      </c>
      <c r="L11" s="1088" t="s">
        <v>2458</v>
      </c>
      <c r="M11" s="1089"/>
      <c r="N11" s="1089"/>
      <c r="O11" s="1089"/>
    </row>
    <row r="12" spans="1:15" ht="51" customHeight="1">
      <c r="A12" s="501"/>
      <c r="B12" s="1195" t="str">
        <f>BIBLE!E28</f>
        <v>B08</v>
      </c>
      <c r="C12" s="1195" t="str">
        <f>BIBLE!F28</f>
        <v xml:space="preserve">Quelle est la situation familiale actuelle de l'autre parent (coparent) ?
</v>
      </c>
      <c r="D12" s="1096" t="s">
        <v>2465</v>
      </c>
      <c r="E12" s="576">
        <v>0</v>
      </c>
      <c r="F12" s="576"/>
      <c r="G12" s="462" t="s">
        <v>233</v>
      </c>
      <c r="I12" s="462"/>
      <c r="J12" s="462"/>
      <c r="K12" s="1088" t="s">
        <v>2458</v>
      </c>
      <c r="L12" s="1088" t="s">
        <v>2458</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317</v>
      </c>
      <c r="H13" s="541" t="s">
        <v>2466</v>
      </c>
      <c r="I13" s="1057" t="str">
        <f>Test_Bible!P53</f>
        <v>4</v>
      </c>
      <c r="J13" s="1057">
        <f>Test_Bible!Q53</f>
        <v>12</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2467</v>
      </c>
      <c r="E14" s="1058">
        <v>0</v>
      </c>
      <c r="F14" s="1058"/>
      <c r="G14" s="462" t="s">
        <v>312</v>
      </c>
      <c r="I14" s="462"/>
      <c r="J14" s="462"/>
      <c r="K14" s="1088" t="s">
        <v>2458</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317</v>
      </c>
      <c r="H15" s="541" t="s">
        <v>2466</v>
      </c>
      <c r="I15" s="1057" t="str">
        <f>Test_Bible!P56</f>
        <v>7</v>
      </c>
      <c r="J15" s="1057">
        <f>Test_Bible!Q56</f>
        <v>14</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317</v>
      </c>
      <c r="H16" s="541" t="s">
        <v>2466</v>
      </c>
      <c r="I16" s="1057" t="str">
        <f>Test_Bible!P57</f>
        <v>1</v>
      </c>
      <c r="J16" s="1057">
        <f>Test_Bible!Q57</f>
        <v>2</v>
      </c>
      <c r="K16" s="1090"/>
      <c r="L16" s="1090"/>
      <c r="M16" s="1090"/>
      <c r="N16" s="1090"/>
      <c r="O16" s="1090"/>
    </row>
    <row r="17" spans="1:15" ht="96"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2458</v>
      </c>
      <c r="L17" s="1088" t="s">
        <v>2458</v>
      </c>
      <c r="M17" s="1089"/>
      <c r="N17" s="1088" t="s">
        <v>2458</v>
      </c>
      <c r="O17" s="1088" t="s">
        <v>2458</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2458</v>
      </c>
      <c r="N18" s="1089"/>
      <c r="O18" s="1088"/>
    </row>
    <row r="19" spans="1:15" ht="87" customHeight="1">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2458</v>
      </c>
      <c r="N19" s="1089"/>
      <c r="O19" s="1088"/>
    </row>
    <row r="20" spans="1:15" ht="48" customHeight="1">
      <c r="A20" s="501"/>
      <c r="B20" s="1196" t="str">
        <f>BIBLE!E36</f>
        <v>B12c</v>
      </c>
      <c r="C20" s="1196" t="str">
        <f>BIBLE!F36</f>
        <v>Est-ce qu'il y a d'autres enfants en rupture de lien ou de contact?</v>
      </c>
      <c r="D20" s="1098" t="s">
        <v>2467</v>
      </c>
      <c r="E20" s="1058">
        <v>0</v>
      </c>
      <c r="F20" s="1058"/>
      <c r="G20" s="462" t="s">
        <v>312</v>
      </c>
      <c r="I20" s="462"/>
      <c r="J20" s="462"/>
      <c r="K20" s="1089"/>
      <c r="L20" s="1088" t="s">
        <v>2458</v>
      </c>
      <c r="M20" s="1088" t="s">
        <v>2458</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2458</v>
      </c>
      <c r="M21" s="1088" t="s">
        <v>2458</v>
      </c>
      <c r="N21" s="1089"/>
      <c r="O21" s="1088"/>
    </row>
    <row r="22" spans="1:15" ht="40" customHeight="1">
      <c r="A22" s="16"/>
      <c r="B22" s="1047"/>
      <c r="C22" s="272"/>
      <c r="D22" s="272"/>
      <c r="E22" s="16"/>
      <c r="F22" s="16"/>
      <c r="G22" s="462"/>
      <c r="I22" s="462"/>
      <c r="J22" s="462"/>
    </row>
    <row r="23" spans="1:15" s="82" customFormat="1" ht="30" customHeight="1">
      <c r="A23" s="1093" t="s">
        <v>88</v>
      </c>
      <c r="B23" s="330"/>
      <c r="C23" s="331"/>
      <c r="D23" s="331"/>
      <c r="E23" s="330"/>
      <c r="F23" s="330"/>
      <c r="G23" s="829"/>
      <c r="H23" s="542"/>
      <c r="I23" s="829"/>
      <c r="J23" s="829"/>
      <c r="K23" s="1059"/>
      <c r="L23" s="1059"/>
      <c r="M23" s="1059"/>
      <c r="N23" s="1059"/>
      <c r="O23" s="1059"/>
    </row>
    <row r="24" spans="1:15" ht="51"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2468</v>
      </c>
      <c r="I24" s="1061" t="str">
        <f>Test_Bible!P126</f>
        <v>4</v>
      </c>
      <c r="J24" s="1061">
        <f>Test_Bible!Q126</f>
        <v>4</v>
      </c>
      <c r="K24" s="1090"/>
      <c r="L24" s="1090"/>
      <c r="M24" s="1090"/>
      <c r="N24" s="1090"/>
      <c r="O24" s="1090"/>
    </row>
    <row r="25" spans="1:15" ht="98" customHeight="1">
      <c r="A25" s="1060"/>
      <c r="B25" s="1196" t="str">
        <f>BIBLE!E54</f>
        <v>PCR01b</v>
      </c>
      <c r="C25" s="1196" t="str">
        <f>BIBLE!F54</f>
        <v>Quels sont les sujets délicats entre vous et l'autre parent ?</v>
      </c>
      <c r="D25" s="1103" t="s">
        <v>2469</v>
      </c>
      <c r="E25" s="537">
        <v>1</v>
      </c>
      <c r="F25" s="537"/>
      <c r="G25" s="462" t="s">
        <v>418</v>
      </c>
      <c r="H25" s="543" t="s">
        <v>2470</v>
      </c>
      <c r="I25" s="1062"/>
      <c r="J25" s="1062"/>
      <c r="K25" s="1089"/>
      <c r="L25" s="1088" t="s">
        <v>2458</v>
      </c>
      <c r="M25" s="1088" t="s">
        <v>2458</v>
      </c>
      <c r="N25" s="1089"/>
      <c r="O25" s="1088"/>
    </row>
    <row r="26" spans="1:15" s="7" customFormat="1" ht="17" customHeight="1">
      <c r="A26" s="1060"/>
      <c r="B26" s="1194" t="str">
        <f>BIBLE!E66</f>
        <v>PCR12</v>
      </c>
      <c r="C26" s="1194" t="str">
        <f>BIBLE!F66</f>
        <v>Il vous arrive de prendre des décisions sans consulter l'autre parent.</v>
      </c>
      <c r="D26" s="1104"/>
      <c r="E26" s="545">
        <v>2</v>
      </c>
      <c r="F26" s="545"/>
      <c r="G26" s="462" t="s">
        <v>201</v>
      </c>
      <c r="H26" s="541" t="s">
        <v>2468</v>
      </c>
      <c r="I26" s="1061" t="str">
        <f>Test_Bible!P140</f>
        <v>2</v>
      </c>
      <c r="J26" s="1061">
        <f>Test_Bible!Q140</f>
        <v>4</v>
      </c>
      <c r="K26" s="1092"/>
      <c r="L26" s="1092"/>
      <c r="M26" s="1092"/>
      <c r="N26" s="1092"/>
      <c r="O26" s="1092"/>
    </row>
    <row r="27" spans="1:15" s="7" customFormat="1" ht="102" customHeight="1">
      <c r="A27" s="1060"/>
      <c r="B27" s="1196" t="str">
        <f>BIBLE!E67</f>
        <v>PCR12a</v>
      </c>
      <c r="C27" s="1196" t="str">
        <f>BIBLE!F67</f>
        <v>Quel type de décisions avez-vous pris sans consulter l'autre parent ou sans attendre son approbation ?</v>
      </c>
      <c r="D27" s="1105" t="s">
        <v>2471</v>
      </c>
      <c r="E27" s="545">
        <v>2</v>
      </c>
      <c r="F27" s="545"/>
      <c r="G27" s="462" t="s">
        <v>418</v>
      </c>
      <c r="H27" s="541"/>
      <c r="I27" s="1063"/>
      <c r="J27" s="1063"/>
      <c r="K27" s="1091"/>
      <c r="L27" s="1091"/>
      <c r="M27" s="1088" t="s">
        <v>2458</v>
      </c>
      <c r="N27" s="1252" t="s">
        <v>2472</v>
      </c>
      <c r="O27" s="1088" t="s">
        <v>2458</v>
      </c>
    </row>
    <row r="28" spans="1:15" ht="34"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2473</v>
      </c>
      <c r="I28" s="1061" t="str">
        <f>Test_Bible!P151</f>
        <v>2</v>
      </c>
      <c r="J28" s="1061">
        <f>Test_Bible!Q151</f>
        <v>4</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2467</v>
      </c>
      <c r="E29" s="593">
        <v>0</v>
      </c>
      <c r="F29" s="593"/>
      <c r="G29" s="462" t="s">
        <v>312</v>
      </c>
      <c r="I29" s="1061"/>
      <c r="J29" s="1061"/>
      <c r="K29" s="1089"/>
      <c r="L29" s="1089"/>
      <c r="M29" s="1088" t="s">
        <v>2458</v>
      </c>
      <c r="N29" s="1089"/>
      <c r="O29" s="1088" t="s">
        <v>2458</v>
      </c>
    </row>
    <row r="30" spans="1:15" ht="31" customHeight="1">
      <c r="A30" s="1064"/>
      <c r="B30" s="16"/>
      <c r="C30" s="272"/>
      <c r="D30" s="1065"/>
      <c r="E30" s="462"/>
      <c r="F30" s="462"/>
      <c r="G30" s="462"/>
      <c r="I30" s="1061"/>
      <c r="J30" s="1061"/>
      <c r="M30" s="1056"/>
      <c r="O30" s="1056"/>
    </row>
    <row r="31" spans="1:15" ht="36" customHeight="1">
      <c r="A31" s="1066" t="s">
        <v>89</v>
      </c>
      <c r="B31" s="532"/>
      <c r="C31" s="914"/>
      <c r="D31" s="914"/>
      <c r="E31" s="914"/>
      <c r="F31" s="914"/>
      <c r="G31" s="914"/>
      <c r="H31" s="914"/>
      <c r="I31" s="914"/>
      <c r="J31" s="914"/>
    </row>
    <row r="32" spans="1:15" ht="34" customHeight="1">
      <c r="A32" s="1067"/>
      <c r="B32" s="1107" t="str">
        <f>BIBLE!E82</f>
        <v>PFA02</v>
      </c>
      <c r="C32" s="1108" t="s">
        <v>2474</v>
      </c>
      <c r="D32" s="1109"/>
      <c r="E32" s="1068">
        <v>1</v>
      </c>
      <c r="F32" s="1068"/>
      <c r="G32" s="1069" t="s">
        <v>355</v>
      </c>
      <c r="H32" s="1070" t="s">
        <v>2475</v>
      </c>
      <c r="I32" s="1071" t="str">
        <f>Test_Bible!P166</f>
        <v>8</v>
      </c>
      <c r="J32" s="1071">
        <f>Test_Bible!Q166</f>
        <v>8</v>
      </c>
      <c r="K32" s="1090"/>
      <c r="L32" s="1090"/>
      <c r="M32" s="1090"/>
      <c r="N32" s="1090"/>
      <c r="O32" s="1090"/>
    </row>
    <row r="33" spans="1:15" ht="90" customHeight="1">
      <c r="A33" s="383"/>
      <c r="B33" s="1107" t="str">
        <f>BIBLE!E83</f>
        <v>PFA02a</v>
      </c>
      <c r="C33" s="884" t="s">
        <v>537</v>
      </c>
      <c r="D33" s="1103" t="s">
        <v>2476</v>
      </c>
      <c r="E33" s="1068">
        <v>1</v>
      </c>
      <c r="F33" s="1068"/>
      <c r="G33" s="462" t="s">
        <v>2477</v>
      </c>
      <c r="I33" s="462"/>
      <c r="J33" s="462"/>
      <c r="K33" s="1089"/>
      <c r="L33" s="1089"/>
      <c r="M33" s="1088"/>
      <c r="N33" s="1088" t="s">
        <v>2478</v>
      </c>
      <c r="O33" s="1088" t="s">
        <v>2458</v>
      </c>
    </row>
    <row r="34" spans="1:15" s="7" customFormat="1" ht="34" customHeight="1">
      <c r="A34" s="383"/>
      <c r="B34" s="1107" t="str">
        <f>BIBLE!E125</f>
        <v>PFA25</v>
      </c>
      <c r="C34" s="1108" t="s">
        <v>2479</v>
      </c>
      <c r="D34" s="1109"/>
      <c r="E34" s="537">
        <v>1</v>
      </c>
      <c r="F34" s="537"/>
      <c r="G34" s="462" t="s">
        <v>201</v>
      </c>
      <c r="H34" s="541" t="s">
        <v>2468</v>
      </c>
      <c r="I34" s="1057" t="str">
        <f>Test_Bible!P211</f>
        <v>7</v>
      </c>
      <c r="J34" s="1057">
        <f>Test_Bible!Q211</f>
        <v>7</v>
      </c>
      <c r="K34" s="1092"/>
      <c r="L34" s="1092"/>
      <c r="M34" s="1092"/>
      <c r="N34" s="1092"/>
      <c r="O34" s="1092"/>
    </row>
    <row r="35" spans="1:15" s="7" customFormat="1" ht="45" customHeight="1">
      <c r="A35" s="383"/>
      <c r="B35" s="1107" t="str">
        <f>BIBLE!E126</f>
        <v>PFA25a</v>
      </c>
      <c r="C35" s="884" t="s">
        <v>2480</v>
      </c>
      <c r="D35" s="1110" t="s">
        <v>753</v>
      </c>
      <c r="E35" s="545">
        <v>2</v>
      </c>
      <c r="F35" s="545"/>
      <c r="G35" s="462" t="s">
        <v>754</v>
      </c>
      <c r="H35" s="543" t="s">
        <v>755</v>
      </c>
      <c r="I35" s="109"/>
      <c r="J35" s="109"/>
      <c r="K35" s="1091"/>
      <c r="L35" s="1091"/>
      <c r="M35" s="1091"/>
      <c r="N35" s="1088" t="s">
        <v>2458</v>
      </c>
      <c r="O35" s="1091"/>
    </row>
    <row r="36" spans="1:15" s="7" customFormat="1" ht="51"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2473</v>
      </c>
      <c r="I36" s="581" t="str">
        <f>Test_Bible!P220</f>
        <v>1</v>
      </c>
      <c r="J36" s="581">
        <f>Test_Bible!Q220</f>
        <v>3</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2481</v>
      </c>
      <c r="E37" s="562">
        <v>0</v>
      </c>
      <c r="F37" s="562"/>
      <c r="G37" s="462" t="s">
        <v>325</v>
      </c>
      <c r="H37" s="541"/>
      <c r="I37" s="1072"/>
      <c r="J37" s="1072"/>
      <c r="K37" s="1091"/>
      <c r="L37" s="1091"/>
      <c r="M37" s="1088" t="s">
        <v>2458</v>
      </c>
      <c r="N37" s="1252" t="s">
        <v>2482</v>
      </c>
      <c r="O37" s="1088" t="s">
        <v>2458</v>
      </c>
    </row>
    <row r="38" spans="1:15" s="7" customFormat="1" ht="41" customHeight="1">
      <c r="A38" s="383"/>
      <c r="B38" s="1196" t="str">
        <f>BIBLE!E134</f>
        <v>PFA29b</v>
      </c>
      <c r="C38" s="1196" t="str">
        <f>BIBLE!F134</f>
        <v>Avez-vous été déchu·e (totalement ou en partie) de votre autorité parentale ?</v>
      </c>
      <c r="D38" s="1112" t="s">
        <v>2483</v>
      </c>
      <c r="E38" s="537">
        <v>1</v>
      </c>
      <c r="F38" s="537"/>
      <c r="G38" s="462" t="s">
        <v>312</v>
      </c>
      <c r="H38" s="541"/>
      <c r="I38" s="1063"/>
      <c r="J38" s="1063"/>
      <c r="K38" s="1091"/>
      <c r="L38" s="1091"/>
      <c r="M38" s="1091"/>
      <c r="N38" s="1091"/>
      <c r="O38" s="1088" t="s">
        <v>2458</v>
      </c>
    </row>
    <row r="39" spans="1:15" ht="46" customHeight="1">
      <c r="A39" s="383"/>
      <c r="B39" s="1196" t="str">
        <f>BIBLE!E136</f>
        <v>PFA30a</v>
      </c>
      <c r="C39" s="1196" t="str">
        <f>BIBLE!F136</f>
        <v>L’autre parent cherche à vous exclure de la vie de votre enfant.</v>
      </c>
      <c r="D39" s="1113"/>
      <c r="E39" s="544">
        <v>3</v>
      </c>
      <c r="F39" s="544"/>
      <c r="G39" s="462" t="s">
        <v>209</v>
      </c>
      <c r="H39" s="541" t="s">
        <v>2484</v>
      </c>
      <c r="I39" s="1057" t="str">
        <f>Test_Bible!P235</f>
        <v>4</v>
      </c>
      <c r="J39" s="1057">
        <f>Test_Bible!Q235</f>
        <v>12</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2468</v>
      </c>
      <c r="I40" s="1057">
        <f>Test_Bible!P236</f>
        <v>0</v>
      </c>
      <c r="J40" s="1057">
        <f>Test_Bible!Q236</f>
        <v>0</v>
      </c>
      <c r="K40" s="1089"/>
      <c r="L40" s="1089"/>
      <c r="M40" s="1089"/>
      <c r="N40" s="1089"/>
      <c r="O40" s="1089"/>
    </row>
    <row r="41" spans="1:15" ht="136" customHeight="1">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2458</v>
      </c>
      <c r="N41" s="1088" t="s">
        <v>2478</v>
      </c>
      <c r="O41" s="1088" t="s">
        <v>2458</v>
      </c>
    </row>
    <row r="42" spans="1:15" s="7" customFormat="1" ht="34" customHeight="1">
      <c r="A42" s="383"/>
      <c r="B42" s="1197" t="str">
        <f>BIBLE!E146</f>
        <v>PFA36</v>
      </c>
      <c r="C42" s="1197" t="str">
        <f>BIBLE!F146</f>
        <v>L’autre parent demande à votre enfant de choisir avec quel parent il veut vivre.</v>
      </c>
      <c r="D42" s="1115"/>
      <c r="E42" s="561">
        <v>3</v>
      </c>
      <c r="F42" s="561"/>
      <c r="G42" s="462" t="s">
        <v>206</v>
      </c>
      <c r="H42" s="541" t="s">
        <v>2473</v>
      </c>
      <c r="I42" s="1073" t="str">
        <f>Test_Bible!P234</f>
        <v>4</v>
      </c>
      <c r="J42" s="1073">
        <f>Test_Bible!Q234</f>
        <v>12</v>
      </c>
      <c r="K42" s="1092"/>
      <c r="L42" s="1092"/>
      <c r="M42" s="1092"/>
      <c r="N42" s="1092"/>
      <c r="O42" s="1092"/>
    </row>
    <row r="43" spans="1:15" ht="102" customHeight="1">
      <c r="A43" s="383"/>
      <c r="B43" s="1197" t="str">
        <f>BIBLE!E147</f>
        <v>PFA38</v>
      </c>
      <c r="C43" s="1197" t="str">
        <f>BIBLE!F147</f>
        <v>Selon vous, quels sont les enjeux les plus importants pour l'autre parent au niveau de la garde des enfants ?</v>
      </c>
      <c r="D43" s="1116" t="s">
        <v>2485</v>
      </c>
      <c r="E43" s="1074" t="s">
        <v>2486</v>
      </c>
      <c r="F43" s="1074"/>
      <c r="G43" s="462" t="s">
        <v>325</v>
      </c>
      <c r="H43" s="543" t="s">
        <v>850</v>
      </c>
      <c r="I43" s="462"/>
      <c r="J43" s="462"/>
      <c r="K43" s="1089"/>
      <c r="L43" s="1089"/>
      <c r="M43" s="1088" t="s">
        <v>2458</v>
      </c>
      <c r="N43" s="1088" t="s">
        <v>2478</v>
      </c>
      <c r="O43" s="1088" t="s">
        <v>2458</v>
      </c>
    </row>
    <row r="44" spans="1:15" ht="55" customHeight="1">
      <c r="A44" s="16"/>
      <c r="B44" s="1047"/>
      <c r="C44" s="272"/>
      <c r="D44" s="1048"/>
      <c r="E44" s="462"/>
      <c r="F44" s="462"/>
      <c r="G44" s="462"/>
      <c r="I44" s="462"/>
      <c r="J44" s="462"/>
    </row>
    <row r="45" spans="1:15" ht="42" customHeight="1">
      <c r="A45" s="1075" t="s">
        <v>852</v>
      </c>
      <c r="B45" s="510"/>
      <c r="C45" s="1076"/>
      <c r="D45" s="917"/>
      <c r="E45" s="563"/>
      <c r="F45" s="563"/>
      <c r="G45" s="1077"/>
      <c r="H45" s="1078"/>
      <c r="I45" s="1077"/>
      <c r="J45" s="1077"/>
    </row>
    <row r="46" spans="1:15" s="138" customFormat="1" ht="42" customHeight="1">
      <c r="A46" s="1079" t="s">
        <v>424</v>
      </c>
      <c r="B46" s="1117" t="str">
        <f>BIBLE!E159</f>
        <v>E05</v>
      </c>
      <c r="C46" s="1199" t="str">
        <f>BIBLE!F159</f>
        <v>Votre enfant s’exprime avec des expressions ou des paroles empruntées à l’autre parent.</v>
      </c>
      <c r="D46" s="1118"/>
      <c r="E46" s="545">
        <v>2</v>
      </c>
      <c r="F46" s="545"/>
      <c r="G46" s="462" t="s">
        <v>201</v>
      </c>
      <c r="H46" s="541" t="s">
        <v>2468</v>
      </c>
      <c r="I46" s="1061" t="str">
        <f>Test_Bible!P272</f>
        <v>7</v>
      </c>
      <c r="J46" s="1061">
        <f>Test_Bible!Q272</f>
        <v>14</v>
      </c>
      <c r="K46" s="1090"/>
      <c r="L46" s="1090"/>
      <c r="M46" s="1090"/>
      <c r="N46" s="1090"/>
      <c r="O46" s="1090"/>
    </row>
    <row r="47" spans="1:15" s="138" customFormat="1" ht="86" customHeight="1">
      <c r="A47" s="1079" t="s">
        <v>424</v>
      </c>
      <c r="B47" s="1117" t="str">
        <f>BIBLE!E160</f>
        <v>E05a</v>
      </c>
      <c r="C47" s="1196" t="str">
        <f>BIBLE!F160</f>
        <v>Dans quels contextes ou à quelles occasions cela se produit-il ?</v>
      </c>
      <c r="D47" s="1110" t="s">
        <v>898</v>
      </c>
      <c r="E47" s="545">
        <v>2</v>
      </c>
      <c r="F47" s="545"/>
      <c r="G47" s="462" t="s">
        <v>2487</v>
      </c>
      <c r="H47" s="543" t="s">
        <v>900</v>
      </c>
      <c r="I47" s="395"/>
      <c r="J47" s="395"/>
      <c r="K47" s="1089"/>
      <c r="L47" s="1089"/>
      <c r="M47" s="1088" t="s">
        <v>2458</v>
      </c>
      <c r="N47" s="1089"/>
      <c r="O47" s="1088" t="s">
        <v>2458</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2458</v>
      </c>
      <c r="L49" s="1403"/>
      <c r="M49" s="1404"/>
      <c r="N49" s="1403"/>
      <c r="O49" s="1404"/>
    </row>
    <row r="50" spans="1:15" s="138" customFormat="1" ht="42" customHeight="1">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2468</v>
      </c>
      <c r="I50" s="1061" t="str">
        <f>Test_Bible!P312</f>
        <v>4</v>
      </c>
      <c r="J50" s="1061">
        <f>Test_Bible!Q312</f>
        <v>8</v>
      </c>
      <c r="K50" s="1090"/>
      <c r="L50" s="1090"/>
      <c r="M50" s="1090"/>
      <c r="N50" s="1090"/>
      <c r="O50" s="1090"/>
    </row>
    <row r="51" spans="1:15" s="138" customFormat="1" ht="34" customHeight="1">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2458</v>
      </c>
      <c r="N51" s="1089"/>
      <c r="O51" s="1088" t="s">
        <v>2458</v>
      </c>
    </row>
    <row r="52" spans="1:15" ht="42" customHeight="1">
      <c r="A52" s="1081"/>
      <c r="B52" s="1117" t="str">
        <f>BIBLE!E206</f>
        <v>E36</v>
      </c>
      <c r="C52" s="1117" t="str">
        <f>BIBLE!F206</f>
        <v>Est-ce que votre enfant présente des troubles psychosomatiques en ce moment?</v>
      </c>
      <c r="D52" s="1119" t="s">
        <v>2467</v>
      </c>
      <c r="E52" s="551">
        <v>0</v>
      </c>
      <c r="F52" s="551"/>
      <c r="G52" s="462" t="s">
        <v>312</v>
      </c>
      <c r="H52" s="541"/>
      <c r="I52" s="1062"/>
      <c r="J52" s="1062"/>
      <c r="K52" s="1090"/>
      <c r="L52" s="1090"/>
      <c r="M52" s="1090"/>
      <c r="N52" s="1090"/>
      <c r="O52" s="1090"/>
    </row>
    <row r="53" spans="1:15" ht="170" customHeight="1">
      <c r="A53" s="1081"/>
      <c r="B53" s="1117" t="str">
        <f>BIBLE!E207</f>
        <v>E36a</v>
      </c>
      <c r="C53" s="1196" t="str">
        <f>BIBLE!F207</f>
        <v>Quelles sont les manifestations ou troubles psychosomatiques présents chez votre enfant et à quelle fréquence?</v>
      </c>
      <c r="D53" s="1120" t="s">
        <v>1134</v>
      </c>
      <c r="E53" s="551">
        <v>0</v>
      </c>
      <c r="F53" s="551"/>
      <c r="G53" s="462" t="s">
        <v>2488</v>
      </c>
      <c r="H53" s="541" t="s">
        <v>2468</v>
      </c>
      <c r="I53" s="1062"/>
      <c r="J53" s="1062"/>
      <c r="K53" s="1089"/>
      <c r="L53" s="1088" t="s">
        <v>2458</v>
      </c>
      <c r="M53" s="1088" t="s">
        <v>2458</v>
      </c>
      <c r="N53" s="1089"/>
      <c r="O53" s="1088" t="s">
        <v>2458</v>
      </c>
    </row>
    <row r="54" spans="1:15" ht="170" customHeight="1">
      <c r="A54" s="1081"/>
      <c r="B54" s="1117" t="str">
        <f>BIBLE!E207</f>
        <v>E36a</v>
      </c>
      <c r="C54" s="1196" t="str">
        <f>BIBLE!F207</f>
        <v>Quelles sont les manifestations ou troubles psychosomatiques présents chez votre enfant et à quelle fréquence?</v>
      </c>
      <c r="D54" s="1120" t="s">
        <v>1134</v>
      </c>
      <c r="E54" s="551">
        <v>0</v>
      </c>
      <c r="F54" s="551"/>
      <c r="G54" s="462" t="s">
        <v>2488</v>
      </c>
      <c r="H54" s="541" t="s">
        <v>2468</v>
      </c>
      <c r="I54" s="462"/>
      <c r="J54" s="462"/>
      <c r="K54" s="1091"/>
      <c r="L54" s="1091"/>
      <c r="M54" s="1088" t="s">
        <v>2458</v>
      </c>
      <c r="N54" s="1091"/>
      <c r="O54" s="1088" t="s">
        <v>2458</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2458</v>
      </c>
      <c r="N56" s="1089"/>
      <c r="O56" s="1088" t="s">
        <v>2458</v>
      </c>
    </row>
    <row r="57" spans="1:15" s="7" customFormat="1" ht="39" customHeight="1">
      <c r="A57" s="1064"/>
      <c r="B57" s="16"/>
      <c r="C57" s="272"/>
      <c r="D57" s="1214"/>
      <c r="E57" s="462"/>
      <c r="F57" s="462"/>
      <c r="G57" s="462"/>
      <c r="H57" s="541"/>
      <c r="I57" s="462"/>
      <c r="J57" s="462"/>
      <c r="M57" s="1056"/>
      <c r="O57" s="1056"/>
    </row>
    <row r="58" spans="1:15" s="7" customFormat="1" ht="51" customHeight="1">
      <c r="A58" s="1394" t="s">
        <v>2489</v>
      </c>
      <c r="B58" s="1395"/>
      <c r="C58" s="1396"/>
      <c r="D58" s="1397"/>
      <c r="E58" s="563"/>
      <c r="F58" s="563"/>
      <c r="G58" s="1077"/>
      <c r="H58" s="1078"/>
      <c r="I58" s="1077"/>
      <c r="J58" s="1077"/>
    </row>
    <row r="59" spans="1:15" ht="95" customHeight="1">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2468</v>
      </c>
      <c r="I59" s="1402" t="str">
        <f>Test_Bible!P284</f>
        <v>4</v>
      </c>
      <c r="J59" s="1402">
        <f>Test_Bible!Q284</f>
        <v>8</v>
      </c>
      <c r="K59" s="1403"/>
      <c r="L59" s="1403"/>
      <c r="M59" s="1404" t="s">
        <v>2458</v>
      </c>
      <c r="N59" s="1403"/>
      <c r="O59" s="1404"/>
    </row>
    <row r="60" spans="1:15" ht="55" customHeight="1">
      <c r="A60" s="1064"/>
      <c r="B60" s="1047"/>
      <c r="C60" s="272"/>
      <c r="D60" s="1082"/>
      <c r="E60" s="462"/>
      <c r="F60" s="462"/>
      <c r="G60" s="462"/>
      <c r="H60" s="541"/>
      <c r="I60" s="462"/>
      <c r="J60" s="462"/>
      <c r="K60" s="7"/>
      <c r="L60" s="7"/>
      <c r="M60" s="7"/>
      <c r="N60" s="7"/>
      <c r="O60" s="7"/>
    </row>
    <row r="61" spans="1:15" ht="150" customHeight="1">
      <c r="A61" s="2621"/>
      <c r="B61" s="1101" t="str">
        <f>BIBLE!E213</f>
        <v>PCR20</v>
      </c>
      <c r="C61" s="1194" t="str">
        <f>BIBLE!F213</f>
        <v xml:space="preserve">Au retour d’un séjour chez l’autre parent : 
Votre enfant est agressif envers vous et vous accable de reproches. Comment réagissez-vous ?
</v>
      </c>
      <c r="D61" s="1121" t="s">
        <v>2490</v>
      </c>
      <c r="E61" s="564">
        <v>0</v>
      </c>
      <c r="F61" s="564"/>
      <c r="G61" s="1062" t="s">
        <v>418</v>
      </c>
      <c r="H61" s="543" t="s">
        <v>2491</v>
      </c>
      <c r="I61" s="395"/>
      <c r="J61" s="395"/>
      <c r="K61" s="1089"/>
      <c r="L61" s="1089"/>
      <c r="M61" s="1088"/>
      <c r="N61" s="1320" t="s">
        <v>2492</v>
      </c>
      <c r="O61" s="1088" t="s">
        <v>2458</v>
      </c>
    </row>
    <row r="62" spans="1:15" ht="85" customHeight="1">
      <c r="A62" s="2474"/>
      <c r="B62" s="1101" t="str">
        <f>BIBLE!E214</f>
        <v>PCR21</v>
      </c>
      <c r="C62" s="1194" t="str">
        <f>BIBLE!F214</f>
        <v>Au retour d’un séjour chez l’autre parent :
Votre enfant vous accuse de mentir ou de voler l'argent de l'autre parent. Comment réagissez-vous ?</v>
      </c>
      <c r="D62" s="1122" t="s">
        <v>2493</v>
      </c>
      <c r="E62" s="564">
        <v>0</v>
      </c>
      <c r="F62" s="564"/>
      <c r="G62" s="1062" t="s">
        <v>418</v>
      </c>
      <c r="H62" s="543" t="s">
        <v>2494</v>
      </c>
      <c r="I62" s="395"/>
      <c r="J62" s="395"/>
      <c r="K62" s="1089"/>
      <c r="L62" s="1089"/>
      <c r="M62" s="1089"/>
      <c r="N62" s="1321"/>
      <c r="O62" s="1088" t="s">
        <v>2458</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6" customHeight="1">
      <c r="A67" s="494"/>
      <c r="B67" s="1047"/>
      <c r="C67" s="272"/>
      <c r="D67" s="1083"/>
      <c r="E67" s="604"/>
      <c r="F67" s="604"/>
      <c r="G67" s="1062"/>
      <c r="I67" s="1062"/>
      <c r="J67" s="1062"/>
    </row>
    <row r="68" spans="1:15" ht="102" customHeight="1">
      <c r="A68" s="2475" t="s">
        <v>1257</v>
      </c>
      <c r="B68" s="1123" t="s">
        <v>1254</v>
      </c>
      <c r="C68" s="183" t="s">
        <v>1255</v>
      </c>
      <c r="D68" s="1096" t="s">
        <v>1256</v>
      </c>
      <c r="E68" s="576">
        <v>0</v>
      </c>
      <c r="F68" s="576"/>
      <c r="G68" s="462" t="s">
        <v>233</v>
      </c>
      <c r="I68" s="462"/>
      <c r="J68" s="462"/>
      <c r="K68" s="1088"/>
      <c r="L68" s="1088" t="s">
        <v>2458</v>
      </c>
      <c r="M68" s="1089"/>
      <c r="N68" s="1089"/>
      <c r="O68" s="1089"/>
    </row>
    <row r="69" spans="1:15" ht="189" customHeight="1">
      <c r="A69" s="2474"/>
      <c r="B69" s="1123" t="s">
        <v>1258</v>
      </c>
      <c r="C69" s="183" t="s">
        <v>2495</v>
      </c>
      <c r="D69" s="1096" t="s">
        <v>1260</v>
      </c>
      <c r="E69" s="576">
        <v>0</v>
      </c>
      <c r="F69" s="576"/>
      <c r="G69" s="462" t="s">
        <v>233</v>
      </c>
      <c r="I69" s="462"/>
      <c r="J69" s="462"/>
      <c r="K69" s="1089"/>
      <c r="L69" s="1088" t="s">
        <v>2458</v>
      </c>
      <c r="M69" s="1089"/>
      <c r="N69" s="1089"/>
      <c r="O69" s="1089"/>
    </row>
    <row r="70" spans="1:15" ht="54" customHeight="1">
      <c r="A70" s="2474"/>
      <c r="B70" s="1123" t="s">
        <v>1261</v>
      </c>
      <c r="C70" s="183" t="s">
        <v>2496</v>
      </c>
      <c r="D70" s="1096" t="s">
        <v>2497</v>
      </c>
      <c r="E70" s="576">
        <v>0</v>
      </c>
      <c r="F70" s="576"/>
      <c r="G70" s="462" t="s">
        <v>233</v>
      </c>
      <c r="I70" s="462"/>
      <c r="J70" s="462"/>
      <c r="K70" s="1089"/>
      <c r="L70" s="1088" t="s">
        <v>2458</v>
      </c>
      <c r="M70" s="1089"/>
      <c r="N70" s="1089"/>
      <c r="O70" s="1089"/>
    </row>
    <row r="71" spans="1:15" ht="40" customHeight="1">
      <c r="A71" s="2474"/>
      <c r="B71" s="1123" t="s">
        <v>1264</v>
      </c>
      <c r="C71" s="884" t="s">
        <v>2498</v>
      </c>
      <c r="D71" s="1100" t="s">
        <v>2499</v>
      </c>
      <c r="E71" s="1058">
        <v>0</v>
      </c>
      <c r="F71" s="1058"/>
      <c r="G71" s="462" t="s">
        <v>233</v>
      </c>
      <c r="I71" s="462"/>
      <c r="J71" s="462"/>
      <c r="K71" s="1089"/>
      <c r="L71" s="1088" t="s">
        <v>2458</v>
      </c>
      <c r="M71" s="1089"/>
      <c r="N71" s="1089"/>
      <c r="O71" s="1089"/>
    </row>
    <row r="72" spans="1:15" ht="69" customHeight="1">
      <c r="A72" s="2474"/>
      <c r="B72" s="1123" t="s">
        <v>1267</v>
      </c>
      <c r="C72" s="183" t="s">
        <v>2500</v>
      </c>
      <c r="D72" s="1096" t="s">
        <v>1270</v>
      </c>
      <c r="E72" s="576"/>
      <c r="F72" s="576"/>
      <c r="G72" s="576" t="s">
        <v>899</v>
      </c>
      <c r="H72" s="1084"/>
      <c r="I72" s="462"/>
      <c r="J72" s="462"/>
      <c r="K72" s="1089"/>
      <c r="L72" s="1088" t="s">
        <v>2458</v>
      </c>
      <c r="M72" s="1089"/>
      <c r="N72" s="1089"/>
      <c r="O72" s="1089"/>
    </row>
    <row r="73" spans="1:15" ht="40" customHeight="1">
      <c r="A73" s="16" t="s">
        <v>1271</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2501</v>
      </c>
    </row>
    <row r="3" spans="1:15">
      <c r="B3" s="2469" t="s">
        <v>2502</v>
      </c>
      <c r="C3" s="2468"/>
      <c r="D3" s="2468"/>
      <c r="E3" s="2468"/>
      <c r="F3" s="2468"/>
      <c r="G3" s="2468"/>
      <c r="H3" s="2468"/>
      <c r="J3" t="s">
        <v>2503</v>
      </c>
    </row>
    <row r="4" spans="1:15" ht="27" customHeight="1">
      <c r="B4" s="2216" t="s">
        <v>1278</v>
      </c>
      <c r="C4" s="1" t="s">
        <v>2504</v>
      </c>
      <c r="D4" s="1" t="s">
        <v>2505</v>
      </c>
      <c r="E4" s="5" t="s">
        <v>2506</v>
      </c>
      <c r="F4" s="5" t="s">
        <v>2507</v>
      </c>
      <c r="G4" s="5" t="s">
        <v>2508</v>
      </c>
      <c r="H4" s="1" t="s">
        <v>1313</v>
      </c>
      <c r="J4" s="2216" t="s">
        <v>1278</v>
      </c>
      <c r="K4" s="1" t="s">
        <v>1410</v>
      </c>
      <c r="L4" s="1" t="s">
        <v>2509</v>
      </c>
      <c r="O4" s="1" t="s">
        <v>2510</v>
      </c>
    </row>
    <row r="5" spans="1:15">
      <c r="B5" s="589"/>
      <c r="C5" s="259" t="s">
        <v>1620</v>
      </c>
      <c r="D5" s="259" t="s">
        <v>1621</v>
      </c>
      <c r="E5" s="259" t="s">
        <v>1623</v>
      </c>
      <c r="F5" s="259" t="s">
        <v>1624</v>
      </c>
      <c r="G5" s="259" t="s">
        <v>1626</v>
      </c>
      <c r="H5" s="259" t="s">
        <v>1628</v>
      </c>
      <c r="J5" s="589"/>
      <c r="K5" s="5" t="s">
        <v>2511</v>
      </c>
      <c r="L5" s="5" t="s">
        <v>2506</v>
      </c>
      <c r="M5" s="5" t="s">
        <v>2507</v>
      </c>
      <c r="N5" s="5" t="s">
        <v>2508</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1541</v>
      </c>
      <c r="B7" s="1672">
        <f>Test_Bible!V259</f>
        <v>223</v>
      </c>
      <c r="C7" s="90">
        <f>Test_Bible!X259</f>
        <v>0</v>
      </c>
      <c r="D7" s="90">
        <f>Test_Bible!Y259</f>
        <v>76</v>
      </c>
      <c r="E7" s="90">
        <f>Test_Bible!Z259</f>
        <v>152</v>
      </c>
      <c r="F7" s="2222">
        <f>Test_Bible!AA259</f>
        <v>304</v>
      </c>
      <c r="G7" s="90">
        <f>Test_Bible!AB259</f>
        <v>532</v>
      </c>
      <c r="H7" s="90">
        <f>Test_Bible!AC259</f>
        <v>760</v>
      </c>
      <c r="I7" s="2150" t="s">
        <v>1992</v>
      </c>
      <c r="J7" s="1672">
        <f>'Modèle Calcul A-R + Sommaire'!AG14</f>
        <v>0</v>
      </c>
      <c r="K7" s="90">
        <f>Test_Bible!AF259</f>
        <v>0</v>
      </c>
      <c r="L7" s="55">
        <f>'Modèle Calcul A-R + Sommaire'!AJ14</f>
        <v>261</v>
      </c>
      <c r="M7" s="2218">
        <f>L7+((O7-L7)*L$6)</f>
        <v>345.75</v>
      </c>
      <c r="N7" s="2217">
        <f>M7+((O7-L7)*M$6)</f>
        <v>474.57</v>
      </c>
      <c r="O7">
        <f>'Modèle Calcul A-R + Sommaire'!AK14</f>
        <v>600</v>
      </c>
    </row>
    <row r="8" spans="1:15" ht="20" customHeight="1">
      <c r="B8" s="589"/>
      <c r="C8" s="5"/>
      <c r="D8" s="5"/>
      <c r="E8" s="5"/>
      <c r="F8" s="5"/>
      <c r="G8" s="5"/>
      <c r="H8" s="5"/>
      <c r="I8" s="2" t="s">
        <v>1993</v>
      </c>
      <c r="J8" s="589">
        <f>'Modèle Calcul A-R + Sommaire'!AH14</f>
        <v>0</v>
      </c>
      <c r="K8" s="90">
        <f>Test_Bible!AF260</f>
        <v>0</v>
      </c>
      <c r="L8" s="55">
        <f>'Modèle Calcul A-R + Sommaire'!AL14</f>
        <v>109</v>
      </c>
      <c r="M8" s="2218">
        <f>L8+((O8-L8)*L$6)</f>
        <v>161.5</v>
      </c>
      <c r="N8" s="2217">
        <f>M8+((O8-L8)*M$6)</f>
        <v>241.3</v>
      </c>
      <c r="O8">
        <f>'Modèle Calcul A-R + Sommaire'!AM14</f>
        <v>319</v>
      </c>
    </row>
    <row r="9" spans="1:15" ht="20" customHeight="1">
      <c r="B9" s="589"/>
      <c r="C9" s="5"/>
      <c r="D9" s="5"/>
      <c r="E9" s="5"/>
      <c r="F9" s="5"/>
      <c r="G9" s="5"/>
      <c r="H9" s="5"/>
      <c r="I9" s="2" t="s">
        <v>1994</v>
      </c>
      <c r="J9" s="589">
        <f>'Modèle Calcul A-R + Sommaire'!AI14</f>
        <v>0</v>
      </c>
      <c r="K9" s="90">
        <f>Test_Bible!AF261</f>
        <v>0</v>
      </c>
      <c r="L9" s="2219">
        <f>'Modèle Calcul A-R + Sommaire'!AN14</f>
        <v>187</v>
      </c>
      <c r="M9" s="2217">
        <f>L9+((O9-L9)*L$6)</f>
        <v>228.5</v>
      </c>
      <c r="N9" s="2217">
        <f>M9+((O9-L9)*M$6)</f>
        <v>291.58</v>
      </c>
      <c r="O9">
        <f>'Modèle Calcul A-R + Sommaire'!AO14</f>
        <v>353</v>
      </c>
    </row>
    <row r="10" spans="1:15" ht="30" customHeight="1">
      <c r="B10" s="589"/>
      <c r="C10" s="5"/>
      <c r="D10" s="5"/>
      <c r="E10" s="5"/>
      <c r="F10" s="5"/>
      <c r="G10" s="5"/>
      <c r="H10" s="5"/>
      <c r="J10" s="589"/>
      <c r="K10" s="5"/>
    </row>
    <row r="11" spans="1:15" ht="20" customHeight="1">
      <c r="A11" t="s">
        <v>90</v>
      </c>
      <c r="B11" s="1672">
        <f>Test_Bible!V427</f>
        <v>110</v>
      </c>
      <c r="C11" s="90">
        <f>Test_Bible!X427</f>
        <v>0</v>
      </c>
      <c r="D11" s="90">
        <f>Test_Bible!Y427</f>
        <v>28</v>
      </c>
      <c r="E11" s="90">
        <f>Test_Bible!Z427</f>
        <v>56</v>
      </c>
      <c r="F11" s="2222">
        <f>Test_Bible!AA427</f>
        <v>112</v>
      </c>
      <c r="G11" s="90">
        <f>Test_Bible!AB427</f>
        <v>196</v>
      </c>
      <c r="H11" s="90">
        <f>Test_Bible!AC427</f>
        <v>280</v>
      </c>
      <c r="I11" s="2150" t="s">
        <v>1992</v>
      </c>
      <c r="J11" s="1672">
        <f>'Modèle Calcul A-R + Sommaire'!AG15</f>
        <v>0</v>
      </c>
      <c r="K11" s="90">
        <f>Test_Bible!AF427</f>
        <v>0</v>
      </c>
      <c r="L11" s="809">
        <f>'Modèle Calcul A-R + Sommaire'!AJ15</f>
        <v>125</v>
      </c>
      <c r="M11" s="2217">
        <f>L11+((O11-L11)*L$6)</f>
        <v>161.25</v>
      </c>
      <c r="N11" s="2217">
        <f>M11+((O11-L11)*M$6)</f>
        <v>216.35</v>
      </c>
      <c r="O11">
        <f>'Modèle Calcul A-R + Sommaire'!AK15</f>
        <v>270</v>
      </c>
    </row>
    <row r="12" spans="1:15" ht="20" customHeight="1">
      <c r="B12" s="589"/>
      <c r="C12" s="5"/>
      <c r="D12" s="5"/>
      <c r="E12" s="5"/>
      <c r="F12" s="5"/>
      <c r="G12" s="5"/>
      <c r="H12" s="5"/>
      <c r="I12" s="2" t="s">
        <v>1993</v>
      </c>
      <c r="J12" s="589">
        <f>'Modèle Calcul A-R + Sommaire'!AH15</f>
        <v>0</v>
      </c>
      <c r="K12" s="2220">
        <v>0</v>
      </c>
      <c r="L12">
        <f>'Modèle Calcul A-R + Sommaire'!AL15</f>
        <v>63</v>
      </c>
      <c r="M12" s="2217">
        <f>L12+((O12-L12)*L$6)</f>
        <v>84.25</v>
      </c>
      <c r="N12" s="2217">
        <f>M12+((O12-L12)*M$6)</f>
        <v>116.55</v>
      </c>
      <c r="O12">
        <f>'Modèle Calcul A-R + Sommaire'!AM15</f>
        <v>148</v>
      </c>
    </row>
    <row r="13" spans="1:15" ht="20" customHeight="1">
      <c r="B13" s="589"/>
      <c r="C13" s="5"/>
      <c r="D13" s="5"/>
      <c r="E13" s="5"/>
      <c r="F13" s="5"/>
      <c r="G13" s="5"/>
      <c r="H13" s="5"/>
      <c r="I13" s="2" t="s">
        <v>1994</v>
      </c>
      <c r="J13" s="589">
        <f>'Modèle Calcul A-R + Sommaire'!AI15</f>
        <v>0</v>
      </c>
      <c r="K13" s="5">
        <v>0</v>
      </c>
      <c r="L13" s="809">
        <f>'Modèle Calcul A-R + Sommaire'!AN15</f>
        <v>94</v>
      </c>
      <c r="M13" s="2217">
        <f>L13+((O13-L13)*L$6)</f>
        <v>121.5</v>
      </c>
      <c r="N13" s="2217">
        <f>M13+((O13-L13)*M$6)</f>
        <v>163.30000000000001</v>
      </c>
      <c r="O13">
        <f>'Modèle Calcul A-R + Sommaire'!AO15</f>
        <v>204</v>
      </c>
    </row>
    <row r="14" spans="1:15" ht="30" customHeight="1">
      <c r="B14" s="589"/>
      <c r="C14" s="5"/>
      <c r="D14" s="5"/>
      <c r="E14" s="5"/>
      <c r="F14" s="5"/>
      <c r="G14" s="5"/>
      <c r="H14" s="5"/>
      <c r="J14" s="589"/>
      <c r="K14" s="5"/>
    </row>
    <row r="15" spans="1:15" ht="20" customHeight="1">
      <c r="A15" t="s">
        <v>116</v>
      </c>
      <c r="B15" s="1672">
        <f>Test_Bible!V380</f>
        <v>268</v>
      </c>
      <c r="C15" s="90">
        <f>Test_Bible!X380</f>
        <v>0</v>
      </c>
      <c r="D15" s="90">
        <f>Test_Bible!Y380</f>
        <v>60</v>
      </c>
      <c r="E15" s="2223">
        <f>Test_Bible!Z380</f>
        <v>120</v>
      </c>
      <c r="F15" s="90">
        <f>Test_Bible!AA380</f>
        <v>240</v>
      </c>
      <c r="G15" s="90">
        <f>Test_Bible!AB380</f>
        <v>420</v>
      </c>
      <c r="H15" s="90">
        <f>Test_Bible!AC380</f>
        <v>600</v>
      </c>
      <c r="I15" s="2150" t="s">
        <v>1992</v>
      </c>
      <c r="J15" s="1672">
        <f>'Modèle Calcul A-R + Sommaire'!AG17</f>
        <v>0</v>
      </c>
      <c r="K15" s="90">
        <f>Test_Bible!AF380</f>
        <v>0</v>
      </c>
      <c r="L15">
        <f>'Modèle Calcul A-R + Sommaire'!AJ17</f>
        <v>26</v>
      </c>
      <c r="M15" s="2218">
        <f>L15+((O15-L15)*L$6)</f>
        <v>32</v>
      </c>
      <c r="N15" s="2217">
        <f>M15+((O15-L15)*M$6)</f>
        <v>41.120000000000005</v>
      </c>
      <c r="O15">
        <f>'Modèle Calcul A-R + Sommaire'!AK17</f>
        <v>50</v>
      </c>
    </row>
    <row r="16" spans="1:15" ht="20" customHeight="1">
      <c r="B16" s="589"/>
      <c r="C16" s="5"/>
      <c r="D16" s="5"/>
      <c r="E16" s="5"/>
      <c r="F16" s="5"/>
      <c r="G16" s="5"/>
      <c r="H16" s="5"/>
      <c r="I16" s="2" t="s">
        <v>1993</v>
      </c>
      <c r="J16" s="589">
        <f>'Modèle Calcul A-R + Sommaire'!AH17</f>
        <v>0</v>
      </c>
      <c r="K16" s="5">
        <v>0</v>
      </c>
      <c r="L16">
        <f>'Modèle Calcul A-R + Sommaire'!AL17</f>
        <v>10</v>
      </c>
      <c r="M16" s="2218">
        <f>L16+((O16-L16)*L$6)</f>
        <v>16.25</v>
      </c>
      <c r="N16" s="2217">
        <f>M16+((O16-L16)*M$6)</f>
        <v>25.75</v>
      </c>
      <c r="O16">
        <f>'Modèle Calcul A-R + Sommaire'!AM17</f>
        <v>35</v>
      </c>
    </row>
    <row r="17" spans="1:15" ht="20" customHeight="1">
      <c r="B17" s="589"/>
      <c r="C17" s="5"/>
      <c r="D17" s="5"/>
      <c r="E17" s="5"/>
      <c r="F17" s="5"/>
      <c r="G17" s="5"/>
      <c r="H17" s="5"/>
      <c r="I17" s="2" t="s">
        <v>1994</v>
      </c>
      <c r="J17" s="589"/>
      <c r="K17" s="5"/>
    </row>
    <row r="18" spans="1:15" ht="28" customHeight="1">
      <c r="B18" s="589"/>
      <c r="C18" s="5"/>
      <c r="D18" s="5"/>
      <c r="E18" s="5"/>
      <c r="F18" s="5"/>
      <c r="G18" s="5"/>
      <c r="H18" s="5"/>
      <c r="J18" s="589"/>
      <c r="K18" s="5"/>
    </row>
    <row r="19" spans="1:15" ht="20" customHeight="1">
      <c r="A19" t="s">
        <v>88</v>
      </c>
      <c r="B19" s="1672">
        <f>Test_Bible!V159</f>
        <v>63</v>
      </c>
      <c r="C19" s="90">
        <f>Test_Bible!X159</f>
        <v>0</v>
      </c>
      <c r="D19" s="90">
        <f>Test_Bible!Y159</f>
        <v>23</v>
      </c>
      <c r="E19" s="2223">
        <f>Test_Bible!Z159</f>
        <v>46</v>
      </c>
      <c r="F19" s="90">
        <f>Test_Bible!AA159</f>
        <v>92</v>
      </c>
      <c r="G19" s="90">
        <f>Test_Bible!AB159</f>
        <v>161</v>
      </c>
      <c r="H19" s="90">
        <f>Test_Bible!AC159</f>
        <v>230</v>
      </c>
      <c r="I19" s="2150" t="s">
        <v>1992</v>
      </c>
      <c r="J19" s="1672">
        <f>'Modèle Calcul A-R + Sommaire'!AG19</f>
        <v>0</v>
      </c>
      <c r="K19" s="2221">
        <f>Test_Bible!AF159</f>
        <v>0</v>
      </c>
      <c r="L19" s="55">
        <f>'Modèle Calcul A-R + Sommaire'!AJ19</f>
        <v>90</v>
      </c>
      <c r="M19" s="2217">
        <f>L19+((O19-L19)*L$6)</f>
        <v>112.5</v>
      </c>
      <c r="N19" s="2217">
        <f>M19+((O19-L19)*M$6)</f>
        <v>146.69999999999999</v>
      </c>
      <c r="O19" s="55">
        <f>'Modèle Calcul A-R + Sommaire'!AK19</f>
        <v>180</v>
      </c>
    </row>
    <row r="20" spans="1:15" ht="20" customHeight="1">
      <c r="B20" s="589"/>
      <c r="I20" s="2" t="s">
        <v>1993</v>
      </c>
      <c r="J20" s="1672">
        <f>'Modèle Calcul A-R + Sommaire'!AH19</f>
        <v>0</v>
      </c>
      <c r="K20" s="5">
        <v>0</v>
      </c>
      <c r="L20" s="2219">
        <f>'Modèle Calcul A-R + Sommaire'!AL19</f>
        <v>16</v>
      </c>
      <c r="M20" s="2217">
        <f>L20+((O20-L20)*L$6)</f>
        <v>26.5</v>
      </c>
      <c r="N20" s="2217">
        <f>M20+((O20-L20)*M$6)</f>
        <v>42.46</v>
      </c>
      <c r="O20" s="55">
        <f>'Modèle Calcul A-R + Sommaire'!AM19</f>
        <v>58</v>
      </c>
    </row>
    <row r="21" spans="1:15" ht="20" customHeight="1">
      <c r="I21" s="2" t="s">
        <v>1994</v>
      </c>
      <c r="J21" s="1672">
        <f>'Modèle Calcul A-R + Sommaire'!AI19</f>
        <v>0</v>
      </c>
      <c r="K21" s="2220">
        <v>0</v>
      </c>
      <c r="L21" s="55">
        <f>'Modèle Calcul A-R + Sommaire'!AN19</f>
        <v>103</v>
      </c>
      <c r="M21" s="2217">
        <f>L21+((O21-L21)*L$6)</f>
        <v>125.25</v>
      </c>
      <c r="N21" s="2217">
        <f>M21+((O21-L21)*M$6)</f>
        <v>159.07</v>
      </c>
      <c r="O21" s="55">
        <f>'Modèle Calcul A-R + Sommaire'!AO19</f>
        <v>192</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2023-11-10T15:22:38Z</dcterms:modified>
</cp:coreProperties>
</file>